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6AF30372-5581-4B62-90D7-DEB37BD24B33}" xr6:coauthVersionLast="36" xr6:coauthVersionMax="36" xr10:uidLastSave="{00000000-0000-0000-0000-000000000000}"/>
  <bookViews>
    <workbookView xWindow="0" yWindow="0" windowWidth="28800" windowHeight="9900" xr2:uid="{00000000-000D-0000-FFFF-FFFF00000000}"/>
  </bookViews>
  <sheets>
    <sheet name="Eurostat collected Portables GU" sheetId="5" r:id="rId1"/>
    <sheet name="Collected BAU 2050" sheetId="8" r:id="rId2"/>
    <sheet name="Collected REC 2050" sheetId="10" r:id="rId3"/>
    <sheet name="Collected CIR 2050" sheetId="11" r:id="rId4"/>
    <sheet name="Scenarios" sheetId="9" r:id="rId5"/>
    <sheet name="Share collected BATT portable" sheetId="6" r:id="rId6"/>
    <sheet name="Share collected BATT Industrial" sheetId="7" r:id="rId7"/>
  </sheets>
  <definedNames>
    <definedName name="_xlnm._FilterDatabase" localSheetId="0" hidden="1">'Eurostat collected Portables GU'!$A$1:$W$1</definedName>
  </definedNames>
  <calcPr calcId="191029"/>
</workbook>
</file>

<file path=xl/calcChain.xml><?xml version="1.0" encoding="utf-8"?>
<calcChain xmlns="http://schemas.openxmlformats.org/spreadsheetml/2006/main">
  <c r="D33" i="11" l="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C33" i="11"/>
  <c r="B33" i="11"/>
  <c r="B2" i="8"/>
  <c r="C2" i="8" s="1"/>
  <c r="D2" i="8" s="1"/>
  <c r="E2" i="8" s="1"/>
  <c r="F2" i="8" s="1"/>
  <c r="G2" i="8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B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B9" i="8"/>
  <c r="C9" i="8" s="1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B12" i="8"/>
  <c r="C12" i="8" s="1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B15" i="8"/>
  <c r="C15" i="8" s="1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B17" i="8"/>
  <c r="C17" i="8" s="1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B18" i="8"/>
  <c r="C18" i="8" s="1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B19" i="8"/>
  <c r="C19" i="8" s="1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B20" i="8"/>
  <c r="C20" i="8" s="1"/>
  <c r="D20" i="8" s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B21" i="8"/>
  <c r="C21" i="8" s="1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B22" i="8"/>
  <c r="C22" i="8" s="1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B23" i="8"/>
  <c r="C23" i="8" s="1"/>
  <c r="D23" i="8" s="1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B24" i="8"/>
  <c r="C24" i="8" s="1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B25" i="8"/>
  <c r="C25" i="8" s="1"/>
  <c r="D25" i="8" s="1"/>
  <c r="E25" i="8" s="1"/>
  <c r="F25" i="8" s="1"/>
  <c r="B26" i="8"/>
  <c r="C26" i="8" s="1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B28" i="8"/>
  <c r="C28" i="8" s="1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B30" i="8"/>
  <c r="C30" i="8" s="1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B31" i="8"/>
  <c r="C31" i="8" s="1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B32" i="8"/>
  <c r="C32" i="8" s="1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G25" i="8" l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H2" i="8"/>
  <c r="I2" i="8" l="1"/>
  <c r="J2" i="8" l="1"/>
  <c r="K2" i="8" l="1"/>
  <c r="L2" i="8" l="1"/>
  <c r="M2" i="8" l="1"/>
  <c r="N2" i="8" l="1"/>
  <c r="O2" i="8" l="1"/>
  <c r="P2" i="8" l="1"/>
  <c r="Q2" i="8" l="1"/>
  <c r="R2" i="8" l="1"/>
  <c r="S2" i="8" l="1"/>
  <c r="T2" i="8" l="1"/>
  <c r="U2" i="8" l="1"/>
  <c r="V2" i="8" l="1"/>
  <c r="W2" i="8" l="1"/>
  <c r="X2" i="8" l="1"/>
  <c r="Y2" i="8" l="1"/>
  <c r="Z2" i="8" l="1"/>
  <c r="AA2" i="8" l="1"/>
  <c r="AB2" i="8" l="1"/>
  <c r="AC2" i="8" l="1"/>
  <c r="AD2" i="8" l="1"/>
  <c r="B2" i="11" l="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B9" i="11"/>
  <c r="C9" i="11" s="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AB9" i="11" s="1"/>
  <c r="AC9" i="11" s="1"/>
  <c r="AD9" i="11" s="1"/>
  <c r="B10" i="11"/>
  <c r="C10" i="11" s="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B12" i="11"/>
  <c r="C12" i="11" s="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B13" i="11"/>
  <c r="C13" i="11" s="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B14" i="11"/>
  <c r="C14" i="11" s="1"/>
  <c r="D14" i="11" s="1"/>
  <c r="E14" i="11" s="1"/>
  <c r="F14" i="11" s="1"/>
  <c r="G14" i="11" s="1"/>
  <c r="H14" i="11" s="1"/>
  <c r="I14" i="11" s="1"/>
  <c r="J14" i="11" s="1"/>
  <c r="K14" i="11" s="1"/>
  <c r="L14" i="11" s="1"/>
  <c r="M14" i="11" s="1"/>
  <c r="N14" i="11" s="1"/>
  <c r="O14" i="11" s="1"/>
  <c r="P14" i="11" s="1"/>
  <c r="Q14" i="11" s="1"/>
  <c r="R14" i="11" s="1"/>
  <c r="S14" i="11" s="1"/>
  <c r="T14" i="11" s="1"/>
  <c r="U14" i="11" s="1"/>
  <c r="V14" i="11" s="1"/>
  <c r="W14" i="11" s="1"/>
  <c r="X14" i="11" s="1"/>
  <c r="Y14" i="11" s="1"/>
  <c r="Z14" i="11" s="1"/>
  <c r="AA14" i="11" s="1"/>
  <c r="AB14" i="11" s="1"/>
  <c r="AC14" i="11" s="1"/>
  <c r="AD14" i="11" s="1"/>
  <c r="B15" i="11"/>
  <c r="C15" i="11" s="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R15" i="11" s="1"/>
  <c r="S15" i="11" s="1"/>
  <c r="T15" i="11" s="1"/>
  <c r="U15" i="11" s="1"/>
  <c r="V15" i="11" s="1"/>
  <c r="W15" i="11" s="1"/>
  <c r="X15" i="11" s="1"/>
  <c r="Y15" i="11" s="1"/>
  <c r="Z15" i="11" s="1"/>
  <c r="AA15" i="11" s="1"/>
  <c r="AB15" i="11" s="1"/>
  <c r="AC15" i="11" s="1"/>
  <c r="AD15" i="11" s="1"/>
  <c r="B17" i="11"/>
  <c r="C17" i="11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B18" i="11"/>
  <c r="C18" i="11" s="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U18" i="11" s="1"/>
  <c r="V18" i="11" s="1"/>
  <c r="W18" i="11" s="1"/>
  <c r="X18" i="11" s="1"/>
  <c r="Y18" i="11" s="1"/>
  <c r="Z18" i="11" s="1"/>
  <c r="AA18" i="11" s="1"/>
  <c r="AB18" i="11" s="1"/>
  <c r="AC18" i="11" s="1"/>
  <c r="AD18" i="11" s="1"/>
  <c r="B19" i="11"/>
  <c r="C19" i="11" s="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AB19" i="11" s="1"/>
  <c r="AC19" i="11" s="1"/>
  <c r="AD19" i="11" s="1"/>
  <c r="B20" i="11"/>
  <c r="C20" i="11" s="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AB20" i="11" s="1"/>
  <c r="AC20" i="11" s="1"/>
  <c r="AD20" i="11" s="1"/>
  <c r="B21" i="11"/>
  <c r="C21" i="11" s="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AB21" i="11" s="1"/>
  <c r="AC21" i="11" s="1"/>
  <c r="AD21" i="11" s="1"/>
  <c r="B22" i="11"/>
  <c r="C22" i="11" s="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B23" i="11"/>
  <c r="C23" i="11" s="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B24" i="11"/>
  <c r="C24" i="11" s="1"/>
  <c r="D24" i="11" s="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B25" i="11"/>
  <c r="C25" i="11" s="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B26" i="11"/>
  <c r="C26" i="11" s="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AB26" i="11" s="1"/>
  <c r="AC26" i="11" s="1"/>
  <c r="AD26" i="11" s="1"/>
  <c r="B28" i="11"/>
  <c r="C28" i="11" s="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B30" i="11"/>
  <c r="C30" i="11" s="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AA30" i="11" s="1"/>
  <c r="AB30" i="11" s="1"/>
  <c r="AC30" i="11" s="1"/>
  <c r="AD30" i="11" s="1"/>
  <c r="B31" i="11"/>
  <c r="C31" i="11" s="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R31" i="11" s="1"/>
  <c r="S31" i="11" s="1"/>
  <c r="T31" i="11" s="1"/>
  <c r="U31" i="11" s="1"/>
  <c r="V31" i="11" s="1"/>
  <c r="W31" i="11" s="1"/>
  <c r="X31" i="11" s="1"/>
  <c r="Y31" i="11" s="1"/>
  <c r="Z31" i="11" s="1"/>
  <c r="AA31" i="11" s="1"/>
  <c r="AB31" i="11" s="1"/>
  <c r="AC31" i="11" s="1"/>
  <c r="AD31" i="11" s="1"/>
  <c r="B32" i="11"/>
  <c r="C32" i="11" s="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R32" i="11" s="1"/>
  <c r="S32" i="11" s="1"/>
  <c r="T32" i="11" s="1"/>
  <c r="U32" i="11" s="1"/>
  <c r="V32" i="11" s="1"/>
  <c r="W32" i="11" s="1"/>
  <c r="X32" i="11" s="1"/>
  <c r="Y32" i="11" s="1"/>
  <c r="Z32" i="11" s="1"/>
  <c r="AA32" i="11" s="1"/>
  <c r="AB32" i="11" s="1"/>
  <c r="AC32" i="11" s="1"/>
  <c r="AD32" i="11" s="1"/>
  <c r="B2" i="10" l="1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B9" i="10"/>
  <c r="C9" i="10" s="1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B10" i="10"/>
  <c r="C10" i="10" s="1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B12" i="10"/>
  <c r="C12" i="10" s="1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B13" i="10"/>
  <c r="C13" i="10" s="1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B14" i="10"/>
  <c r="C14" i="10" s="1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B15" i="10"/>
  <c r="C15" i="10" s="1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B17" i="10"/>
  <c r="C17" i="10" s="1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B18" i="10"/>
  <c r="C18" i="10" s="1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B19" i="10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B20" i="10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B21" i="10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B22" i="10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B23" i="10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B24" i="10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B25" i="10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B26" i="10"/>
  <c r="C26" i="10" s="1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B28" i="10"/>
  <c r="C28" i="10" s="1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B30" i="10"/>
  <c r="C30" i="10" s="1"/>
  <c r="D30" i="10" s="1"/>
  <c r="E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B31" i="10"/>
  <c r="C31" i="10" s="1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B32" i="10"/>
  <c r="C32" i="10" s="1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W29" i="5" l="1"/>
  <c r="B29" i="8" s="1"/>
  <c r="C29" i="8" s="1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W27" i="5"/>
  <c r="B27" i="8" s="1"/>
  <c r="C27" i="8" s="1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W11" i="5"/>
  <c r="B11" i="8" s="1"/>
  <c r="C11" i="8" l="1"/>
  <c r="B33" i="8"/>
  <c r="B11" i="11"/>
  <c r="C11" i="11" s="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AB11" i="11" s="1"/>
  <c r="AC11" i="11" s="1"/>
  <c r="AD11" i="11" s="1"/>
  <c r="B11" i="10"/>
  <c r="C11" i="10" s="1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B27" i="11"/>
  <c r="C27" i="11" s="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B27" i="10"/>
  <c r="C27" i="10" s="1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B29" i="11"/>
  <c r="C29" i="11" s="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AA29" i="11" s="1"/>
  <c r="AB29" i="11" s="1"/>
  <c r="AC29" i="11" s="1"/>
  <c r="AD29" i="11" s="1"/>
  <c r="B29" i="10"/>
  <c r="C29" i="10" s="1"/>
  <c r="D29" i="10" s="1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D11" i="8" l="1"/>
  <c r="C33" i="8"/>
  <c r="O33" i="10"/>
  <c r="B33" i="10"/>
  <c r="E11" i="8" l="1"/>
  <c r="D33" i="8"/>
  <c r="D33" i="10"/>
  <c r="G33" i="10"/>
  <c r="N33" i="10"/>
  <c r="C33" i="10"/>
  <c r="J33" i="10"/>
  <c r="L33" i="10"/>
  <c r="F33" i="10"/>
  <c r="E33" i="10"/>
  <c r="M33" i="10"/>
  <c r="I33" i="10"/>
  <c r="K33" i="10"/>
  <c r="H33" i="10"/>
  <c r="F11" i="8" l="1"/>
  <c r="E33" i="8"/>
  <c r="Q33" i="10"/>
  <c r="P33" i="10"/>
  <c r="R33" i="10"/>
  <c r="G11" i="8" l="1"/>
  <c r="F33" i="8"/>
  <c r="S33" i="10"/>
  <c r="H11" i="8" l="1"/>
  <c r="G33" i="8"/>
  <c r="T33" i="10"/>
  <c r="I11" i="8" l="1"/>
  <c r="H33" i="8"/>
  <c r="U33" i="10"/>
  <c r="J11" i="8" l="1"/>
  <c r="I33" i="8"/>
  <c r="V33" i="10"/>
  <c r="K11" i="8" l="1"/>
  <c r="J33" i="8"/>
  <c r="W33" i="10"/>
  <c r="L11" i="8" l="1"/>
  <c r="K33" i="8"/>
  <c r="X33" i="10"/>
  <c r="M11" i="8" l="1"/>
  <c r="L33" i="8"/>
  <c r="Y33" i="10"/>
  <c r="N11" i="8" l="1"/>
  <c r="M33" i="8"/>
  <c r="Z33" i="10"/>
  <c r="O11" i="8" l="1"/>
  <c r="N33" i="8"/>
  <c r="AA33" i="10"/>
  <c r="P11" i="8" l="1"/>
  <c r="O33" i="8"/>
  <c r="AB33" i="10"/>
  <c r="Q11" i="8" l="1"/>
  <c r="P33" i="8"/>
  <c r="AD33" i="10"/>
  <c r="AC33" i="10"/>
  <c r="R11" i="8" l="1"/>
  <c r="Q33" i="8"/>
  <c r="S11" i="8" l="1"/>
  <c r="R33" i="8"/>
  <c r="T11" i="8" l="1"/>
  <c r="S33" i="8"/>
  <c r="U11" i="8" l="1"/>
  <c r="T33" i="8"/>
  <c r="V11" i="8" l="1"/>
  <c r="U33" i="8"/>
  <c r="W11" i="8" l="1"/>
  <c r="V33" i="8"/>
  <c r="X11" i="8" l="1"/>
  <c r="W33" i="8"/>
  <c r="Y11" i="8" l="1"/>
  <c r="X33" i="8"/>
  <c r="Z11" i="8" l="1"/>
  <c r="Y33" i="8"/>
  <c r="AA11" i="8" l="1"/>
  <c r="Z33" i="8"/>
  <c r="AB11" i="8" l="1"/>
  <c r="AA33" i="8"/>
  <c r="AC11" i="8" l="1"/>
  <c r="AB33" i="8"/>
  <c r="AD11" i="8" l="1"/>
  <c r="AD33" i="8" s="1"/>
  <c r="AC33" i="8"/>
  <c r="F29" i="5" l="1"/>
  <c r="E29" i="5" s="1"/>
  <c r="D29" i="5" s="1"/>
  <c r="C29" i="5" s="1"/>
  <c r="B29" i="5" s="1"/>
  <c r="Q33" i="5" l="1"/>
  <c r="R33" i="5"/>
  <c r="S33" i="5"/>
  <c r="T33" i="5"/>
  <c r="U33" i="5"/>
  <c r="V33" i="5"/>
  <c r="W33" i="5"/>
  <c r="L3" i="5"/>
  <c r="K3" i="5" s="1"/>
  <c r="J3" i="5" s="1"/>
  <c r="I3" i="5" s="1"/>
  <c r="H3" i="5" s="1"/>
  <c r="G3" i="5" s="1"/>
  <c r="F3" i="5" s="1"/>
  <c r="E3" i="5" s="1"/>
  <c r="D3" i="5" s="1"/>
  <c r="C3" i="5" s="1"/>
  <c r="B3" i="5" s="1"/>
  <c r="L4" i="5"/>
  <c r="K4" i="5" s="1"/>
  <c r="J4" i="5" s="1"/>
  <c r="I4" i="5" s="1"/>
  <c r="H4" i="5" s="1"/>
  <c r="G4" i="5" s="1"/>
  <c r="F4" i="5" s="1"/>
  <c r="E4" i="5" s="1"/>
  <c r="D4" i="5" s="1"/>
  <c r="C4" i="5" s="1"/>
  <c r="B4" i="5" s="1"/>
  <c r="L5" i="5"/>
  <c r="K5" i="5" s="1"/>
  <c r="J5" i="5" s="1"/>
  <c r="I5" i="5" s="1"/>
  <c r="H5" i="5" s="1"/>
  <c r="G5" i="5" s="1"/>
  <c r="F5" i="5" s="1"/>
  <c r="E5" i="5" s="1"/>
  <c r="D5" i="5" s="1"/>
  <c r="C5" i="5" s="1"/>
  <c r="B5" i="5" s="1"/>
  <c r="L6" i="5"/>
  <c r="K6" i="5" s="1"/>
  <c r="J6" i="5" s="1"/>
  <c r="I6" i="5" s="1"/>
  <c r="H6" i="5" s="1"/>
  <c r="G6" i="5" s="1"/>
  <c r="F6" i="5" s="1"/>
  <c r="E6" i="5" s="1"/>
  <c r="D6" i="5" s="1"/>
  <c r="C6" i="5" s="1"/>
  <c r="B6" i="5" s="1"/>
  <c r="L7" i="5"/>
  <c r="K7" i="5" s="1"/>
  <c r="J7" i="5" s="1"/>
  <c r="I7" i="5" s="1"/>
  <c r="H7" i="5" s="1"/>
  <c r="G7" i="5" s="1"/>
  <c r="F7" i="5" s="1"/>
  <c r="E7" i="5" s="1"/>
  <c r="D7" i="5" s="1"/>
  <c r="C7" i="5" s="1"/>
  <c r="B7" i="5" s="1"/>
  <c r="L8" i="5"/>
  <c r="K8" i="5" s="1"/>
  <c r="J8" i="5" s="1"/>
  <c r="I8" i="5" s="1"/>
  <c r="H8" i="5" s="1"/>
  <c r="G8" i="5" s="1"/>
  <c r="F8" i="5" s="1"/>
  <c r="E8" i="5" s="1"/>
  <c r="D8" i="5" s="1"/>
  <c r="C8" i="5" s="1"/>
  <c r="B8" i="5" s="1"/>
  <c r="L9" i="5"/>
  <c r="K9" i="5" s="1"/>
  <c r="J9" i="5" s="1"/>
  <c r="I9" i="5" s="1"/>
  <c r="H9" i="5" s="1"/>
  <c r="G9" i="5" s="1"/>
  <c r="F9" i="5" s="1"/>
  <c r="E9" i="5" s="1"/>
  <c r="D9" i="5" s="1"/>
  <c r="C9" i="5" s="1"/>
  <c r="B9" i="5" s="1"/>
  <c r="L10" i="5"/>
  <c r="K10" i="5" s="1"/>
  <c r="J10" i="5" s="1"/>
  <c r="I10" i="5" s="1"/>
  <c r="H10" i="5" s="1"/>
  <c r="G10" i="5" s="1"/>
  <c r="F10" i="5" s="1"/>
  <c r="E10" i="5" s="1"/>
  <c r="D10" i="5" s="1"/>
  <c r="C10" i="5" s="1"/>
  <c r="B10" i="5" s="1"/>
  <c r="L12" i="5"/>
  <c r="K12" i="5" s="1"/>
  <c r="J12" i="5" s="1"/>
  <c r="I12" i="5" s="1"/>
  <c r="H12" i="5" s="1"/>
  <c r="G12" i="5" s="1"/>
  <c r="F12" i="5" s="1"/>
  <c r="E12" i="5" s="1"/>
  <c r="D12" i="5" s="1"/>
  <c r="C12" i="5" s="1"/>
  <c r="B12" i="5" s="1"/>
  <c r="L13" i="5"/>
  <c r="K13" i="5" s="1"/>
  <c r="J13" i="5" s="1"/>
  <c r="I13" i="5" s="1"/>
  <c r="H13" i="5" s="1"/>
  <c r="G13" i="5" s="1"/>
  <c r="F13" i="5" s="1"/>
  <c r="E13" i="5" s="1"/>
  <c r="D13" i="5" s="1"/>
  <c r="C13" i="5" s="1"/>
  <c r="B13" i="5" s="1"/>
  <c r="L15" i="5"/>
  <c r="K15" i="5" s="1"/>
  <c r="J15" i="5" s="1"/>
  <c r="I15" i="5" s="1"/>
  <c r="H15" i="5" s="1"/>
  <c r="G15" i="5" s="1"/>
  <c r="F15" i="5" s="1"/>
  <c r="E15" i="5" s="1"/>
  <c r="D15" i="5" s="1"/>
  <c r="C15" i="5" s="1"/>
  <c r="B15" i="5" s="1"/>
  <c r="L17" i="5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L18" i="5"/>
  <c r="K18" i="5" s="1"/>
  <c r="J18" i="5" s="1"/>
  <c r="I18" i="5" s="1"/>
  <c r="H18" i="5" s="1"/>
  <c r="G18" i="5" s="1"/>
  <c r="F18" i="5" s="1"/>
  <c r="E18" i="5" s="1"/>
  <c r="D18" i="5" s="1"/>
  <c r="C18" i="5" s="1"/>
  <c r="B18" i="5" s="1"/>
  <c r="L19" i="5"/>
  <c r="K19" i="5" s="1"/>
  <c r="J19" i="5" s="1"/>
  <c r="I19" i="5" s="1"/>
  <c r="H19" i="5" s="1"/>
  <c r="G19" i="5" s="1"/>
  <c r="F19" i="5" s="1"/>
  <c r="E19" i="5" s="1"/>
  <c r="D19" i="5" s="1"/>
  <c r="C19" i="5" s="1"/>
  <c r="B19" i="5" s="1"/>
  <c r="L20" i="5"/>
  <c r="K20" i="5" s="1"/>
  <c r="J20" i="5" s="1"/>
  <c r="I20" i="5" s="1"/>
  <c r="H20" i="5" s="1"/>
  <c r="G20" i="5" s="1"/>
  <c r="F20" i="5" s="1"/>
  <c r="E20" i="5" s="1"/>
  <c r="D20" i="5" s="1"/>
  <c r="C20" i="5" s="1"/>
  <c r="B20" i="5" s="1"/>
  <c r="L21" i="5"/>
  <c r="K21" i="5" s="1"/>
  <c r="J21" i="5" s="1"/>
  <c r="I21" i="5" s="1"/>
  <c r="H21" i="5" s="1"/>
  <c r="G21" i="5" s="1"/>
  <c r="F21" i="5" s="1"/>
  <c r="E21" i="5" s="1"/>
  <c r="D21" i="5" s="1"/>
  <c r="C21" i="5" s="1"/>
  <c r="B21" i="5" s="1"/>
  <c r="L22" i="5"/>
  <c r="K22" i="5" s="1"/>
  <c r="J22" i="5" s="1"/>
  <c r="I22" i="5" s="1"/>
  <c r="H22" i="5" s="1"/>
  <c r="G22" i="5" s="1"/>
  <c r="F22" i="5" s="1"/>
  <c r="E22" i="5" s="1"/>
  <c r="D22" i="5" s="1"/>
  <c r="C22" i="5" s="1"/>
  <c r="B22" i="5" s="1"/>
  <c r="L23" i="5"/>
  <c r="K23" i="5" s="1"/>
  <c r="J23" i="5" s="1"/>
  <c r="I23" i="5" s="1"/>
  <c r="H23" i="5" s="1"/>
  <c r="G23" i="5" s="1"/>
  <c r="F23" i="5" s="1"/>
  <c r="E23" i="5" s="1"/>
  <c r="D23" i="5" s="1"/>
  <c r="C23" i="5" s="1"/>
  <c r="B23" i="5" s="1"/>
  <c r="L24" i="5"/>
  <c r="K24" i="5" s="1"/>
  <c r="J24" i="5" s="1"/>
  <c r="I24" i="5" s="1"/>
  <c r="H24" i="5" s="1"/>
  <c r="G24" i="5" s="1"/>
  <c r="F24" i="5" s="1"/>
  <c r="E24" i="5" s="1"/>
  <c r="D24" i="5" s="1"/>
  <c r="C24" i="5" s="1"/>
  <c r="B24" i="5" s="1"/>
  <c r="L25" i="5"/>
  <c r="K25" i="5" s="1"/>
  <c r="J25" i="5" s="1"/>
  <c r="I25" i="5" s="1"/>
  <c r="H25" i="5" s="1"/>
  <c r="G25" i="5" s="1"/>
  <c r="F25" i="5" s="1"/>
  <c r="E25" i="5" s="1"/>
  <c r="D25" i="5" s="1"/>
  <c r="C25" i="5" s="1"/>
  <c r="B25" i="5" s="1"/>
  <c r="L26" i="5"/>
  <c r="K26" i="5" s="1"/>
  <c r="J26" i="5" s="1"/>
  <c r="I26" i="5" s="1"/>
  <c r="H26" i="5" s="1"/>
  <c r="G26" i="5" s="1"/>
  <c r="F26" i="5" s="1"/>
  <c r="E26" i="5" s="1"/>
  <c r="D26" i="5" s="1"/>
  <c r="C26" i="5" s="1"/>
  <c r="B26" i="5" s="1"/>
  <c r="L27" i="5"/>
  <c r="K27" i="5" s="1"/>
  <c r="J27" i="5" s="1"/>
  <c r="I27" i="5" s="1"/>
  <c r="H27" i="5" s="1"/>
  <c r="G27" i="5" s="1"/>
  <c r="F27" i="5" s="1"/>
  <c r="E27" i="5" s="1"/>
  <c r="D27" i="5" s="1"/>
  <c r="C27" i="5" s="1"/>
  <c r="B27" i="5" s="1"/>
  <c r="L28" i="5"/>
  <c r="K28" i="5" s="1"/>
  <c r="J28" i="5" s="1"/>
  <c r="I28" i="5" s="1"/>
  <c r="H28" i="5" s="1"/>
  <c r="G28" i="5" s="1"/>
  <c r="F28" i="5" s="1"/>
  <c r="E28" i="5" s="1"/>
  <c r="D28" i="5" s="1"/>
  <c r="C28" i="5" s="1"/>
  <c r="B28" i="5" s="1"/>
  <c r="L30" i="5"/>
  <c r="K30" i="5" s="1"/>
  <c r="J30" i="5" s="1"/>
  <c r="I30" i="5" s="1"/>
  <c r="H30" i="5" s="1"/>
  <c r="G30" i="5" s="1"/>
  <c r="F30" i="5" s="1"/>
  <c r="E30" i="5" s="1"/>
  <c r="D30" i="5" s="1"/>
  <c r="C30" i="5" s="1"/>
  <c r="B30" i="5" s="1"/>
  <c r="L31" i="5"/>
  <c r="K31" i="5" s="1"/>
  <c r="J31" i="5" s="1"/>
  <c r="I31" i="5" s="1"/>
  <c r="H31" i="5" s="1"/>
  <c r="G31" i="5" s="1"/>
  <c r="F31" i="5" s="1"/>
  <c r="E31" i="5" s="1"/>
  <c r="D31" i="5" s="1"/>
  <c r="C31" i="5" s="1"/>
  <c r="B31" i="5" s="1"/>
  <c r="L32" i="5"/>
  <c r="K32" i="5" s="1"/>
  <c r="J32" i="5" s="1"/>
  <c r="I32" i="5" s="1"/>
  <c r="H32" i="5" s="1"/>
  <c r="G32" i="5" s="1"/>
  <c r="F32" i="5" s="1"/>
  <c r="E32" i="5" s="1"/>
  <c r="D32" i="5" s="1"/>
  <c r="C32" i="5" s="1"/>
  <c r="B32" i="5" s="1"/>
  <c r="L2" i="5"/>
  <c r="P11" i="5"/>
  <c r="P33" i="5" s="1"/>
  <c r="N14" i="5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 s="1"/>
  <c r="B14" i="5" s="1"/>
  <c r="O11" i="5" l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C11" i="5" s="1"/>
  <c r="B11" i="5" s="1"/>
  <c r="K2" i="5"/>
  <c r="AA6" i="6"/>
  <c r="AA7" i="6"/>
  <c r="AA8" i="6"/>
  <c r="AA5" i="6"/>
  <c r="Z6" i="6"/>
  <c r="Z7" i="6"/>
  <c r="Z8" i="6"/>
  <c r="Z5" i="6"/>
  <c r="Y6" i="6"/>
  <c r="Y7" i="6"/>
  <c r="Y8" i="6"/>
  <c r="Y5" i="6"/>
  <c r="X6" i="6"/>
  <c r="X7" i="6"/>
  <c r="X8" i="6"/>
  <c r="X5" i="6"/>
  <c r="W6" i="6"/>
  <c r="W7" i="6"/>
  <c r="W8" i="6"/>
  <c r="W5" i="6"/>
  <c r="V6" i="6"/>
  <c r="V7" i="6"/>
  <c r="V8" i="6"/>
  <c r="V5" i="6"/>
  <c r="U6" i="6"/>
  <c r="U7" i="6"/>
  <c r="U8" i="6"/>
  <c r="U5" i="6"/>
  <c r="T6" i="6"/>
  <c r="T7" i="6"/>
  <c r="T8" i="6"/>
  <c r="T5" i="6"/>
  <c r="S6" i="6"/>
  <c r="S7" i="6"/>
  <c r="S8" i="6"/>
  <c r="S5" i="6"/>
  <c r="R6" i="6"/>
  <c r="R7" i="6"/>
  <c r="R8" i="6"/>
  <c r="R5" i="6"/>
  <c r="Q6" i="6"/>
  <c r="Q7" i="6"/>
  <c r="Q8" i="6"/>
  <c r="Q5" i="6"/>
  <c r="P6" i="6"/>
  <c r="P7" i="6"/>
  <c r="P8" i="6"/>
  <c r="P5" i="6"/>
  <c r="O33" i="5" l="1"/>
  <c r="L33" i="5"/>
  <c r="N33" i="5"/>
  <c r="M33" i="5"/>
  <c r="J2" i="5"/>
  <c r="K33" i="5"/>
  <c r="J26" i="6"/>
  <c r="I26" i="6"/>
  <c r="H26" i="6"/>
  <c r="G26" i="6"/>
  <c r="F26" i="6"/>
  <c r="E26" i="6"/>
  <c r="D26" i="6"/>
  <c r="C26" i="6"/>
  <c r="B26" i="6"/>
  <c r="I2" i="5" l="1"/>
  <c r="J33" i="5"/>
  <c r="M19" i="6"/>
  <c r="L19" i="6"/>
  <c r="K19" i="6"/>
  <c r="J19" i="6"/>
  <c r="I19" i="6"/>
  <c r="H19" i="6"/>
  <c r="G19" i="6"/>
  <c r="F19" i="6"/>
  <c r="E19" i="6"/>
  <c r="D19" i="6"/>
  <c r="H2" i="5" l="1"/>
  <c r="I33" i="5"/>
  <c r="E19" i="7"/>
  <c r="E22" i="7" s="1"/>
  <c r="F19" i="7"/>
  <c r="F23" i="7" s="1"/>
  <c r="G19" i="7"/>
  <c r="G21" i="7" s="1"/>
  <c r="H19" i="7"/>
  <c r="H22" i="7" s="1"/>
  <c r="I19" i="7"/>
  <c r="I22" i="7" s="1"/>
  <c r="J19" i="7"/>
  <c r="J21" i="7" s="1"/>
  <c r="K19" i="7"/>
  <c r="K23" i="7" s="1"/>
  <c r="L19" i="7"/>
  <c r="L21" i="7" s="1"/>
  <c r="M19" i="7"/>
  <c r="M22" i="7" s="1"/>
  <c r="N19" i="7"/>
  <c r="N23" i="7" s="1"/>
  <c r="D19" i="7"/>
  <c r="C19" i="7"/>
  <c r="I21" i="7" l="1"/>
  <c r="M23" i="7"/>
  <c r="L23" i="7"/>
  <c r="E23" i="7"/>
  <c r="L22" i="7"/>
  <c r="N22" i="7"/>
  <c r="G22" i="7"/>
  <c r="H21" i="7"/>
  <c r="F22" i="7"/>
  <c r="G2" i="5"/>
  <c r="H33" i="5"/>
  <c r="K21" i="7"/>
  <c r="I23" i="7"/>
  <c r="K22" i="7"/>
  <c r="E21" i="7"/>
  <c r="M21" i="7"/>
  <c r="H23" i="7"/>
  <c r="J22" i="7"/>
  <c r="J23" i="7"/>
  <c r="F21" i="7"/>
  <c r="N21" i="7"/>
  <c r="G23" i="7"/>
  <c r="N6" i="7"/>
  <c r="M6" i="7"/>
  <c r="L6" i="7"/>
  <c r="K6" i="7"/>
  <c r="J6" i="7"/>
  <c r="I6" i="7"/>
  <c r="H6" i="7"/>
  <c r="G6" i="7"/>
  <c r="F6" i="7"/>
  <c r="E6" i="7"/>
  <c r="D6" i="7"/>
  <c r="C6" i="7"/>
  <c r="N5" i="7"/>
  <c r="L5" i="7"/>
  <c r="K5" i="7"/>
  <c r="J5" i="7"/>
  <c r="I5" i="7"/>
  <c r="G5" i="7"/>
  <c r="F5" i="7"/>
  <c r="E5" i="7"/>
  <c r="D5" i="7"/>
  <c r="C5" i="7"/>
  <c r="M4" i="7"/>
  <c r="K4" i="7"/>
  <c r="J4" i="7"/>
  <c r="I4" i="7"/>
  <c r="I7" i="7" s="1"/>
  <c r="H4" i="7"/>
  <c r="G4" i="7"/>
  <c r="F4" i="7"/>
  <c r="E4" i="7"/>
  <c r="D4" i="7"/>
  <c r="C4" i="7"/>
  <c r="L7" i="7" l="1"/>
  <c r="L10" i="7" s="1"/>
  <c r="K7" i="7"/>
  <c r="K10" i="7" s="1"/>
  <c r="C7" i="7"/>
  <c r="C10" i="7" s="1"/>
  <c r="E7" i="7"/>
  <c r="E9" i="7" s="1"/>
  <c r="H7" i="7"/>
  <c r="K11" i="7"/>
  <c r="K9" i="7"/>
  <c r="M7" i="7"/>
  <c r="M9" i="7" s="1"/>
  <c r="N7" i="7"/>
  <c r="N9" i="7" s="1"/>
  <c r="F2" i="5"/>
  <c r="G33" i="5"/>
  <c r="C22" i="7"/>
  <c r="C21" i="7"/>
  <c r="D10" i="7"/>
  <c r="I11" i="7"/>
  <c r="I9" i="7"/>
  <c r="I10" i="7"/>
  <c r="D7" i="7"/>
  <c r="J7" i="7"/>
  <c r="J10" i="7" s="1"/>
  <c r="G7" i="7"/>
  <c r="G10" i="7" s="1"/>
  <c r="F7" i="7"/>
  <c r="F11" i="7" s="1"/>
  <c r="E11" i="7" l="1"/>
  <c r="E10" i="7"/>
  <c r="L11" i="7"/>
  <c r="J9" i="7"/>
  <c r="L9" i="7"/>
  <c r="J11" i="7"/>
  <c r="C23" i="7"/>
  <c r="C9" i="7"/>
  <c r="N11" i="7"/>
  <c r="M11" i="7"/>
  <c r="M10" i="7"/>
  <c r="F10" i="7"/>
  <c r="F9" i="7"/>
  <c r="H11" i="7"/>
  <c r="H10" i="7"/>
  <c r="N10" i="7"/>
  <c r="C11" i="7"/>
  <c r="H9" i="7"/>
  <c r="E2" i="5"/>
  <c r="F33" i="5"/>
  <c r="D22" i="7"/>
  <c r="D23" i="7"/>
  <c r="D21" i="7"/>
  <c r="D9" i="7"/>
  <c r="D11" i="7"/>
  <c r="G11" i="7"/>
  <c r="G9" i="7"/>
  <c r="D2" i="5" l="1"/>
  <c r="E33" i="5"/>
  <c r="C2" i="5" l="1"/>
  <c r="D33" i="5"/>
  <c r="B2" i="5" l="1"/>
  <c r="B33" i="5" s="1"/>
  <c r="C33" i="5"/>
</calcChain>
</file>

<file path=xl/sharedStrings.xml><?xml version="1.0" encoding="utf-8"?>
<sst xmlns="http://schemas.openxmlformats.org/spreadsheetml/2006/main" count="217" uniqueCount="89">
  <si>
    <t>UK</t>
  </si>
  <si>
    <t>Ireland</t>
  </si>
  <si>
    <t>Croatia</t>
  </si>
  <si>
    <t>Hungary</t>
  </si>
  <si>
    <t>Italy</t>
  </si>
  <si>
    <t>Lithuania</t>
  </si>
  <si>
    <t>Luxemburg</t>
  </si>
  <si>
    <t>Latvia</t>
  </si>
  <si>
    <t>Malta</t>
  </si>
  <si>
    <t>Netherlands</t>
  </si>
  <si>
    <t>Norway</t>
  </si>
  <si>
    <t>Poland</t>
  </si>
  <si>
    <t>Romania</t>
  </si>
  <si>
    <t>Portugal</t>
  </si>
  <si>
    <t>Slovakia</t>
  </si>
  <si>
    <t>Slovenia</t>
  </si>
  <si>
    <t>Sweden</t>
  </si>
  <si>
    <t>France</t>
  </si>
  <si>
    <t>Austria</t>
  </si>
  <si>
    <t>Belgium</t>
  </si>
  <si>
    <t>Bulgaria</t>
  </si>
  <si>
    <t>Cyprus</t>
  </si>
  <si>
    <t>Germany</t>
  </si>
  <si>
    <t>Denmark</t>
  </si>
  <si>
    <t>Finland</t>
  </si>
  <si>
    <t>Spain</t>
  </si>
  <si>
    <t>Estonia</t>
  </si>
  <si>
    <t>Greece</t>
  </si>
  <si>
    <t>Share of collected portable batteries</t>
  </si>
  <si>
    <t>Waste Portable Batteries collected by Battery Compliance Schemes</t>
  </si>
  <si>
    <t>battPb</t>
  </si>
  <si>
    <t>Portable</t>
  </si>
  <si>
    <t>battNiCd</t>
  </si>
  <si>
    <t>others</t>
  </si>
  <si>
    <t>Total</t>
  </si>
  <si>
    <t xml:space="preserve">UK Waste Industrial and Automotive Batteries Data Summary </t>
  </si>
  <si>
    <t>Industrial</t>
  </si>
  <si>
    <t>Share</t>
  </si>
  <si>
    <t>Denmark:</t>
  </si>
  <si>
    <t>Code</t>
  </si>
  <si>
    <t>Type of waste</t>
  </si>
  <si>
    <t>16 06 01</t>
  </si>
  <si>
    <t>lead batteries</t>
  </si>
  <si>
    <t>16 06 02</t>
  </si>
  <si>
    <t>Ni-Cd batteries</t>
  </si>
  <si>
    <t>16 06 03</t>
  </si>
  <si>
    <t>mercury-containing batteries</t>
  </si>
  <si>
    <t>16 06 04</t>
  </si>
  <si>
    <t>alkaline batteries (except 16 06 03)</t>
  </si>
  <si>
    <t>16 06 05</t>
  </si>
  <si>
    <t>other batteries and accumulators</t>
  </si>
  <si>
    <t>20 01 33</t>
  </si>
  <si>
    <t>batteries and accumulators included in 16 06 01, 16 06 02 or 16 06 03 and unsorted batteries and accumulators containing these batteries</t>
  </si>
  <si>
    <t>20 01 34</t>
  </si>
  <si>
    <t>batteries and accumulators other than those mentioned in 20 01 33</t>
  </si>
  <si>
    <t xml:space="preserve">Lithuania Collected </t>
  </si>
  <si>
    <t>Collection Year</t>
  </si>
  <si>
    <t>Lead Acid Batteries</t>
  </si>
  <si>
    <t>Nickle- Cadmium Batteries (Ni-Cd)</t>
  </si>
  <si>
    <t>Other Batteries</t>
  </si>
  <si>
    <t xml:space="preserve">Total </t>
  </si>
  <si>
    <t>Malta Portable Batteries or Accumulators (Tonnes)</t>
  </si>
  <si>
    <t>Portable Batteries - Alkaline</t>
  </si>
  <si>
    <t>Portable Batteries - Mercury</t>
  </si>
  <si>
    <t>Portable Batteries - Nickel Cadmium</t>
  </si>
  <si>
    <t>Portable Batteries - Nickel Metal Hydride</t>
  </si>
  <si>
    <t>Portable Batteries - Lead</t>
  </si>
  <si>
    <t>Portable Batteries - Lithium/Lithium Ion/Lithium Polymer</t>
  </si>
  <si>
    <t>Portable Batteries - Other</t>
  </si>
  <si>
    <t>Portable Batteries -All</t>
  </si>
  <si>
    <t>SWEDEN</t>
  </si>
  <si>
    <t>Industrial batteries - Alkaline</t>
  </si>
  <si>
    <t>Industrial batteries - Mercury</t>
  </si>
  <si>
    <t>Industrial Batteries - Closed Nickel Cadmium</t>
  </si>
  <si>
    <t>Industrial Batteries - Open Nickel Cadmium</t>
  </si>
  <si>
    <t>Industrial Batteries - Nickel Metal Hydride</t>
  </si>
  <si>
    <t>Industrial Batteries - Lead weighing less than 3 kg/pc</t>
  </si>
  <si>
    <t>Industrial Batteries - Lead. weighing more than 3 kg/pc</t>
  </si>
  <si>
    <t>Industrial Batteries - Lithium/Lithium Ion/Lithium Polymer</t>
  </si>
  <si>
    <t>Industrial batteries - Other</t>
  </si>
  <si>
    <t>Industrial Batteries - All</t>
  </si>
  <si>
    <t>Switzerland</t>
  </si>
  <si>
    <t>BAU</t>
  </si>
  <si>
    <t>REC</t>
  </si>
  <si>
    <t>CIR</t>
  </si>
  <si>
    <t>Country</t>
  </si>
  <si>
    <t>Iceland</t>
  </si>
  <si>
    <t>EU27+4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</si>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</sst>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_-;\-* #,##0_-;_-* &quot;-&quot;??_-;_-@_-"/>
    <numFmt numFmtId="165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86"/>
      <scheme val="minor"/>
    </font>
    <font>
      <b/>
      <sz val="10"/>
      <name val="Calibri"/>
      <family val="2"/>
      <charset val="186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" fontId="16" fillId="0" borderId="11" xfId="0" applyNumberFormat="1" applyFont="1" applyBorder="1"/>
    <xf numFmtId="1" fontId="0" fillId="0" borderId="11" xfId="0" applyNumberFormat="1" applyBorder="1"/>
    <xf numFmtId="164" fontId="0" fillId="0" borderId="11" xfId="42" applyNumberFormat="1" applyFont="1" applyBorder="1"/>
    <xf numFmtId="1" fontId="0" fillId="0" borderId="0" xfId="0" applyNumberFormat="1" applyBorder="1"/>
    <xf numFmtId="164" fontId="0" fillId="0" borderId="0" xfId="42" applyNumberFormat="1" applyFont="1" applyBorder="1"/>
    <xf numFmtId="10" fontId="0" fillId="0" borderId="0" xfId="43" applyNumberFormat="1" applyFont="1"/>
    <xf numFmtId="10" fontId="0" fillId="0" borderId="11" xfId="43" applyNumberFormat="1" applyFont="1" applyBorder="1"/>
    <xf numFmtId="3" fontId="0" fillId="0" borderId="11" xfId="0" applyNumberFormat="1" applyFont="1" applyFill="1" applyBorder="1"/>
    <xf numFmtId="1" fontId="0" fillId="0" borderId="11" xfId="0" applyNumberFormat="1" applyFont="1" applyFill="1" applyBorder="1"/>
    <xf numFmtId="1" fontId="0" fillId="0" borderId="12" xfId="0" applyNumberFormat="1" applyFill="1" applyBorder="1"/>
    <xf numFmtId="0" fontId="0" fillId="0" borderId="13" xfId="0" applyBorder="1"/>
    <xf numFmtId="0" fontId="0" fillId="0" borderId="14" xfId="0" applyBorder="1"/>
    <xf numFmtId="1" fontId="16" fillId="0" borderId="15" xfId="0" applyNumberFormat="1" applyFont="1" applyBorder="1"/>
    <xf numFmtId="1" fontId="16" fillId="0" borderId="16" xfId="0" applyNumberFormat="1" applyFont="1" applyBorder="1"/>
    <xf numFmtId="1" fontId="0" fillId="0" borderId="15" xfId="0" applyNumberFormat="1" applyBorder="1"/>
    <xf numFmtId="3" fontId="0" fillId="0" borderId="16" xfId="0" applyNumberFormat="1" applyFont="1" applyFill="1" applyBorder="1"/>
    <xf numFmtId="1" fontId="0" fillId="0" borderId="16" xfId="0" applyNumberFormat="1" applyFont="1" applyFill="1" applyBorder="1"/>
    <xf numFmtId="1" fontId="0" fillId="0" borderId="17" xfId="0" applyNumberFormat="1" applyBorder="1"/>
    <xf numFmtId="164" fontId="0" fillId="0" borderId="18" xfId="42" applyNumberFormat="1" applyFont="1" applyBorder="1"/>
    <xf numFmtId="1" fontId="0" fillId="0" borderId="17" xfId="0" applyNumberFormat="1" applyFill="1" applyBorder="1"/>
    <xf numFmtId="0" fontId="0" fillId="0" borderId="0" xfId="0" applyBorder="1"/>
    <xf numFmtId="0" fontId="0" fillId="0" borderId="18" xfId="0" applyBorder="1"/>
    <xf numFmtId="10" fontId="0" fillId="0" borderId="16" xfId="43" applyNumberFormat="1" applyFont="1" applyBorder="1"/>
    <xf numFmtId="1" fontId="0" fillId="0" borderId="19" xfId="0" applyNumberFormat="1" applyBorder="1"/>
    <xf numFmtId="1" fontId="0" fillId="0" borderId="20" xfId="0" applyNumberFormat="1" applyBorder="1"/>
    <xf numFmtId="10" fontId="0" fillId="0" borderId="20" xfId="43" applyNumberFormat="1" applyFont="1" applyBorder="1"/>
    <xf numFmtId="10" fontId="0" fillId="0" borderId="21" xfId="43" applyNumberFormat="1" applyFont="1" applyBorder="1"/>
    <xf numFmtId="1" fontId="16" fillId="0" borderId="12" xfId="0" applyNumberFormat="1" applyFont="1" applyBorder="1"/>
    <xf numFmtId="1" fontId="16" fillId="0" borderId="13" xfId="0" applyNumberFormat="1" applyFont="1" applyBorder="1"/>
    <xf numFmtId="164" fontId="16" fillId="0" borderId="13" xfId="42" applyNumberFormat="1" applyFont="1" applyBorder="1"/>
    <xf numFmtId="164" fontId="16" fillId="0" borderId="14" xfId="42" applyNumberFormat="1" applyFont="1" applyBorder="1"/>
    <xf numFmtId="164" fontId="0" fillId="33" borderId="16" xfId="42" applyNumberFormat="1" applyFont="1" applyFill="1" applyBorder="1"/>
    <xf numFmtId="164" fontId="0" fillId="0" borderId="16" xfId="42" applyNumberFormat="1" applyFont="1" applyBorder="1"/>
    <xf numFmtId="165" fontId="18" fillId="0" borderId="11" xfId="0" applyNumberFormat="1" applyFont="1" applyBorder="1" applyAlignment="1">
      <alignment vertical="center"/>
    </xf>
    <xf numFmtId="165" fontId="19" fillId="34" borderId="11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21" fillId="0" borderId="25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2" fontId="22" fillId="0" borderId="27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vertical="center"/>
    </xf>
    <xf numFmtId="2" fontId="22" fillId="0" borderId="28" xfId="0" applyNumberFormat="1" applyFont="1" applyBorder="1" applyAlignment="1">
      <alignment horizontal="center" vertical="center"/>
    </xf>
    <xf numFmtId="2" fontId="22" fillId="0" borderId="29" xfId="0" applyNumberFormat="1" applyFont="1" applyBorder="1" applyAlignment="1">
      <alignment horizontal="center" vertical="center"/>
    </xf>
    <xf numFmtId="2" fontId="22" fillId="0" borderId="25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2" fontId="21" fillId="0" borderId="26" xfId="0" applyNumberFormat="1" applyFont="1" applyBorder="1" applyAlignment="1">
      <alignment horizontal="center" vertical="center"/>
    </xf>
    <xf numFmtId="0" fontId="0" fillId="36" borderId="0" xfId="0" applyFill="1" applyAlignment="1">
      <alignment horizontal="right"/>
    </xf>
    <xf numFmtId="1" fontId="0" fillId="0" borderId="11" xfId="0" applyNumberFormat="1" applyFill="1" applyBorder="1"/>
    <xf numFmtId="0" fontId="0" fillId="36" borderId="11" xfId="0" applyFill="1" applyBorder="1" applyAlignment="1">
      <alignment horizontal="right"/>
    </xf>
    <xf numFmtId="165" fontId="18" fillId="0" borderId="0" xfId="0" applyNumberFormat="1" applyFont="1" applyBorder="1" applyAlignment="1">
      <alignment vertical="center"/>
    </xf>
    <xf numFmtId="3" fontId="0" fillId="37" borderId="0" xfId="0" applyNumberFormat="1" applyFill="1"/>
    <xf numFmtId="3" fontId="0" fillId="38" borderId="0" xfId="0" applyNumberFormat="1" applyFill="1"/>
    <xf numFmtId="0" fontId="16" fillId="39" borderId="10" xfId="0" applyFont="1" applyFill="1" applyBorder="1"/>
    <xf numFmtId="3" fontId="0" fillId="40" borderId="0" xfId="0" applyNumberFormat="1" applyFill="1"/>
    <xf numFmtId="2" fontId="0" fillId="4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2" fontId="0" fillId="41" borderId="0" xfId="0" applyNumberFormat="1" applyFill="1"/>
    <xf numFmtId="2" fontId="0" fillId="38" borderId="0" xfId="0" applyNumberFormat="1" applyFill="1"/>
    <xf numFmtId="2" fontId="0" fillId="0" borderId="0" xfId="0" applyNumberFormat="1" applyFill="1"/>
    <xf numFmtId="0" fontId="20" fillId="35" borderId="22" xfId="0" applyFont="1" applyFill="1" applyBorder="1" applyAlignment="1">
      <alignment horizontal="center" vertical="center" wrapText="1"/>
    </xf>
    <xf numFmtId="0" fontId="20" fillId="35" borderId="23" xfId="0" applyFont="1" applyFill="1" applyBorder="1" applyAlignment="1">
      <alignment horizontal="center" vertical="center" wrapText="1"/>
    </xf>
    <xf numFmtId="0" fontId="20" fillId="35" borderId="24" xfId="0" applyFont="1" applyFill="1" applyBorder="1" applyAlignment="1">
      <alignment horizontal="center"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2" builtinId="3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Scenarios!$A$2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Scenarios!$B$2:$AZ$2</c:f>
              <c:numCache>
                <c:formatCode>General</c:formatCode>
                <c:ptCount val="51"/>
                <c:pt idx="0">
                  <c:v>56898.765202279952</c:v>
                </c:pt>
                <c:pt idx="1">
                  <c:v>58059.964492122424</c:v>
                </c:pt>
                <c:pt idx="2">
                  <c:v>59244.861726655537</c:v>
                </c:pt>
                <c:pt idx="3">
                  <c:v>60453.940537403614</c:v>
                </c:pt>
                <c:pt idx="4">
                  <c:v>61687.69442592204</c:v>
                </c:pt>
                <c:pt idx="5">
                  <c:v>62946.626965226569</c:v>
                </c:pt>
                <c:pt idx="6">
                  <c:v>64210.660168598552</c:v>
                </c:pt>
                <c:pt idx="7">
                  <c:v>65467.938947549534</c:v>
                </c:pt>
                <c:pt idx="8">
                  <c:v>66852.978517907701</c:v>
                </c:pt>
                <c:pt idx="9">
                  <c:v>68110.304610109903</c:v>
                </c:pt>
                <c:pt idx="10">
                  <c:v>69422.453683785599</c:v>
                </c:pt>
                <c:pt idx="11">
                  <c:v>70799.973146720004</c:v>
                </c:pt>
                <c:pt idx="12">
                  <c:v>77806.135864000011</c:v>
                </c:pt>
                <c:pt idx="13">
                  <c:v>79565.546799999996</c:v>
                </c:pt>
                <c:pt idx="14">
                  <c:v>85150.66</c:v>
                </c:pt>
                <c:pt idx="15">
                  <c:v>92941</c:v>
                </c:pt>
                <c:pt idx="16">
                  <c:v>103394</c:v>
                </c:pt>
                <c:pt idx="17">
                  <c:v>104593</c:v>
                </c:pt>
                <c:pt idx="18">
                  <c:v>111736.319</c:v>
                </c:pt>
                <c:pt idx="19">
                  <c:v>123017.609</c:v>
                </c:pt>
                <c:pt idx="20">
                  <c:v>121497.224</c:v>
                </c:pt>
                <c:pt idx="21">
                  <c:v>131982.598</c:v>
                </c:pt>
                <c:pt idx="22">
                  <c:v>133302.42398000002</c:v>
                </c:pt>
                <c:pt idx="23">
                  <c:v>134635.44821979999</c:v>
                </c:pt>
                <c:pt idx="24">
                  <c:v>135981.80270199801</c:v>
                </c:pt>
                <c:pt idx="25">
                  <c:v>137341.62072901797</c:v>
                </c:pt>
                <c:pt idx="26">
                  <c:v>138715.03693630811</c:v>
                </c:pt>
                <c:pt idx="27">
                  <c:v>140102.18730567122</c:v>
                </c:pt>
                <c:pt idx="28">
                  <c:v>141503.20917872796</c:v>
                </c:pt>
                <c:pt idx="29">
                  <c:v>142918.24127051522</c:v>
                </c:pt>
                <c:pt idx="30">
                  <c:v>144347.42368322038</c:v>
                </c:pt>
                <c:pt idx="31">
                  <c:v>145790.89792005258</c:v>
                </c:pt>
                <c:pt idx="32">
                  <c:v>147248.8068992531</c:v>
                </c:pt>
                <c:pt idx="33">
                  <c:v>148721.29496824564</c:v>
                </c:pt>
                <c:pt idx="34">
                  <c:v>150208.50791792807</c:v>
                </c:pt>
                <c:pt idx="35">
                  <c:v>151710.59299710736</c:v>
                </c:pt>
                <c:pt idx="36">
                  <c:v>153227.69892707845</c:v>
                </c:pt>
                <c:pt idx="37">
                  <c:v>154759.97591634924</c:v>
                </c:pt>
                <c:pt idx="38">
                  <c:v>156307.57567551272</c:v>
                </c:pt>
                <c:pt idx="39">
                  <c:v>157870.65143226786</c:v>
                </c:pt>
                <c:pt idx="40">
                  <c:v>159449.35794659049</c:v>
                </c:pt>
                <c:pt idx="41">
                  <c:v>161043.85152605636</c:v>
                </c:pt>
                <c:pt idx="42">
                  <c:v>162654.29004131697</c:v>
                </c:pt>
                <c:pt idx="43">
                  <c:v>164280.83294173016</c:v>
                </c:pt>
                <c:pt idx="44">
                  <c:v>165923.64127114744</c:v>
                </c:pt>
                <c:pt idx="45">
                  <c:v>167582.87768385888</c:v>
                </c:pt>
                <c:pt idx="46">
                  <c:v>169258.70646069746</c:v>
                </c:pt>
                <c:pt idx="47">
                  <c:v>170951.29352530453</c:v>
                </c:pt>
                <c:pt idx="48">
                  <c:v>172660.80646055756</c:v>
                </c:pt>
                <c:pt idx="49">
                  <c:v>174387.4145251631</c:v>
                </c:pt>
                <c:pt idx="50">
                  <c:v>176131.28867041477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F-4E6B-95C3-C8039EBF7749}"/>
            </c:ext>
          </c:extLst>
        </c:ser>
        <c:ser>
          <c:idx val="1"/>
          <c:order val="1"/>
          <c:tx>
            <c:strRef>
              <c:f>Scenarios!$A$3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Scenarios!$B$3:$AZ$3</c:f>
              <c:numCache>
                <c:formatCode>General</c:formatCode>
                <c:ptCount val="51"/>
                <c:pt idx="22">
                  <c:v>134622.24996000002</c:v>
                </c:pt>
                <c:pt idx="23">
                  <c:v>137314.69495919999</c:v>
                </c:pt>
                <c:pt idx="24">
                  <c:v>140060.98885838399</c:v>
                </c:pt>
                <c:pt idx="25">
                  <c:v>142862.20863555174</c:v>
                </c:pt>
                <c:pt idx="26">
                  <c:v>145719.45280826272</c:v>
                </c:pt>
                <c:pt idx="27">
                  <c:v>148633.84186442796</c:v>
                </c:pt>
                <c:pt idx="28">
                  <c:v>151606.5187017165</c:v>
                </c:pt>
                <c:pt idx="29">
                  <c:v>154638.6490757509</c:v>
                </c:pt>
                <c:pt idx="30">
                  <c:v>157731.42205726588</c:v>
                </c:pt>
                <c:pt idx="31">
                  <c:v>160886.05049841118</c:v>
                </c:pt>
                <c:pt idx="32">
                  <c:v>164103.77150837943</c:v>
                </c:pt>
                <c:pt idx="33">
                  <c:v>167385.84693854698</c:v>
                </c:pt>
                <c:pt idx="34">
                  <c:v>170733.563877318</c:v>
                </c:pt>
                <c:pt idx="35">
                  <c:v>174148.23515486432</c:v>
                </c:pt>
                <c:pt idx="36">
                  <c:v>177631.19985796159</c:v>
                </c:pt>
                <c:pt idx="37">
                  <c:v>181183.82385512078</c:v>
                </c:pt>
                <c:pt idx="38">
                  <c:v>184807.50033222322</c:v>
                </c:pt>
                <c:pt idx="39">
                  <c:v>188503.65033886768</c:v>
                </c:pt>
                <c:pt idx="40">
                  <c:v>192273.72334564503</c:v>
                </c:pt>
                <c:pt idx="41">
                  <c:v>196119.19781255792</c:v>
                </c:pt>
                <c:pt idx="42">
                  <c:v>200041.58176880903</c:v>
                </c:pt>
                <c:pt idx="43">
                  <c:v>204042.4134041853</c:v>
                </c:pt>
                <c:pt idx="44">
                  <c:v>208123.26167226903</c:v>
                </c:pt>
                <c:pt idx="45">
                  <c:v>212285.72690571431</c:v>
                </c:pt>
                <c:pt idx="46">
                  <c:v>216531.4414438286</c:v>
                </c:pt>
                <c:pt idx="47">
                  <c:v>220862.07027270528</c:v>
                </c:pt>
                <c:pt idx="48">
                  <c:v>225279.31167815928</c:v>
                </c:pt>
                <c:pt idx="49">
                  <c:v>229784.89791172248</c:v>
                </c:pt>
                <c:pt idx="50">
                  <c:v>234380.59586995695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F-4E6B-95C3-C8039EBF7749}"/>
            </c:ext>
          </c:extLst>
        </c:ser>
        <c:ser>
          <c:idx val="2"/>
          <c:order val="2"/>
          <c:tx>
            <c:strRef>
              <c:f>Scenarios!$A$4</c:f>
              <c:strCache>
                <c:ptCount val="1"/>
                <c:pt idx="0">
                  <c:v>CIR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Scenarios!$B$4:$AZ$4</c:f>
              <c:numCache>
                <c:formatCode>General</c:formatCode>
                <c:ptCount val="51"/>
                <c:pt idx="22">
                  <c:v>135942.07594000001</c:v>
                </c:pt>
                <c:pt idx="23">
                  <c:v>140020.33821820002</c:v>
                </c:pt>
                <c:pt idx="24">
                  <c:v>144220.94836474594</c:v>
                </c:pt>
                <c:pt idx="25">
                  <c:v>148547.57681568834</c:v>
                </c:pt>
                <c:pt idx="26">
                  <c:v>153004.00412015905</c:v>
                </c:pt>
                <c:pt idx="27">
                  <c:v>157594.12424376377</c:v>
                </c:pt>
                <c:pt idx="28">
                  <c:v>162321.9479710767</c:v>
                </c:pt>
                <c:pt idx="29">
                  <c:v>167191.606410209</c:v>
                </c:pt>
                <c:pt idx="30">
                  <c:v>172207.35460251529</c:v>
                </c:pt>
                <c:pt idx="31">
                  <c:v>177373.5752405907</c:v>
                </c:pt>
                <c:pt idx="32">
                  <c:v>182694.78249780851</c:v>
                </c:pt>
                <c:pt idx="33">
                  <c:v>188175.6259727428</c:v>
                </c:pt>
                <c:pt idx="34">
                  <c:v>193820.89475192496</c:v>
                </c:pt>
                <c:pt idx="35">
                  <c:v>199635.52159448277</c:v>
                </c:pt>
                <c:pt idx="36">
                  <c:v>205624.58724231724</c:v>
                </c:pt>
                <c:pt idx="37">
                  <c:v>211793.32485958681</c:v>
                </c:pt>
                <c:pt idx="38">
                  <c:v>218147.12460537441</c:v>
                </c:pt>
                <c:pt idx="39">
                  <c:v>224691.53834353562</c:v>
                </c:pt>
                <c:pt idx="40">
                  <c:v>231432.2844938417</c:v>
                </c:pt>
                <c:pt idx="41">
                  <c:v>238375.25302865694</c:v>
                </c:pt>
                <c:pt idx="42">
                  <c:v>245526.51061951666</c:v>
                </c:pt>
                <c:pt idx="43">
                  <c:v>252892.30593810216</c:v>
                </c:pt>
                <c:pt idx="44">
                  <c:v>260479.07511624522</c:v>
                </c:pt>
                <c:pt idx="45">
                  <c:v>268293.44736973254</c:v>
                </c:pt>
                <c:pt idx="46">
                  <c:v>276342.25079082453</c:v>
                </c:pt>
                <c:pt idx="47">
                  <c:v>284632.51831454929</c:v>
                </c:pt>
                <c:pt idx="48">
                  <c:v>293171.49386398576</c:v>
                </c:pt>
                <c:pt idx="49">
                  <c:v>301966.63867990527</c:v>
                </c:pt>
                <c:pt idx="50">
                  <c:v>311025.63784030249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F-4E6B-95C3-C8039EB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92880"/>
        <c:axId val="1860362768"/>
      </c:scatterChart>
      <c:valAx>
        <c:axId val="17440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362768"/>
        <c:crosses val="autoZero"/>
        <c:crossBetween val="midCat"/>
      </c:valAx>
      <c:valAx>
        <c:axId val="18603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09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1411287</xdr:colOff>
      <xdr:row>5</xdr:row>
      <xdr:rowOff>7937</xdr:rowOff>
    </xdr:from>
    <xdr:to>
      <xdr:col>6</xdr:col>
      <xdr:colOff>744537</xdr:colOff>
      <xdr:row>20</xdr:row>
      <xdr:rowOff>49212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07642F-17B5-4103-9448-A5A1EB7E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W33"/>
  <sheetViews>
    <sheetView tabSelected="1" zoomScale="60" zoomScaleNormal="60" workbookViewId="0">
      <selection activeCell="A14" sqref="A14"/>
    </sheetView>
  </sheetViews>
  <sheetFormatPr baseColWidth="10" defaultRowHeight="14.5" x14ac:dyDescent="0.35"/>
  <cols>
    <col min="1" max="1" width="21.1796875" customWidth="1"/>
    <col min="2" max="12" width="11.6328125" customWidth="1"/>
    <col min="13" max="13" width="14.6328125" customWidth="1"/>
  </cols>
  <sheetData>
    <row r="1" spans="1:23" x14ac:dyDescent="0.35">
      <c r="A1" s="58" t="s">
        <v>85</v>
      </c>
      <c r="B1" s="58">
        <v>2000</v>
      </c>
      <c r="C1" s="58">
        <v>2001</v>
      </c>
      <c r="D1" s="58">
        <v>2002</v>
      </c>
      <c r="E1" s="58">
        <v>2003</v>
      </c>
      <c r="F1" s="58">
        <v>2004</v>
      </c>
      <c r="G1" s="58">
        <v>2005</v>
      </c>
      <c r="H1" s="58">
        <v>2006</v>
      </c>
      <c r="I1" s="58">
        <v>2007</v>
      </c>
      <c r="J1" s="58">
        <v>2008</v>
      </c>
      <c r="K1" s="58">
        <v>2009</v>
      </c>
      <c r="L1" s="58">
        <v>2010</v>
      </c>
      <c r="M1" s="58">
        <v>2011</v>
      </c>
      <c r="N1" s="58">
        <v>2012</v>
      </c>
      <c r="O1" s="58">
        <v>2013</v>
      </c>
      <c r="P1" s="58">
        <v>2014</v>
      </c>
      <c r="Q1" s="58">
        <v>2015</v>
      </c>
      <c r="R1" s="58">
        <v>2016</v>
      </c>
      <c r="S1" s="58">
        <v>2017</v>
      </c>
      <c r="T1" s="58">
        <v>2018</v>
      </c>
      <c r="U1" s="58">
        <v>2019</v>
      </c>
      <c r="V1" s="58">
        <v>2020</v>
      </c>
      <c r="W1" s="58">
        <v>2021</v>
      </c>
    </row>
    <row r="2" spans="1:23" x14ac:dyDescent="0.35">
      <c r="A2" s="1" t="s">
        <v>17</v>
      </c>
      <c r="B2" s="59">
        <f t="shared" ref="B2:K18" si="0">C2-(C2*0.02)</f>
        <v>9305.2990270633745</v>
      </c>
      <c r="C2" s="59">
        <f t="shared" si="0"/>
        <v>9495.2030888401787</v>
      </c>
      <c r="D2" s="59">
        <f t="shared" si="0"/>
        <v>9688.9827437144686</v>
      </c>
      <c r="E2" s="59">
        <f t="shared" si="0"/>
        <v>9886.717085422928</v>
      </c>
      <c r="F2" s="59">
        <f t="shared" si="0"/>
        <v>10088.486821860131</v>
      </c>
      <c r="G2" s="59">
        <f t="shared" si="0"/>
        <v>10294.374308020542</v>
      </c>
      <c r="H2" s="59">
        <f t="shared" si="0"/>
        <v>10504.463579612799</v>
      </c>
      <c r="I2" s="59">
        <f t="shared" si="0"/>
        <v>10718.840387359998</v>
      </c>
      <c r="J2" s="59">
        <f t="shared" si="0"/>
        <v>10937.592231999999</v>
      </c>
      <c r="K2" s="59">
        <f t="shared" si="0"/>
        <v>11160.8084</v>
      </c>
      <c r="L2" s="59">
        <f t="shared" ref="L2:L32" si="1">M2-(M2*0.02)</f>
        <v>11388.58</v>
      </c>
      <c r="M2" s="56">
        <v>11621</v>
      </c>
      <c r="N2" s="56">
        <v>11776</v>
      </c>
      <c r="O2" s="56">
        <v>11366</v>
      </c>
      <c r="P2" s="56">
        <v>11989</v>
      </c>
      <c r="Q2" s="56">
        <v>12296</v>
      </c>
      <c r="R2" s="56">
        <v>13678</v>
      </c>
      <c r="S2" s="56">
        <v>13981</v>
      </c>
      <c r="T2" s="56">
        <v>14400</v>
      </c>
      <c r="U2" s="56">
        <v>15524</v>
      </c>
      <c r="V2" s="56">
        <v>15124</v>
      </c>
      <c r="W2" s="56">
        <v>20060</v>
      </c>
    </row>
    <row r="3" spans="1:23" x14ac:dyDescent="0.35">
      <c r="A3" s="1" t="s">
        <v>18</v>
      </c>
      <c r="B3" s="59">
        <f t="shared" si="0"/>
        <v>1391.6710876031452</v>
      </c>
      <c r="C3" s="59">
        <f t="shared" si="0"/>
        <v>1420.0725383705565</v>
      </c>
      <c r="D3" s="59">
        <f t="shared" si="0"/>
        <v>1449.0536105822005</v>
      </c>
      <c r="E3" s="59">
        <f t="shared" si="0"/>
        <v>1478.6261332471433</v>
      </c>
      <c r="F3" s="59">
        <f t="shared" si="0"/>
        <v>1508.8021767827993</v>
      </c>
      <c r="G3" s="59">
        <f t="shared" si="0"/>
        <v>1539.5940579416319</v>
      </c>
      <c r="H3" s="59">
        <f t="shared" si="0"/>
        <v>1571.0143448383999</v>
      </c>
      <c r="I3" s="59">
        <f t="shared" si="0"/>
        <v>1603.07586208</v>
      </c>
      <c r="J3" s="59">
        <f t="shared" si="0"/>
        <v>1635.791696</v>
      </c>
      <c r="K3" s="59">
        <f t="shared" si="0"/>
        <v>1669.1751999999999</v>
      </c>
      <c r="L3" s="59">
        <f t="shared" si="1"/>
        <v>1703.24</v>
      </c>
      <c r="M3" s="56">
        <v>1738</v>
      </c>
      <c r="N3" s="56">
        <v>1909</v>
      </c>
      <c r="O3" s="56">
        <v>1976</v>
      </c>
      <c r="P3" s="56">
        <v>2097</v>
      </c>
      <c r="Q3" s="56">
        <v>2299</v>
      </c>
      <c r="R3" s="56">
        <v>2188</v>
      </c>
      <c r="S3" s="56">
        <v>2117</v>
      </c>
      <c r="T3" s="56">
        <v>2270</v>
      </c>
      <c r="U3" s="56">
        <v>2376</v>
      </c>
      <c r="V3" s="56">
        <v>2829</v>
      </c>
      <c r="W3" s="56">
        <v>2770</v>
      </c>
    </row>
    <row r="4" spans="1:23" x14ac:dyDescent="0.35">
      <c r="A4" s="1" t="s">
        <v>19</v>
      </c>
      <c r="B4" s="59">
        <f t="shared" si="0"/>
        <v>1784.830180821295</v>
      </c>
      <c r="C4" s="59">
        <f t="shared" si="0"/>
        <v>1821.2552865523419</v>
      </c>
      <c r="D4" s="59">
        <f t="shared" si="0"/>
        <v>1858.423761788104</v>
      </c>
      <c r="E4" s="59">
        <f t="shared" si="0"/>
        <v>1896.3507773348001</v>
      </c>
      <c r="F4" s="59">
        <f t="shared" si="0"/>
        <v>1935.0518136069388</v>
      </c>
      <c r="G4" s="59">
        <f t="shared" si="0"/>
        <v>1974.5426669458559</v>
      </c>
      <c r="H4" s="59">
        <f t="shared" si="0"/>
        <v>2014.8394560672</v>
      </c>
      <c r="I4" s="59">
        <f t="shared" si="0"/>
        <v>2055.9586286399999</v>
      </c>
      <c r="J4" s="59">
        <f t="shared" si="0"/>
        <v>2097.916968</v>
      </c>
      <c r="K4" s="59">
        <f t="shared" si="0"/>
        <v>2140.7316000000001</v>
      </c>
      <c r="L4" s="59">
        <f t="shared" si="1"/>
        <v>2184.42</v>
      </c>
      <c r="M4" s="56">
        <v>2229</v>
      </c>
      <c r="N4" s="56">
        <v>2273</v>
      </c>
      <c r="O4" s="56">
        <v>2298</v>
      </c>
      <c r="P4" s="56">
        <v>2343</v>
      </c>
      <c r="Q4" s="56">
        <v>2438</v>
      </c>
      <c r="R4" s="56">
        <v>3153</v>
      </c>
      <c r="S4" s="56">
        <v>2813</v>
      </c>
      <c r="T4" s="56">
        <v>2935</v>
      </c>
      <c r="U4" s="56">
        <v>3385</v>
      </c>
      <c r="V4" s="56">
        <v>3149</v>
      </c>
      <c r="W4" s="56">
        <v>3392</v>
      </c>
    </row>
    <row r="5" spans="1:23" x14ac:dyDescent="0.35">
      <c r="A5" s="1" t="s">
        <v>20</v>
      </c>
      <c r="B5" s="59">
        <f t="shared" si="0"/>
        <v>86.478985880977959</v>
      </c>
      <c r="C5" s="59">
        <f t="shared" si="0"/>
        <v>88.243863143855066</v>
      </c>
      <c r="D5" s="59">
        <f t="shared" si="0"/>
        <v>90.044758310056196</v>
      </c>
      <c r="E5" s="59">
        <f t="shared" si="0"/>
        <v>91.882406438832859</v>
      </c>
      <c r="F5" s="59">
        <f t="shared" si="0"/>
        <v>93.757557590645774</v>
      </c>
      <c r="G5" s="59">
        <f t="shared" si="0"/>
        <v>95.670977133312007</v>
      </c>
      <c r="H5" s="59">
        <f t="shared" si="0"/>
        <v>97.623446054400006</v>
      </c>
      <c r="I5" s="59">
        <f t="shared" si="0"/>
        <v>99.615761280000001</v>
      </c>
      <c r="J5" s="59">
        <f t="shared" si="0"/>
        <v>101.648736</v>
      </c>
      <c r="K5" s="59">
        <f t="shared" si="0"/>
        <v>103.72320000000001</v>
      </c>
      <c r="L5" s="59">
        <f t="shared" si="1"/>
        <v>105.84</v>
      </c>
      <c r="M5" s="56">
        <v>108</v>
      </c>
      <c r="N5" s="56">
        <v>261</v>
      </c>
      <c r="O5" s="56">
        <v>247</v>
      </c>
      <c r="P5" s="56">
        <v>303</v>
      </c>
      <c r="Q5" s="56">
        <v>322</v>
      </c>
      <c r="R5" s="56">
        <v>362</v>
      </c>
      <c r="S5" s="56">
        <v>388</v>
      </c>
      <c r="T5" s="56">
        <v>402</v>
      </c>
      <c r="U5" s="56">
        <v>392</v>
      </c>
      <c r="V5" s="56">
        <v>408</v>
      </c>
      <c r="W5" s="56">
        <v>448</v>
      </c>
    </row>
    <row r="6" spans="1:23" x14ac:dyDescent="0.35">
      <c r="A6" s="1" t="s">
        <v>21</v>
      </c>
      <c r="B6" s="59">
        <f t="shared" si="0"/>
        <v>26.42413457474327</v>
      </c>
      <c r="C6" s="59">
        <f t="shared" si="0"/>
        <v>26.963402627289053</v>
      </c>
      <c r="D6" s="59">
        <f t="shared" si="0"/>
        <v>27.513676150294952</v>
      </c>
      <c r="E6" s="59">
        <f t="shared" si="0"/>
        <v>28.07517974519893</v>
      </c>
      <c r="F6" s="59">
        <f t="shared" si="0"/>
        <v>28.648142597141767</v>
      </c>
      <c r="G6" s="59">
        <f t="shared" si="0"/>
        <v>29.232798568512006</v>
      </c>
      <c r="H6" s="59">
        <f t="shared" si="0"/>
        <v>29.829386294400006</v>
      </c>
      <c r="I6" s="59">
        <f t="shared" si="0"/>
        <v>30.438149280000005</v>
      </c>
      <c r="J6" s="59">
        <f t="shared" si="0"/>
        <v>31.059336000000005</v>
      </c>
      <c r="K6" s="59">
        <f t="shared" si="0"/>
        <v>31.693200000000004</v>
      </c>
      <c r="L6" s="59">
        <f t="shared" si="1"/>
        <v>32.340000000000003</v>
      </c>
      <c r="M6" s="56">
        <v>33</v>
      </c>
      <c r="N6" s="56">
        <v>31</v>
      </c>
      <c r="O6" s="56">
        <v>39</v>
      </c>
      <c r="P6" s="56">
        <v>41</v>
      </c>
      <c r="Q6" s="56">
        <v>55</v>
      </c>
      <c r="R6" s="56">
        <v>57</v>
      </c>
      <c r="S6" s="56">
        <v>64</v>
      </c>
      <c r="T6" s="56">
        <v>77</v>
      </c>
      <c r="U6" s="56">
        <v>84</v>
      </c>
      <c r="V6" s="56">
        <v>80</v>
      </c>
      <c r="W6" s="56">
        <v>89</v>
      </c>
    </row>
    <row r="7" spans="1:23" x14ac:dyDescent="0.35">
      <c r="A7" s="1" t="s">
        <v>88</v>
      </c>
      <c r="B7" s="59">
        <f t="shared" si="0"/>
        <v>684.62530489107553</v>
      </c>
      <c r="C7" s="59">
        <f t="shared" si="0"/>
        <v>698.59724988885262</v>
      </c>
      <c r="D7" s="59">
        <f t="shared" si="0"/>
        <v>712.85433662127821</v>
      </c>
      <c r="E7" s="59">
        <f t="shared" si="0"/>
        <v>727.4023843074267</v>
      </c>
      <c r="F7" s="59">
        <f t="shared" si="0"/>
        <v>742.24733092594556</v>
      </c>
      <c r="G7" s="59">
        <f t="shared" si="0"/>
        <v>757.39523563872001</v>
      </c>
      <c r="H7" s="59">
        <f t="shared" si="0"/>
        <v>772.852281264</v>
      </c>
      <c r="I7" s="59">
        <f t="shared" si="0"/>
        <v>788.62477679999995</v>
      </c>
      <c r="J7" s="59">
        <f t="shared" si="0"/>
        <v>804.71915999999999</v>
      </c>
      <c r="K7" s="59">
        <f t="shared" si="0"/>
        <v>821.14199999999994</v>
      </c>
      <c r="L7" s="59">
        <f t="shared" si="1"/>
        <v>837.9</v>
      </c>
      <c r="M7" s="56">
        <v>855</v>
      </c>
      <c r="N7" s="56">
        <v>1010</v>
      </c>
      <c r="O7" s="56">
        <v>1114</v>
      </c>
      <c r="P7" s="56">
        <v>1195</v>
      </c>
      <c r="Q7" s="56">
        <v>1407</v>
      </c>
      <c r="R7" s="56">
        <v>2082</v>
      </c>
      <c r="S7" s="56">
        <v>1890</v>
      </c>
      <c r="T7" s="56">
        <v>1921</v>
      </c>
      <c r="U7" s="56">
        <v>2042</v>
      </c>
      <c r="V7" s="56">
        <v>2154</v>
      </c>
      <c r="W7" s="56">
        <v>2433</v>
      </c>
    </row>
    <row r="8" spans="1:23" x14ac:dyDescent="0.35">
      <c r="A8" s="1" t="s">
        <v>22</v>
      </c>
      <c r="B8" s="59">
        <f t="shared" si="0"/>
        <v>14195.365386092382</v>
      </c>
      <c r="C8" s="59">
        <f t="shared" si="0"/>
        <v>14485.066720502431</v>
      </c>
      <c r="D8" s="59">
        <f t="shared" si="0"/>
        <v>14780.680327043297</v>
      </c>
      <c r="E8" s="59">
        <f t="shared" si="0"/>
        <v>15082.326864329896</v>
      </c>
      <c r="F8" s="59">
        <f t="shared" si="0"/>
        <v>15390.129453397853</v>
      </c>
      <c r="G8" s="59">
        <f t="shared" si="0"/>
        <v>15704.213727956992</v>
      </c>
      <c r="H8" s="59">
        <f t="shared" si="0"/>
        <v>16024.707885670401</v>
      </c>
      <c r="I8" s="59">
        <f t="shared" si="0"/>
        <v>16351.742740480002</v>
      </c>
      <c r="J8" s="59">
        <f t="shared" si="0"/>
        <v>16685.451776000002</v>
      </c>
      <c r="K8" s="59">
        <f t="shared" si="0"/>
        <v>17025.9712</v>
      </c>
      <c r="L8" s="59">
        <f t="shared" si="1"/>
        <v>17373.439999999999</v>
      </c>
      <c r="M8" s="56">
        <v>17728</v>
      </c>
      <c r="N8" s="56">
        <v>18157</v>
      </c>
      <c r="O8" s="56">
        <v>18599</v>
      </c>
      <c r="P8" s="56">
        <v>19142</v>
      </c>
      <c r="Q8" s="56">
        <v>19678</v>
      </c>
      <c r="R8" s="56">
        <v>20524</v>
      </c>
      <c r="S8" s="56">
        <v>21037</v>
      </c>
      <c r="T8" s="56">
        <v>23569</v>
      </c>
      <c r="U8" s="56">
        <v>27625</v>
      </c>
      <c r="V8" s="56">
        <v>26343</v>
      </c>
      <c r="W8" s="56">
        <v>29624</v>
      </c>
    </row>
    <row r="9" spans="1:23" x14ac:dyDescent="0.35">
      <c r="A9" s="1" t="s">
        <v>23</v>
      </c>
      <c r="B9" s="59">
        <f t="shared" si="0"/>
        <v>1272.3621163414259</v>
      </c>
      <c r="C9" s="59">
        <f t="shared" si="0"/>
        <v>1298.3286901443121</v>
      </c>
      <c r="D9" s="59">
        <f t="shared" si="0"/>
        <v>1324.8251940248083</v>
      </c>
      <c r="E9" s="59">
        <f t="shared" si="0"/>
        <v>1351.8624428824573</v>
      </c>
      <c r="F9" s="59">
        <f t="shared" si="0"/>
        <v>1379.4514723290381</v>
      </c>
      <c r="G9" s="59">
        <f t="shared" si="0"/>
        <v>1407.603543192896</v>
      </c>
      <c r="H9" s="59">
        <f t="shared" si="0"/>
        <v>1436.3301461152</v>
      </c>
      <c r="I9" s="59">
        <f t="shared" si="0"/>
        <v>1465.64300624</v>
      </c>
      <c r="J9" s="59">
        <f t="shared" si="0"/>
        <v>1495.5540880000001</v>
      </c>
      <c r="K9" s="59">
        <f t="shared" si="0"/>
        <v>1526.0756000000001</v>
      </c>
      <c r="L9" s="59">
        <f t="shared" si="1"/>
        <v>1557.22</v>
      </c>
      <c r="M9" s="56">
        <v>1589</v>
      </c>
      <c r="N9" s="56">
        <v>1511</v>
      </c>
      <c r="O9" s="56">
        <v>1403</v>
      </c>
      <c r="P9" s="56">
        <v>1544</v>
      </c>
      <c r="Q9" s="56">
        <v>1591</v>
      </c>
      <c r="R9" s="56">
        <v>1683</v>
      </c>
      <c r="S9" s="56">
        <v>1985</v>
      </c>
      <c r="T9" s="56">
        <v>1979</v>
      </c>
      <c r="U9" s="56">
        <v>2249</v>
      </c>
      <c r="V9" s="56">
        <v>2655</v>
      </c>
      <c r="W9" s="56">
        <v>2619</v>
      </c>
    </row>
    <row r="10" spans="1:23" x14ac:dyDescent="0.35">
      <c r="A10" s="1" t="s">
        <v>26</v>
      </c>
      <c r="B10" s="59">
        <f t="shared" si="0"/>
        <v>57.652657253985318</v>
      </c>
      <c r="C10" s="59">
        <f t="shared" si="0"/>
        <v>58.829242095903382</v>
      </c>
      <c r="D10" s="59">
        <f t="shared" si="0"/>
        <v>60.029838873370799</v>
      </c>
      <c r="E10" s="59">
        <f t="shared" si="0"/>
        <v>61.254937625888573</v>
      </c>
      <c r="F10" s="59">
        <f t="shared" si="0"/>
        <v>62.505038393763847</v>
      </c>
      <c r="G10" s="59">
        <f t="shared" si="0"/>
        <v>63.78065142220801</v>
      </c>
      <c r="H10" s="59">
        <f t="shared" si="0"/>
        <v>65.082297369600013</v>
      </c>
      <c r="I10" s="59">
        <f t="shared" si="0"/>
        <v>66.41050752000001</v>
      </c>
      <c r="J10" s="59">
        <f t="shared" si="0"/>
        <v>67.765824000000009</v>
      </c>
      <c r="K10" s="59">
        <f t="shared" si="0"/>
        <v>69.148800000000008</v>
      </c>
      <c r="L10" s="59">
        <f t="shared" si="1"/>
        <v>70.56</v>
      </c>
      <c r="M10" s="56">
        <v>72</v>
      </c>
      <c r="N10" s="56">
        <v>123</v>
      </c>
      <c r="O10" s="56">
        <v>293</v>
      </c>
      <c r="P10" s="56">
        <v>107</v>
      </c>
      <c r="Q10" s="56">
        <v>173</v>
      </c>
      <c r="R10" s="56">
        <v>127</v>
      </c>
      <c r="S10" s="56">
        <v>156</v>
      </c>
      <c r="T10" s="56">
        <v>163</v>
      </c>
      <c r="U10" s="56">
        <v>140</v>
      </c>
      <c r="V10" s="56">
        <v>196</v>
      </c>
      <c r="W10" s="56">
        <v>229</v>
      </c>
    </row>
    <row r="11" spans="1:23" x14ac:dyDescent="0.35">
      <c r="A11" s="1" t="s">
        <v>27</v>
      </c>
      <c r="B11" s="59">
        <f t="shared" si="0"/>
        <v>418.76868119994401</v>
      </c>
      <c r="C11" s="59">
        <f t="shared" si="0"/>
        <v>427.31498081626938</v>
      </c>
      <c r="D11" s="59">
        <f t="shared" si="0"/>
        <v>436.03569471047894</v>
      </c>
      <c r="E11" s="59">
        <f t="shared" si="0"/>
        <v>444.93438235763159</v>
      </c>
      <c r="F11" s="59">
        <f t="shared" si="0"/>
        <v>454.01467587513429</v>
      </c>
      <c r="G11" s="59">
        <f t="shared" si="0"/>
        <v>463.28028150523909</v>
      </c>
      <c r="H11" s="59">
        <f t="shared" si="0"/>
        <v>472.73498112779498</v>
      </c>
      <c r="I11" s="59">
        <f t="shared" si="0"/>
        <v>482.38263380387241</v>
      </c>
      <c r="J11" s="59">
        <f t="shared" si="0"/>
        <v>492.2271773508902</v>
      </c>
      <c r="K11" s="59">
        <f t="shared" si="0"/>
        <v>502.27262994988797</v>
      </c>
      <c r="L11" s="59">
        <f t="shared" si="1"/>
        <v>512.52309178559995</v>
      </c>
      <c r="M11" s="59">
        <f t="shared" ref="M11:O11" si="2">N11-(N11*0.02)</f>
        <v>522.98274671999991</v>
      </c>
      <c r="N11" s="59">
        <f t="shared" si="2"/>
        <v>533.65586399999995</v>
      </c>
      <c r="O11" s="59">
        <f t="shared" si="2"/>
        <v>544.54679999999996</v>
      </c>
      <c r="P11" s="59">
        <f>Q11-(Q11*0.02)</f>
        <v>555.66</v>
      </c>
      <c r="Q11" s="56">
        <v>567</v>
      </c>
      <c r="R11" s="56">
        <v>632</v>
      </c>
      <c r="S11" s="56">
        <v>571</v>
      </c>
      <c r="T11" s="56">
        <v>553</v>
      </c>
      <c r="U11" s="56">
        <v>610</v>
      </c>
      <c r="V11" s="56">
        <v>601</v>
      </c>
      <c r="W11" s="59">
        <f>V11+(V11*0.02)</f>
        <v>613.02</v>
      </c>
    </row>
    <row r="12" spans="1:23" x14ac:dyDescent="0.35">
      <c r="A12" s="1" t="s">
        <v>25</v>
      </c>
      <c r="B12" s="59">
        <f t="shared" si="0"/>
        <v>2903.4518778187607</v>
      </c>
      <c r="C12" s="59">
        <f t="shared" si="0"/>
        <v>2962.7059977742456</v>
      </c>
      <c r="D12" s="59">
        <f t="shared" si="0"/>
        <v>3023.1693854839241</v>
      </c>
      <c r="E12" s="59">
        <f t="shared" si="0"/>
        <v>3084.8667198815551</v>
      </c>
      <c r="F12" s="59">
        <f t="shared" si="0"/>
        <v>3147.8231835526071</v>
      </c>
      <c r="G12" s="59">
        <f t="shared" si="0"/>
        <v>3212.0644730128643</v>
      </c>
      <c r="H12" s="59">
        <f t="shared" si="0"/>
        <v>3277.6168091968002</v>
      </c>
      <c r="I12" s="59">
        <f t="shared" si="0"/>
        <v>3344.5069481600003</v>
      </c>
      <c r="J12" s="59">
        <f t="shared" si="0"/>
        <v>3412.7621920000001</v>
      </c>
      <c r="K12" s="59">
        <f t="shared" si="0"/>
        <v>3482.4104000000002</v>
      </c>
      <c r="L12" s="59">
        <f t="shared" si="1"/>
        <v>3553.48</v>
      </c>
      <c r="M12" s="56">
        <v>3626</v>
      </c>
      <c r="N12" s="56">
        <v>3961</v>
      </c>
      <c r="O12" s="56">
        <v>3697</v>
      </c>
      <c r="P12" s="56">
        <v>3876</v>
      </c>
      <c r="Q12" s="56">
        <v>4710</v>
      </c>
      <c r="R12" s="56">
        <v>4511</v>
      </c>
      <c r="S12" s="56">
        <v>4670</v>
      </c>
      <c r="T12" s="56">
        <v>4592</v>
      </c>
      <c r="U12" s="56">
        <v>5740</v>
      </c>
      <c r="V12" s="56">
        <v>5482</v>
      </c>
      <c r="W12" s="56">
        <v>7473</v>
      </c>
    </row>
    <row r="13" spans="1:23" x14ac:dyDescent="0.35">
      <c r="A13" s="1" t="s">
        <v>24</v>
      </c>
      <c r="B13" s="59">
        <f t="shared" si="0"/>
        <v>775.10794752580239</v>
      </c>
      <c r="C13" s="59">
        <f t="shared" si="0"/>
        <v>790.92647706714524</v>
      </c>
      <c r="D13" s="59">
        <f t="shared" si="0"/>
        <v>807.06783374198494</v>
      </c>
      <c r="E13" s="59">
        <f t="shared" si="0"/>
        <v>823.53860585916834</v>
      </c>
      <c r="F13" s="59">
        <f t="shared" si="0"/>
        <v>840.34551618282489</v>
      </c>
      <c r="G13" s="59">
        <f t="shared" si="0"/>
        <v>857.49542467635194</v>
      </c>
      <c r="H13" s="59">
        <f t="shared" si="0"/>
        <v>874.9953313023999</v>
      </c>
      <c r="I13" s="59">
        <f t="shared" si="0"/>
        <v>892.85237887999995</v>
      </c>
      <c r="J13" s="59">
        <f t="shared" si="0"/>
        <v>911.07385599999998</v>
      </c>
      <c r="K13" s="59">
        <f t="shared" si="0"/>
        <v>929.66719999999998</v>
      </c>
      <c r="L13" s="59">
        <f t="shared" si="1"/>
        <v>948.64</v>
      </c>
      <c r="M13" s="56">
        <v>968</v>
      </c>
      <c r="N13" s="56">
        <v>920</v>
      </c>
      <c r="O13" s="56">
        <v>1127</v>
      </c>
      <c r="P13" s="56">
        <v>1252</v>
      </c>
      <c r="Q13" s="56">
        <v>1293</v>
      </c>
      <c r="R13" s="56">
        <v>1306</v>
      </c>
      <c r="S13" s="56">
        <v>1370</v>
      </c>
      <c r="T13" s="56">
        <v>1466</v>
      </c>
      <c r="U13" s="56">
        <v>1679</v>
      </c>
      <c r="V13" s="56">
        <v>1748</v>
      </c>
      <c r="W13" s="56">
        <v>2094</v>
      </c>
    </row>
    <row r="14" spans="1:23" x14ac:dyDescent="0.35">
      <c r="A14" s="1" t="s">
        <v>2</v>
      </c>
      <c r="B14" s="59">
        <f t="shared" si="0"/>
        <v>58.445701583767914</v>
      </c>
      <c r="C14" s="59">
        <f t="shared" si="0"/>
        <v>59.638471003844813</v>
      </c>
      <c r="D14" s="59">
        <f t="shared" si="0"/>
        <v>60.855582656984502</v>
      </c>
      <c r="E14" s="59">
        <f t="shared" si="0"/>
        <v>62.097533323453575</v>
      </c>
      <c r="F14" s="59">
        <f t="shared" si="0"/>
        <v>63.364829921891406</v>
      </c>
      <c r="G14" s="59">
        <f t="shared" si="0"/>
        <v>64.657989716215724</v>
      </c>
      <c r="H14" s="59">
        <f t="shared" si="0"/>
        <v>65.977540526750744</v>
      </c>
      <c r="I14" s="59">
        <f t="shared" si="0"/>
        <v>67.324020945664017</v>
      </c>
      <c r="J14" s="59">
        <f t="shared" si="0"/>
        <v>68.697980556800019</v>
      </c>
      <c r="K14" s="59">
        <f t="shared" si="0"/>
        <v>70.099980160000015</v>
      </c>
      <c r="L14" s="59">
        <f t="shared" si="1"/>
        <v>71.530592000000013</v>
      </c>
      <c r="M14" s="59">
        <f t="shared" ref="M14" si="3">N14-(N14*0.02)</f>
        <v>72.990400000000008</v>
      </c>
      <c r="N14" s="59">
        <f>O14-(O14*0.02)</f>
        <v>74.48</v>
      </c>
      <c r="O14" s="56">
        <v>76</v>
      </c>
      <c r="P14" s="56">
        <v>72</v>
      </c>
      <c r="Q14" s="56">
        <v>98</v>
      </c>
      <c r="R14" s="56">
        <v>337</v>
      </c>
      <c r="S14" s="56">
        <v>476</v>
      </c>
      <c r="T14" s="56">
        <v>525</v>
      </c>
      <c r="U14" s="56">
        <v>651</v>
      </c>
      <c r="V14" s="56">
        <v>596</v>
      </c>
      <c r="W14" s="56">
        <v>737</v>
      </c>
    </row>
    <row r="15" spans="1:23" x14ac:dyDescent="0.35">
      <c r="A15" s="1" t="s">
        <v>3</v>
      </c>
      <c r="B15" s="59">
        <f t="shared" si="0"/>
        <v>361.12983918815797</v>
      </c>
      <c r="C15" s="59">
        <f t="shared" si="0"/>
        <v>368.49983590628364</v>
      </c>
      <c r="D15" s="59">
        <f t="shared" si="0"/>
        <v>376.02024072069759</v>
      </c>
      <c r="E15" s="59">
        <f t="shared" si="0"/>
        <v>383.69412318438532</v>
      </c>
      <c r="F15" s="59">
        <f t="shared" si="0"/>
        <v>391.52461549427073</v>
      </c>
      <c r="G15" s="59">
        <f t="shared" si="0"/>
        <v>399.51491376966402</v>
      </c>
      <c r="H15" s="59">
        <f t="shared" si="0"/>
        <v>407.66827935680004</v>
      </c>
      <c r="I15" s="59">
        <f t="shared" si="0"/>
        <v>415.98804016000003</v>
      </c>
      <c r="J15" s="59">
        <f t="shared" si="0"/>
        <v>424.47759200000002</v>
      </c>
      <c r="K15" s="59">
        <f t="shared" si="0"/>
        <v>433.1404</v>
      </c>
      <c r="L15" s="59">
        <f t="shared" si="1"/>
        <v>441.98</v>
      </c>
      <c r="M15" s="56">
        <v>451</v>
      </c>
      <c r="N15" s="56">
        <v>527</v>
      </c>
      <c r="O15" s="56">
        <v>520</v>
      </c>
      <c r="P15" s="56">
        <v>607</v>
      </c>
      <c r="Q15" s="56">
        <v>746</v>
      </c>
      <c r="R15" s="56">
        <v>922</v>
      </c>
      <c r="S15" s="56">
        <v>990</v>
      </c>
      <c r="T15" s="56">
        <v>1069</v>
      </c>
      <c r="U15" s="56">
        <v>1459</v>
      </c>
      <c r="V15" s="56">
        <v>1270</v>
      </c>
      <c r="W15" s="56">
        <v>1331</v>
      </c>
    </row>
    <row r="16" spans="1:23" x14ac:dyDescent="0.35">
      <c r="A16" s="1" t="s">
        <v>86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</row>
    <row r="17" spans="1:23" x14ac:dyDescent="0.35">
      <c r="A17" s="1" t="s">
        <v>1</v>
      </c>
      <c r="B17" s="59">
        <f t="shared" si="0"/>
        <v>490.84831800962485</v>
      </c>
      <c r="C17" s="59">
        <f t="shared" si="0"/>
        <v>500.86563062206619</v>
      </c>
      <c r="D17" s="59">
        <f t="shared" si="0"/>
        <v>511.0873781857818</v>
      </c>
      <c r="E17" s="59">
        <f t="shared" si="0"/>
        <v>521.51773284263447</v>
      </c>
      <c r="F17" s="59">
        <f t="shared" si="0"/>
        <v>532.16095188023928</v>
      </c>
      <c r="G17" s="59">
        <f t="shared" si="0"/>
        <v>543.02137946963194</v>
      </c>
      <c r="H17" s="59">
        <f t="shared" si="0"/>
        <v>554.10344843839994</v>
      </c>
      <c r="I17" s="59">
        <f t="shared" si="0"/>
        <v>565.41168207999999</v>
      </c>
      <c r="J17" s="59">
        <f t="shared" si="0"/>
        <v>576.95069599999999</v>
      </c>
      <c r="K17" s="59">
        <f t="shared" si="0"/>
        <v>588.72519999999997</v>
      </c>
      <c r="L17" s="59">
        <f t="shared" si="1"/>
        <v>600.74</v>
      </c>
      <c r="M17" s="56">
        <v>613</v>
      </c>
      <c r="N17" s="56">
        <v>574</v>
      </c>
      <c r="O17" s="56">
        <v>616</v>
      </c>
      <c r="P17" s="56">
        <v>678</v>
      </c>
      <c r="Q17" s="56">
        <v>773</v>
      </c>
      <c r="R17" s="56">
        <v>1129</v>
      </c>
      <c r="S17" s="56">
        <v>1328</v>
      </c>
      <c r="T17" s="56">
        <v>1227</v>
      </c>
      <c r="U17" s="56">
        <v>1259</v>
      </c>
      <c r="V17" s="56">
        <v>1461</v>
      </c>
      <c r="W17" s="56">
        <v>1592</v>
      </c>
    </row>
    <row r="18" spans="1:23" x14ac:dyDescent="0.35">
      <c r="A18" s="1" t="s">
        <v>4</v>
      </c>
      <c r="B18" s="59">
        <f t="shared" si="0"/>
        <v>5962.2456376829814</v>
      </c>
      <c r="C18" s="59">
        <f t="shared" si="0"/>
        <v>6083.9241200846745</v>
      </c>
      <c r="D18" s="59">
        <f t="shared" si="0"/>
        <v>6208.0858368210966</v>
      </c>
      <c r="E18" s="59">
        <f t="shared" si="0"/>
        <v>6334.7814661439761</v>
      </c>
      <c r="F18" s="59">
        <f t="shared" si="0"/>
        <v>6464.0627205550772</v>
      </c>
      <c r="G18" s="59">
        <f t="shared" si="0"/>
        <v>6595.9823679133442</v>
      </c>
      <c r="H18" s="59">
        <f t="shared" si="0"/>
        <v>6730.5942529727999</v>
      </c>
      <c r="I18" s="59">
        <f t="shared" si="0"/>
        <v>6867.95331936</v>
      </c>
      <c r="J18" s="59">
        <f t="shared" si="0"/>
        <v>7008.115632</v>
      </c>
      <c r="K18" s="59">
        <f t="shared" si="0"/>
        <v>7151.1383999999998</v>
      </c>
      <c r="L18" s="59">
        <f t="shared" si="1"/>
        <v>7297.08</v>
      </c>
      <c r="M18" s="56">
        <v>7446</v>
      </c>
      <c r="N18" s="56">
        <v>8050</v>
      </c>
      <c r="O18" s="56">
        <v>8429</v>
      </c>
      <c r="P18" s="56">
        <v>9585</v>
      </c>
      <c r="Q18" s="56">
        <v>10105</v>
      </c>
      <c r="R18" s="56">
        <v>9495</v>
      </c>
      <c r="S18" s="56">
        <v>9488</v>
      </c>
      <c r="T18" s="56">
        <v>10432</v>
      </c>
      <c r="U18" s="56">
        <v>10968</v>
      </c>
      <c r="V18" s="56">
        <v>10476</v>
      </c>
      <c r="W18" s="56">
        <v>10499</v>
      </c>
    </row>
    <row r="19" spans="1:23" x14ac:dyDescent="0.35">
      <c r="A19" s="1" t="s">
        <v>5</v>
      </c>
      <c r="B19" s="59">
        <f t="shared" ref="B19:K32" si="4">C19-(C19*0.02)</f>
        <v>170.55577770970658</v>
      </c>
      <c r="C19" s="59">
        <f t="shared" si="4"/>
        <v>174.03650786704753</v>
      </c>
      <c r="D19" s="59">
        <f t="shared" si="4"/>
        <v>177.58827333372196</v>
      </c>
      <c r="E19" s="59">
        <f t="shared" si="4"/>
        <v>181.21252380992036</v>
      </c>
      <c r="F19" s="59">
        <f t="shared" si="4"/>
        <v>184.91073858155139</v>
      </c>
      <c r="G19" s="59">
        <f t="shared" si="4"/>
        <v>188.68442712403203</v>
      </c>
      <c r="H19" s="59">
        <f t="shared" si="4"/>
        <v>192.53512971840001</v>
      </c>
      <c r="I19" s="59">
        <f t="shared" si="4"/>
        <v>196.46441808</v>
      </c>
      <c r="J19" s="59">
        <f t="shared" si="4"/>
        <v>200.473896</v>
      </c>
      <c r="K19" s="59">
        <f t="shared" si="4"/>
        <v>204.5652</v>
      </c>
      <c r="L19" s="59">
        <f t="shared" si="1"/>
        <v>208.74</v>
      </c>
      <c r="M19" s="56">
        <v>213</v>
      </c>
      <c r="N19" s="56">
        <v>253</v>
      </c>
      <c r="O19" s="56">
        <v>276</v>
      </c>
      <c r="P19" s="56">
        <v>248</v>
      </c>
      <c r="Q19" s="56">
        <v>309</v>
      </c>
      <c r="R19" s="56">
        <v>375</v>
      </c>
      <c r="S19" s="56">
        <v>347</v>
      </c>
      <c r="T19" s="56">
        <v>363</v>
      </c>
      <c r="U19" s="56">
        <v>354</v>
      </c>
      <c r="V19" s="56">
        <v>354</v>
      </c>
      <c r="W19" s="56">
        <v>396</v>
      </c>
    </row>
    <row r="20" spans="1:23" x14ac:dyDescent="0.35">
      <c r="A20" s="1" t="s">
        <v>6</v>
      </c>
      <c r="B20" s="59">
        <f t="shared" si="4"/>
        <v>106.49726964972287</v>
      </c>
      <c r="C20" s="59">
        <f t="shared" si="4"/>
        <v>108.67068331604374</v>
      </c>
      <c r="D20" s="59">
        <f t="shared" si="4"/>
        <v>110.88845236330994</v>
      </c>
      <c r="E20" s="59">
        <f t="shared" si="4"/>
        <v>113.15148200337748</v>
      </c>
      <c r="F20" s="59">
        <f t="shared" si="4"/>
        <v>115.46069592181375</v>
      </c>
      <c r="G20" s="59">
        <f t="shared" si="4"/>
        <v>117.81703665491199</v>
      </c>
      <c r="H20" s="59">
        <f t="shared" si="4"/>
        <v>120.22146597439999</v>
      </c>
      <c r="I20" s="59">
        <f t="shared" si="4"/>
        <v>122.67496528</v>
      </c>
      <c r="J20" s="59">
        <f t="shared" si="4"/>
        <v>125.17853599999999</v>
      </c>
      <c r="K20" s="59">
        <f t="shared" si="4"/>
        <v>127.7332</v>
      </c>
      <c r="L20" s="59">
        <f t="shared" si="1"/>
        <v>130.34</v>
      </c>
      <c r="M20" s="56">
        <v>133</v>
      </c>
      <c r="N20" s="56">
        <v>128</v>
      </c>
      <c r="O20" s="56">
        <v>117</v>
      </c>
      <c r="P20" s="56">
        <v>121</v>
      </c>
      <c r="Q20" s="56">
        <v>106</v>
      </c>
      <c r="R20" s="56">
        <v>114</v>
      </c>
      <c r="S20" s="56">
        <v>109</v>
      </c>
      <c r="T20" s="56">
        <v>140</v>
      </c>
      <c r="U20" s="56">
        <v>156</v>
      </c>
      <c r="V20" s="56">
        <v>163</v>
      </c>
      <c r="W20" s="56">
        <v>165</v>
      </c>
    </row>
    <row r="21" spans="1:23" x14ac:dyDescent="0.35">
      <c r="A21" s="1" t="s">
        <v>7</v>
      </c>
      <c r="B21" s="59">
        <f t="shared" si="4"/>
        <v>101.6928815452241</v>
      </c>
      <c r="C21" s="59">
        <f t="shared" si="4"/>
        <v>103.76824647471847</v>
      </c>
      <c r="D21" s="59">
        <f t="shared" si="4"/>
        <v>105.88596579052904</v>
      </c>
      <c r="E21" s="59">
        <f t="shared" si="4"/>
        <v>108.04690386788678</v>
      </c>
      <c r="F21" s="59">
        <f t="shared" si="4"/>
        <v>110.25194272233345</v>
      </c>
      <c r="G21" s="59">
        <f t="shared" si="4"/>
        <v>112.50198236972801</v>
      </c>
      <c r="H21" s="59">
        <f t="shared" si="4"/>
        <v>114.79794119360001</v>
      </c>
      <c r="I21" s="59">
        <f t="shared" si="4"/>
        <v>117.14075632000001</v>
      </c>
      <c r="J21" s="59">
        <f t="shared" si="4"/>
        <v>119.531384</v>
      </c>
      <c r="K21" s="59">
        <f t="shared" si="4"/>
        <v>121.9708</v>
      </c>
      <c r="L21" s="59">
        <f t="shared" si="1"/>
        <v>124.46</v>
      </c>
      <c r="M21" s="56">
        <v>127</v>
      </c>
      <c r="N21" s="56">
        <v>129</v>
      </c>
      <c r="O21" s="56">
        <v>133</v>
      </c>
      <c r="P21" s="56">
        <v>147</v>
      </c>
      <c r="Q21" s="56">
        <v>130</v>
      </c>
      <c r="R21" s="56">
        <v>169</v>
      </c>
      <c r="S21" s="56">
        <v>225</v>
      </c>
      <c r="T21" s="56">
        <v>232</v>
      </c>
      <c r="U21" s="56">
        <v>266</v>
      </c>
      <c r="V21" s="56">
        <v>310</v>
      </c>
      <c r="W21" s="56">
        <v>317</v>
      </c>
    </row>
    <row r="22" spans="1:23" x14ac:dyDescent="0.35">
      <c r="A22" s="1" t="s">
        <v>8</v>
      </c>
      <c r="B22" s="59">
        <f t="shared" si="4"/>
        <v>14.413164313496329</v>
      </c>
      <c r="C22" s="59">
        <f t="shared" si="4"/>
        <v>14.707310523975845</v>
      </c>
      <c r="D22" s="59">
        <f t="shared" si="4"/>
        <v>15.0074597183427</v>
      </c>
      <c r="E22" s="59">
        <f t="shared" si="4"/>
        <v>15.313734406472143</v>
      </c>
      <c r="F22" s="59">
        <f t="shared" si="4"/>
        <v>15.626259598440962</v>
      </c>
      <c r="G22" s="59">
        <f t="shared" si="4"/>
        <v>15.945162855552002</v>
      </c>
      <c r="H22" s="59">
        <f t="shared" si="4"/>
        <v>16.270574342400003</v>
      </c>
      <c r="I22" s="59">
        <f t="shared" si="4"/>
        <v>16.602626880000003</v>
      </c>
      <c r="J22" s="59">
        <f t="shared" si="4"/>
        <v>16.941456000000002</v>
      </c>
      <c r="K22" s="59">
        <f t="shared" si="4"/>
        <v>17.287200000000002</v>
      </c>
      <c r="L22" s="59">
        <f t="shared" si="1"/>
        <v>17.64</v>
      </c>
      <c r="M22" s="56">
        <v>18</v>
      </c>
      <c r="N22" s="56">
        <v>20</v>
      </c>
      <c r="O22" s="56">
        <v>39</v>
      </c>
      <c r="P22" s="56">
        <v>21</v>
      </c>
      <c r="Q22" s="56">
        <v>35</v>
      </c>
      <c r="R22" s="56">
        <v>23</v>
      </c>
      <c r="S22" s="56">
        <v>23</v>
      </c>
      <c r="T22" s="56">
        <v>26</v>
      </c>
      <c r="U22" s="56">
        <v>30</v>
      </c>
      <c r="V22" s="56">
        <v>35</v>
      </c>
      <c r="W22" s="56">
        <v>35</v>
      </c>
    </row>
    <row r="23" spans="1:23" x14ac:dyDescent="0.35">
      <c r="A23" s="1" t="s">
        <v>9</v>
      </c>
      <c r="B23" s="59">
        <f t="shared" si="4"/>
        <v>2659.2288158400729</v>
      </c>
      <c r="C23" s="59">
        <f t="shared" si="4"/>
        <v>2713.4987916735436</v>
      </c>
      <c r="D23" s="59">
        <f t="shared" si="4"/>
        <v>2768.876318034228</v>
      </c>
      <c r="E23" s="59">
        <f t="shared" si="4"/>
        <v>2825.3839979941104</v>
      </c>
      <c r="F23" s="59">
        <f t="shared" si="4"/>
        <v>2883.0448959123573</v>
      </c>
      <c r="G23" s="59">
        <f t="shared" si="4"/>
        <v>2941.8825468493442</v>
      </c>
      <c r="H23" s="59">
        <f t="shared" si="4"/>
        <v>3001.9209661728</v>
      </c>
      <c r="I23" s="59">
        <f t="shared" si="4"/>
        <v>3063.1846593599998</v>
      </c>
      <c r="J23" s="59">
        <f t="shared" si="4"/>
        <v>3125.6986319999996</v>
      </c>
      <c r="K23" s="59">
        <f t="shared" si="4"/>
        <v>3189.4883999999997</v>
      </c>
      <c r="L23" s="59">
        <f t="shared" si="1"/>
        <v>3254.58</v>
      </c>
      <c r="M23" s="56">
        <v>3321</v>
      </c>
      <c r="N23" s="56">
        <v>3298</v>
      </c>
      <c r="O23" s="56">
        <v>3157</v>
      </c>
      <c r="P23" s="56">
        <v>3261</v>
      </c>
      <c r="Q23" s="56">
        <v>3430</v>
      </c>
      <c r="R23" s="56">
        <v>3944</v>
      </c>
      <c r="S23" s="56">
        <v>4000</v>
      </c>
      <c r="T23" s="56">
        <v>4309</v>
      </c>
      <c r="U23" s="56">
        <v>4595</v>
      </c>
      <c r="V23" s="56">
        <v>4683</v>
      </c>
      <c r="W23" s="56">
        <v>4548</v>
      </c>
    </row>
    <row r="24" spans="1:23" x14ac:dyDescent="0.35">
      <c r="A24" s="1" t="s">
        <v>10</v>
      </c>
      <c r="B24" s="59">
        <f t="shared" si="4"/>
        <v>363.53203324040737</v>
      </c>
      <c r="C24" s="59">
        <f t="shared" si="4"/>
        <v>370.95105432694629</v>
      </c>
      <c r="D24" s="59">
        <f t="shared" si="4"/>
        <v>378.52148400708808</v>
      </c>
      <c r="E24" s="59">
        <f t="shared" si="4"/>
        <v>386.24641225213071</v>
      </c>
      <c r="F24" s="59">
        <f t="shared" si="4"/>
        <v>394.12899209401093</v>
      </c>
      <c r="G24" s="59">
        <f t="shared" si="4"/>
        <v>402.17244091225604</v>
      </c>
      <c r="H24" s="59">
        <f t="shared" si="4"/>
        <v>410.38004174720004</v>
      </c>
      <c r="I24" s="59">
        <f t="shared" si="4"/>
        <v>418.75514464000003</v>
      </c>
      <c r="J24" s="59">
        <f t="shared" si="4"/>
        <v>427.30116800000002</v>
      </c>
      <c r="K24" s="59">
        <f t="shared" si="4"/>
        <v>436.02160000000003</v>
      </c>
      <c r="L24" s="59">
        <f t="shared" si="1"/>
        <v>444.92</v>
      </c>
      <c r="M24" s="56">
        <v>454</v>
      </c>
      <c r="N24" s="56">
        <v>664</v>
      </c>
      <c r="O24" s="56">
        <v>815</v>
      </c>
      <c r="P24" s="56">
        <v>879</v>
      </c>
      <c r="Q24" s="56">
        <v>650</v>
      </c>
      <c r="R24" s="56">
        <v>1777</v>
      </c>
      <c r="S24" s="56">
        <v>1059</v>
      </c>
      <c r="T24" s="56">
        <v>1170</v>
      </c>
      <c r="U24" s="56">
        <v>1941</v>
      </c>
      <c r="V24" s="56">
        <v>2321</v>
      </c>
      <c r="W24" s="56">
        <v>2323</v>
      </c>
    </row>
    <row r="25" spans="1:23" x14ac:dyDescent="0.35">
      <c r="A25" s="1" t="s">
        <v>11</v>
      </c>
      <c r="B25" s="59">
        <f t="shared" si="4"/>
        <v>1785.6309121720453</v>
      </c>
      <c r="C25" s="59">
        <f t="shared" si="4"/>
        <v>1822.0723593592299</v>
      </c>
      <c r="D25" s="59">
        <f t="shared" si="4"/>
        <v>1859.2575095502345</v>
      </c>
      <c r="E25" s="59">
        <f t="shared" si="4"/>
        <v>1897.2015403573821</v>
      </c>
      <c r="F25" s="59">
        <f t="shared" si="4"/>
        <v>1935.9199391401858</v>
      </c>
      <c r="G25" s="59">
        <f t="shared" si="4"/>
        <v>1975.4285093267201</v>
      </c>
      <c r="H25" s="59">
        <f t="shared" si="4"/>
        <v>2015.7433768640001</v>
      </c>
      <c r="I25" s="59">
        <f t="shared" si="4"/>
        <v>2056.8809968</v>
      </c>
      <c r="J25" s="59">
        <f t="shared" si="4"/>
        <v>2098.8581600000002</v>
      </c>
      <c r="K25" s="59">
        <f t="shared" si="4"/>
        <v>2141.692</v>
      </c>
      <c r="L25" s="59">
        <f t="shared" si="1"/>
        <v>2185.4</v>
      </c>
      <c r="M25" s="56">
        <v>2230</v>
      </c>
      <c r="N25" s="56">
        <v>2933</v>
      </c>
      <c r="O25" s="56">
        <v>3170</v>
      </c>
      <c r="P25" s="56">
        <v>3710</v>
      </c>
      <c r="Q25" s="56">
        <v>6474</v>
      </c>
      <c r="R25" s="56">
        <v>9615</v>
      </c>
      <c r="S25" s="56">
        <v>8311</v>
      </c>
      <c r="T25" s="56">
        <v>10706</v>
      </c>
      <c r="U25" s="56">
        <v>11178</v>
      </c>
      <c r="V25" s="56">
        <v>10974</v>
      </c>
      <c r="W25" s="56">
        <v>9082</v>
      </c>
    </row>
    <row r="26" spans="1:23" x14ac:dyDescent="0.35">
      <c r="A26" s="1" t="s">
        <v>13</v>
      </c>
      <c r="B26" s="59">
        <f t="shared" si="4"/>
        <v>329.10058515816598</v>
      </c>
      <c r="C26" s="59">
        <f t="shared" si="4"/>
        <v>335.81692363078162</v>
      </c>
      <c r="D26" s="59">
        <f t="shared" si="4"/>
        <v>342.67033023549146</v>
      </c>
      <c r="E26" s="59">
        <f t="shared" si="4"/>
        <v>349.66360228111375</v>
      </c>
      <c r="F26" s="59">
        <f t="shared" si="4"/>
        <v>356.79959416440181</v>
      </c>
      <c r="G26" s="59">
        <f t="shared" si="4"/>
        <v>364.08121853510391</v>
      </c>
      <c r="H26" s="59">
        <f t="shared" si="4"/>
        <v>371.51144748479993</v>
      </c>
      <c r="I26" s="59">
        <f t="shared" si="4"/>
        <v>379.09331375999994</v>
      </c>
      <c r="J26" s="59">
        <f t="shared" si="4"/>
        <v>386.82991199999992</v>
      </c>
      <c r="K26" s="59">
        <f t="shared" si="4"/>
        <v>394.72439999999995</v>
      </c>
      <c r="L26" s="59">
        <f t="shared" si="1"/>
        <v>402.78</v>
      </c>
      <c r="M26" s="56">
        <v>411</v>
      </c>
      <c r="N26" s="56">
        <v>448</v>
      </c>
      <c r="O26" s="56">
        <v>486</v>
      </c>
      <c r="P26" s="56">
        <v>489</v>
      </c>
      <c r="Q26" s="56">
        <v>527</v>
      </c>
      <c r="R26" s="56">
        <v>711</v>
      </c>
      <c r="S26" s="56">
        <v>732</v>
      </c>
      <c r="T26" s="56">
        <v>669</v>
      </c>
      <c r="U26" s="56">
        <v>753</v>
      </c>
      <c r="V26" s="56">
        <v>388</v>
      </c>
      <c r="W26" s="56">
        <v>427</v>
      </c>
    </row>
    <row r="27" spans="1:23" x14ac:dyDescent="0.35">
      <c r="A27" s="1" t="s">
        <v>12</v>
      </c>
      <c r="B27" s="59">
        <f t="shared" si="4"/>
        <v>127.31628476921756</v>
      </c>
      <c r="C27" s="59">
        <f t="shared" si="4"/>
        <v>129.91457629511996</v>
      </c>
      <c r="D27" s="59">
        <f t="shared" si="4"/>
        <v>132.56589417869384</v>
      </c>
      <c r="E27" s="59">
        <f t="shared" si="4"/>
        <v>135.2713205905039</v>
      </c>
      <c r="F27" s="59">
        <f t="shared" si="4"/>
        <v>138.03195978622847</v>
      </c>
      <c r="G27" s="59">
        <f t="shared" si="4"/>
        <v>140.84893855737599</v>
      </c>
      <c r="H27" s="59">
        <f t="shared" si="4"/>
        <v>143.72340669119998</v>
      </c>
      <c r="I27" s="59">
        <f t="shared" si="4"/>
        <v>146.65653743999999</v>
      </c>
      <c r="J27" s="59">
        <f t="shared" si="4"/>
        <v>149.649528</v>
      </c>
      <c r="K27" s="59">
        <f t="shared" si="4"/>
        <v>152.70359999999999</v>
      </c>
      <c r="L27" s="59">
        <f t="shared" si="1"/>
        <v>155.82</v>
      </c>
      <c r="M27" s="56">
        <v>159</v>
      </c>
      <c r="N27" s="56">
        <v>312</v>
      </c>
      <c r="O27" s="56"/>
      <c r="P27" s="56">
        <v>779</v>
      </c>
      <c r="Q27" s="56">
        <v>506</v>
      </c>
      <c r="R27" s="56">
        <v>766</v>
      </c>
      <c r="S27" s="56">
        <v>1407</v>
      </c>
      <c r="T27" s="56">
        <v>1540</v>
      </c>
      <c r="U27" s="56">
        <v>1881</v>
      </c>
      <c r="V27" s="56">
        <v>2092</v>
      </c>
      <c r="W27" s="59">
        <f>V27+(V27*0.02)</f>
        <v>2133.84</v>
      </c>
    </row>
    <row r="28" spans="1:23" x14ac:dyDescent="0.35">
      <c r="A28" s="1" t="s">
        <v>16</v>
      </c>
      <c r="B28" s="59">
        <f t="shared" si="4"/>
        <v>2424.6145300703824</v>
      </c>
      <c r="C28" s="59">
        <f t="shared" si="4"/>
        <v>2474.0964592554924</v>
      </c>
      <c r="D28" s="59">
        <f t="shared" si="4"/>
        <v>2524.5882237300943</v>
      </c>
      <c r="E28" s="59">
        <f t="shared" si="4"/>
        <v>2576.1104323776472</v>
      </c>
      <c r="F28" s="59">
        <f t="shared" si="4"/>
        <v>2628.6841146710685</v>
      </c>
      <c r="G28" s="59">
        <f t="shared" si="4"/>
        <v>2682.3307292561922</v>
      </c>
      <c r="H28" s="59">
        <f t="shared" si="4"/>
        <v>2737.0721727104001</v>
      </c>
      <c r="I28" s="59">
        <f t="shared" si="4"/>
        <v>2792.93078848</v>
      </c>
      <c r="J28" s="59">
        <f t="shared" si="4"/>
        <v>2849.929376</v>
      </c>
      <c r="K28" s="59">
        <f t="shared" si="4"/>
        <v>2908.0911999999998</v>
      </c>
      <c r="L28" s="59">
        <f t="shared" si="1"/>
        <v>2967.44</v>
      </c>
      <c r="M28" s="56">
        <v>3028</v>
      </c>
      <c r="N28" s="56">
        <v>3585</v>
      </c>
      <c r="O28" s="56">
        <v>3620</v>
      </c>
      <c r="P28" s="56">
        <v>3381</v>
      </c>
      <c r="Q28" s="56">
        <v>3532</v>
      </c>
      <c r="R28" s="56">
        <v>2931</v>
      </c>
      <c r="S28" s="56">
        <v>3475</v>
      </c>
      <c r="T28" s="56">
        <v>3192</v>
      </c>
      <c r="U28" s="56">
        <v>3696</v>
      </c>
      <c r="V28" s="56">
        <v>3437</v>
      </c>
      <c r="W28" s="56">
        <v>3722</v>
      </c>
    </row>
    <row r="29" spans="1:23" x14ac:dyDescent="0.35">
      <c r="A29" s="1" t="s">
        <v>81</v>
      </c>
      <c r="B29" s="59">
        <f t="shared" si="4"/>
        <v>2107.9432981376003</v>
      </c>
      <c r="C29" s="59">
        <f t="shared" si="4"/>
        <v>2150.9625491200004</v>
      </c>
      <c r="D29" s="59">
        <f t="shared" si="4"/>
        <v>2194.8597440000003</v>
      </c>
      <c r="E29" s="59">
        <f t="shared" si="4"/>
        <v>2239.6528000000003</v>
      </c>
      <c r="F29" s="59">
        <f t="shared" si="4"/>
        <v>2285.36</v>
      </c>
      <c r="G29" s="57">
        <v>2332</v>
      </c>
      <c r="H29" s="57">
        <v>2359</v>
      </c>
      <c r="I29" s="57">
        <v>2354</v>
      </c>
      <c r="J29" s="57">
        <v>2451</v>
      </c>
      <c r="K29" s="57">
        <v>2394</v>
      </c>
      <c r="L29" s="57">
        <v>2365</v>
      </c>
      <c r="M29" s="57">
        <v>2374</v>
      </c>
      <c r="N29" s="57">
        <v>2572</v>
      </c>
      <c r="O29" s="57">
        <v>2525</v>
      </c>
      <c r="P29" s="57">
        <v>2734</v>
      </c>
      <c r="Q29" s="57">
        <v>2724</v>
      </c>
      <c r="R29" s="57">
        <v>2804</v>
      </c>
      <c r="S29" s="57">
        <v>2779</v>
      </c>
      <c r="T29" s="57">
        <v>2865</v>
      </c>
      <c r="U29" s="57">
        <v>3111</v>
      </c>
      <c r="V29" s="57">
        <v>3175</v>
      </c>
      <c r="W29" s="59">
        <f>V29+(V29*0.02)</f>
        <v>3238.5</v>
      </c>
    </row>
    <row r="30" spans="1:23" x14ac:dyDescent="0.35">
      <c r="A30" s="1" t="s">
        <v>15</v>
      </c>
      <c r="B30" s="59">
        <f t="shared" si="4"/>
        <v>205.78795714269756</v>
      </c>
      <c r="C30" s="59">
        <f t="shared" si="4"/>
        <v>209.98771137009956</v>
      </c>
      <c r="D30" s="59">
        <f t="shared" si="4"/>
        <v>214.27317486744852</v>
      </c>
      <c r="E30" s="59">
        <f t="shared" si="4"/>
        <v>218.6460968035189</v>
      </c>
      <c r="F30" s="59">
        <f t="shared" si="4"/>
        <v>223.10826204440704</v>
      </c>
      <c r="G30" s="59">
        <f t="shared" si="4"/>
        <v>227.66149188204801</v>
      </c>
      <c r="H30" s="59">
        <f t="shared" si="4"/>
        <v>232.30764477760002</v>
      </c>
      <c r="I30" s="59">
        <f t="shared" si="4"/>
        <v>237.04861712000002</v>
      </c>
      <c r="J30" s="59">
        <f t="shared" si="4"/>
        <v>241.88634400000001</v>
      </c>
      <c r="K30" s="59">
        <f t="shared" si="4"/>
        <v>246.8228</v>
      </c>
      <c r="L30" s="59">
        <f t="shared" si="1"/>
        <v>251.86</v>
      </c>
      <c r="M30" s="56">
        <v>257</v>
      </c>
      <c r="N30" s="56">
        <v>273</v>
      </c>
      <c r="O30" s="56">
        <v>228</v>
      </c>
      <c r="P30" s="56">
        <v>210</v>
      </c>
      <c r="Q30" s="56">
        <v>247</v>
      </c>
      <c r="R30" s="56">
        <v>268</v>
      </c>
      <c r="S30" s="56">
        <v>271</v>
      </c>
      <c r="T30" s="56">
        <v>320</v>
      </c>
      <c r="U30" s="56">
        <v>307</v>
      </c>
      <c r="V30" s="56">
        <v>343</v>
      </c>
      <c r="W30" s="56">
        <v>346</v>
      </c>
    </row>
    <row r="31" spans="1:23" x14ac:dyDescent="0.35">
      <c r="A31" s="1" t="s">
        <v>14</v>
      </c>
      <c r="B31" s="59">
        <f t="shared" si="4"/>
        <v>337.90863001641384</v>
      </c>
      <c r="C31" s="59">
        <f t="shared" si="4"/>
        <v>344.80472450654474</v>
      </c>
      <c r="D31" s="59">
        <f t="shared" si="4"/>
        <v>351.84155561892322</v>
      </c>
      <c r="E31" s="59">
        <f t="shared" si="4"/>
        <v>359.0219955295135</v>
      </c>
      <c r="F31" s="59">
        <f t="shared" si="4"/>
        <v>366.34897503011581</v>
      </c>
      <c r="G31" s="59">
        <f t="shared" si="4"/>
        <v>373.82548472460797</v>
      </c>
      <c r="H31" s="59">
        <f t="shared" si="4"/>
        <v>381.4545762496</v>
      </c>
      <c r="I31" s="59">
        <f t="shared" si="4"/>
        <v>389.23936351999998</v>
      </c>
      <c r="J31" s="59">
        <f t="shared" si="4"/>
        <v>397.18302399999999</v>
      </c>
      <c r="K31" s="59">
        <f t="shared" si="4"/>
        <v>405.28879999999998</v>
      </c>
      <c r="L31" s="59">
        <f t="shared" si="1"/>
        <v>413.56</v>
      </c>
      <c r="M31" s="56">
        <v>422</v>
      </c>
      <c r="N31" s="56">
        <v>592</v>
      </c>
      <c r="O31" s="56">
        <v>468</v>
      </c>
      <c r="P31" s="56">
        <v>617</v>
      </c>
      <c r="Q31" s="56">
        <v>482</v>
      </c>
      <c r="R31" s="56">
        <v>478</v>
      </c>
      <c r="S31" s="56">
        <v>1104</v>
      </c>
      <c r="T31" s="56">
        <v>813</v>
      </c>
      <c r="U31" s="56">
        <v>891</v>
      </c>
      <c r="V31" s="56">
        <v>922</v>
      </c>
      <c r="W31" s="56">
        <v>954</v>
      </c>
    </row>
    <row r="32" spans="1:23" x14ac:dyDescent="0.35">
      <c r="A32" s="1" t="s">
        <v>0</v>
      </c>
      <c r="B32" s="59">
        <f t="shared" si="4"/>
        <v>6389.8361789833725</v>
      </c>
      <c r="C32" s="59">
        <f t="shared" si="4"/>
        <v>6520.2409989626249</v>
      </c>
      <c r="D32" s="59">
        <f t="shared" si="4"/>
        <v>6653.3071417985966</v>
      </c>
      <c r="E32" s="59">
        <f t="shared" si="4"/>
        <v>6789.0889202026492</v>
      </c>
      <c r="F32" s="59">
        <f t="shared" si="4"/>
        <v>6927.6417553088259</v>
      </c>
      <c r="G32" s="59">
        <f t="shared" si="4"/>
        <v>7069.0221992947199</v>
      </c>
      <c r="H32" s="59">
        <f t="shared" si="4"/>
        <v>7213.2879584639995</v>
      </c>
      <c r="I32" s="59">
        <f t="shared" si="4"/>
        <v>7360.4979167999991</v>
      </c>
      <c r="J32" s="59">
        <f t="shared" si="4"/>
        <v>7510.7121599999991</v>
      </c>
      <c r="K32" s="59">
        <f t="shared" si="4"/>
        <v>7663.9919999999993</v>
      </c>
      <c r="L32" s="59">
        <f t="shared" si="1"/>
        <v>7820.4</v>
      </c>
      <c r="M32" s="56">
        <v>7980</v>
      </c>
      <c r="N32" s="56">
        <v>10908</v>
      </c>
      <c r="O32" s="56">
        <v>12187</v>
      </c>
      <c r="P32" s="56">
        <v>13167</v>
      </c>
      <c r="Q32" s="56">
        <v>15238</v>
      </c>
      <c r="R32" s="56">
        <v>17233</v>
      </c>
      <c r="S32" s="56">
        <v>17427</v>
      </c>
      <c r="T32" s="56">
        <v>17811.319</v>
      </c>
      <c r="U32" s="56">
        <v>17675.609</v>
      </c>
      <c r="V32" s="56">
        <v>17728.224000000002</v>
      </c>
      <c r="W32" s="56">
        <v>18292.238000000001</v>
      </c>
    </row>
    <row r="33" spans="1:23" x14ac:dyDescent="0.35">
      <c r="A33" s="1" t="s">
        <v>87</v>
      </c>
      <c r="B33" s="2">
        <f>SUM(B2:B32)</f>
        <v>56898.765202279952</v>
      </c>
      <c r="C33" s="2">
        <f t="shared" ref="C33:W33" si="5">SUM(C2:C32)</f>
        <v>58059.964492122424</v>
      </c>
      <c r="D33" s="2">
        <f t="shared" si="5"/>
        <v>59244.861726655537</v>
      </c>
      <c r="E33" s="2">
        <f t="shared" si="5"/>
        <v>60453.940537403614</v>
      </c>
      <c r="F33" s="2">
        <f t="shared" si="5"/>
        <v>61687.69442592204</v>
      </c>
      <c r="G33" s="2">
        <f t="shared" si="5"/>
        <v>62946.626965226569</v>
      </c>
      <c r="H33" s="2">
        <f t="shared" si="5"/>
        <v>64210.660168598552</v>
      </c>
      <c r="I33" s="2">
        <f t="shared" si="5"/>
        <v>65467.938947549534</v>
      </c>
      <c r="J33" s="2">
        <f t="shared" si="5"/>
        <v>66852.978517907701</v>
      </c>
      <c r="K33" s="2">
        <f t="shared" si="5"/>
        <v>68110.304610109903</v>
      </c>
      <c r="L33" s="2">
        <f t="shared" si="5"/>
        <v>69422.453683785599</v>
      </c>
      <c r="M33" s="2">
        <f t="shared" si="5"/>
        <v>70799.973146720004</v>
      </c>
      <c r="N33" s="2">
        <f t="shared" si="5"/>
        <v>77806.135864000011</v>
      </c>
      <c r="O33" s="2">
        <f t="shared" si="5"/>
        <v>79565.546799999996</v>
      </c>
      <c r="P33" s="2">
        <f t="shared" si="5"/>
        <v>85150.66</v>
      </c>
      <c r="Q33" s="2">
        <f t="shared" si="5"/>
        <v>92941</v>
      </c>
      <c r="R33" s="2">
        <f t="shared" si="5"/>
        <v>103394</v>
      </c>
      <c r="S33" s="2">
        <f t="shared" si="5"/>
        <v>104593</v>
      </c>
      <c r="T33" s="2">
        <f t="shared" si="5"/>
        <v>111736.319</v>
      </c>
      <c r="U33" s="2">
        <f t="shared" si="5"/>
        <v>123017.609</v>
      </c>
      <c r="V33" s="2">
        <f t="shared" si="5"/>
        <v>121497.224</v>
      </c>
      <c r="W33" s="2">
        <f t="shared" si="5"/>
        <v>131982.598</v>
      </c>
    </row>
  </sheetData>
  <autoFilter ref="A1:W1" xr:uid="{F38B214F-77EA-4CD1-B783-6DA9B13DEEE1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7A1F-46FD-497C-BDC4-117CC498D465}">
  <sheetPr>
    <tabColor theme="9"/>
  </sheetPr>
  <dimension ref="A1:AD35"/>
  <sheetViews>
    <sheetView topLeftCell="A4" zoomScale="76" zoomScaleNormal="76" workbookViewId="0">
      <selection activeCell="A7" sqref="A7"/>
    </sheetView>
  </sheetViews>
  <sheetFormatPr baseColWidth="10" defaultRowHeight="14.5" x14ac:dyDescent="0.35"/>
  <cols>
    <col min="1" max="1" width="21.1796875" customWidth="1"/>
    <col min="2" max="30" width="11.26953125" bestFit="1" customWidth="1"/>
  </cols>
  <sheetData>
    <row r="1" spans="1:30" x14ac:dyDescent="0.35">
      <c r="A1" s="58" t="s">
        <v>85</v>
      </c>
      <c r="B1" s="58">
        <v>2022</v>
      </c>
      <c r="C1" s="58">
        <v>2023</v>
      </c>
      <c r="D1" s="58">
        <v>2024</v>
      </c>
      <c r="E1" s="58">
        <v>2025</v>
      </c>
      <c r="F1" s="58">
        <v>2026</v>
      </c>
      <c r="G1" s="58">
        <v>2027</v>
      </c>
      <c r="H1" s="58">
        <v>2028</v>
      </c>
      <c r="I1" s="58">
        <v>2029</v>
      </c>
      <c r="J1" s="58">
        <v>2030</v>
      </c>
      <c r="K1" s="58">
        <v>2031</v>
      </c>
      <c r="L1" s="58">
        <v>2032</v>
      </c>
      <c r="M1" s="58">
        <v>2033</v>
      </c>
      <c r="N1" s="58">
        <v>2034</v>
      </c>
      <c r="O1" s="58">
        <v>2035</v>
      </c>
      <c r="P1" s="58">
        <v>2036</v>
      </c>
      <c r="Q1" s="58">
        <v>2037</v>
      </c>
      <c r="R1" s="58">
        <v>2038</v>
      </c>
      <c r="S1" s="58">
        <v>2039</v>
      </c>
      <c r="T1" s="58">
        <v>2040</v>
      </c>
      <c r="U1" s="58">
        <v>2041</v>
      </c>
      <c r="V1" s="58">
        <v>2042</v>
      </c>
      <c r="W1" s="58">
        <v>2043</v>
      </c>
      <c r="X1" s="58">
        <v>2044</v>
      </c>
      <c r="Y1" s="58">
        <v>2045</v>
      </c>
      <c r="Z1" s="58">
        <v>2046</v>
      </c>
      <c r="AA1" s="58">
        <v>2047</v>
      </c>
      <c r="AB1" s="58">
        <v>2048</v>
      </c>
      <c r="AC1" s="58">
        <v>2049</v>
      </c>
      <c r="AD1" s="58">
        <v>2050</v>
      </c>
    </row>
    <row r="2" spans="1:30" x14ac:dyDescent="0.35">
      <c r="A2" s="1" t="s">
        <v>17</v>
      </c>
      <c r="B2" s="60">
        <f>'Eurostat collected Portables GU'!W2+('Eurostat collected Portables GU'!W2*0.01)</f>
        <v>20260.599999999999</v>
      </c>
      <c r="C2" s="60">
        <f t="shared" ref="C2:Q2" si="0">B2+(B2*0.01)</f>
        <v>20463.205999999998</v>
      </c>
      <c r="D2" s="60">
        <f t="shared" si="0"/>
        <v>20667.838059999998</v>
      </c>
      <c r="E2" s="60">
        <f t="shared" si="0"/>
        <v>20874.516440599997</v>
      </c>
      <c r="F2" s="60">
        <f t="shared" si="0"/>
        <v>21083.261605005995</v>
      </c>
      <c r="G2" s="60">
        <f t="shared" si="0"/>
        <v>21294.094221056053</v>
      </c>
      <c r="H2" s="60">
        <f t="shared" si="0"/>
        <v>21507.035163266613</v>
      </c>
      <c r="I2" s="60">
        <f t="shared" si="0"/>
        <v>21722.105514899278</v>
      </c>
      <c r="J2" s="60">
        <f t="shared" si="0"/>
        <v>21939.32657004827</v>
      </c>
      <c r="K2" s="60">
        <f t="shared" si="0"/>
        <v>22158.719835748754</v>
      </c>
      <c r="L2" s="60">
        <f t="shared" si="0"/>
        <v>22380.307034106241</v>
      </c>
      <c r="M2" s="60">
        <f t="shared" si="0"/>
        <v>22604.110104447303</v>
      </c>
      <c r="N2" s="60">
        <f t="shared" si="0"/>
        <v>22830.151205491777</v>
      </c>
      <c r="O2" s="60">
        <f t="shared" si="0"/>
        <v>23058.452717546694</v>
      </c>
      <c r="P2" s="60">
        <f t="shared" si="0"/>
        <v>23289.03724472216</v>
      </c>
      <c r="Q2" s="60">
        <f t="shared" si="0"/>
        <v>23521.927617169382</v>
      </c>
      <c r="R2" s="60">
        <f t="shared" ref="C2:AD10" si="1">Q2+(Q2*0.01)</f>
        <v>23757.146893341076</v>
      </c>
      <c r="S2" s="60">
        <f t="shared" si="1"/>
        <v>23994.718362274485</v>
      </c>
      <c r="T2" s="60">
        <f t="shared" si="1"/>
        <v>24234.665545897231</v>
      </c>
      <c r="U2" s="60">
        <f t="shared" si="1"/>
        <v>24477.012201356203</v>
      </c>
      <c r="V2" s="60">
        <f t="shared" si="1"/>
        <v>24721.782323369764</v>
      </c>
      <c r="W2" s="60">
        <f t="shared" si="1"/>
        <v>24969.000146603463</v>
      </c>
      <c r="X2" s="60">
        <f t="shared" si="1"/>
        <v>25218.690148069498</v>
      </c>
      <c r="Y2" s="60">
        <f t="shared" si="1"/>
        <v>25470.877049550192</v>
      </c>
      <c r="Z2" s="60">
        <f t="shared" si="1"/>
        <v>25725.585820045693</v>
      </c>
      <c r="AA2" s="60">
        <f t="shared" si="1"/>
        <v>25982.84167824615</v>
      </c>
      <c r="AB2" s="60">
        <f t="shared" si="1"/>
        <v>26242.67009502861</v>
      </c>
      <c r="AC2" s="60">
        <f t="shared" si="1"/>
        <v>26505.096795978898</v>
      </c>
      <c r="AD2" s="60">
        <f t="shared" si="1"/>
        <v>26770.147763938687</v>
      </c>
    </row>
    <row r="3" spans="1:30" x14ac:dyDescent="0.35">
      <c r="A3" s="1" t="s">
        <v>18</v>
      </c>
      <c r="B3" s="60">
        <f>'Eurostat collected Portables GU'!W3+('Eurostat collected Portables GU'!W3*0.01)</f>
        <v>2797.7</v>
      </c>
      <c r="C3" s="60">
        <f t="shared" si="1"/>
        <v>2825.6769999999997</v>
      </c>
      <c r="D3" s="60">
        <f t="shared" si="1"/>
        <v>2853.9337699999996</v>
      </c>
      <c r="E3" s="60">
        <f t="shared" si="1"/>
        <v>2882.4731076999997</v>
      </c>
      <c r="F3" s="60">
        <f t="shared" si="1"/>
        <v>2911.2978387769995</v>
      </c>
      <c r="G3" s="60">
        <f t="shared" si="1"/>
        <v>2940.4108171647695</v>
      </c>
      <c r="H3" s="60">
        <f t="shared" si="1"/>
        <v>2969.8149253364172</v>
      </c>
      <c r="I3" s="60">
        <f t="shared" si="1"/>
        <v>2999.5130745897814</v>
      </c>
      <c r="J3" s="60">
        <f t="shared" si="1"/>
        <v>3029.5082053356791</v>
      </c>
      <c r="K3" s="60">
        <f t="shared" si="1"/>
        <v>3059.8032873890361</v>
      </c>
      <c r="L3" s="60">
        <f t="shared" si="1"/>
        <v>3090.4013202629267</v>
      </c>
      <c r="M3" s="60">
        <f t="shared" si="1"/>
        <v>3121.305333465556</v>
      </c>
      <c r="N3" s="60">
        <f t="shared" si="1"/>
        <v>3152.5183868002114</v>
      </c>
      <c r="O3" s="60">
        <f t="shared" si="1"/>
        <v>3184.0435706682133</v>
      </c>
      <c r="P3" s="60">
        <f t="shared" si="1"/>
        <v>3215.8840063748953</v>
      </c>
      <c r="Q3" s="60">
        <f t="shared" si="1"/>
        <v>3248.0428464386441</v>
      </c>
      <c r="R3" s="60">
        <f t="shared" si="1"/>
        <v>3280.5232749030306</v>
      </c>
      <c r="S3" s="60">
        <f t="shared" si="1"/>
        <v>3313.328507652061</v>
      </c>
      <c r="T3" s="60">
        <f t="shared" si="1"/>
        <v>3346.4617927285817</v>
      </c>
      <c r="U3" s="60">
        <f t="shared" si="1"/>
        <v>3379.9264106558676</v>
      </c>
      <c r="V3" s="60">
        <f t="shared" si="1"/>
        <v>3413.7256747624265</v>
      </c>
      <c r="W3" s="60">
        <f t="shared" si="1"/>
        <v>3447.8629315100507</v>
      </c>
      <c r="X3" s="60">
        <f t="shared" si="1"/>
        <v>3482.3415608251512</v>
      </c>
      <c r="Y3" s="60">
        <f t="shared" si="1"/>
        <v>3517.1649764334029</v>
      </c>
      <c r="Z3" s="60">
        <f t="shared" si="1"/>
        <v>3552.3366261977371</v>
      </c>
      <c r="AA3" s="60">
        <f t="shared" si="1"/>
        <v>3587.8599924597147</v>
      </c>
      <c r="AB3" s="60">
        <f t="shared" si="1"/>
        <v>3623.7385923843117</v>
      </c>
      <c r="AC3" s="60">
        <f t="shared" si="1"/>
        <v>3659.9759783081549</v>
      </c>
      <c r="AD3" s="60">
        <f t="shared" si="1"/>
        <v>3696.5757380912364</v>
      </c>
    </row>
    <row r="4" spans="1:30" x14ac:dyDescent="0.35">
      <c r="A4" s="1" t="s">
        <v>19</v>
      </c>
      <c r="B4" s="60">
        <f>'Eurostat collected Portables GU'!W4+('Eurostat collected Portables GU'!W4*0.01)</f>
        <v>3425.92</v>
      </c>
      <c r="C4" s="60">
        <f t="shared" si="1"/>
        <v>3460.1792</v>
      </c>
      <c r="D4" s="60">
        <f t="shared" si="1"/>
        <v>3494.780992</v>
      </c>
      <c r="E4" s="60">
        <f t="shared" si="1"/>
        <v>3529.72880192</v>
      </c>
      <c r="F4" s="60">
        <f t="shared" si="1"/>
        <v>3565.0260899392001</v>
      </c>
      <c r="G4" s="60">
        <f t="shared" si="1"/>
        <v>3600.676350838592</v>
      </c>
      <c r="H4" s="60">
        <f t="shared" si="1"/>
        <v>3636.6831143469781</v>
      </c>
      <c r="I4" s="60">
        <f t="shared" si="1"/>
        <v>3673.049945490448</v>
      </c>
      <c r="J4" s="60">
        <f t="shared" si="1"/>
        <v>3709.7804449453524</v>
      </c>
      <c r="K4" s="60">
        <f t="shared" si="1"/>
        <v>3746.8782493948061</v>
      </c>
      <c r="L4" s="60">
        <f t="shared" si="1"/>
        <v>3784.3470318887539</v>
      </c>
      <c r="M4" s="60">
        <f t="shared" si="1"/>
        <v>3822.1905022076417</v>
      </c>
      <c r="N4" s="60">
        <f t="shared" si="1"/>
        <v>3860.4124072297182</v>
      </c>
      <c r="O4" s="60">
        <f t="shared" si="1"/>
        <v>3899.0165313020152</v>
      </c>
      <c r="P4" s="60">
        <f t="shared" si="1"/>
        <v>3938.0066966150353</v>
      </c>
      <c r="Q4" s="60">
        <f t="shared" si="1"/>
        <v>3977.3867635811857</v>
      </c>
      <c r="R4" s="60">
        <f t="shared" si="1"/>
        <v>4017.1606312169974</v>
      </c>
      <c r="S4" s="60">
        <f t="shared" si="1"/>
        <v>4057.3322375291673</v>
      </c>
      <c r="T4" s="60">
        <f t="shared" si="1"/>
        <v>4097.9055599044586</v>
      </c>
      <c r="U4" s="60">
        <f t="shared" si="1"/>
        <v>4138.8846155035035</v>
      </c>
      <c r="V4" s="60">
        <f t="shared" si="1"/>
        <v>4180.2734616585385</v>
      </c>
      <c r="W4" s="60">
        <f t="shared" si="1"/>
        <v>4222.0761962751239</v>
      </c>
      <c r="X4" s="60">
        <f t="shared" si="1"/>
        <v>4264.2969582378755</v>
      </c>
      <c r="Y4" s="60">
        <f t="shared" si="1"/>
        <v>4306.9399278202545</v>
      </c>
      <c r="Z4" s="60">
        <f t="shared" si="1"/>
        <v>4350.0093270984571</v>
      </c>
      <c r="AA4" s="60">
        <f t="shared" si="1"/>
        <v>4393.5094203694416</v>
      </c>
      <c r="AB4" s="60">
        <f t="shared" si="1"/>
        <v>4437.4445145731361</v>
      </c>
      <c r="AC4" s="60">
        <f t="shared" si="1"/>
        <v>4481.8189597188675</v>
      </c>
      <c r="AD4" s="60">
        <f t="shared" si="1"/>
        <v>4526.6371493160559</v>
      </c>
    </row>
    <row r="5" spans="1:30" x14ac:dyDescent="0.35">
      <c r="A5" s="1" t="s">
        <v>20</v>
      </c>
      <c r="B5" s="60">
        <f>'Eurostat collected Portables GU'!W5+('Eurostat collected Portables GU'!W5*0.01)</f>
        <v>452.48</v>
      </c>
      <c r="C5" s="60">
        <f t="shared" si="1"/>
        <v>457.00480000000005</v>
      </c>
      <c r="D5" s="60">
        <f t="shared" si="1"/>
        <v>461.57484800000003</v>
      </c>
      <c r="E5" s="60">
        <f t="shared" si="1"/>
        <v>466.19059648000001</v>
      </c>
      <c r="F5" s="60">
        <f t="shared" si="1"/>
        <v>470.8525024448</v>
      </c>
      <c r="G5" s="60">
        <f t="shared" si="1"/>
        <v>475.56102746924802</v>
      </c>
      <c r="H5" s="60">
        <f t="shared" si="1"/>
        <v>480.31663774394048</v>
      </c>
      <c r="I5" s="60">
        <f t="shared" si="1"/>
        <v>485.1198041213799</v>
      </c>
      <c r="J5" s="60">
        <f t="shared" si="1"/>
        <v>489.97100216259372</v>
      </c>
      <c r="K5" s="60">
        <f t="shared" si="1"/>
        <v>494.87071218421966</v>
      </c>
      <c r="L5" s="60">
        <f t="shared" si="1"/>
        <v>499.81941930606183</v>
      </c>
      <c r="M5" s="60">
        <f t="shared" si="1"/>
        <v>504.81761349912244</v>
      </c>
      <c r="N5" s="60">
        <f t="shared" si="1"/>
        <v>509.8657896341137</v>
      </c>
      <c r="O5" s="60">
        <f t="shared" si="1"/>
        <v>514.96444753045478</v>
      </c>
      <c r="P5" s="60">
        <f t="shared" si="1"/>
        <v>520.11409200575929</v>
      </c>
      <c r="Q5" s="60">
        <f t="shared" si="1"/>
        <v>525.31523292581687</v>
      </c>
      <c r="R5" s="60">
        <f t="shared" si="1"/>
        <v>530.56838525507499</v>
      </c>
      <c r="S5" s="60">
        <f t="shared" si="1"/>
        <v>535.8740691076257</v>
      </c>
      <c r="T5" s="60">
        <f t="shared" si="1"/>
        <v>541.23280979870196</v>
      </c>
      <c r="U5" s="60">
        <f t="shared" si="1"/>
        <v>546.64513789668899</v>
      </c>
      <c r="V5" s="60">
        <f t="shared" si="1"/>
        <v>552.11158927565589</v>
      </c>
      <c r="W5" s="60">
        <f t="shared" si="1"/>
        <v>557.63270516841249</v>
      </c>
      <c r="X5" s="60">
        <f t="shared" si="1"/>
        <v>563.20903222009656</v>
      </c>
      <c r="Y5" s="60">
        <f t="shared" si="1"/>
        <v>568.84112254229751</v>
      </c>
      <c r="Z5" s="60">
        <f t="shared" si="1"/>
        <v>574.52953376772052</v>
      </c>
      <c r="AA5" s="60">
        <f t="shared" si="1"/>
        <v>580.27482910539777</v>
      </c>
      <c r="AB5" s="60">
        <f t="shared" si="1"/>
        <v>586.07757739645172</v>
      </c>
      <c r="AC5" s="60">
        <f t="shared" si="1"/>
        <v>591.93835317041624</v>
      </c>
      <c r="AD5" s="60">
        <f t="shared" si="1"/>
        <v>597.85773670212041</v>
      </c>
    </row>
    <row r="6" spans="1:30" x14ac:dyDescent="0.35">
      <c r="A6" s="1" t="s">
        <v>21</v>
      </c>
      <c r="B6" s="60">
        <f>'Eurostat collected Portables GU'!W6+('Eurostat collected Portables GU'!W6*0.01)</f>
        <v>89.89</v>
      </c>
      <c r="C6" s="60">
        <f t="shared" si="1"/>
        <v>90.788899999999998</v>
      </c>
      <c r="D6" s="60">
        <f t="shared" si="1"/>
        <v>91.696788999999995</v>
      </c>
      <c r="E6" s="60">
        <f t="shared" si="1"/>
        <v>92.613756889999991</v>
      </c>
      <c r="F6" s="60">
        <f t="shared" si="1"/>
        <v>93.539894458899994</v>
      </c>
      <c r="G6" s="60">
        <f t="shared" si="1"/>
        <v>94.47529340348899</v>
      </c>
      <c r="H6" s="60">
        <f t="shared" si="1"/>
        <v>95.420046337523885</v>
      </c>
      <c r="I6" s="60">
        <f t="shared" si="1"/>
        <v>96.37424680089913</v>
      </c>
      <c r="J6" s="60">
        <f t="shared" si="1"/>
        <v>97.337989268908117</v>
      </c>
      <c r="K6" s="60">
        <f t="shared" si="1"/>
        <v>98.311369161597199</v>
      </c>
      <c r="L6" s="60">
        <f t="shared" si="1"/>
        <v>99.294482853213168</v>
      </c>
      <c r="M6" s="60">
        <f t="shared" si="1"/>
        <v>100.2874276817453</v>
      </c>
      <c r="N6" s="60">
        <f t="shared" si="1"/>
        <v>101.29030195856275</v>
      </c>
      <c r="O6" s="60">
        <f t="shared" si="1"/>
        <v>102.30320497814837</v>
      </c>
      <c r="P6" s="60">
        <f t="shared" si="1"/>
        <v>103.32623702792985</v>
      </c>
      <c r="Q6" s="60">
        <f t="shared" si="1"/>
        <v>104.35949939820915</v>
      </c>
      <c r="R6" s="60">
        <f t="shared" si="1"/>
        <v>105.40309439219125</v>
      </c>
      <c r="S6" s="60">
        <f t="shared" si="1"/>
        <v>106.45712533611317</v>
      </c>
      <c r="T6" s="60">
        <f t="shared" si="1"/>
        <v>107.5216965894743</v>
      </c>
      <c r="U6" s="60">
        <f t="shared" si="1"/>
        <v>108.59691355536904</v>
      </c>
      <c r="V6" s="60">
        <f t="shared" si="1"/>
        <v>109.68288269092274</v>
      </c>
      <c r="W6" s="60">
        <f t="shared" si="1"/>
        <v>110.77971151783197</v>
      </c>
      <c r="X6" s="60">
        <f t="shared" si="1"/>
        <v>111.88750863301028</v>
      </c>
      <c r="Y6" s="60">
        <f t="shared" si="1"/>
        <v>113.00638371934039</v>
      </c>
      <c r="Z6" s="60">
        <f t="shared" si="1"/>
        <v>114.1364475565338</v>
      </c>
      <c r="AA6" s="60">
        <f t="shared" si="1"/>
        <v>115.27781203209913</v>
      </c>
      <c r="AB6" s="60">
        <f t="shared" si="1"/>
        <v>116.43059015242012</v>
      </c>
      <c r="AC6" s="60">
        <f t="shared" si="1"/>
        <v>117.59489605394432</v>
      </c>
      <c r="AD6" s="60">
        <f t="shared" si="1"/>
        <v>118.77084501448377</v>
      </c>
    </row>
    <row r="7" spans="1:30" x14ac:dyDescent="0.35">
      <c r="A7" s="1" t="s">
        <v>88</v>
      </c>
      <c r="B7" s="60">
        <f>'Eurostat collected Portables GU'!W7+('Eurostat collected Portables GU'!W7*0.01)</f>
        <v>2457.33</v>
      </c>
      <c r="C7" s="60">
        <f t="shared" si="1"/>
        <v>2481.9032999999999</v>
      </c>
      <c r="D7" s="60">
        <f t="shared" si="1"/>
        <v>2506.7223330000002</v>
      </c>
      <c r="E7" s="60">
        <f t="shared" si="1"/>
        <v>2531.7895563300003</v>
      </c>
      <c r="F7" s="60">
        <f t="shared" si="1"/>
        <v>2557.1074518933005</v>
      </c>
      <c r="G7" s="60">
        <f t="shared" si="1"/>
        <v>2582.6785264122336</v>
      </c>
      <c r="H7" s="60">
        <f t="shared" si="1"/>
        <v>2608.5053116763561</v>
      </c>
      <c r="I7" s="60">
        <f t="shared" si="1"/>
        <v>2634.5903647931195</v>
      </c>
      <c r="J7" s="60">
        <f t="shared" si="1"/>
        <v>2660.9362684410507</v>
      </c>
      <c r="K7" s="60">
        <f t="shared" si="1"/>
        <v>2687.5456311254611</v>
      </c>
      <c r="L7" s="60">
        <f t="shared" si="1"/>
        <v>2714.4210874367159</v>
      </c>
      <c r="M7" s="60">
        <f t="shared" si="1"/>
        <v>2741.5652983110831</v>
      </c>
      <c r="N7" s="60">
        <f t="shared" si="1"/>
        <v>2768.9809512941938</v>
      </c>
      <c r="O7" s="60">
        <f t="shared" si="1"/>
        <v>2796.6707608071356</v>
      </c>
      <c r="P7" s="60">
        <f t="shared" si="1"/>
        <v>2824.637468415207</v>
      </c>
      <c r="Q7" s="60">
        <f t="shared" si="1"/>
        <v>2852.8838430993592</v>
      </c>
      <c r="R7" s="60">
        <f t="shared" si="1"/>
        <v>2881.412681530353</v>
      </c>
      <c r="S7" s="60">
        <f t="shared" si="1"/>
        <v>2910.2268083456565</v>
      </c>
      <c r="T7" s="60">
        <f t="shared" si="1"/>
        <v>2939.3290764291132</v>
      </c>
      <c r="U7" s="60">
        <f t="shared" si="1"/>
        <v>2968.7223671934044</v>
      </c>
      <c r="V7" s="60">
        <f t="shared" si="1"/>
        <v>2998.4095908653385</v>
      </c>
      <c r="W7" s="60">
        <f t="shared" si="1"/>
        <v>3028.3936867739917</v>
      </c>
      <c r="X7" s="60">
        <f t="shared" si="1"/>
        <v>3058.6776236417318</v>
      </c>
      <c r="Y7" s="60">
        <f t="shared" si="1"/>
        <v>3089.2643998781491</v>
      </c>
      <c r="Z7" s="60">
        <f t="shared" si="1"/>
        <v>3120.1570438769304</v>
      </c>
      <c r="AA7" s="60">
        <f t="shared" si="1"/>
        <v>3151.3586143156999</v>
      </c>
      <c r="AB7" s="60">
        <f t="shared" si="1"/>
        <v>3182.8722004588572</v>
      </c>
      <c r="AC7" s="60">
        <f t="shared" si="1"/>
        <v>3214.7009224634457</v>
      </c>
      <c r="AD7" s="60">
        <f t="shared" si="1"/>
        <v>3246.8479316880803</v>
      </c>
    </row>
    <row r="8" spans="1:30" x14ac:dyDescent="0.35">
      <c r="A8" s="1" t="s">
        <v>22</v>
      </c>
      <c r="B8" s="60">
        <f>'Eurostat collected Portables GU'!W8+('Eurostat collected Portables GU'!W8*0.01)</f>
        <v>29920.240000000002</v>
      </c>
      <c r="C8" s="60">
        <f t="shared" si="1"/>
        <v>30219.4424</v>
      </c>
      <c r="D8" s="60">
        <f t="shared" si="1"/>
        <v>30521.636824000001</v>
      </c>
      <c r="E8" s="60">
        <f t="shared" si="1"/>
        <v>30826.85319224</v>
      </c>
      <c r="F8" s="60">
        <f t="shared" si="1"/>
        <v>31135.1217241624</v>
      </c>
      <c r="G8" s="60">
        <f t="shared" si="1"/>
        <v>31446.472941404023</v>
      </c>
      <c r="H8" s="60">
        <f t="shared" si="1"/>
        <v>31760.937670818064</v>
      </c>
      <c r="I8" s="60">
        <f t="shared" si="1"/>
        <v>32078.547047526245</v>
      </c>
      <c r="J8" s="60">
        <f t="shared" si="1"/>
        <v>32399.332518001505</v>
      </c>
      <c r="K8" s="60">
        <f t="shared" si="1"/>
        <v>32723.325843181519</v>
      </c>
      <c r="L8" s="60">
        <f t="shared" si="1"/>
        <v>33050.559101613333</v>
      </c>
      <c r="M8" s="60">
        <f t="shared" si="1"/>
        <v>33381.064692629465</v>
      </c>
      <c r="N8" s="60">
        <f t="shared" si="1"/>
        <v>33714.875339555758</v>
      </c>
      <c r="O8" s="60">
        <f t="shared" si="1"/>
        <v>34052.024092951317</v>
      </c>
      <c r="P8" s="60">
        <f t="shared" si="1"/>
        <v>34392.544333880833</v>
      </c>
      <c r="Q8" s="60">
        <f t="shared" si="1"/>
        <v>34736.469777219638</v>
      </c>
      <c r="R8" s="60">
        <f t="shared" si="1"/>
        <v>35083.834474991832</v>
      </c>
      <c r="S8" s="60">
        <f t="shared" si="1"/>
        <v>35434.672819741754</v>
      </c>
      <c r="T8" s="60">
        <f t="shared" si="1"/>
        <v>35789.01954793917</v>
      </c>
      <c r="U8" s="60">
        <f t="shared" si="1"/>
        <v>36146.909743418561</v>
      </c>
      <c r="V8" s="60">
        <f t="shared" si="1"/>
        <v>36508.378840852747</v>
      </c>
      <c r="W8" s="60">
        <f t="shared" si="1"/>
        <v>36873.462629261274</v>
      </c>
      <c r="X8" s="60">
        <f t="shared" si="1"/>
        <v>37242.197255553889</v>
      </c>
      <c r="Y8" s="60">
        <f t="shared" si="1"/>
        <v>37614.619228109426</v>
      </c>
      <c r="Z8" s="60">
        <f t="shared" si="1"/>
        <v>37990.765420390519</v>
      </c>
      <c r="AA8" s="60">
        <f t="shared" si="1"/>
        <v>38370.673074594422</v>
      </c>
      <c r="AB8" s="60">
        <f t="shared" si="1"/>
        <v>38754.379805340366</v>
      </c>
      <c r="AC8" s="60">
        <f t="shared" si="1"/>
        <v>39141.92360339377</v>
      </c>
      <c r="AD8" s="60">
        <f t="shared" si="1"/>
        <v>39533.342839427707</v>
      </c>
    </row>
    <row r="9" spans="1:30" x14ac:dyDescent="0.35">
      <c r="A9" s="1" t="s">
        <v>23</v>
      </c>
      <c r="B9" s="60">
        <f>'Eurostat collected Portables GU'!W9+('Eurostat collected Portables GU'!W9*0.01)</f>
        <v>2645.19</v>
      </c>
      <c r="C9" s="60">
        <f t="shared" si="1"/>
        <v>2671.6419000000001</v>
      </c>
      <c r="D9" s="60">
        <f t="shared" si="1"/>
        <v>2698.3583189999999</v>
      </c>
      <c r="E9" s="60">
        <f t="shared" si="1"/>
        <v>2725.3419021899999</v>
      </c>
      <c r="F9" s="60">
        <f t="shared" si="1"/>
        <v>2752.5953212118998</v>
      </c>
      <c r="G9" s="60">
        <f t="shared" si="1"/>
        <v>2780.1212744240188</v>
      </c>
      <c r="H9" s="60">
        <f t="shared" si="1"/>
        <v>2807.9224871682591</v>
      </c>
      <c r="I9" s="60">
        <f t="shared" si="1"/>
        <v>2836.0017120399416</v>
      </c>
      <c r="J9" s="60">
        <f t="shared" si="1"/>
        <v>2864.3617291603409</v>
      </c>
      <c r="K9" s="60">
        <f t="shared" si="1"/>
        <v>2893.0053464519442</v>
      </c>
      <c r="L9" s="60">
        <f t="shared" si="1"/>
        <v>2921.9353999164637</v>
      </c>
      <c r="M9" s="60">
        <f t="shared" si="1"/>
        <v>2951.1547539156281</v>
      </c>
      <c r="N9" s="60">
        <f t="shared" si="1"/>
        <v>2980.6663014547844</v>
      </c>
      <c r="O9" s="60">
        <f t="shared" si="1"/>
        <v>3010.4729644693321</v>
      </c>
      <c r="P9" s="60">
        <f t="shared" si="1"/>
        <v>3040.5776941140252</v>
      </c>
      <c r="Q9" s="60">
        <f t="shared" si="1"/>
        <v>3070.9834710551654</v>
      </c>
      <c r="R9" s="60">
        <f t="shared" si="1"/>
        <v>3101.693305765717</v>
      </c>
      <c r="S9" s="60">
        <f t="shared" si="1"/>
        <v>3132.7102388233743</v>
      </c>
      <c r="T9" s="60">
        <f t="shared" si="1"/>
        <v>3164.0373412116082</v>
      </c>
      <c r="U9" s="60">
        <f t="shared" si="1"/>
        <v>3195.6777146237241</v>
      </c>
      <c r="V9" s="60">
        <f t="shared" si="1"/>
        <v>3227.6344917699612</v>
      </c>
      <c r="W9" s="60">
        <f t="shared" si="1"/>
        <v>3259.9108366876608</v>
      </c>
      <c r="X9" s="60">
        <f t="shared" si="1"/>
        <v>3292.5099450545372</v>
      </c>
      <c r="Y9" s="60">
        <f t="shared" si="1"/>
        <v>3325.4350445050827</v>
      </c>
      <c r="Z9" s="60">
        <f t="shared" si="1"/>
        <v>3358.6893949501336</v>
      </c>
      <c r="AA9" s="60">
        <f t="shared" si="1"/>
        <v>3392.2762888996349</v>
      </c>
      <c r="AB9" s="60">
        <f t="shared" si="1"/>
        <v>3426.1990517886311</v>
      </c>
      <c r="AC9" s="60">
        <f t="shared" si="1"/>
        <v>3460.4610423065174</v>
      </c>
      <c r="AD9" s="60">
        <f t="shared" si="1"/>
        <v>3495.0656527295823</v>
      </c>
    </row>
    <row r="10" spans="1:30" x14ac:dyDescent="0.35">
      <c r="A10" s="1" t="s">
        <v>26</v>
      </c>
      <c r="B10" s="60">
        <f>'Eurostat collected Portables GU'!W10+('Eurostat collected Portables GU'!W10*0.01)</f>
        <v>231.29</v>
      </c>
      <c r="C10" s="60">
        <f t="shared" si="1"/>
        <v>233.60290000000001</v>
      </c>
      <c r="D10" s="60">
        <f t="shared" si="1"/>
        <v>235.938929</v>
      </c>
      <c r="E10" s="60">
        <f t="shared" si="1"/>
        <v>238.29831829</v>
      </c>
      <c r="F10" s="60">
        <f t="shared" si="1"/>
        <v>240.6813014729</v>
      </c>
      <c r="G10" s="60">
        <f t="shared" si="1"/>
        <v>243.08811448762901</v>
      </c>
      <c r="H10" s="60">
        <f t="shared" si="1"/>
        <v>245.51899563250529</v>
      </c>
      <c r="I10" s="60">
        <f t="shared" si="1"/>
        <v>247.97418558883035</v>
      </c>
      <c r="J10" s="60">
        <f t="shared" si="1"/>
        <v>250.45392744471866</v>
      </c>
      <c r="K10" s="60">
        <f t="shared" si="1"/>
        <v>252.95846671916584</v>
      </c>
      <c r="L10" s="60">
        <f t="shared" si="1"/>
        <v>255.48805138635751</v>
      </c>
      <c r="M10" s="60">
        <f t="shared" si="1"/>
        <v>258.04293190022111</v>
      </c>
      <c r="N10" s="60">
        <f t="shared" si="1"/>
        <v>260.62336121922334</v>
      </c>
      <c r="O10" s="60">
        <f t="shared" si="1"/>
        <v>263.22959483141557</v>
      </c>
      <c r="P10" s="60">
        <f t="shared" si="1"/>
        <v>265.86189077972972</v>
      </c>
      <c r="Q10" s="60">
        <f t="shared" si="1"/>
        <v>268.52050968752701</v>
      </c>
      <c r="R10" s="60">
        <f t="shared" si="1"/>
        <v>271.20571478440229</v>
      </c>
      <c r="S10" s="60">
        <f t="shared" si="1"/>
        <v>273.9177719322463</v>
      </c>
      <c r="T10" s="60">
        <f t="shared" si="1"/>
        <v>276.65694965156877</v>
      </c>
      <c r="U10" s="60">
        <f t="shared" ref="C10:AD20" si="2">T10+(T10*0.01)</f>
        <v>279.42351914808444</v>
      </c>
      <c r="V10" s="60">
        <f t="shared" si="2"/>
        <v>282.21775433956526</v>
      </c>
      <c r="W10" s="60">
        <f t="shared" si="2"/>
        <v>285.0399318829609</v>
      </c>
      <c r="X10" s="60">
        <f t="shared" si="2"/>
        <v>287.8903312017905</v>
      </c>
      <c r="Y10" s="60">
        <f t="shared" si="2"/>
        <v>290.76923451380839</v>
      </c>
      <c r="Z10" s="60">
        <f t="shared" si="2"/>
        <v>293.67692685894644</v>
      </c>
      <c r="AA10" s="60">
        <f t="shared" si="2"/>
        <v>296.61369612753589</v>
      </c>
      <c r="AB10" s="60">
        <f t="shared" si="2"/>
        <v>299.57983308881126</v>
      </c>
      <c r="AC10" s="60">
        <f t="shared" si="2"/>
        <v>302.57563141969939</v>
      </c>
      <c r="AD10" s="60">
        <f t="shared" si="2"/>
        <v>305.60138773389639</v>
      </c>
    </row>
    <row r="11" spans="1:30" x14ac:dyDescent="0.35">
      <c r="A11" s="1" t="s">
        <v>27</v>
      </c>
      <c r="B11" s="60">
        <f>'Eurostat collected Portables GU'!W11+('Eurostat collected Portables GU'!W11*0.01)</f>
        <v>619.15019999999993</v>
      </c>
      <c r="C11" s="60">
        <f t="shared" si="2"/>
        <v>625.34170199999994</v>
      </c>
      <c r="D11" s="60">
        <f t="shared" si="2"/>
        <v>631.59511901999997</v>
      </c>
      <c r="E11" s="60">
        <f t="shared" si="2"/>
        <v>637.91107021020002</v>
      </c>
      <c r="F11" s="60">
        <f t="shared" si="2"/>
        <v>644.29018091230205</v>
      </c>
      <c r="G11" s="60">
        <f t="shared" si="2"/>
        <v>650.73308272142503</v>
      </c>
      <c r="H11" s="60">
        <f t="shared" si="2"/>
        <v>657.24041354863925</v>
      </c>
      <c r="I11" s="60">
        <f t="shared" si="2"/>
        <v>663.81281768412566</v>
      </c>
      <c r="J11" s="60">
        <f t="shared" si="2"/>
        <v>670.45094586096695</v>
      </c>
      <c r="K11" s="60">
        <f t="shared" si="2"/>
        <v>677.15545531957662</v>
      </c>
      <c r="L11" s="60">
        <f t="shared" si="2"/>
        <v>683.92700987277237</v>
      </c>
      <c r="M11" s="60">
        <f t="shared" si="2"/>
        <v>690.76627997150013</v>
      </c>
      <c r="N11" s="60">
        <f t="shared" si="2"/>
        <v>697.67394277121514</v>
      </c>
      <c r="O11" s="60">
        <f t="shared" si="2"/>
        <v>704.65068219892726</v>
      </c>
      <c r="P11" s="60">
        <f t="shared" si="2"/>
        <v>711.69718902091654</v>
      </c>
      <c r="Q11" s="60">
        <f t="shared" si="2"/>
        <v>718.81416091112567</v>
      </c>
      <c r="R11" s="60">
        <f t="shared" si="2"/>
        <v>726.00230252023698</v>
      </c>
      <c r="S11" s="60">
        <f t="shared" si="2"/>
        <v>733.26232554543935</v>
      </c>
      <c r="T11" s="60">
        <f t="shared" si="2"/>
        <v>740.59494880089369</v>
      </c>
      <c r="U11" s="60">
        <f t="shared" si="2"/>
        <v>748.00089828890259</v>
      </c>
      <c r="V11" s="60">
        <f t="shared" si="2"/>
        <v>755.48090727179158</v>
      </c>
      <c r="W11" s="60">
        <f t="shared" si="2"/>
        <v>763.03571634450952</v>
      </c>
      <c r="X11" s="60">
        <f t="shared" si="2"/>
        <v>770.66607350795459</v>
      </c>
      <c r="Y11" s="60">
        <f t="shared" si="2"/>
        <v>778.37273424303419</v>
      </c>
      <c r="Z11" s="60">
        <f t="shared" si="2"/>
        <v>786.15646158546451</v>
      </c>
      <c r="AA11" s="60">
        <f t="shared" si="2"/>
        <v>794.01802620131912</v>
      </c>
      <c r="AB11" s="60">
        <f t="shared" si="2"/>
        <v>801.95820646333232</v>
      </c>
      <c r="AC11" s="60">
        <f t="shared" si="2"/>
        <v>809.97778852796569</v>
      </c>
      <c r="AD11" s="60">
        <f t="shared" si="2"/>
        <v>818.07756641324534</v>
      </c>
    </row>
    <row r="12" spans="1:30" x14ac:dyDescent="0.35">
      <c r="A12" s="1" t="s">
        <v>25</v>
      </c>
      <c r="B12" s="60">
        <f>'Eurostat collected Portables GU'!W12+('Eurostat collected Portables GU'!W12*0.01)</f>
        <v>7547.73</v>
      </c>
      <c r="C12" s="60">
        <f t="shared" si="2"/>
        <v>7623.2072999999991</v>
      </c>
      <c r="D12" s="60">
        <f t="shared" si="2"/>
        <v>7699.4393729999993</v>
      </c>
      <c r="E12" s="60">
        <f t="shared" si="2"/>
        <v>7776.4337667299997</v>
      </c>
      <c r="F12" s="60">
        <f t="shared" si="2"/>
        <v>7854.1981043973001</v>
      </c>
      <c r="G12" s="60">
        <f t="shared" si="2"/>
        <v>7932.7400854412726</v>
      </c>
      <c r="H12" s="60">
        <f t="shared" si="2"/>
        <v>8012.0674862956857</v>
      </c>
      <c r="I12" s="60">
        <f t="shared" si="2"/>
        <v>8092.1881611586423</v>
      </c>
      <c r="J12" s="60">
        <f t="shared" si="2"/>
        <v>8173.1100427702286</v>
      </c>
      <c r="K12" s="60">
        <f t="shared" si="2"/>
        <v>8254.8411431979312</v>
      </c>
      <c r="L12" s="60">
        <f t="shared" si="2"/>
        <v>8337.38955462991</v>
      </c>
      <c r="M12" s="60">
        <f t="shared" si="2"/>
        <v>8420.7634501762095</v>
      </c>
      <c r="N12" s="60">
        <f t="shared" si="2"/>
        <v>8504.9710846779708</v>
      </c>
      <c r="O12" s="60">
        <f t="shared" si="2"/>
        <v>8590.0207955247497</v>
      </c>
      <c r="P12" s="60">
        <f t="shared" si="2"/>
        <v>8675.921003479998</v>
      </c>
      <c r="Q12" s="60">
        <f t="shared" si="2"/>
        <v>8762.6802135147973</v>
      </c>
      <c r="R12" s="60">
        <f t="shared" si="2"/>
        <v>8850.3070156499452</v>
      </c>
      <c r="S12" s="60">
        <f t="shared" si="2"/>
        <v>8938.8100858064445</v>
      </c>
      <c r="T12" s="60">
        <f t="shared" si="2"/>
        <v>9028.1981866645092</v>
      </c>
      <c r="U12" s="60">
        <f t="shared" si="2"/>
        <v>9118.480168531154</v>
      </c>
      <c r="V12" s="60">
        <f t="shared" si="2"/>
        <v>9209.664970216465</v>
      </c>
      <c r="W12" s="60">
        <f t="shared" si="2"/>
        <v>9301.7616199186305</v>
      </c>
      <c r="X12" s="60">
        <f t="shared" si="2"/>
        <v>9394.7792361178163</v>
      </c>
      <c r="Y12" s="60">
        <f t="shared" si="2"/>
        <v>9488.7270284789938</v>
      </c>
      <c r="Z12" s="60">
        <f t="shared" si="2"/>
        <v>9583.6142987637832</v>
      </c>
      <c r="AA12" s="60">
        <f t="shared" si="2"/>
        <v>9679.4504417514217</v>
      </c>
      <c r="AB12" s="60">
        <f t="shared" si="2"/>
        <v>9776.2449461689357</v>
      </c>
      <c r="AC12" s="60">
        <f t="shared" si="2"/>
        <v>9874.007395630626</v>
      </c>
      <c r="AD12" s="60">
        <f t="shared" si="2"/>
        <v>9972.7474695869314</v>
      </c>
    </row>
    <row r="13" spans="1:30" x14ac:dyDescent="0.35">
      <c r="A13" s="1" t="s">
        <v>24</v>
      </c>
      <c r="B13" s="60">
        <f>'Eurostat collected Portables GU'!W13+('Eurostat collected Portables GU'!W13*0.01)</f>
        <v>2114.94</v>
      </c>
      <c r="C13" s="60">
        <f t="shared" si="2"/>
        <v>2136.0893999999998</v>
      </c>
      <c r="D13" s="60">
        <f t="shared" si="2"/>
        <v>2157.4502939999998</v>
      </c>
      <c r="E13" s="60">
        <f t="shared" si="2"/>
        <v>2179.0247969399998</v>
      </c>
      <c r="F13" s="60">
        <f t="shared" si="2"/>
        <v>2200.8150449093996</v>
      </c>
      <c r="G13" s="60">
        <f t="shared" si="2"/>
        <v>2222.8231953584936</v>
      </c>
      <c r="H13" s="60">
        <f t="shared" si="2"/>
        <v>2245.0514273120784</v>
      </c>
      <c r="I13" s="60">
        <f t="shared" si="2"/>
        <v>2267.5019415851993</v>
      </c>
      <c r="J13" s="60">
        <f t="shared" si="2"/>
        <v>2290.1769610010515</v>
      </c>
      <c r="K13" s="60">
        <f t="shared" si="2"/>
        <v>2313.0787306110619</v>
      </c>
      <c r="L13" s="60">
        <f t="shared" si="2"/>
        <v>2336.2095179171724</v>
      </c>
      <c r="M13" s="60">
        <f t="shared" si="2"/>
        <v>2359.5716130963442</v>
      </c>
      <c r="N13" s="60">
        <f t="shared" si="2"/>
        <v>2383.1673292273076</v>
      </c>
      <c r="O13" s="60">
        <f t="shared" si="2"/>
        <v>2406.9990025195807</v>
      </c>
      <c r="P13" s="60">
        <f t="shared" si="2"/>
        <v>2431.0689925447764</v>
      </c>
      <c r="Q13" s="60">
        <f t="shared" si="2"/>
        <v>2455.379682470224</v>
      </c>
      <c r="R13" s="60">
        <f t="shared" si="2"/>
        <v>2479.9334792949262</v>
      </c>
      <c r="S13" s="60">
        <f t="shared" si="2"/>
        <v>2504.7328140878753</v>
      </c>
      <c r="T13" s="60">
        <f t="shared" si="2"/>
        <v>2529.7801422287539</v>
      </c>
      <c r="U13" s="60">
        <f t="shared" si="2"/>
        <v>2555.0779436510416</v>
      </c>
      <c r="V13" s="60">
        <f t="shared" si="2"/>
        <v>2580.6287230875519</v>
      </c>
      <c r="W13" s="60">
        <f t="shared" si="2"/>
        <v>2606.4350103184274</v>
      </c>
      <c r="X13" s="60">
        <f t="shared" si="2"/>
        <v>2632.4993604216115</v>
      </c>
      <c r="Y13" s="60">
        <f t="shared" si="2"/>
        <v>2658.8243540258277</v>
      </c>
      <c r="Z13" s="60">
        <f t="shared" si="2"/>
        <v>2685.4125975660859</v>
      </c>
      <c r="AA13" s="60">
        <f t="shared" si="2"/>
        <v>2712.2667235417466</v>
      </c>
      <c r="AB13" s="60">
        <f t="shared" si="2"/>
        <v>2739.389390777164</v>
      </c>
      <c r="AC13" s="60">
        <f t="shared" si="2"/>
        <v>2766.7832846849356</v>
      </c>
      <c r="AD13" s="60">
        <f t="shared" si="2"/>
        <v>2794.4511175317848</v>
      </c>
    </row>
    <row r="14" spans="1:30" x14ac:dyDescent="0.35">
      <c r="A14" s="1" t="s">
        <v>2</v>
      </c>
      <c r="B14" s="60">
        <f>'Eurostat collected Portables GU'!W14+('Eurostat collected Portables GU'!W14*0.01)</f>
        <v>744.37</v>
      </c>
      <c r="C14" s="60">
        <f t="shared" si="2"/>
        <v>751.81370000000004</v>
      </c>
      <c r="D14" s="60">
        <f t="shared" si="2"/>
        <v>759.33183700000006</v>
      </c>
      <c r="E14" s="60">
        <f t="shared" si="2"/>
        <v>766.92515537000008</v>
      </c>
      <c r="F14" s="60">
        <f t="shared" si="2"/>
        <v>774.59440692370003</v>
      </c>
      <c r="G14" s="60">
        <f t="shared" si="2"/>
        <v>782.34035099293703</v>
      </c>
      <c r="H14" s="60">
        <f t="shared" si="2"/>
        <v>790.16375450286637</v>
      </c>
      <c r="I14" s="60">
        <f t="shared" si="2"/>
        <v>798.06539204789499</v>
      </c>
      <c r="J14" s="60">
        <f t="shared" si="2"/>
        <v>806.04604596837396</v>
      </c>
      <c r="K14" s="60">
        <f t="shared" si="2"/>
        <v>814.10650642805774</v>
      </c>
      <c r="L14" s="60">
        <f t="shared" si="2"/>
        <v>822.24757149233835</v>
      </c>
      <c r="M14" s="60">
        <f t="shared" si="2"/>
        <v>830.4700472072617</v>
      </c>
      <c r="N14" s="60">
        <f t="shared" si="2"/>
        <v>838.77474767933427</v>
      </c>
      <c r="O14" s="60">
        <f t="shared" si="2"/>
        <v>847.16249515612765</v>
      </c>
      <c r="P14" s="60">
        <f t="shared" si="2"/>
        <v>855.63412010768889</v>
      </c>
      <c r="Q14" s="60">
        <f t="shared" si="2"/>
        <v>864.19046130876575</v>
      </c>
      <c r="R14" s="60">
        <f t="shared" si="2"/>
        <v>872.83236592185335</v>
      </c>
      <c r="S14" s="60">
        <f t="shared" si="2"/>
        <v>881.56068958107187</v>
      </c>
      <c r="T14" s="60">
        <f t="shared" si="2"/>
        <v>890.37629647688254</v>
      </c>
      <c r="U14" s="60">
        <f t="shared" si="2"/>
        <v>899.28005944165136</v>
      </c>
      <c r="V14" s="60">
        <f t="shared" si="2"/>
        <v>908.27286003606787</v>
      </c>
      <c r="W14" s="60">
        <f t="shared" si="2"/>
        <v>917.35558863642859</v>
      </c>
      <c r="X14" s="60">
        <f t="shared" si="2"/>
        <v>926.52914452279288</v>
      </c>
      <c r="Y14" s="60">
        <f t="shared" si="2"/>
        <v>935.79443596802082</v>
      </c>
      <c r="Z14" s="60">
        <f t="shared" si="2"/>
        <v>945.15238032770105</v>
      </c>
      <c r="AA14" s="60">
        <f t="shared" si="2"/>
        <v>954.60390413097809</v>
      </c>
      <c r="AB14" s="60">
        <f t="shared" si="2"/>
        <v>964.14994317228786</v>
      </c>
      <c r="AC14" s="60">
        <f t="shared" si="2"/>
        <v>973.79144260401074</v>
      </c>
      <c r="AD14" s="60">
        <f t="shared" si="2"/>
        <v>983.52935703005085</v>
      </c>
    </row>
    <row r="15" spans="1:30" x14ac:dyDescent="0.35">
      <c r="A15" s="1" t="s">
        <v>3</v>
      </c>
      <c r="B15" s="60">
        <f>'Eurostat collected Portables GU'!W15+('Eurostat collected Portables GU'!W15*0.01)</f>
        <v>1344.31</v>
      </c>
      <c r="C15" s="60">
        <f t="shared" si="2"/>
        <v>1357.7530999999999</v>
      </c>
      <c r="D15" s="60">
        <f t="shared" si="2"/>
        <v>1371.3306309999998</v>
      </c>
      <c r="E15" s="60">
        <f t="shared" si="2"/>
        <v>1385.0439373099998</v>
      </c>
      <c r="F15" s="60">
        <f t="shared" si="2"/>
        <v>1398.8943766830998</v>
      </c>
      <c r="G15" s="60">
        <f t="shared" si="2"/>
        <v>1412.8833204499308</v>
      </c>
      <c r="H15" s="60">
        <f t="shared" si="2"/>
        <v>1427.0121536544302</v>
      </c>
      <c r="I15" s="60">
        <f t="shared" si="2"/>
        <v>1441.2822751909746</v>
      </c>
      <c r="J15" s="60">
        <f t="shared" si="2"/>
        <v>1455.6950979428843</v>
      </c>
      <c r="K15" s="60">
        <f t="shared" si="2"/>
        <v>1470.2520489223132</v>
      </c>
      <c r="L15" s="60">
        <f t="shared" si="2"/>
        <v>1484.9545694115363</v>
      </c>
      <c r="M15" s="60">
        <f t="shared" si="2"/>
        <v>1499.8041151056518</v>
      </c>
      <c r="N15" s="60">
        <f t="shared" si="2"/>
        <v>1514.8021562567083</v>
      </c>
      <c r="O15" s="60">
        <f t="shared" si="2"/>
        <v>1529.9501778192753</v>
      </c>
      <c r="P15" s="60">
        <f t="shared" si="2"/>
        <v>1545.249679597468</v>
      </c>
      <c r="Q15" s="60">
        <f t="shared" si="2"/>
        <v>1560.7021763934426</v>
      </c>
      <c r="R15" s="60">
        <f t="shared" si="2"/>
        <v>1576.3091981573771</v>
      </c>
      <c r="S15" s="60">
        <f t="shared" si="2"/>
        <v>1592.0722901389508</v>
      </c>
      <c r="T15" s="60">
        <f t="shared" si="2"/>
        <v>1607.9930130403404</v>
      </c>
      <c r="U15" s="60">
        <f t="shared" si="2"/>
        <v>1624.0729431707439</v>
      </c>
      <c r="V15" s="60">
        <f t="shared" si="2"/>
        <v>1640.3136726024513</v>
      </c>
      <c r="W15" s="60">
        <f t="shared" si="2"/>
        <v>1656.7168093284758</v>
      </c>
      <c r="X15" s="60">
        <f t="shared" si="2"/>
        <v>1673.2839774217607</v>
      </c>
      <c r="Y15" s="60">
        <f t="shared" si="2"/>
        <v>1690.0168171959783</v>
      </c>
      <c r="Z15" s="60">
        <f t="shared" si="2"/>
        <v>1706.9169853679382</v>
      </c>
      <c r="AA15" s="60">
        <f t="shared" si="2"/>
        <v>1723.9861552216175</v>
      </c>
      <c r="AB15" s="60">
        <f t="shared" si="2"/>
        <v>1741.2260167738336</v>
      </c>
      <c r="AC15" s="60">
        <f t="shared" si="2"/>
        <v>1758.638276941572</v>
      </c>
      <c r="AD15" s="60">
        <f t="shared" si="2"/>
        <v>1776.2246597109877</v>
      </c>
    </row>
    <row r="16" spans="1:30" x14ac:dyDescent="0.35">
      <c r="A16" s="1" t="s">
        <v>86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0"/>
      <c r="Y16" s="60"/>
      <c r="Z16" s="60"/>
      <c r="AA16" s="60"/>
      <c r="AB16" s="60"/>
      <c r="AC16" s="60"/>
      <c r="AD16" s="60"/>
    </row>
    <row r="17" spans="1:30" x14ac:dyDescent="0.35">
      <c r="A17" s="1" t="s">
        <v>1</v>
      </c>
      <c r="B17" s="60">
        <f>'Eurostat collected Portables GU'!W17+('Eurostat collected Portables GU'!W17*0.01)</f>
        <v>1607.92</v>
      </c>
      <c r="C17" s="60">
        <f t="shared" si="2"/>
        <v>1623.9992</v>
      </c>
      <c r="D17" s="60">
        <f t="shared" si="2"/>
        <v>1640.239192</v>
      </c>
      <c r="E17" s="60">
        <f t="shared" si="2"/>
        <v>1656.6415839199999</v>
      </c>
      <c r="F17" s="60">
        <f t="shared" si="2"/>
        <v>1673.2079997592</v>
      </c>
      <c r="G17" s="60">
        <f t="shared" si="2"/>
        <v>1689.9400797567921</v>
      </c>
      <c r="H17" s="60">
        <f t="shared" si="2"/>
        <v>1706.8394805543601</v>
      </c>
      <c r="I17" s="60">
        <f t="shared" si="2"/>
        <v>1723.9078753599038</v>
      </c>
      <c r="J17" s="60">
        <f t="shared" si="2"/>
        <v>1741.1469541135027</v>
      </c>
      <c r="K17" s="60">
        <f t="shared" si="2"/>
        <v>1758.5584236546376</v>
      </c>
      <c r="L17" s="60">
        <f t="shared" si="2"/>
        <v>1776.1440078911839</v>
      </c>
      <c r="M17" s="60">
        <f t="shared" si="2"/>
        <v>1793.9054479700958</v>
      </c>
      <c r="N17" s="60">
        <f t="shared" si="2"/>
        <v>1811.8445024497967</v>
      </c>
      <c r="O17" s="60">
        <f t="shared" si="2"/>
        <v>1829.9629474742947</v>
      </c>
      <c r="P17" s="60">
        <f t="shared" si="2"/>
        <v>1848.2625769490376</v>
      </c>
      <c r="Q17" s="60">
        <f t="shared" si="2"/>
        <v>1866.7452027185279</v>
      </c>
      <c r="R17" s="60">
        <f t="shared" si="2"/>
        <v>1885.4126547457133</v>
      </c>
      <c r="S17" s="60">
        <f t="shared" si="2"/>
        <v>1904.2667812931704</v>
      </c>
      <c r="T17" s="60">
        <f t="shared" si="2"/>
        <v>1923.3094491061022</v>
      </c>
      <c r="U17" s="60">
        <f t="shared" si="2"/>
        <v>1942.5425435971631</v>
      </c>
      <c r="V17" s="60">
        <f t="shared" si="2"/>
        <v>1961.9679690331348</v>
      </c>
      <c r="W17" s="60">
        <f t="shared" si="2"/>
        <v>1981.5876487234661</v>
      </c>
      <c r="X17" s="60">
        <f t="shared" si="2"/>
        <v>2001.4035252107008</v>
      </c>
      <c r="Y17" s="60">
        <f t="shared" si="2"/>
        <v>2021.4175604628078</v>
      </c>
      <c r="Z17" s="60">
        <f t="shared" si="2"/>
        <v>2041.6317360674359</v>
      </c>
      <c r="AA17" s="60">
        <f t="shared" si="2"/>
        <v>2062.0480534281101</v>
      </c>
      <c r="AB17" s="60">
        <f t="shared" si="2"/>
        <v>2082.6685339623909</v>
      </c>
      <c r="AC17" s="60">
        <f t="shared" si="2"/>
        <v>2103.4952193020149</v>
      </c>
      <c r="AD17" s="60">
        <f t="shared" si="2"/>
        <v>2124.5301714950351</v>
      </c>
    </row>
    <row r="18" spans="1:30" x14ac:dyDescent="0.35">
      <c r="A18" s="1" t="s">
        <v>4</v>
      </c>
      <c r="B18" s="60">
        <f>'Eurostat collected Portables GU'!W18+('Eurostat collected Portables GU'!W18*0.01)</f>
        <v>10603.99</v>
      </c>
      <c r="C18" s="60">
        <f t="shared" si="2"/>
        <v>10710.0299</v>
      </c>
      <c r="D18" s="60">
        <f t="shared" si="2"/>
        <v>10817.130198999999</v>
      </c>
      <c r="E18" s="60">
        <f t="shared" si="2"/>
        <v>10925.301500989999</v>
      </c>
      <c r="F18" s="60">
        <f t="shared" si="2"/>
        <v>11034.554515999898</v>
      </c>
      <c r="G18" s="60">
        <f t="shared" si="2"/>
        <v>11144.900061159897</v>
      </c>
      <c r="H18" s="60">
        <f t="shared" si="2"/>
        <v>11256.349061771496</v>
      </c>
      <c r="I18" s="60">
        <f t="shared" si="2"/>
        <v>11368.912552389211</v>
      </c>
      <c r="J18" s="60">
        <f t="shared" si="2"/>
        <v>11482.601677913102</v>
      </c>
      <c r="K18" s="60">
        <f t="shared" si="2"/>
        <v>11597.427694692233</v>
      </c>
      <c r="L18" s="60">
        <f t="shared" si="2"/>
        <v>11713.401971639156</v>
      </c>
      <c r="M18" s="60">
        <f t="shared" si="2"/>
        <v>11830.535991355548</v>
      </c>
      <c r="N18" s="60">
        <f t="shared" si="2"/>
        <v>11948.841351269102</v>
      </c>
      <c r="O18" s="60">
        <f t="shared" si="2"/>
        <v>12068.329764781793</v>
      </c>
      <c r="P18" s="60">
        <f t="shared" si="2"/>
        <v>12189.013062429611</v>
      </c>
      <c r="Q18" s="60">
        <f t="shared" si="2"/>
        <v>12310.903193053908</v>
      </c>
      <c r="R18" s="60">
        <f t="shared" si="2"/>
        <v>12434.012224984446</v>
      </c>
      <c r="S18" s="60">
        <f t="shared" si="2"/>
        <v>12558.352347234291</v>
      </c>
      <c r="T18" s="60">
        <f t="shared" si="2"/>
        <v>12683.935870706635</v>
      </c>
      <c r="U18" s="60">
        <f t="shared" si="2"/>
        <v>12810.775229413701</v>
      </c>
      <c r="V18" s="60">
        <f t="shared" si="2"/>
        <v>12938.882981707839</v>
      </c>
      <c r="W18" s="60">
        <f t="shared" si="2"/>
        <v>13068.271811524917</v>
      </c>
      <c r="X18" s="60">
        <f t="shared" si="2"/>
        <v>13198.954529640167</v>
      </c>
      <c r="Y18" s="60">
        <f t="shared" si="2"/>
        <v>13330.944074936568</v>
      </c>
      <c r="Z18" s="60">
        <f t="shared" si="2"/>
        <v>13464.253515685934</v>
      </c>
      <c r="AA18" s="60">
        <f t="shared" si="2"/>
        <v>13598.896050842794</v>
      </c>
      <c r="AB18" s="60">
        <f t="shared" si="2"/>
        <v>13734.885011351222</v>
      </c>
      <c r="AC18" s="60">
        <f t="shared" si="2"/>
        <v>13872.233861464734</v>
      </c>
      <c r="AD18" s="60">
        <f t="shared" si="2"/>
        <v>14010.956200079381</v>
      </c>
    </row>
    <row r="19" spans="1:30" x14ac:dyDescent="0.35">
      <c r="A19" s="1" t="s">
        <v>5</v>
      </c>
      <c r="B19" s="60">
        <f>'Eurostat collected Portables GU'!W19+('Eurostat collected Portables GU'!W19*0.01)</f>
        <v>399.96</v>
      </c>
      <c r="C19" s="60">
        <f t="shared" si="2"/>
        <v>403.95959999999997</v>
      </c>
      <c r="D19" s="60">
        <f t="shared" si="2"/>
        <v>407.99919599999998</v>
      </c>
      <c r="E19" s="60">
        <f t="shared" si="2"/>
        <v>412.07918795999996</v>
      </c>
      <c r="F19" s="60">
        <f t="shared" si="2"/>
        <v>416.19997983959996</v>
      </c>
      <c r="G19" s="60">
        <f t="shared" si="2"/>
        <v>420.36197963799594</v>
      </c>
      <c r="H19" s="60">
        <f t="shared" si="2"/>
        <v>424.56559943437588</v>
      </c>
      <c r="I19" s="60">
        <f t="shared" si="2"/>
        <v>428.81125542871962</v>
      </c>
      <c r="J19" s="60">
        <f t="shared" si="2"/>
        <v>433.0993679830068</v>
      </c>
      <c r="K19" s="60">
        <f t="shared" si="2"/>
        <v>437.43036166283684</v>
      </c>
      <c r="L19" s="60">
        <f t="shared" si="2"/>
        <v>441.80466527946521</v>
      </c>
      <c r="M19" s="60">
        <f t="shared" si="2"/>
        <v>446.22271193225987</v>
      </c>
      <c r="N19" s="60">
        <f t="shared" si="2"/>
        <v>450.68493905158249</v>
      </c>
      <c r="O19" s="60">
        <f t="shared" si="2"/>
        <v>455.1917884420983</v>
      </c>
      <c r="P19" s="60">
        <f t="shared" si="2"/>
        <v>459.74370632651926</v>
      </c>
      <c r="Q19" s="60">
        <f t="shared" si="2"/>
        <v>464.34114338978446</v>
      </c>
      <c r="R19" s="60">
        <f t="shared" si="2"/>
        <v>468.98455482368229</v>
      </c>
      <c r="S19" s="60">
        <f t="shared" si="2"/>
        <v>473.67440037191909</v>
      </c>
      <c r="T19" s="60">
        <f t="shared" si="2"/>
        <v>478.41114437563829</v>
      </c>
      <c r="U19" s="60">
        <f t="shared" si="2"/>
        <v>483.19525581939467</v>
      </c>
      <c r="V19" s="60">
        <f t="shared" si="2"/>
        <v>488.02720837758864</v>
      </c>
      <c r="W19" s="60">
        <f t="shared" si="2"/>
        <v>492.90748046136451</v>
      </c>
      <c r="X19" s="60">
        <f t="shared" si="2"/>
        <v>497.83655526597818</v>
      </c>
      <c r="Y19" s="60">
        <f t="shared" si="2"/>
        <v>502.81492081863797</v>
      </c>
      <c r="Z19" s="60">
        <f t="shared" si="2"/>
        <v>507.84307002682436</v>
      </c>
      <c r="AA19" s="60">
        <f t="shared" si="2"/>
        <v>512.92150072709262</v>
      </c>
      <c r="AB19" s="60">
        <f t="shared" si="2"/>
        <v>518.05071573436351</v>
      </c>
      <c r="AC19" s="60">
        <f t="shared" si="2"/>
        <v>523.23122289170715</v>
      </c>
      <c r="AD19" s="60">
        <f t="shared" si="2"/>
        <v>528.46353512062421</v>
      </c>
    </row>
    <row r="20" spans="1:30" x14ac:dyDescent="0.35">
      <c r="A20" s="1" t="s">
        <v>6</v>
      </c>
      <c r="B20" s="60">
        <f>'Eurostat collected Portables GU'!W20+('Eurostat collected Portables GU'!W20*0.01)</f>
        <v>166.65</v>
      </c>
      <c r="C20" s="60">
        <f t="shared" si="2"/>
        <v>168.31650000000002</v>
      </c>
      <c r="D20" s="60">
        <f t="shared" si="2"/>
        <v>169.99966500000002</v>
      </c>
      <c r="E20" s="60">
        <f t="shared" si="2"/>
        <v>171.69966165000002</v>
      </c>
      <c r="F20" s="60">
        <f t="shared" si="2"/>
        <v>173.41665826650004</v>
      </c>
      <c r="G20" s="60">
        <f t="shared" si="2"/>
        <v>175.15082484916505</v>
      </c>
      <c r="H20" s="60">
        <f t="shared" si="2"/>
        <v>176.90233309765671</v>
      </c>
      <c r="I20" s="60">
        <f t="shared" si="2"/>
        <v>178.67135642863329</v>
      </c>
      <c r="J20" s="60">
        <f t="shared" si="2"/>
        <v>180.45806999291963</v>
      </c>
      <c r="K20" s="60">
        <f t="shared" si="2"/>
        <v>182.26265069284884</v>
      </c>
      <c r="L20" s="60">
        <f t="shared" si="2"/>
        <v>184.08527719977732</v>
      </c>
      <c r="M20" s="60">
        <f t="shared" si="2"/>
        <v>185.92612997177508</v>
      </c>
      <c r="N20" s="60">
        <f t="shared" si="2"/>
        <v>187.78539127149284</v>
      </c>
      <c r="O20" s="60">
        <f t="shared" si="2"/>
        <v>189.66324518420777</v>
      </c>
      <c r="P20" s="60">
        <f t="shared" si="2"/>
        <v>191.55987763604983</v>
      </c>
      <c r="Q20" s="60">
        <f t="shared" si="2"/>
        <v>193.47547641241033</v>
      </c>
      <c r="R20" s="60">
        <f t="shared" si="2"/>
        <v>195.41023117653444</v>
      </c>
      <c r="S20" s="60">
        <f t="shared" si="2"/>
        <v>197.36433348829979</v>
      </c>
      <c r="T20" s="60">
        <f t="shared" si="2"/>
        <v>199.3379768231828</v>
      </c>
      <c r="U20" s="60">
        <f t="shared" si="2"/>
        <v>201.33135659141462</v>
      </c>
      <c r="V20" s="60">
        <f t="shared" si="2"/>
        <v>203.34467015732878</v>
      </c>
      <c r="W20" s="60">
        <f t="shared" si="2"/>
        <v>205.37811685890208</v>
      </c>
      <c r="X20" s="60">
        <f t="shared" ref="C20:AD29" si="3">W20+(W20*0.01)</f>
        <v>207.43189802749109</v>
      </c>
      <c r="Y20" s="60">
        <f t="shared" si="3"/>
        <v>209.506217007766</v>
      </c>
      <c r="Z20" s="60">
        <f t="shared" si="3"/>
        <v>211.60127917784365</v>
      </c>
      <c r="AA20" s="60">
        <f t="shared" si="3"/>
        <v>213.7172919696221</v>
      </c>
      <c r="AB20" s="60">
        <f t="shared" si="3"/>
        <v>215.85446488931831</v>
      </c>
      <c r="AC20" s="60">
        <f t="shared" si="3"/>
        <v>218.01300953821149</v>
      </c>
      <c r="AD20" s="60">
        <f t="shared" si="3"/>
        <v>220.1931396335936</v>
      </c>
    </row>
    <row r="21" spans="1:30" x14ac:dyDescent="0.35">
      <c r="A21" s="1" t="s">
        <v>7</v>
      </c>
      <c r="B21" s="60">
        <f>'Eurostat collected Portables GU'!W21+('Eurostat collected Portables GU'!W21*0.01)</f>
        <v>320.17</v>
      </c>
      <c r="C21" s="60">
        <f t="shared" si="3"/>
        <v>323.37170000000003</v>
      </c>
      <c r="D21" s="60">
        <f t="shared" si="3"/>
        <v>326.60541700000005</v>
      </c>
      <c r="E21" s="60">
        <f t="shared" si="3"/>
        <v>329.87147117000006</v>
      </c>
      <c r="F21" s="60">
        <f t="shared" si="3"/>
        <v>333.17018588170004</v>
      </c>
      <c r="G21" s="60">
        <f t="shared" si="3"/>
        <v>336.50188774051702</v>
      </c>
      <c r="H21" s="60">
        <f t="shared" si="3"/>
        <v>339.86690661792221</v>
      </c>
      <c r="I21" s="60">
        <f t="shared" si="3"/>
        <v>343.26557568410141</v>
      </c>
      <c r="J21" s="60">
        <f t="shared" si="3"/>
        <v>346.69823144094244</v>
      </c>
      <c r="K21" s="60">
        <f t="shared" si="3"/>
        <v>350.16521375535189</v>
      </c>
      <c r="L21" s="60">
        <f t="shared" si="3"/>
        <v>353.66686589290538</v>
      </c>
      <c r="M21" s="60">
        <f t="shared" si="3"/>
        <v>357.20353455183442</v>
      </c>
      <c r="N21" s="60">
        <f t="shared" si="3"/>
        <v>360.77556989735274</v>
      </c>
      <c r="O21" s="60">
        <f t="shared" si="3"/>
        <v>364.38332559632624</v>
      </c>
      <c r="P21" s="60">
        <f t="shared" si="3"/>
        <v>368.02715885228952</v>
      </c>
      <c r="Q21" s="60">
        <f t="shared" si="3"/>
        <v>371.7074304408124</v>
      </c>
      <c r="R21" s="60">
        <f t="shared" si="3"/>
        <v>375.42450474522053</v>
      </c>
      <c r="S21" s="60">
        <f t="shared" si="3"/>
        <v>379.17874979267276</v>
      </c>
      <c r="T21" s="60">
        <f t="shared" si="3"/>
        <v>382.97053729059951</v>
      </c>
      <c r="U21" s="60">
        <f t="shared" si="3"/>
        <v>386.80024266350551</v>
      </c>
      <c r="V21" s="60">
        <f t="shared" si="3"/>
        <v>390.66824509014054</v>
      </c>
      <c r="W21" s="60">
        <f t="shared" si="3"/>
        <v>394.57492754104197</v>
      </c>
      <c r="X21" s="60">
        <f t="shared" si="3"/>
        <v>398.52067681645241</v>
      </c>
      <c r="Y21" s="60">
        <f t="shared" si="3"/>
        <v>402.50588358461692</v>
      </c>
      <c r="Z21" s="60">
        <f t="shared" si="3"/>
        <v>406.53094242046308</v>
      </c>
      <c r="AA21" s="60">
        <f t="shared" si="3"/>
        <v>410.59625184466773</v>
      </c>
      <c r="AB21" s="60">
        <f t="shared" si="3"/>
        <v>414.70221436311442</v>
      </c>
      <c r="AC21" s="60">
        <f t="shared" si="3"/>
        <v>418.84923650674557</v>
      </c>
      <c r="AD21" s="60">
        <f t="shared" si="3"/>
        <v>423.03772887181304</v>
      </c>
    </row>
    <row r="22" spans="1:30" x14ac:dyDescent="0.35">
      <c r="A22" s="1" t="s">
        <v>8</v>
      </c>
      <c r="B22" s="60">
        <f>'Eurostat collected Portables GU'!W22+('Eurostat collected Portables GU'!W22*0.01)</f>
        <v>35.35</v>
      </c>
      <c r="C22" s="60">
        <f t="shared" si="3"/>
        <v>35.703499999999998</v>
      </c>
      <c r="D22" s="60">
        <f t="shared" si="3"/>
        <v>36.060535000000002</v>
      </c>
      <c r="E22" s="60">
        <f t="shared" si="3"/>
        <v>36.421140350000002</v>
      </c>
      <c r="F22" s="60">
        <f t="shared" si="3"/>
        <v>36.785351753500002</v>
      </c>
      <c r="G22" s="60">
        <f t="shared" si="3"/>
        <v>37.153205271035006</v>
      </c>
      <c r="H22" s="60">
        <f t="shared" si="3"/>
        <v>37.524737323745356</v>
      </c>
      <c r="I22" s="60">
        <f t="shared" si="3"/>
        <v>37.899984696982813</v>
      </c>
      <c r="J22" s="60">
        <f t="shared" si="3"/>
        <v>38.278984543952639</v>
      </c>
      <c r="K22" s="60">
        <f t="shared" si="3"/>
        <v>38.661774389392164</v>
      </c>
      <c r="L22" s="60">
        <f t="shared" si="3"/>
        <v>39.048392133286086</v>
      </c>
      <c r="M22" s="60">
        <f t="shared" si="3"/>
        <v>39.438876054618945</v>
      </c>
      <c r="N22" s="60">
        <f t="shared" si="3"/>
        <v>39.833264815165137</v>
      </c>
      <c r="O22" s="60">
        <f t="shared" si="3"/>
        <v>40.231597463316788</v>
      </c>
      <c r="P22" s="60">
        <f t="shared" si="3"/>
        <v>40.633913437949957</v>
      </c>
      <c r="Q22" s="60">
        <f t="shared" si="3"/>
        <v>41.040252572329457</v>
      </c>
      <c r="R22" s="60">
        <f t="shared" si="3"/>
        <v>41.450655098052749</v>
      </c>
      <c r="S22" s="60">
        <f t="shared" si="3"/>
        <v>41.865161649033276</v>
      </c>
      <c r="T22" s="60">
        <f t="shared" si="3"/>
        <v>42.283813265523605</v>
      </c>
      <c r="U22" s="60">
        <f t="shared" si="3"/>
        <v>42.706651398178842</v>
      </c>
      <c r="V22" s="60">
        <f t="shared" si="3"/>
        <v>43.133717912160627</v>
      </c>
      <c r="W22" s="60">
        <f t="shared" si="3"/>
        <v>43.565055091282233</v>
      </c>
      <c r="X22" s="60">
        <f t="shared" si="3"/>
        <v>44.000705642195058</v>
      </c>
      <c r="Y22" s="60">
        <f t="shared" si="3"/>
        <v>44.440712698617006</v>
      </c>
      <c r="Z22" s="60">
        <f t="shared" si="3"/>
        <v>44.885119825603176</v>
      </c>
      <c r="AA22" s="60">
        <f t="shared" si="3"/>
        <v>45.333971023859206</v>
      </c>
      <c r="AB22" s="60">
        <f t="shared" si="3"/>
        <v>45.787310734097801</v>
      </c>
      <c r="AC22" s="60">
        <f t="shared" si="3"/>
        <v>46.245183841438781</v>
      </c>
      <c r="AD22" s="60">
        <f t="shared" si="3"/>
        <v>46.707635679853169</v>
      </c>
    </row>
    <row r="23" spans="1:30" x14ac:dyDescent="0.35">
      <c r="A23" s="1" t="s">
        <v>9</v>
      </c>
      <c r="B23" s="60">
        <f>'Eurostat collected Portables GU'!W23+('Eurostat collected Portables GU'!W23*0.01)</f>
        <v>4593.4799999999996</v>
      </c>
      <c r="C23" s="60">
        <f t="shared" si="3"/>
        <v>4639.4147999999996</v>
      </c>
      <c r="D23" s="60">
        <f t="shared" si="3"/>
        <v>4685.8089479999999</v>
      </c>
      <c r="E23" s="60">
        <f t="shared" si="3"/>
        <v>4732.6670374799996</v>
      </c>
      <c r="F23" s="60">
        <f t="shared" si="3"/>
        <v>4779.9937078548</v>
      </c>
      <c r="G23" s="60">
        <f t="shared" si="3"/>
        <v>4827.7936449333483</v>
      </c>
      <c r="H23" s="60">
        <f t="shared" si="3"/>
        <v>4876.0715813826819</v>
      </c>
      <c r="I23" s="60">
        <f t="shared" si="3"/>
        <v>4924.832297196509</v>
      </c>
      <c r="J23" s="60">
        <f t="shared" si="3"/>
        <v>4974.0806201684745</v>
      </c>
      <c r="K23" s="60">
        <f t="shared" si="3"/>
        <v>5023.8214263701593</v>
      </c>
      <c r="L23" s="60">
        <f t="shared" si="3"/>
        <v>5074.0596406338609</v>
      </c>
      <c r="M23" s="60">
        <f t="shared" si="3"/>
        <v>5124.8002370401991</v>
      </c>
      <c r="N23" s="60">
        <f t="shared" si="3"/>
        <v>5176.0482394106011</v>
      </c>
      <c r="O23" s="60">
        <f t="shared" si="3"/>
        <v>5227.8087218047067</v>
      </c>
      <c r="P23" s="60">
        <f t="shared" si="3"/>
        <v>5280.0868090227541</v>
      </c>
      <c r="Q23" s="60">
        <f t="shared" si="3"/>
        <v>5332.8876771129817</v>
      </c>
      <c r="R23" s="60">
        <f t="shared" si="3"/>
        <v>5386.2165538841118</v>
      </c>
      <c r="S23" s="60">
        <f t="shared" si="3"/>
        <v>5440.0787194229533</v>
      </c>
      <c r="T23" s="60">
        <f t="shared" si="3"/>
        <v>5494.4795066171828</v>
      </c>
      <c r="U23" s="60">
        <f t="shared" si="3"/>
        <v>5549.4243016833543</v>
      </c>
      <c r="V23" s="60">
        <f t="shared" si="3"/>
        <v>5604.9185447001882</v>
      </c>
      <c r="W23" s="60">
        <f t="shared" si="3"/>
        <v>5660.9677301471902</v>
      </c>
      <c r="X23" s="60">
        <f t="shared" si="3"/>
        <v>5717.5774074486617</v>
      </c>
      <c r="Y23" s="60">
        <f t="shared" si="3"/>
        <v>5774.7531815231487</v>
      </c>
      <c r="Z23" s="60">
        <f t="shared" si="3"/>
        <v>5832.5007133383806</v>
      </c>
      <c r="AA23" s="60">
        <f t="shared" si="3"/>
        <v>5890.8257204717647</v>
      </c>
      <c r="AB23" s="60">
        <f t="shared" si="3"/>
        <v>5949.733977676482</v>
      </c>
      <c r="AC23" s="60">
        <f t="shared" si="3"/>
        <v>6009.2313174532464</v>
      </c>
      <c r="AD23" s="60">
        <f t="shared" si="3"/>
        <v>6069.3236306277786</v>
      </c>
    </row>
    <row r="24" spans="1:30" x14ac:dyDescent="0.35">
      <c r="A24" s="1" t="s">
        <v>10</v>
      </c>
      <c r="B24" s="60">
        <f>'Eurostat collected Portables GU'!W24+('Eurostat collected Portables GU'!W24*0.01)</f>
        <v>2346.23</v>
      </c>
      <c r="C24" s="60">
        <f t="shared" si="3"/>
        <v>2369.6923000000002</v>
      </c>
      <c r="D24" s="60">
        <f t="shared" si="3"/>
        <v>2393.3892230000001</v>
      </c>
      <c r="E24" s="60">
        <f t="shared" si="3"/>
        <v>2417.32311523</v>
      </c>
      <c r="F24" s="60">
        <f t="shared" si="3"/>
        <v>2441.4963463823001</v>
      </c>
      <c r="G24" s="60">
        <f t="shared" si="3"/>
        <v>2465.911309846123</v>
      </c>
      <c r="H24" s="60">
        <f t="shared" si="3"/>
        <v>2490.5704229445842</v>
      </c>
      <c r="I24" s="60">
        <f t="shared" si="3"/>
        <v>2515.4761271740299</v>
      </c>
      <c r="J24" s="60">
        <f t="shared" si="3"/>
        <v>2540.6308884457703</v>
      </c>
      <c r="K24" s="60">
        <f t="shared" si="3"/>
        <v>2566.0371973302281</v>
      </c>
      <c r="L24" s="60">
        <f t="shared" si="3"/>
        <v>2591.6975693035301</v>
      </c>
      <c r="M24" s="60">
        <f t="shared" si="3"/>
        <v>2617.6145449965657</v>
      </c>
      <c r="N24" s="60">
        <f t="shared" si="3"/>
        <v>2643.7906904465312</v>
      </c>
      <c r="O24" s="60">
        <f t="shared" si="3"/>
        <v>2670.2285973509966</v>
      </c>
      <c r="P24" s="60">
        <f t="shared" si="3"/>
        <v>2696.9308833245063</v>
      </c>
      <c r="Q24" s="60">
        <f t="shared" si="3"/>
        <v>2723.9001921577515</v>
      </c>
      <c r="R24" s="60">
        <f t="shared" si="3"/>
        <v>2751.1391940793292</v>
      </c>
      <c r="S24" s="60">
        <f t="shared" si="3"/>
        <v>2778.6505860201223</v>
      </c>
      <c r="T24" s="60">
        <f t="shared" si="3"/>
        <v>2806.4370918803234</v>
      </c>
      <c r="U24" s="60">
        <f t="shared" si="3"/>
        <v>2834.5014627991268</v>
      </c>
      <c r="V24" s="60">
        <f t="shared" si="3"/>
        <v>2862.8464774271179</v>
      </c>
      <c r="W24" s="60">
        <f t="shared" si="3"/>
        <v>2891.4749422013892</v>
      </c>
      <c r="X24" s="60">
        <f t="shared" si="3"/>
        <v>2920.389691623403</v>
      </c>
      <c r="Y24" s="60">
        <f t="shared" si="3"/>
        <v>2949.593588539637</v>
      </c>
      <c r="Z24" s="60">
        <f t="shared" si="3"/>
        <v>2979.0895244250332</v>
      </c>
      <c r="AA24" s="60">
        <f t="shared" si="3"/>
        <v>3008.8804196692836</v>
      </c>
      <c r="AB24" s="60">
        <f t="shared" si="3"/>
        <v>3038.9692238659763</v>
      </c>
      <c r="AC24" s="60">
        <f t="shared" si="3"/>
        <v>3069.3589161046361</v>
      </c>
      <c r="AD24" s="60">
        <f t="shared" si="3"/>
        <v>3100.0525052656826</v>
      </c>
    </row>
    <row r="25" spans="1:30" x14ac:dyDescent="0.35">
      <c r="A25" s="1" t="s">
        <v>11</v>
      </c>
      <c r="B25" s="60">
        <f>'Eurostat collected Portables GU'!W25+('Eurostat collected Portables GU'!W25*0.01)</f>
        <v>9172.82</v>
      </c>
      <c r="C25" s="60">
        <f t="shared" si="3"/>
        <v>9264.5481999999993</v>
      </c>
      <c r="D25" s="60">
        <f t="shared" si="3"/>
        <v>9357.1936819999992</v>
      </c>
      <c r="E25" s="60">
        <f t="shared" si="3"/>
        <v>9450.7656188199999</v>
      </c>
      <c r="F25" s="60">
        <f t="shared" si="3"/>
        <v>9545.2732750081996</v>
      </c>
      <c r="G25" s="60">
        <f t="shared" si="3"/>
        <v>9640.7260077582814</v>
      </c>
      <c r="H25" s="60">
        <f t="shared" si="3"/>
        <v>9737.1332678358649</v>
      </c>
      <c r="I25" s="60">
        <f t="shared" si="3"/>
        <v>9834.5046005142231</v>
      </c>
      <c r="J25" s="60">
        <f t="shared" si="3"/>
        <v>9932.8496465193657</v>
      </c>
      <c r="K25" s="60">
        <f t="shared" si="3"/>
        <v>10032.17814298456</v>
      </c>
      <c r="L25" s="60">
        <f t="shared" si="3"/>
        <v>10132.499924414406</v>
      </c>
      <c r="M25" s="60">
        <f t="shared" si="3"/>
        <v>10233.824923658549</v>
      </c>
      <c r="N25" s="60">
        <f t="shared" si="3"/>
        <v>10336.163172895134</v>
      </c>
      <c r="O25" s="60">
        <f t="shared" si="3"/>
        <v>10439.524804624085</v>
      </c>
      <c r="P25" s="60">
        <f t="shared" si="3"/>
        <v>10543.920052670326</v>
      </c>
      <c r="Q25" s="60">
        <f t="shared" si="3"/>
        <v>10649.35925319703</v>
      </c>
      <c r="R25" s="60">
        <f t="shared" si="3"/>
        <v>10755.852845728999</v>
      </c>
      <c r="S25" s="60">
        <f t="shared" si="3"/>
        <v>10863.411374186289</v>
      </c>
      <c r="T25" s="60">
        <f t="shared" si="3"/>
        <v>10972.045487928151</v>
      </c>
      <c r="U25" s="60">
        <f t="shared" si="3"/>
        <v>11081.765942807433</v>
      </c>
      <c r="V25" s="60">
        <f t="shared" si="3"/>
        <v>11192.583602235507</v>
      </c>
      <c r="W25" s="60">
        <f t="shared" si="3"/>
        <v>11304.509438257863</v>
      </c>
      <c r="X25" s="60">
        <f t="shared" si="3"/>
        <v>11417.554532640441</v>
      </c>
      <c r="Y25" s="60">
        <f t="shared" si="3"/>
        <v>11531.730077966846</v>
      </c>
      <c r="Z25" s="60">
        <f t="shared" si="3"/>
        <v>11647.047378746514</v>
      </c>
      <c r="AA25" s="60">
        <f t="shared" si="3"/>
        <v>11763.51785253398</v>
      </c>
      <c r="AB25" s="60">
        <f t="shared" si="3"/>
        <v>11881.153031059319</v>
      </c>
      <c r="AC25" s="60">
        <f t="shared" si="3"/>
        <v>11999.964561369912</v>
      </c>
      <c r="AD25" s="60">
        <f t="shared" si="3"/>
        <v>12119.964206983612</v>
      </c>
    </row>
    <row r="26" spans="1:30" x14ac:dyDescent="0.35">
      <c r="A26" s="1" t="s">
        <v>13</v>
      </c>
      <c r="B26" s="60">
        <f>'Eurostat collected Portables GU'!W26+('Eurostat collected Portables GU'!W26*0.01)</f>
        <v>431.27</v>
      </c>
      <c r="C26" s="60">
        <f t="shared" si="3"/>
        <v>435.58269999999999</v>
      </c>
      <c r="D26" s="60">
        <f t="shared" si="3"/>
        <v>439.93852699999997</v>
      </c>
      <c r="E26" s="60">
        <f t="shared" si="3"/>
        <v>444.33791226999995</v>
      </c>
      <c r="F26" s="60">
        <f t="shared" si="3"/>
        <v>448.78129139269993</v>
      </c>
      <c r="G26" s="60">
        <f t="shared" si="3"/>
        <v>453.2691043066269</v>
      </c>
      <c r="H26" s="60">
        <f t="shared" si="3"/>
        <v>457.80179534969318</v>
      </c>
      <c r="I26" s="60">
        <f t="shared" si="3"/>
        <v>462.37981330319013</v>
      </c>
      <c r="J26" s="60">
        <f t="shared" si="3"/>
        <v>467.00361143622206</v>
      </c>
      <c r="K26" s="60">
        <f t="shared" si="3"/>
        <v>471.67364755058429</v>
      </c>
      <c r="L26" s="60">
        <f t="shared" si="3"/>
        <v>476.39038402609015</v>
      </c>
      <c r="M26" s="60">
        <f t="shared" si="3"/>
        <v>481.15428786635107</v>
      </c>
      <c r="N26" s="60">
        <f t="shared" si="3"/>
        <v>485.96583074501456</v>
      </c>
      <c r="O26" s="60">
        <f t="shared" si="3"/>
        <v>490.82548905246472</v>
      </c>
      <c r="P26" s="60">
        <f t="shared" si="3"/>
        <v>495.73374394298935</v>
      </c>
      <c r="Q26" s="60">
        <f t="shared" si="3"/>
        <v>500.69108138241927</v>
      </c>
      <c r="R26" s="60">
        <f t="shared" si="3"/>
        <v>505.69799219624349</v>
      </c>
      <c r="S26" s="60">
        <f t="shared" si="3"/>
        <v>510.7549721182059</v>
      </c>
      <c r="T26" s="60">
        <f t="shared" si="3"/>
        <v>515.86252183938791</v>
      </c>
      <c r="U26" s="60">
        <f t="shared" si="3"/>
        <v>521.02114705778183</v>
      </c>
      <c r="V26" s="60">
        <f t="shared" si="3"/>
        <v>526.23135852835969</v>
      </c>
      <c r="W26" s="60">
        <f t="shared" si="3"/>
        <v>531.49367211364324</v>
      </c>
      <c r="X26" s="60">
        <f t="shared" si="3"/>
        <v>536.80860883477965</v>
      </c>
      <c r="Y26" s="60">
        <f t="shared" si="3"/>
        <v>542.17669492312746</v>
      </c>
      <c r="Z26" s="60">
        <f t="shared" si="3"/>
        <v>547.59846187235871</v>
      </c>
      <c r="AA26" s="60">
        <f t="shared" si="3"/>
        <v>553.07444649108231</v>
      </c>
      <c r="AB26" s="60">
        <f t="shared" si="3"/>
        <v>558.60519095599318</v>
      </c>
      <c r="AC26" s="60">
        <f t="shared" si="3"/>
        <v>564.19124286555314</v>
      </c>
      <c r="AD26" s="60">
        <f t="shared" si="3"/>
        <v>569.83315529420872</v>
      </c>
    </row>
    <row r="27" spans="1:30" x14ac:dyDescent="0.35">
      <c r="A27" s="1" t="s">
        <v>12</v>
      </c>
      <c r="B27" s="60">
        <f>'Eurostat collected Portables GU'!W27+('Eurostat collected Portables GU'!W27*0.01)</f>
        <v>2155.1784000000002</v>
      </c>
      <c r="C27" s="60">
        <f t="shared" si="3"/>
        <v>2176.7301840000005</v>
      </c>
      <c r="D27" s="60">
        <f t="shared" si="3"/>
        <v>2198.4974858400005</v>
      </c>
      <c r="E27" s="60">
        <f t="shared" si="3"/>
        <v>2220.4824606984007</v>
      </c>
      <c r="F27" s="60">
        <f t="shared" si="3"/>
        <v>2242.6872853053846</v>
      </c>
      <c r="G27" s="60">
        <f t="shared" si="3"/>
        <v>2265.1141581584384</v>
      </c>
      <c r="H27" s="60">
        <f t="shared" si="3"/>
        <v>2287.7652997400228</v>
      </c>
      <c r="I27" s="60">
        <f t="shared" si="3"/>
        <v>2310.642952737423</v>
      </c>
      <c r="J27" s="60">
        <f t="shared" si="3"/>
        <v>2333.7493822647971</v>
      </c>
      <c r="K27" s="60">
        <f t="shared" si="3"/>
        <v>2357.086876087445</v>
      </c>
      <c r="L27" s="60">
        <f t="shared" si="3"/>
        <v>2380.6577448483195</v>
      </c>
      <c r="M27" s="60">
        <f t="shared" si="3"/>
        <v>2404.4643222968025</v>
      </c>
      <c r="N27" s="60">
        <f t="shared" si="3"/>
        <v>2428.5089655197703</v>
      </c>
      <c r="O27" s="60">
        <f t="shared" si="3"/>
        <v>2452.794055174968</v>
      </c>
      <c r="P27" s="60">
        <f t="shared" si="3"/>
        <v>2477.3219957267174</v>
      </c>
      <c r="Q27" s="60">
        <f t="shared" si="3"/>
        <v>2502.0952156839844</v>
      </c>
      <c r="R27" s="60">
        <f t="shared" si="3"/>
        <v>2527.1161678408243</v>
      </c>
      <c r="S27" s="60">
        <f t="shared" si="3"/>
        <v>2552.3873295192325</v>
      </c>
      <c r="T27" s="60">
        <f t="shared" si="3"/>
        <v>2577.911202814425</v>
      </c>
      <c r="U27" s="60">
        <f t="shared" si="3"/>
        <v>2603.690314842569</v>
      </c>
      <c r="V27" s="60">
        <f t="shared" si="3"/>
        <v>2629.7272179909946</v>
      </c>
      <c r="W27" s="60">
        <f t="shared" si="3"/>
        <v>2656.0244901709048</v>
      </c>
      <c r="X27" s="60">
        <f t="shared" si="3"/>
        <v>2682.584735072614</v>
      </c>
      <c r="Y27" s="60">
        <f t="shared" si="3"/>
        <v>2709.4105824233402</v>
      </c>
      <c r="Z27" s="60">
        <f t="shared" si="3"/>
        <v>2736.5046882475735</v>
      </c>
      <c r="AA27" s="60">
        <f t="shared" si="3"/>
        <v>2763.8697351300493</v>
      </c>
      <c r="AB27" s="60">
        <f t="shared" si="3"/>
        <v>2791.5084324813497</v>
      </c>
      <c r="AC27" s="60">
        <f t="shared" si="3"/>
        <v>2819.4235168061632</v>
      </c>
      <c r="AD27" s="60">
        <f t="shared" si="3"/>
        <v>2847.617751974225</v>
      </c>
    </row>
    <row r="28" spans="1:30" x14ac:dyDescent="0.35">
      <c r="A28" s="1" t="s">
        <v>16</v>
      </c>
      <c r="B28" s="60">
        <f>'Eurostat collected Portables GU'!W28+('Eurostat collected Portables GU'!W28*0.01)</f>
        <v>3759.22</v>
      </c>
      <c r="C28" s="60">
        <f t="shared" si="3"/>
        <v>3796.8121999999998</v>
      </c>
      <c r="D28" s="60">
        <f t="shared" si="3"/>
        <v>3834.7803220000001</v>
      </c>
      <c r="E28" s="60">
        <f t="shared" si="3"/>
        <v>3873.1281252200001</v>
      </c>
      <c r="F28" s="60">
        <f t="shared" si="3"/>
        <v>3911.8594064722001</v>
      </c>
      <c r="G28" s="60">
        <f t="shared" si="3"/>
        <v>3950.9780005369221</v>
      </c>
      <c r="H28" s="60">
        <f t="shared" si="3"/>
        <v>3990.4877805422911</v>
      </c>
      <c r="I28" s="60">
        <f t="shared" si="3"/>
        <v>4030.3926583477141</v>
      </c>
      <c r="J28" s="60">
        <f t="shared" si="3"/>
        <v>4070.6965849311914</v>
      </c>
      <c r="K28" s="60">
        <f t="shared" si="3"/>
        <v>4111.4035507805029</v>
      </c>
      <c r="L28" s="60">
        <f t="shared" si="3"/>
        <v>4152.5175862883079</v>
      </c>
      <c r="M28" s="60">
        <f t="shared" si="3"/>
        <v>4194.0427621511908</v>
      </c>
      <c r="N28" s="60">
        <f t="shared" si="3"/>
        <v>4235.9831897727026</v>
      </c>
      <c r="O28" s="60">
        <f t="shared" si="3"/>
        <v>4278.3430216704301</v>
      </c>
      <c r="P28" s="60">
        <f t="shared" si="3"/>
        <v>4321.126451887134</v>
      </c>
      <c r="Q28" s="60">
        <f t="shared" si="3"/>
        <v>4364.3377164060057</v>
      </c>
      <c r="R28" s="60">
        <f t="shared" si="3"/>
        <v>4407.9810935700662</v>
      </c>
      <c r="S28" s="60">
        <f t="shared" si="3"/>
        <v>4452.0609045057672</v>
      </c>
      <c r="T28" s="60">
        <f t="shared" si="3"/>
        <v>4496.5815135508246</v>
      </c>
      <c r="U28" s="60">
        <f t="shared" si="3"/>
        <v>4541.5473286863325</v>
      </c>
      <c r="V28" s="60">
        <f t="shared" si="3"/>
        <v>4586.9628019731963</v>
      </c>
      <c r="W28" s="60">
        <f t="shared" si="3"/>
        <v>4632.8324299929282</v>
      </c>
      <c r="X28" s="60">
        <f t="shared" si="3"/>
        <v>4679.1607542928577</v>
      </c>
      <c r="Y28" s="60">
        <f t="shared" si="3"/>
        <v>4725.9523618357862</v>
      </c>
      <c r="Z28" s="60">
        <f t="shared" si="3"/>
        <v>4773.2118854541441</v>
      </c>
      <c r="AA28" s="60">
        <f t="shared" si="3"/>
        <v>4820.9440043086852</v>
      </c>
      <c r="AB28" s="60">
        <f t="shared" si="3"/>
        <v>4869.1534443517721</v>
      </c>
      <c r="AC28" s="60">
        <f t="shared" si="3"/>
        <v>4917.8449787952895</v>
      </c>
      <c r="AD28" s="60">
        <f t="shared" si="3"/>
        <v>4967.0234285832421</v>
      </c>
    </row>
    <row r="29" spans="1:30" x14ac:dyDescent="0.35">
      <c r="A29" s="1" t="s">
        <v>81</v>
      </c>
      <c r="B29" s="60">
        <f>'Eurostat collected Portables GU'!W29+('Eurostat collected Portables GU'!W29*0.01)</f>
        <v>3270.8850000000002</v>
      </c>
      <c r="C29" s="60">
        <f t="shared" si="3"/>
        <v>3303.5938500000002</v>
      </c>
      <c r="D29" s="60">
        <f t="shared" si="3"/>
        <v>3336.6297885000004</v>
      </c>
      <c r="E29" s="60">
        <f t="shared" si="3"/>
        <v>3369.9960863850006</v>
      </c>
      <c r="F29" s="60">
        <f t="shared" si="3"/>
        <v>3403.6960472488504</v>
      </c>
      <c r="G29" s="60">
        <f t="shared" si="3"/>
        <v>3437.7330077213387</v>
      </c>
      <c r="H29" s="60">
        <f t="shared" si="3"/>
        <v>3472.1103377985519</v>
      </c>
      <c r="I29" s="60">
        <f t="shared" si="3"/>
        <v>3506.8314411765373</v>
      </c>
      <c r="J29" s="60">
        <f t="shared" si="3"/>
        <v>3541.8997555883025</v>
      </c>
      <c r="K29" s="60">
        <f t="shared" si="3"/>
        <v>3577.3187531441854</v>
      </c>
      <c r="L29" s="60">
        <f t="shared" si="3"/>
        <v>3613.091940675627</v>
      </c>
      <c r="M29" s="60">
        <f t="shared" si="3"/>
        <v>3649.2228600823832</v>
      </c>
      <c r="N29" s="60">
        <f t="shared" si="3"/>
        <v>3685.7150886832069</v>
      </c>
      <c r="O29" s="60">
        <f t="shared" si="3"/>
        <v>3722.5722395700391</v>
      </c>
      <c r="P29" s="60">
        <f t="shared" si="3"/>
        <v>3759.7979619657394</v>
      </c>
      <c r="Q29" s="60">
        <f t="shared" si="3"/>
        <v>3797.3959415853969</v>
      </c>
      <c r="R29" s="60">
        <f t="shared" si="3"/>
        <v>3835.369901001251</v>
      </c>
      <c r="S29" s="60">
        <f t="shared" si="3"/>
        <v>3873.7236000112634</v>
      </c>
      <c r="T29" s="60">
        <f t="shared" si="3"/>
        <v>3912.4608360113762</v>
      </c>
      <c r="U29" s="60">
        <f t="shared" si="3"/>
        <v>3951.5854443714898</v>
      </c>
      <c r="V29" s="60">
        <f t="shared" si="3"/>
        <v>3991.1012988152047</v>
      </c>
      <c r="W29" s="60">
        <f t="shared" si="3"/>
        <v>4031.0123118033566</v>
      </c>
      <c r="X29" s="60">
        <f t="shared" si="3"/>
        <v>4071.3224349213901</v>
      </c>
      <c r="Y29" s="60">
        <f t="shared" si="3"/>
        <v>4112.0356592706039</v>
      </c>
      <c r="Z29" s="60">
        <f t="shared" si="3"/>
        <v>4153.1560158633101</v>
      </c>
      <c r="AA29" s="60">
        <f t="shared" ref="C29:AD32" si="4">Z29+(Z29*0.01)</f>
        <v>4194.6875760219436</v>
      </c>
      <c r="AB29" s="60">
        <f t="shared" si="4"/>
        <v>4236.6344517821635</v>
      </c>
      <c r="AC29" s="60">
        <f t="shared" si="4"/>
        <v>4279.0007962999853</v>
      </c>
      <c r="AD29" s="60">
        <f t="shared" si="4"/>
        <v>4321.7908042629851</v>
      </c>
    </row>
    <row r="30" spans="1:30" x14ac:dyDescent="0.35">
      <c r="A30" s="1" t="s">
        <v>15</v>
      </c>
      <c r="B30" s="60">
        <f>'Eurostat collected Portables GU'!W30+('Eurostat collected Portables GU'!W30*0.01)</f>
        <v>349.46</v>
      </c>
      <c r="C30" s="60">
        <f t="shared" si="4"/>
        <v>352.95459999999997</v>
      </c>
      <c r="D30" s="60">
        <f t="shared" si="4"/>
        <v>356.48414599999995</v>
      </c>
      <c r="E30" s="60">
        <f t="shared" si="4"/>
        <v>360.04898745999998</v>
      </c>
      <c r="F30" s="60">
        <f t="shared" si="4"/>
        <v>363.64947733459996</v>
      </c>
      <c r="G30" s="60">
        <f t="shared" si="4"/>
        <v>367.28597210794595</v>
      </c>
      <c r="H30" s="60">
        <f t="shared" si="4"/>
        <v>370.95883182902543</v>
      </c>
      <c r="I30" s="60">
        <f t="shared" si="4"/>
        <v>374.66842014731566</v>
      </c>
      <c r="J30" s="60">
        <f t="shared" si="4"/>
        <v>378.41510434878882</v>
      </c>
      <c r="K30" s="60">
        <f t="shared" si="4"/>
        <v>382.19925539227671</v>
      </c>
      <c r="L30" s="60">
        <f t="shared" si="4"/>
        <v>386.02124794619948</v>
      </c>
      <c r="M30" s="60">
        <f t="shared" si="4"/>
        <v>389.88146042566149</v>
      </c>
      <c r="N30" s="60">
        <f t="shared" si="4"/>
        <v>393.78027502991813</v>
      </c>
      <c r="O30" s="60">
        <f t="shared" si="4"/>
        <v>397.7180777802173</v>
      </c>
      <c r="P30" s="60">
        <f t="shared" si="4"/>
        <v>401.69525855801948</v>
      </c>
      <c r="Q30" s="60">
        <f t="shared" si="4"/>
        <v>405.71221114359969</v>
      </c>
      <c r="R30" s="60">
        <f t="shared" si="4"/>
        <v>409.76933325503569</v>
      </c>
      <c r="S30" s="60">
        <f t="shared" si="4"/>
        <v>413.86702658758605</v>
      </c>
      <c r="T30" s="60">
        <f t="shared" si="4"/>
        <v>418.00569685346193</v>
      </c>
      <c r="U30" s="60">
        <f t="shared" si="4"/>
        <v>422.18575382199657</v>
      </c>
      <c r="V30" s="60">
        <f t="shared" si="4"/>
        <v>426.40761136021655</v>
      </c>
      <c r="W30" s="60">
        <f t="shared" si="4"/>
        <v>430.67168747381874</v>
      </c>
      <c r="X30" s="60">
        <f t="shared" si="4"/>
        <v>434.97840434855692</v>
      </c>
      <c r="Y30" s="60">
        <f t="shared" si="4"/>
        <v>439.32818839204248</v>
      </c>
      <c r="Z30" s="60">
        <f t="shared" si="4"/>
        <v>443.72147027596293</v>
      </c>
      <c r="AA30" s="60">
        <f t="shared" si="4"/>
        <v>448.15868497872253</v>
      </c>
      <c r="AB30" s="60">
        <f t="shared" si="4"/>
        <v>452.64027182850975</v>
      </c>
      <c r="AC30" s="60">
        <f t="shared" si="4"/>
        <v>457.16667454679487</v>
      </c>
      <c r="AD30" s="60">
        <f t="shared" si="4"/>
        <v>461.73834129226282</v>
      </c>
    </row>
    <row r="31" spans="1:30" x14ac:dyDescent="0.35">
      <c r="A31" s="1" t="s">
        <v>14</v>
      </c>
      <c r="B31" s="60">
        <f>'Eurostat collected Portables GU'!W31+('Eurostat collected Portables GU'!W31*0.01)</f>
        <v>963.54</v>
      </c>
      <c r="C31" s="60">
        <f t="shared" si="4"/>
        <v>973.17539999999997</v>
      </c>
      <c r="D31" s="60">
        <f t="shared" si="4"/>
        <v>982.90715399999999</v>
      </c>
      <c r="E31" s="60">
        <f t="shared" si="4"/>
        <v>992.73622553999996</v>
      </c>
      <c r="F31" s="60">
        <f t="shared" si="4"/>
        <v>1002.6635877954</v>
      </c>
      <c r="G31" s="60">
        <f t="shared" si="4"/>
        <v>1012.690223673354</v>
      </c>
      <c r="H31" s="60">
        <f t="shared" si="4"/>
        <v>1022.8171259100875</v>
      </c>
      <c r="I31" s="60">
        <f t="shared" si="4"/>
        <v>1033.0452971691884</v>
      </c>
      <c r="J31" s="60">
        <f t="shared" si="4"/>
        <v>1043.3757501408802</v>
      </c>
      <c r="K31" s="60">
        <f t="shared" si="4"/>
        <v>1053.809507642289</v>
      </c>
      <c r="L31" s="60">
        <f t="shared" si="4"/>
        <v>1064.3476027187119</v>
      </c>
      <c r="M31" s="60">
        <f t="shared" si="4"/>
        <v>1074.9910787458989</v>
      </c>
      <c r="N31" s="60">
        <f t="shared" si="4"/>
        <v>1085.7409895333578</v>
      </c>
      <c r="O31" s="60">
        <f t="shared" si="4"/>
        <v>1096.5983994286914</v>
      </c>
      <c r="P31" s="60">
        <f t="shared" si="4"/>
        <v>1107.5643834229784</v>
      </c>
      <c r="Q31" s="60">
        <f t="shared" si="4"/>
        <v>1118.6400272572082</v>
      </c>
      <c r="R31" s="60">
        <f t="shared" si="4"/>
        <v>1129.8264275297802</v>
      </c>
      <c r="S31" s="60">
        <f t="shared" si="4"/>
        <v>1141.1246918050779</v>
      </c>
      <c r="T31" s="60">
        <f t="shared" si="4"/>
        <v>1152.5359387231288</v>
      </c>
      <c r="U31" s="60">
        <f t="shared" si="4"/>
        <v>1164.06129811036</v>
      </c>
      <c r="V31" s="60">
        <f t="shared" si="4"/>
        <v>1175.7019110914637</v>
      </c>
      <c r="W31" s="60">
        <f t="shared" si="4"/>
        <v>1187.4589302023783</v>
      </c>
      <c r="X31" s="60">
        <f t="shared" si="4"/>
        <v>1199.3335195044021</v>
      </c>
      <c r="Y31" s="60">
        <f t="shared" si="4"/>
        <v>1211.3268546994461</v>
      </c>
      <c r="Z31" s="60">
        <f t="shared" si="4"/>
        <v>1223.4401232464406</v>
      </c>
      <c r="AA31" s="60">
        <f t="shared" si="4"/>
        <v>1235.6745244789051</v>
      </c>
      <c r="AB31" s="60">
        <f t="shared" si="4"/>
        <v>1248.0312697236941</v>
      </c>
      <c r="AC31" s="60">
        <f t="shared" si="4"/>
        <v>1260.5115824209311</v>
      </c>
      <c r="AD31" s="60">
        <f t="shared" si="4"/>
        <v>1273.1166982451405</v>
      </c>
    </row>
    <row r="32" spans="1:30" x14ac:dyDescent="0.35">
      <c r="A32" s="1" t="s">
        <v>0</v>
      </c>
      <c r="B32" s="60">
        <f>'Eurostat collected Portables GU'!W32+('Eurostat collected Portables GU'!W32*0.01)</f>
        <v>18475.160380000001</v>
      </c>
      <c r="C32" s="60">
        <f t="shared" si="4"/>
        <v>18659.911983800001</v>
      </c>
      <c r="D32" s="60">
        <f t="shared" si="4"/>
        <v>18846.511103638</v>
      </c>
      <c r="E32" s="60">
        <f t="shared" si="4"/>
        <v>19034.976214674381</v>
      </c>
      <c r="F32" s="60">
        <f t="shared" si="4"/>
        <v>19225.325976821125</v>
      </c>
      <c r="G32" s="60">
        <f t="shared" si="4"/>
        <v>19417.579236589336</v>
      </c>
      <c r="H32" s="60">
        <f t="shared" si="4"/>
        <v>19611.755028955231</v>
      </c>
      <c r="I32" s="60">
        <f t="shared" si="4"/>
        <v>19807.872579244784</v>
      </c>
      <c r="J32" s="60">
        <f t="shared" si="4"/>
        <v>20005.951305037233</v>
      </c>
      <c r="K32" s="60">
        <f t="shared" si="4"/>
        <v>20206.010818087605</v>
      </c>
      <c r="L32" s="60">
        <f t="shared" si="4"/>
        <v>20408.07092626848</v>
      </c>
      <c r="M32" s="60">
        <f t="shared" si="4"/>
        <v>20612.151635531165</v>
      </c>
      <c r="N32" s="60">
        <f t="shared" si="4"/>
        <v>20818.273151886478</v>
      </c>
      <c r="O32" s="60">
        <f t="shared" si="4"/>
        <v>21026.455883405342</v>
      </c>
      <c r="P32" s="60">
        <f t="shared" si="4"/>
        <v>21236.720442239395</v>
      </c>
      <c r="Q32" s="60">
        <f t="shared" si="4"/>
        <v>21449.087646661788</v>
      </c>
      <c r="R32" s="60">
        <f t="shared" si="4"/>
        <v>21663.578523128406</v>
      </c>
      <c r="S32" s="60">
        <f t="shared" si="4"/>
        <v>21880.214308359689</v>
      </c>
      <c r="T32" s="60">
        <f t="shared" si="4"/>
        <v>22099.016451443287</v>
      </c>
      <c r="U32" s="60">
        <f t="shared" si="4"/>
        <v>22320.006615957722</v>
      </c>
      <c r="V32" s="60">
        <f t="shared" si="4"/>
        <v>22543.206682117299</v>
      </c>
      <c r="W32" s="60">
        <f t="shared" si="4"/>
        <v>22768.638748938472</v>
      </c>
      <c r="X32" s="60">
        <f t="shared" si="4"/>
        <v>22996.325136427859</v>
      </c>
      <c r="Y32" s="60">
        <f t="shared" si="4"/>
        <v>23226.288387792138</v>
      </c>
      <c r="Z32" s="60">
        <f t="shared" si="4"/>
        <v>23458.551271670058</v>
      </c>
      <c r="AA32" s="60">
        <f t="shared" si="4"/>
        <v>23693.136784386759</v>
      </c>
      <c r="AB32" s="60">
        <f t="shared" si="4"/>
        <v>23930.068152230626</v>
      </c>
      <c r="AC32" s="60">
        <f t="shared" si="4"/>
        <v>24169.368833752931</v>
      </c>
      <c r="AD32" s="60">
        <f t="shared" si="4"/>
        <v>24411.062522090462</v>
      </c>
    </row>
    <row r="33" spans="1:30" x14ac:dyDescent="0.35">
      <c r="A33" s="1" t="s">
        <v>87</v>
      </c>
      <c r="B33" s="60">
        <f>SUM(B2:B32)</f>
        <v>133302.42398000002</v>
      </c>
      <c r="C33" s="60">
        <f t="shared" ref="C33:AD33" si="5">SUM(C2:C32)</f>
        <v>134635.44821979999</v>
      </c>
      <c r="D33" s="60">
        <f t="shared" si="5"/>
        <v>135981.80270199801</v>
      </c>
      <c r="E33" s="60">
        <f t="shared" si="5"/>
        <v>137341.62072901797</v>
      </c>
      <c r="F33" s="60">
        <f t="shared" si="5"/>
        <v>138715.03693630811</v>
      </c>
      <c r="G33" s="60">
        <f t="shared" si="5"/>
        <v>140102.18730567122</v>
      </c>
      <c r="H33" s="60">
        <f t="shared" si="5"/>
        <v>141503.20917872796</v>
      </c>
      <c r="I33" s="60">
        <f t="shared" si="5"/>
        <v>142918.24127051522</v>
      </c>
      <c r="J33" s="60">
        <f t="shared" si="5"/>
        <v>144347.42368322038</v>
      </c>
      <c r="K33" s="60">
        <f t="shared" si="5"/>
        <v>145790.89792005258</v>
      </c>
      <c r="L33" s="60">
        <f t="shared" si="5"/>
        <v>147248.8068992531</v>
      </c>
      <c r="M33" s="60">
        <f t="shared" si="5"/>
        <v>148721.29496824564</v>
      </c>
      <c r="N33" s="60">
        <f t="shared" si="5"/>
        <v>150208.50791792807</v>
      </c>
      <c r="O33" s="60">
        <f t="shared" si="5"/>
        <v>151710.59299710736</v>
      </c>
      <c r="P33" s="60">
        <f t="shared" si="5"/>
        <v>153227.69892707845</v>
      </c>
      <c r="Q33" s="60">
        <f t="shared" si="5"/>
        <v>154759.97591634924</v>
      </c>
      <c r="R33" s="60">
        <f t="shared" si="5"/>
        <v>156307.57567551272</v>
      </c>
      <c r="S33" s="60">
        <f t="shared" si="5"/>
        <v>157870.65143226786</v>
      </c>
      <c r="T33" s="60">
        <f t="shared" si="5"/>
        <v>159449.35794659049</v>
      </c>
      <c r="U33" s="60">
        <f t="shared" si="5"/>
        <v>161043.85152605636</v>
      </c>
      <c r="V33" s="60">
        <f t="shared" si="5"/>
        <v>162654.29004131697</v>
      </c>
      <c r="W33" s="60">
        <f t="shared" si="5"/>
        <v>164280.83294173016</v>
      </c>
      <c r="X33" s="60">
        <f t="shared" si="5"/>
        <v>165923.64127114744</v>
      </c>
      <c r="Y33" s="60">
        <f t="shared" si="5"/>
        <v>167582.87768385888</v>
      </c>
      <c r="Z33" s="60">
        <f t="shared" si="5"/>
        <v>169258.70646069746</v>
      </c>
      <c r="AA33" s="60">
        <f t="shared" si="5"/>
        <v>170951.29352530453</v>
      </c>
      <c r="AB33" s="60">
        <f t="shared" si="5"/>
        <v>172660.80646055756</v>
      </c>
      <c r="AC33" s="60">
        <f t="shared" si="5"/>
        <v>174387.4145251631</v>
      </c>
      <c r="AD33" s="60">
        <f t="shared" si="5"/>
        <v>176131.28867041477</v>
      </c>
    </row>
    <row r="35" spans="1:30" x14ac:dyDescent="0.35">
      <c r="A35" s="6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9440-0A64-4E9E-B4F4-9E1C5D15E3E7}">
  <sheetPr>
    <tabColor theme="9"/>
  </sheetPr>
  <dimension ref="A1:AD35"/>
  <sheetViews>
    <sheetView zoomScale="78" zoomScaleNormal="78" workbookViewId="0">
      <selection activeCell="A7" sqref="A7"/>
    </sheetView>
  </sheetViews>
  <sheetFormatPr baseColWidth="10" defaultRowHeight="14.5" x14ac:dyDescent="0.35"/>
  <cols>
    <col min="1" max="1" width="21.1796875" customWidth="1"/>
    <col min="2" max="30" width="11.26953125" bestFit="1" customWidth="1"/>
  </cols>
  <sheetData>
    <row r="1" spans="1:30" x14ac:dyDescent="0.35">
      <c r="A1" s="58" t="s">
        <v>85</v>
      </c>
      <c r="B1" s="58">
        <v>2022</v>
      </c>
      <c r="C1" s="58">
        <v>2023</v>
      </c>
      <c r="D1" s="58">
        <v>2024</v>
      </c>
      <c r="E1" s="58">
        <v>2025</v>
      </c>
      <c r="F1" s="58">
        <v>2026</v>
      </c>
      <c r="G1" s="58">
        <v>2027</v>
      </c>
      <c r="H1" s="58">
        <v>2028</v>
      </c>
      <c r="I1" s="58">
        <v>2029</v>
      </c>
      <c r="J1" s="58">
        <v>2030</v>
      </c>
      <c r="K1" s="58">
        <v>2031</v>
      </c>
      <c r="L1" s="58">
        <v>2032</v>
      </c>
      <c r="M1" s="58">
        <v>2033</v>
      </c>
      <c r="N1" s="58">
        <v>2034</v>
      </c>
      <c r="O1" s="58">
        <v>2035</v>
      </c>
      <c r="P1" s="58">
        <v>2036</v>
      </c>
      <c r="Q1" s="58">
        <v>2037</v>
      </c>
      <c r="R1" s="58">
        <v>2038</v>
      </c>
      <c r="S1" s="58">
        <v>2039</v>
      </c>
      <c r="T1" s="58">
        <v>2040</v>
      </c>
      <c r="U1" s="58">
        <v>2041</v>
      </c>
      <c r="V1" s="58">
        <v>2042</v>
      </c>
      <c r="W1" s="58">
        <v>2043</v>
      </c>
      <c r="X1" s="58">
        <v>2044</v>
      </c>
      <c r="Y1" s="58">
        <v>2045</v>
      </c>
      <c r="Z1" s="58">
        <v>2046</v>
      </c>
      <c r="AA1" s="58">
        <v>2047</v>
      </c>
      <c r="AB1" s="58">
        <v>2048</v>
      </c>
      <c r="AC1" s="58">
        <v>2049</v>
      </c>
      <c r="AD1" s="58">
        <v>2050</v>
      </c>
    </row>
    <row r="2" spans="1:30" x14ac:dyDescent="0.35">
      <c r="A2" s="1" t="s">
        <v>17</v>
      </c>
      <c r="B2" s="63">
        <f>'Eurostat collected Portables GU'!W2+('Eurostat collected Portables GU'!W2*0.02)</f>
        <v>20461.2</v>
      </c>
      <c r="C2" s="63">
        <f t="shared" ref="C2:N32" si="0">B2+(B2*0.02)</f>
        <v>20870.423999999999</v>
      </c>
      <c r="D2" s="63">
        <f t="shared" si="0"/>
        <v>21287.832479999997</v>
      </c>
      <c r="E2" s="63">
        <f t="shared" si="0"/>
        <v>21713.589129599997</v>
      </c>
      <c r="F2" s="63">
        <f t="shared" si="0"/>
        <v>22147.860912191998</v>
      </c>
      <c r="G2" s="63">
        <f t="shared" si="0"/>
        <v>22590.818130435837</v>
      </c>
      <c r="H2" s="63">
        <f t="shared" si="0"/>
        <v>23042.634493044552</v>
      </c>
      <c r="I2" s="63">
        <f t="shared" si="0"/>
        <v>23503.487182905443</v>
      </c>
      <c r="J2" s="63">
        <f t="shared" si="0"/>
        <v>23973.556926563553</v>
      </c>
      <c r="K2" s="63">
        <f t="shared" si="0"/>
        <v>24453.028065094823</v>
      </c>
      <c r="L2" s="63">
        <f t="shared" si="0"/>
        <v>24942.088626396719</v>
      </c>
      <c r="M2" s="63">
        <f t="shared" si="0"/>
        <v>25440.930398924655</v>
      </c>
      <c r="N2" s="63">
        <f t="shared" si="0"/>
        <v>25949.749006903148</v>
      </c>
      <c r="O2" s="63">
        <f t="shared" ref="O2:O32" si="1">N2+(N2*0.02)</f>
        <v>26468.743987041213</v>
      </c>
      <c r="P2" s="63">
        <f t="shared" ref="P2:P32" si="2">O2+(O2*0.02)</f>
        <v>26998.118866782035</v>
      </c>
      <c r="Q2" s="63">
        <f t="shared" ref="Q2:Q32" si="3">P2+(P2*0.02)</f>
        <v>27538.081244117675</v>
      </c>
      <c r="R2" s="63">
        <f t="shared" ref="R2:R32" si="4">Q2+(Q2*0.02)</f>
        <v>28088.842869000029</v>
      </c>
      <c r="S2" s="63">
        <f t="shared" ref="S2:S32" si="5">R2+(R2*0.02)</f>
        <v>28650.619726380031</v>
      </c>
      <c r="T2" s="63">
        <f t="shared" ref="T2:T32" si="6">S2+(S2*0.02)</f>
        <v>29223.63212090763</v>
      </c>
      <c r="U2" s="63">
        <f t="shared" ref="U2:U32" si="7">T2+(T2*0.02)</f>
        <v>29808.104763325784</v>
      </c>
      <c r="V2" s="63">
        <f t="shared" ref="V2:V32" si="8">U2+(U2*0.02)</f>
        <v>30404.266858592298</v>
      </c>
      <c r="W2" s="63">
        <f t="shared" ref="W2:W32" si="9">V2+(V2*0.02)</f>
        <v>31012.352195764146</v>
      </c>
      <c r="X2" s="63">
        <f t="shared" ref="X2:X32" si="10">W2+(W2*0.02)</f>
        <v>31632.599239679428</v>
      </c>
      <c r="Y2" s="63">
        <f t="shared" ref="Y2:Y32" si="11">X2+(X2*0.02)</f>
        <v>32265.251224473017</v>
      </c>
      <c r="Z2" s="63">
        <f t="shared" ref="Z2:Z32" si="12">Y2+(Y2*0.02)</f>
        <v>32910.556248962479</v>
      </c>
      <c r="AA2" s="63">
        <f t="shared" ref="AA2:AA32" si="13">Z2+(Z2*0.02)</f>
        <v>33568.76737394173</v>
      </c>
      <c r="AB2" s="63">
        <f t="shared" ref="AB2:AB32" si="14">AA2+(AA2*0.02)</f>
        <v>34240.142721420561</v>
      </c>
      <c r="AC2" s="63">
        <f t="shared" ref="AC2:AC32" si="15">AB2+(AB2*0.02)</f>
        <v>34924.945575848971</v>
      </c>
      <c r="AD2" s="63">
        <f t="shared" ref="AD2:AD32" si="16">AC2+(AC2*0.02)</f>
        <v>35623.444487365952</v>
      </c>
    </row>
    <row r="3" spans="1:30" x14ac:dyDescent="0.35">
      <c r="A3" s="1" t="s">
        <v>18</v>
      </c>
      <c r="B3" s="63">
        <f>'Eurostat collected Portables GU'!W3+('Eurostat collected Portables GU'!W3*0.02)</f>
        <v>2825.4</v>
      </c>
      <c r="C3" s="63">
        <f t="shared" si="0"/>
        <v>2881.9079999999999</v>
      </c>
      <c r="D3" s="63">
        <f t="shared" si="0"/>
        <v>2939.5461599999999</v>
      </c>
      <c r="E3" s="63">
        <f t="shared" si="0"/>
        <v>2998.3370832000001</v>
      </c>
      <c r="F3" s="63">
        <f t="shared" si="0"/>
        <v>3058.303824864</v>
      </c>
      <c r="G3" s="63">
        <f t="shared" si="0"/>
        <v>3119.4699013612799</v>
      </c>
      <c r="H3" s="63">
        <f t="shared" si="0"/>
        <v>3181.8592993885054</v>
      </c>
      <c r="I3" s="63">
        <f t="shared" si="0"/>
        <v>3245.4964853762754</v>
      </c>
      <c r="J3" s="63">
        <f t="shared" si="0"/>
        <v>3310.4064150838008</v>
      </c>
      <c r="K3" s="63">
        <f t="shared" si="0"/>
        <v>3376.6145433854767</v>
      </c>
      <c r="L3" s="63">
        <f t="shared" si="0"/>
        <v>3444.1468342531862</v>
      </c>
      <c r="M3" s="63">
        <f t="shared" si="0"/>
        <v>3513.0297709382498</v>
      </c>
      <c r="N3" s="63">
        <f t="shared" si="0"/>
        <v>3583.290366357015</v>
      </c>
      <c r="O3" s="63">
        <f t="shared" si="1"/>
        <v>3654.9561736841551</v>
      </c>
      <c r="P3" s="63">
        <f t="shared" si="2"/>
        <v>3728.0552971578381</v>
      </c>
      <c r="Q3" s="63">
        <f t="shared" si="3"/>
        <v>3802.6164031009948</v>
      </c>
      <c r="R3" s="63">
        <f t="shared" si="4"/>
        <v>3878.6687311630149</v>
      </c>
      <c r="S3" s="63">
        <f t="shared" si="5"/>
        <v>3956.2421057862753</v>
      </c>
      <c r="T3" s="63">
        <f t="shared" si="6"/>
        <v>4035.3669479020009</v>
      </c>
      <c r="U3" s="63">
        <f t="shared" si="7"/>
        <v>4116.074286860041</v>
      </c>
      <c r="V3" s="63">
        <f t="shared" si="8"/>
        <v>4198.3957725972414</v>
      </c>
      <c r="W3" s="63">
        <f t="shared" si="9"/>
        <v>4282.3636880491858</v>
      </c>
      <c r="X3" s="63">
        <f t="shared" si="10"/>
        <v>4368.0109618101696</v>
      </c>
      <c r="Y3" s="63">
        <f t="shared" si="11"/>
        <v>4455.3711810463728</v>
      </c>
      <c r="Z3" s="63">
        <f t="shared" si="12"/>
        <v>4544.4786046673007</v>
      </c>
      <c r="AA3" s="63">
        <f t="shared" si="13"/>
        <v>4635.3681767606467</v>
      </c>
      <c r="AB3" s="63">
        <f t="shared" si="14"/>
        <v>4728.0755402958594</v>
      </c>
      <c r="AC3" s="63">
        <f t="shared" si="15"/>
        <v>4822.6370511017767</v>
      </c>
      <c r="AD3" s="63">
        <f t="shared" si="16"/>
        <v>4919.089792123812</v>
      </c>
    </row>
    <row r="4" spans="1:30" x14ac:dyDescent="0.35">
      <c r="A4" s="1" t="s">
        <v>19</v>
      </c>
      <c r="B4" s="63">
        <f>'Eurostat collected Portables GU'!W4+('Eurostat collected Portables GU'!W4*0.02)</f>
        <v>3459.84</v>
      </c>
      <c r="C4" s="63">
        <f t="shared" si="0"/>
        <v>3529.0368000000003</v>
      </c>
      <c r="D4" s="63">
        <f t="shared" si="0"/>
        <v>3599.6175360000002</v>
      </c>
      <c r="E4" s="63">
        <f t="shared" si="0"/>
        <v>3671.6098867200003</v>
      </c>
      <c r="F4" s="63">
        <f t="shared" si="0"/>
        <v>3745.0420844544005</v>
      </c>
      <c r="G4" s="63">
        <f t="shared" si="0"/>
        <v>3819.9429261434884</v>
      </c>
      <c r="H4" s="63">
        <f t="shared" si="0"/>
        <v>3896.3417846663583</v>
      </c>
      <c r="I4" s="63">
        <f t="shared" si="0"/>
        <v>3974.2686203596854</v>
      </c>
      <c r="J4" s="63">
        <f t="shared" si="0"/>
        <v>4053.753992766879</v>
      </c>
      <c r="K4" s="63">
        <f t="shared" si="0"/>
        <v>4134.8290726222167</v>
      </c>
      <c r="L4" s="63">
        <f t="shared" si="0"/>
        <v>4217.5256540746614</v>
      </c>
      <c r="M4" s="63">
        <f t="shared" si="0"/>
        <v>4301.8761671561542</v>
      </c>
      <c r="N4" s="63">
        <f t="shared" si="0"/>
        <v>4387.9136904992774</v>
      </c>
      <c r="O4" s="63">
        <f t="shared" si="1"/>
        <v>4475.6719643092629</v>
      </c>
      <c r="P4" s="63">
        <f t="shared" si="2"/>
        <v>4565.1854035954484</v>
      </c>
      <c r="Q4" s="63">
        <f t="shared" si="3"/>
        <v>4656.4891116673571</v>
      </c>
      <c r="R4" s="63">
        <f t="shared" si="4"/>
        <v>4749.6188939007043</v>
      </c>
      <c r="S4" s="63">
        <f t="shared" si="5"/>
        <v>4844.6112717787182</v>
      </c>
      <c r="T4" s="63">
        <f t="shared" si="6"/>
        <v>4941.503497214293</v>
      </c>
      <c r="U4" s="63">
        <f t="shared" si="7"/>
        <v>5040.3335671585792</v>
      </c>
      <c r="V4" s="63">
        <f t="shared" si="8"/>
        <v>5141.1402385017509</v>
      </c>
      <c r="W4" s="63">
        <f t="shared" si="9"/>
        <v>5243.9630432717859</v>
      </c>
      <c r="X4" s="63">
        <f t="shared" si="10"/>
        <v>5348.8423041372216</v>
      </c>
      <c r="Y4" s="63">
        <f t="shared" si="11"/>
        <v>5455.8191502199661</v>
      </c>
      <c r="Z4" s="63">
        <f t="shared" si="12"/>
        <v>5564.9355332243658</v>
      </c>
      <c r="AA4" s="63">
        <f t="shared" si="13"/>
        <v>5676.2342438888536</v>
      </c>
      <c r="AB4" s="63">
        <f t="shared" si="14"/>
        <v>5789.7589287666306</v>
      </c>
      <c r="AC4" s="63">
        <f t="shared" si="15"/>
        <v>5905.5541073419636</v>
      </c>
      <c r="AD4" s="63">
        <f t="shared" si="16"/>
        <v>6023.6651894888028</v>
      </c>
    </row>
    <row r="5" spans="1:30" x14ac:dyDescent="0.35">
      <c r="A5" s="1" t="s">
        <v>20</v>
      </c>
      <c r="B5" s="63">
        <f>'Eurostat collected Portables GU'!W5+('Eurostat collected Portables GU'!W5*0.02)</f>
        <v>456.96</v>
      </c>
      <c r="C5" s="63">
        <f t="shared" si="0"/>
        <v>466.0992</v>
      </c>
      <c r="D5" s="63">
        <f t="shared" si="0"/>
        <v>475.42118399999998</v>
      </c>
      <c r="E5" s="63">
        <f t="shared" si="0"/>
        <v>484.92960768</v>
      </c>
      <c r="F5" s="63">
        <f t="shared" si="0"/>
        <v>494.62819983359998</v>
      </c>
      <c r="G5" s="63">
        <f t="shared" si="0"/>
        <v>504.52076383027196</v>
      </c>
      <c r="H5" s="63">
        <f t="shared" si="0"/>
        <v>514.61117910687744</v>
      </c>
      <c r="I5" s="63">
        <f t="shared" si="0"/>
        <v>524.90340268901502</v>
      </c>
      <c r="J5" s="63">
        <f t="shared" si="0"/>
        <v>535.40147074279537</v>
      </c>
      <c r="K5" s="63">
        <f t="shared" si="0"/>
        <v>546.10950015765127</v>
      </c>
      <c r="L5" s="63">
        <f t="shared" si="0"/>
        <v>557.03169016080426</v>
      </c>
      <c r="M5" s="63">
        <f t="shared" si="0"/>
        <v>568.17232396402039</v>
      </c>
      <c r="N5" s="63">
        <f t="shared" si="0"/>
        <v>579.53577044330075</v>
      </c>
      <c r="O5" s="63">
        <f t="shared" si="1"/>
        <v>591.12648585216675</v>
      </c>
      <c r="P5" s="63">
        <f t="shared" si="2"/>
        <v>602.94901556921013</v>
      </c>
      <c r="Q5" s="63">
        <f t="shared" si="3"/>
        <v>615.00799588059431</v>
      </c>
      <c r="R5" s="63">
        <f t="shared" si="4"/>
        <v>627.30815579820614</v>
      </c>
      <c r="S5" s="63">
        <f t="shared" si="5"/>
        <v>639.85431891417022</v>
      </c>
      <c r="T5" s="63">
        <f t="shared" si="6"/>
        <v>652.65140529245366</v>
      </c>
      <c r="U5" s="63">
        <f t="shared" si="7"/>
        <v>665.70443339830274</v>
      </c>
      <c r="V5" s="63">
        <f t="shared" si="8"/>
        <v>679.01852206626882</v>
      </c>
      <c r="W5" s="63">
        <f t="shared" si="9"/>
        <v>692.5988925075942</v>
      </c>
      <c r="X5" s="63">
        <f t="shared" si="10"/>
        <v>706.45087035774611</v>
      </c>
      <c r="Y5" s="63">
        <f t="shared" si="11"/>
        <v>720.57988776490106</v>
      </c>
      <c r="Z5" s="63">
        <f t="shared" si="12"/>
        <v>734.99148552019903</v>
      </c>
      <c r="AA5" s="63">
        <f t="shared" si="13"/>
        <v>749.69131523060298</v>
      </c>
      <c r="AB5" s="63">
        <f t="shared" si="14"/>
        <v>764.68514153521505</v>
      </c>
      <c r="AC5" s="63">
        <f t="shared" si="15"/>
        <v>779.97884436591937</v>
      </c>
      <c r="AD5" s="63">
        <f t="shared" si="16"/>
        <v>795.57842125323771</v>
      </c>
    </row>
    <row r="6" spans="1:30" x14ac:dyDescent="0.35">
      <c r="A6" s="1" t="s">
        <v>21</v>
      </c>
      <c r="B6" s="63">
        <f>'Eurostat collected Portables GU'!W6+('Eurostat collected Portables GU'!W6*0.02)</f>
        <v>90.78</v>
      </c>
      <c r="C6" s="63">
        <f t="shared" si="0"/>
        <v>92.595600000000005</v>
      </c>
      <c r="D6" s="63">
        <f t="shared" si="0"/>
        <v>94.447512000000003</v>
      </c>
      <c r="E6" s="63">
        <f t="shared" si="0"/>
        <v>96.336462240000003</v>
      </c>
      <c r="F6" s="63">
        <f t="shared" si="0"/>
        <v>98.263191484800004</v>
      </c>
      <c r="G6" s="63">
        <f t="shared" si="0"/>
        <v>100.228455314496</v>
      </c>
      <c r="H6" s="63">
        <f t="shared" si="0"/>
        <v>102.23302442078592</v>
      </c>
      <c r="I6" s="63">
        <f t="shared" si="0"/>
        <v>104.27768490920164</v>
      </c>
      <c r="J6" s="63">
        <f t="shared" si="0"/>
        <v>106.36323860738567</v>
      </c>
      <c r="K6" s="63">
        <f t="shared" si="0"/>
        <v>108.49050337953338</v>
      </c>
      <c r="L6" s="63">
        <f t="shared" si="0"/>
        <v>110.66031344712405</v>
      </c>
      <c r="M6" s="63">
        <f t="shared" si="0"/>
        <v>112.87351971606654</v>
      </c>
      <c r="N6" s="63">
        <f t="shared" si="0"/>
        <v>115.13099011038787</v>
      </c>
      <c r="O6" s="63">
        <f t="shared" si="1"/>
        <v>117.43360991259563</v>
      </c>
      <c r="P6" s="63">
        <f t="shared" si="2"/>
        <v>119.78228211084755</v>
      </c>
      <c r="Q6" s="63">
        <f t="shared" si="3"/>
        <v>122.17792775306449</v>
      </c>
      <c r="R6" s="63">
        <f t="shared" si="4"/>
        <v>124.62148630812578</v>
      </c>
      <c r="S6" s="63">
        <f t="shared" si="5"/>
        <v>127.11391603428829</v>
      </c>
      <c r="T6" s="63">
        <f t="shared" si="6"/>
        <v>129.65619435497405</v>
      </c>
      <c r="U6" s="63">
        <f t="shared" si="7"/>
        <v>132.24931824207354</v>
      </c>
      <c r="V6" s="63">
        <f t="shared" si="8"/>
        <v>134.894304606915</v>
      </c>
      <c r="W6" s="63">
        <f t="shared" si="9"/>
        <v>137.5921906990533</v>
      </c>
      <c r="X6" s="63">
        <f t="shared" si="10"/>
        <v>140.34403451303436</v>
      </c>
      <c r="Y6" s="63">
        <f t="shared" si="11"/>
        <v>143.15091520329506</v>
      </c>
      <c r="Z6" s="63">
        <f t="shared" si="12"/>
        <v>146.01393350736095</v>
      </c>
      <c r="AA6" s="63">
        <f t="shared" si="13"/>
        <v>148.93421217750816</v>
      </c>
      <c r="AB6" s="63">
        <f t="shared" si="14"/>
        <v>151.91289642105832</v>
      </c>
      <c r="AC6" s="63">
        <f t="shared" si="15"/>
        <v>154.95115434947948</v>
      </c>
      <c r="AD6" s="63">
        <f t="shared" si="16"/>
        <v>158.05017743646908</v>
      </c>
    </row>
    <row r="7" spans="1:30" x14ac:dyDescent="0.35">
      <c r="A7" s="1" t="s">
        <v>88</v>
      </c>
      <c r="B7" s="63">
        <f>'Eurostat collected Portables GU'!W7+('Eurostat collected Portables GU'!W7*0.02)</f>
        <v>2481.66</v>
      </c>
      <c r="C7" s="63">
        <f t="shared" si="0"/>
        <v>2531.2932000000001</v>
      </c>
      <c r="D7" s="63">
        <f t="shared" si="0"/>
        <v>2581.9190640000002</v>
      </c>
      <c r="E7" s="63">
        <f t="shared" si="0"/>
        <v>2633.5574452800001</v>
      </c>
      <c r="F7" s="63">
        <f t="shared" si="0"/>
        <v>2686.2285941856003</v>
      </c>
      <c r="G7" s="63">
        <f t="shared" si="0"/>
        <v>2739.9531660693124</v>
      </c>
      <c r="H7" s="63">
        <f t="shared" si="0"/>
        <v>2794.7522293906986</v>
      </c>
      <c r="I7" s="63">
        <f t="shared" si="0"/>
        <v>2850.6472739785127</v>
      </c>
      <c r="J7" s="63">
        <f t="shared" si="0"/>
        <v>2907.6602194580828</v>
      </c>
      <c r="K7" s="63">
        <f t="shared" si="0"/>
        <v>2965.8134238472444</v>
      </c>
      <c r="L7" s="63">
        <f t="shared" si="0"/>
        <v>3025.1296923241894</v>
      </c>
      <c r="M7" s="63">
        <f t="shared" si="0"/>
        <v>3085.6322861706731</v>
      </c>
      <c r="N7" s="63">
        <f t="shared" si="0"/>
        <v>3147.3449318940866</v>
      </c>
      <c r="O7" s="63">
        <f t="shared" si="1"/>
        <v>3210.2918305319681</v>
      </c>
      <c r="P7" s="63">
        <f t="shared" si="2"/>
        <v>3274.4976671426075</v>
      </c>
      <c r="Q7" s="63">
        <f t="shared" si="3"/>
        <v>3339.9876204854595</v>
      </c>
      <c r="R7" s="63">
        <f t="shared" si="4"/>
        <v>3406.7873728951686</v>
      </c>
      <c r="S7" s="63">
        <f t="shared" si="5"/>
        <v>3474.9231203530721</v>
      </c>
      <c r="T7" s="63">
        <f t="shared" si="6"/>
        <v>3544.4215827601338</v>
      </c>
      <c r="U7" s="63">
        <f t="shared" si="7"/>
        <v>3615.3100144153364</v>
      </c>
      <c r="V7" s="63">
        <f t="shared" si="8"/>
        <v>3687.616214703643</v>
      </c>
      <c r="W7" s="63">
        <f t="shared" si="9"/>
        <v>3761.3685389977159</v>
      </c>
      <c r="X7" s="63">
        <f t="shared" si="10"/>
        <v>3836.5959097776704</v>
      </c>
      <c r="Y7" s="63">
        <f t="shared" si="11"/>
        <v>3913.327827973224</v>
      </c>
      <c r="Z7" s="63">
        <f t="shared" si="12"/>
        <v>3991.5943845326883</v>
      </c>
      <c r="AA7" s="63">
        <f t="shared" si="13"/>
        <v>4071.426272223342</v>
      </c>
      <c r="AB7" s="63">
        <f t="shared" si="14"/>
        <v>4152.8547976678092</v>
      </c>
      <c r="AC7" s="63">
        <f t="shared" si="15"/>
        <v>4235.9118936211653</v>
      </c>
      <c r="AD7" s="63">
        <f t="shared" si="16"/>
        <v>4320.630131493589</v>
      </c>
    </row>
    <row r="8" spans="1:30" x14ac:dyDescent="0.35">
      <c r="A8" s="1" t="s">
        <v>22</v>
      </c>
      <c r="B8" s="63">
        <f>'Eurostat collected Portables GU'!W8+('Eurostat collected Portables GU'!W8*0.02)</f>
        <v>30216.48</v>
      </c>
      <c r="C8" s="63">
        <f t="shared" si="0"/>
        <v>30820.809600000001</v>
      </c>
      <c r="D8" s="63">
        <f t="shared" si="0"/>
        <v>31437.225792000001</v>
      </c>
      <c r="E8" s="63">
        <f t="shared" si="0"/>
        <v>32065.970307840002</v>
      </c>
      <c r="F8" s="63">
        <f t="shared" si="0"/>
        <v>32707.289713996801</v>
      </c>
      <c r="G8" s="63">
        <f t="shared" si="0"/>
        <v>33361.435508276736</v>
      </c>
      <c r="H8" s="63">
        <f t="shared" si="0"/>
        <v>34028.664218442267</v>
      </c>
      <c r="I8" s="63">
        <f t="shared" si="0"/>
        <v>34709.237502811113</v>
      </c>
      <c r="J8" s="63">
        <f t="shared" si="0"/>
        <v>35403.422252867334</v>
      </c>
      <c r="K8" s="63">
        <f t="shared" si="0"/>
        <v>36111.490697924681</v>
      </c>
      <c r="L8" s="63">
        <f t="shared" si="0"/>
        <v>36833.720511883177</v>
      </c>
      <c r="M8" s="63">
        <f t="shared" si="0"/>
        <v>37570.394922120839</v>
      </c>
      <c r="N8" s="63">
        <f t="shared" si="0"/>
        <v>38321.802820563258</v>
      </c>
      <c r="O8" s="63">
        <f t="shared" si="1"/>
        <v>39088.238876974523</v>
      </c>
      <c r="P8" s="63">
        <f t="shared" si="2"/>
        <v>39870.00365451401</v>
      </c>
      <c r="Q8" s="63">
        <f t="shared" si="3"/>
        <v>40667.403727604287</v>
      </c>
      <c r="R8" s="63">
        <f t="shared" si="4"/>
        <v>41480.751802156374</v>
      </c>
      <c r="S8" s="63">
        <f t="shared" si="5"/>
        <v>42310.366838199501</v>
      </c>
      <c r="T8" s="63">
        <f t="shared" si="6"/>
        <v>43156.574174963491</v>
      </c>
      <c r="U8" s="63">
        <f t="shared" si="7"/>
        <v>44019.705658462757</v>
      </c>
      <c r="V8" s="63">
        <f t="shared" si="8"/>
        <v>44900.099771632013</v>
      </c>
      <c r="W8" s="63">
        <f t="shared" si="9"/>
        <v>45798.101767064654</v>
      </c>
      <c r="X8" s="63">
        <f t="shared" si="10"/>
        <v>46714.063802405944</v>
      </c>
      <c r="Y8" s="63">
        <f t="shared" si="11"/>
        <v>47648.345078454062</v>
      </c>
      <c r="Z8" s="63">
        <f t="shared" si="12"/>
        <v>48601.311980023143</v>
      </c>
      <c r="AA8" s="63">
        <f t="shared" si="13"/>
        <v>49573.338219623605</v>
      </c>
      <c r="AB8" s="63">
        <f t="shared" si="14"/>
        <v>50564.804984016075</v>
      </c>
      <c r="AC8" s="63">
        <f t="shared" si="15"/>
        <v>51576.101083696398</v>
      </c>
      <c r="AD8" s="63">
        <f t="shared" si="16"/>
        <v>52607.623105370323</v>
      </c>
    </row>
    <row r="9" spans="1:30" x14ac:dyDescent="0.35">
      <c r="A9" s="1" t="s">
        <v>23</v>
      </c>
      <c r="B9" s="63">
        <f>'Eurostat collected Portables GU'!W9+('Eurostat collected Portables GU'!W9*0.02)</f>
        <v>2671.38</v>
      </c>
      <c r="C9" s="63">
        <f t="shared" si="0"/>
        <v>2724.8076000000001</v>
      </c>
      <c r="D9" s="63">
        <f t="shared" si="0"/>
        <v>2779.3037520000003</v>
      </c>
      <c r="E9" s="63">
        <f t="shared" si="0"/>
        <v>2834.8898270400005</v>
      </c>
      <c r="F9" s="63">
        <f t="shared" si="0"/>
        <v>2891.5876235808005</v>
      </c>
      <c r="G9" s="63">
        <f t="shared" si="0"/>
        <v>2949.4193760524163</v>
      </c>
      <c r="H9" s="63">
        <f t="shared" si="0"/>
        <v>3008.4077635734648</v>
      </c>
      <c r="I9" s="63">
        <f t="shared" si="0"/>
        <v>3068.5759188449342</v>
      </c>
      <c r="J9" s="63">
        <f t="shared" si="0"/>
        <v>3129.9474372218328</v>
      </c>
      <c r="K9" s="63">
        <f t="shared" si="0"/>
        <v>3192.5463859662696</v>
      </c>
      <c r="L9" s="63">
        <f t="shared" si="0"/>
        <v>3256.3973136855948</v>
      </c>
      <c r="M9" s="63">
        <f t="shared" si="0"/>
        <v>3321.5252599593068</v>
      </c>
      <c r="N9" s="63">
        <f t="shared" si="0"/>
        <v>3387.9557651584928</v>
      </c>
      <c r="O9" s="63">
        <f t="shared" si="1"/>
        <v>3455.7148804616627</v>
      </c>
      <c r="P9" s="63">
        <f t="shared" si="2"/>
        <v>3524.829178070896</v>
      </c>
      <c r="Q9" s="63">
        <f t="shared" si="3"/>
        <v>3595.325761632314</v>
      </c>
      <c r="R9" s="63">
        <f t="shared" si="4"/>
        <v>3667.2322768649601</v>
      </c>
      <c r="S9" s="63">
        <f t="shared" si="5"/>
        <v>3740.5769224022592</v>
      </c>
      <c r="T9" s="63">
        <f t="shared" si="6"/>
        <v>3815.3884608503045</v>
      </c>
      <c r="U9" s="63">
        <f t="shared" si="7"/>
        <v>3891.6962300673104</v>
      </c>
      <c r="V9" s="63">
        <f t="shared" si="8"/>
        <v>3969.5301546686565</v>
      </c>
      <c r="W9" s="63">
        <f t="shared" si="9"/>
        <v>4048.9207577620296</v>
      </c>
      <c r="X9" s="63">
        <f t="shared" si="10"/>
        <v>4129.8991729172703</v>
      </c>
      <c r="Y9" s="63">
        <f t="shared" si="11"/>
        <v>4212.4971563756153</v>
      </c>
      <c r="Z9" s="63">
        <f t="shared" si="12"/>
        <v>4296.7470995031272</v>
      </c>
      <c r="AA9" s="63">
        <f t="shared" si="13"/>
        <v>4382.6820414931899</v>
      </c>
      <c r="AB9" s="63">
        <f t="shared" si="14"/>
        <v>4470.3356823230533</v>
      </c>
      <c r="AC9" s="63">
        <f t="shared" si="15"/>
        <v>4559.7423959695143</v>
      </c>
      <c r="AD9" s="63">
        <f t="shared" si="16"/>
        <v>4650.937243888905</v>
      </c>
    </row>
    <row r="10" spans="1:30" x14ac:dyDescent="0.35">
      <c r="A10" s="1" t="s">
        <v>26</v>
      </c>
      <c r="B10" s="63">
        <f>'Eurostat collected Portables GU'!W10+('Eurostat collected Portables GU'!W10*0.02)</f>
        <v>233.58</v>
      </c>
      <c r="C10" s="63">
        <f t="shared" si="0"/>
        <v>238.25160000000002</v>
      </c>
      <c r="D10" s="63">
        <f t="shared" si="0"/>
        <v>243.01663200000002</v>
      </c>
      <c r="E10" s="63">
        <f t="shared" si="0"/>
        <v>247.87696464000001</v>
      </c>
      <c r="F10" s="63">
        <f t="shared" si="0"/>
        <v>252.8345039328</v>
      </c>
      <c r="G10" s="63">
        <f t="shared" si="0"/>
        <v>257.89119401145598</v>
      </c>
      <c r="H10" s="63">
        <f t="shared" si="0"/>
        <v>263.04901789168508</v>
      </c>
      <c r="I10" s="63">
        <f t="shared" si="0"/>
        <v>268.3099982495188</v>
      </c>
      <c r="J10" s="63">
        <f t="shared" si="0"/>
        <v>273.67619821450916</v>
      </c>
      <c r="K10" s="63">
        <f t="shared" si="0"/>
        <v>279.14972217879932</v>
      </c>
      <c r="L10" s="63">
        <f t="shared" si="0"/>
        <v>284.73271662237534</v>
      </c>
      <c r="M10" s="63">
        <f t="shared" si="0"/>
        <v>290.42737095482283</v>
      </c>
      <c r="N10" s="63">
        <f t="shared" si="0"/>
        <v>296.23591837391928</v>
      </c>
      <c r="O10" s="63">
        <f t="shared" si="1"/>
        <v>302.16063674139764</v>
      </c>
      <c r="P10" s="63">
        <f t="shared" si="2"/>
        <v>308.20384947622557</v>
      </c>
      <c r="Q10" s="63">
        <f t="shared" si="3"/>
        <v>314.36792646575009</v>
      </c>
      <c r="R10" s="63">
        <f t="shared" si="4"/>
        <v>320.65528499506507</v>
      </c>
      <c r="S10" s="63">
        <f t="shared" si="5"/>
        <v>327.06839069496635</v>
      </c>
      <c r="T10" s="63">
        <f t="shared" si="6"/>
        <v>333.6097585088657</v>
      </c>
      <c r="U10" s="63">
        <f t="shared" si="7"/>
        <v>340.281953679043</v>
      </c>
      <c r="V10" s="63">
        <f t="shared" si="8"/>
        <v>347.08759275262383</v>
      </c>
      <c r="W10" s="63">
        <f t="shared" si="9"/>
        <v>354.02934460767631</v>
      </c>
      <c r="X10" s="63">
        <f t="shared" si="10"/>
        <v>361.10993149982983</v>
      </c>
      <c r="Y10" s="63">
        <f t="shared" si="11"/>
        <v>368.3321301298264</v>
      </c>
      <c r="Z10" s="63">
        <f t="shared" si="12"/>
        <v>375.69877273242292</v>
      </c>
      <c r="AA10" s="63">
        <f t="shared" si="13"/>
        <v>383.21274818707138</v>
      </c>
      <c r="AB10" s="63">
        <f t="shared" si="14"/>
        <v>390.87700315081281</v>
      </c>
      <c r="AC10" s="63">
        <f t="shared" si="15"/>
        <v>398.69454321382909</v>
      </c>
      <c r="AD10" s="63">
        <f t="shared" si="16"/>
        <v>406.66843407810569</v>
      </c>
    </row>
    <row r="11" spans="1:30" x14ac:dyDescent="0.35">
      <c r="A11" s="1" t="s">
        <v>27</v>
      </c>
      <c r="B11" s="63">
        <f>'Eurostat collected Portables GU'!W11+('Eurostat collected Portables GU'!W11*0.02)</f>
        <v>625.28039999999999</v>
      </c>
      <c r="C11" s="63">
        <f t="shared" si="0"/>
        <v>637.78600800000004</v>
      </c>
      <c r="D11" s="63">
        <f t="shared" si="0"/>
        <v>650.54172816000005</v>
      </c>
      <c r="E11" s="63">
        <f t="shared" si="0"/>
        <v>663.55256272320003</v>
      </c>
      <c r="F11" s="63">
        <f t="shared" si="0"/>
        <v>676.82361397766408</v>
      </c>
      <c r="G11" s="63">
        <f t="shared" si="0"/>
        <v>690.3600862572174</v>
      </c>
      <c r="H11" s="63">
        <f t="shared" si="0"/>
        <v>704.1672879823617</v>
      </c>
      <c r="I11" s="63">
        <f t="shared" si="0"/>
        <v>718.25063374200897</v>
      </c>
      <c r="J11" s="63">
        <f t="shared" si="0"/>
        <v>732.61564641684913</v>
      </c>
      <c r="K11" s="63">
        <f t="shared" si="0"/>
        <v>747.26795934518611</v>
      </c>
      <c r="L11" s="63">
        <f t="shared" si="0"/>
        <v>762.21331853208983</v>
      </c>
      <c r="M11" s="63">
        <f t="shared" si="0"/>
        <v>777.45758490273158</v>
      </c>
      <c r="N11" s="63">
        <f t="shared" si="0"/>
        <v>793.00673660078621</v>
      </c>
      <c r="O11" s="63">
        <f t="shared" si="1"/>
        <v>808.86687133280191</v>
      </c>
      <c r="P11" s="63">
        <f t="shared" si="2"/>
        <v>825.04420875945789</v>
      </c>
      <c r="Q11" s="63">
        <f t="shared" si="3"/>
        <v>841.54509293464707</v>
      </c>
      <c r="R11" s="63">
        <f t="shared" si="4"/>
        <v>858.37599479334006</v>
      </c>
      <c r="S11" s="63">
        <f t="shared" si="5"/>
        <v>875.54351468920686</v>
      </c>
      <c r="T11" s="63">
        <f t="shared" si="6"/>
        <v>893.054384982991</v>
      </c>
      <c r="U11" s="63">
        <f t="shared" si="7"/>
        <v>910.91547268265083</v>
      </c>
      <c r="V11" s="63">
        <f t="shared" si="8"/>
        <v>929.13378213630381</v>
      </c>
      <c r="W11" s="63">
        <f t="shared" si="9"/>
        <v>947.71645777902984</v>
      </c>
      <c r="X11" s="63">
        <f t="shared" si="10"/>
        <v>966.67078693461042</v>
      </c>
      <c r="Y11" s="63">
        <f t="shared" si="11"/>
        <v>986.00420267330264</v>
      </c>
      <c r="Z11" s="63">
        <f t="shared" si="12"/>
        <v>1005.7242867267687</v>
      </c>
      <c r="AA11" s="63">
        <f t="shared" si="13"/>
        <v>1025.838772461304</v>
      </c>
      <c r="AB11" s="63">
        <f t="shared" si="14"/>
        <v>1046.35554791053</v>
      </c>
      <c r="AC11" s="63">
        <f t="shared" si="15"/>
        <v>1067.2826588687406</v>
      </c>
      <c r="AD11" s="63">
        <f t="shared" si="16"/>
        <v>1088.6283120461153</v>
      </c>
    </row>
    <row r="12" spans="1:30" x14ac:dyDescent="0.35">
      <c r="A12" s="1" t="s">
        <v>25</v>
      </c>
      <c r="B12" s="63">
        <f>'Eurostat collected Portables GU'!W12+('Eurostat collected Portables GU'!W12*0.02)</f>
        <v>7622.46</v>
      </c>
      <c r="C12" s="63">
        <f t="shared" si="0"/>
        <v>7774.9092000000001</v>
      </c>
      <c r="D12" s="63">
        <f t="shared" si="0"/>
        <v>7930.4073840000001</v>
      </c>
      <c r="E12" s="63">
        <f t="shared" si="0"/>
        <v>8089.0155316800001</v>
      </c>
      <c r="F12" s="63">
        <f t="shared" si="0"/>
        <v>8250.7958423136006</v>
      </c>
      <c r="G12" s="63">
        <f t="shared" si="0"/>
        <v>8415.811759159873</v>
      </c>
      <c r="H12" s="63">
        <f t="shared" si="0"/>
        <v>8584.1279943430709</v>
      </c>
      <c r="I12" s="63">
        <f t="shared" si="0"/>
        <v>8755.8105542299327</v>
      </c>
      <c r="J12" s="63">
        <f t="shared" si="0"/>
        <v>8930.9267653145307</v>
      </c>
      <c r="K12" s="63">
        <f t="shared" si="0"/>
        <v>9109.5453006208209</v>
      </c>
      <c r="L12" s="63">
        <f t="shared" si="0"/>
        <v>9291.7362066332371</v>
      </c>
      <c r="M12" s="63">
        <f t="shared" si="0"/>
        <v>9477.5709307659017</v>
      </c>
      <c r="N12" s="63">
        <f t="shared" si="0"/>
        <v>9667.1223493812195</v>
      </c>
      <c r="O12" s="63">
        <f t="shared" si="1"/>
        <v>9860.464796368844</v>
      </c>
      <c r="P12" s="63">
        <f t="shared" si="2"/>
        <v>10057.674092296222</v>
      </c>
      <c r="Q12" s="63">
        <f t="shared" si="3"/>
        <v>10258.827574142146</v>
      </c>
      <c r="R12" s="63">
        <f t="shared" si="4"/>
        <v>10464.004125624988</v>
      </c>
      <c r="S12" s="63">
        <f t="shared" si="5"/>
        <v>10673.284208137487</v>
      </c>
      <c r="T12" s="63">
        <f t="shared" si="6"/>
        <v>10886.749892300237</v>
      </c>
      <c r="U12" s="63">
        <f t="shared" si="7"/>
        <v>11104.484890146241</v>
      </c>
      <c r="V12" s="63">
        <f t="shared" si="8"/>
        <v>11326.574587949166</v>
      </c>
      <c r="W12" s="63">
        <f t="shared" si="9"/>
        <v>11553.10607970815</v>
      </c>
      <c r="X12" s="63">
        <f t="shared" si="10"/>
        <v>11784.168201302313</v>
      </c>
      <c r="Y12" s="63">
        <f t="shared" si="11"/>
        <v>12019.851565328359</v>
      </c>
      <c r="Z12" s="63">
        <f t="shared" si="12"/>
        <v>12260.248596634927</v>
      </c>
      <c r="AA12" s="63">
        <f t="shared" si="13"/>
        <v>12505.453568567626</v>
      </c>
      <c r="AB12" s="63">
        <f t="shared" si="14"/>
        <v>12755.562639938978</v>
      </c>
      <c r="AC12" s="63">
        <f t="shared" si="15"/>
        <v>13010.673892737757</v>
      </c>
      <c r="AD12" s="63">
        <f t="shared" si="16"/>
        <v>13270.887370592513</v>
      </c>
    </row>
    <row r="13" spans="1:30" x14ac:dyDescent="0.35">
      <c r="A13" s="1" t="s">
        <v>24</v>
      </c>
      <c r="B13" s="63">
        <f>'Eurostat collected Portables GU'!W13+('Eurostat collected Portables GU'!W13*0.02)</f>
        <v>2135.88</v>
      </c>
      <c r="C13" s="63">
        <f t="shared" si="0"/>
        <v>2178.5976000000001</v>
      </c>
      <c r="D13" s="63">
        <f t="shared" si="0"/>
        <v>2222.1695519999998</v>
      </c>
      <c r="E13" s="63">
        <f t="shared" si="0"/>
        <v>2266.6129430399997</v>
      </c>
      <c r="F13" s="63">
        <f t="shared" si="0"/>
        <v>2311.9452019007995</v>
      </c>
      <c r="G13" s="63">
        <f t="shared" si="0"/>
        <v>2358.1841059388153</v>
      </c>
      <c r="H13" s="63">
        <f t="shared" si="0"/>
        <v>2405.3477880575915</v>
      </c>
      <c r="I13" s="63">
        <f t="shared" si="0"/>
        <v>2453.4547438187433</v>
      </c>
      <c r="J13" s="63">
        <f t="shared" si="0"/>
        <v>2502.5238386951182</v>
      </c>
      <c r="K13" s="63">
        <f t="shared" si="0"/>
        <v>2552.5743154690208</v>
      </c>
      <c r="L13" s="63">
        <f t="shared" si="0"/>
        <v>2603.6258017784012</v>
      </c>
      <c r="M13" s="63">
        <f t="shared" si="0"/>
        <v>2655.6983178139694</v>
      </c>
      <c r="N13" s="63">
        <f t="shared" si="0"/>
        <v>2708.8122841702489</v>
      </c>
      <c r="O13" s="63">
        <f t="shared" si="1"/>
        <v>2762.9885298536537</v>
      </c>
      <c r="P13" s="63">
        <f t="shared" si="2"/>
        <v>2818.2483004507267</v>
      </c>
      <c r="Q13" s="63">
        <f t="shared" si="3"/>
        <v>2874.6132664597412</v>
      </c>
      <c r="R13" s="63">
        <f t="shared" si="4"/>
        <v>2932.1055317889359</v>
      </c>
      <c r="S13" s="63">
        <f t="shared" si="5"/>
        <v>2990.7476424247147</v>
      </c>
      <c r="T13" s="63">
        <f t="shared" si="6"/>
        <v>3050.5625952732089</v>
      </c>
      <c r="U13" s="63">
        <f t="shared" si="7"/>
        <v>3111.5738471786731</v>
      </c>
      <c r="V13" s="63">
        <f t="shared" si="8"/>
        <v>3173.8053241222465</v>
      </c>
      <c r="W13" s="63">
        <f t="shared" si="9"/>
        <v>3237.2814306046912</v>
      </c>
      <c r="X13" s="63">
        <f t="shared" si="10"/>
        <v>3302.0270592167849</v>
      </c>
      <c r="Y13" s="63">
        <f t="shared" si="11"/>
        <v>3368.0676004011207</v>
      </c>
      <c r="Z13" s="63">
        <f t="shared" si="12"/>
        <v>3435.4289524091432</v>
      </c>
      <c r="AA13" s="63">
        <f t="shared" si="13"/>
        <v>3504.1375314573261</v>
      </c>
      <c r="AB13" s="63">
        <f t="shared" si="14"/>
        <v>3574.2202820864727</v>
      </c>
      <c r="AC13" s="63">
        <f t="shared" si="15"/>
        <v>3645.7046877282023</v>
      </c>
      <c r="AD13" s="63">
        <f t="shared" si="16"/>
        <v>3718.6187814827663</v>
      </c>
    </row>
    <row r="14" spans="1:30" x14ac:dyDescent="0.35">
      <c r="A14" s="1" t="s">
        <v>2</v>
      </c>
      <c r="B14" s="63">
        <f>'Eurostat collected Portables GU'!W14+('Eurostat collected Portables GU'!W14*0.02)</f>
        <v>751.74</v>
      </c>
      <c r="C14" s="63">
        <f t="shared" si="0"/>
        <v>766.77480000000003</v>
      </c>
      <c r="D14" s="63">
        <f t="shared" si="0"/>
        <v>782.11029600000006</v>
      </c>
      <c r="E14" s="63">
        <f t="shared" si="0"/>
        <v>797.7525019200001</v>
      </c>
      <c r="F14" s="63">
        <f t="shared" si="0"/>
        <v>813.70755195840013</v>
      </c>
      <c r="G14" s="63">
        <f t="shared" si="0"/>
        <v>829.98170299756816</v>
      </c>
      <c r="H14" s="63">
        <f t="shared" si="0"/>
        <v>846.58133705751948</v>
      </c>
      <c r="I14" s="63">
        <f t="shared" si="0"/>
        <v>863.51296379866983</v>
      </c>
      <c r="J14" s="63">
        <f t="shared" si="0"/>
        <v>880.78322307464327</v>
      </c>
      <c r="K14" s="63">
        <f t="shared" si="0"/>
        <v>898.39888753613616</v>
      </c>
      <c r="L14" s="63">
        <f t="shared" si="0"/>
        <v>916.36686528685891</v>
      </c>
      <c r="M14" s="63">
        <f t="shared" si="0"/>
        <v>934.69420259259607</v>
      </c>
      <c r="N14" s="63">
        <f t="shared" si="0"/>
        <v>953.38808664444798</v>
      </c>
      <c r="O14" s="63">
        <f t="shared" si="1"/>
        <v>972.45584837733691</v>
      </c>
      <c r="P14" s="63">
        <f t="shared" si="2"/>
        <v>991.90496534488364</v>
      </c>
      <c r="Q14" s="63">
        <f t="shared" si="3"/>
        <v>1011.7430646517813</v>
      </c>
      <c r="R14" s="63">
        <f t="shared" si="4"/>
        <v>1031.9779259448169</v>
      </c>
      <c r="S14" s="63">
        <f t="shared" si="5"/>
        <v>1052.6174844637133</v>
      </c>
      <c r="T14" s="63">
        <f t="shared" si="6"/>
        <v>1073.6698341529875</v>
      </c>
      <c r="U14" s="63">
        <f t="shared" si="7"/>
        <v>1095.1432308360472</v>
      </c>
      <c r="V14" s="63">
        <f t="shared" si="8"/>
        <v>1117.0460954527682</v>
      </c>
      <c r="W14" s="63">
        <f t="shared" si="9"/>
        <v>1139.3870173618236</v>
      </c>
      <c r="X14" s="63">
        <f t="shared" si="10"/>
        <v>1162.17475770906</v>
      </c>
      <c r="Y14" s="63">
        <f t="shared" si="11"/>
        <v>1185.4182528632412</v>
      </c>
      <c r="Z14" s="63">
        <f t="shared" si="12"/>
        <v>1209.1266179205061</v>
      </c>
      <c r="AA14" s="63">
        <f t="shared" si="13"/>
        <v>1233.3091502789161</v>
      </c>
      <c r="AB14" s="63">
        <f t="shared" si="14"/>
        <v>1257.9753332844946</v>
      </c>
      <c r="AC14" s="63">
        <f t="shared" si="15"/>
        <v>1283.1348399501844</v>
      </c>
      <c r="AD14" s="63">
        <f t="shared" si="16"/>
        <v>1308.7975367491881</v>
      </c>
    </row>
    <row r="15" spans="1:30" x14ac:dyDescent="0.35">
      <c r="A15" s="1" t="s">
        <v>3</v>
      </c>
      <c r="B15" s="63">
        <f>'Eurostat collected Portables GU'!W15+('Eurostat collected Portables GU'!W15*0.02)</f>
        <v>1357.62</v>
      </c>
      <c r="C15" s="63">
        <f t="shared" si="0"/>
        <v>1384.7723999999998</v>
      </c>
      <c r="D15" s="63">
        <f t="shared" si="0"/>
        <v>1412.4678479999998</v>
      </c>
      <c r="E15" s="63">
        <f t="shared" si="0"/>
        <v>1440.7172049599997</v>
      </c>
      <c r="F15" s="63">
        <f t="shared" si="0"/>
        <v>1469.5315490591997</v>
      </c>
      <c r="G15" s="63">
        <f t="shared" si="0"/>
        <v>1498.9221800403836</v>
      </c>
      <c r="H15" s="63">
        <f t="shared" si="0"/>
        <v>1528.9006236411913</v>
      </c>
      <c r="I15" s="63">
        <f t="shared" si="0"/>
        <v>1559.478636114015</v>
      </c>
      <c r="J15" s="63">
        <f t="shared" si="0"/>
        <v>1590.6682088362952</v>
      </c>
      <c r="K15" s="63">
        <f t="shared" si="0"/>
        <v>1622.481573013021</v>
      </c>
      <c r="L15" s="63">
        <f t="shared" si="0"/>
        <v>1654.9312044732815</v>
      </c>
      <c r="M15" s="63">
        <f t="shared" si="0"/>
        <v>1688.0298285627471</v>
      </c>
      <c r="N15" s="63">
        <f t="shared" si="0"/>
        <v>1721.7904251340019</v>
      </c>
      <c r="O15" s="63">
        <f t="shared" si="1"/>
        <v>1756.2262336366819</v>
      </c>
      <c r="P15" s="63">
        <f t="shared" si="2"/>
        <v>1791.3507583094156</v>
      </c>
      <c r="Q15" s="63">
        <f t="shared" si="3"/>
        <v>1827.177773475604</v>
      </c>
      <c r="R15" s="63">
        <f t="shared" si="4"/>
        <v>1863.7213289451161</v>
      </c>
      <c r="S15" s="63">
        <f t="shared" si="5"/>
        <v>1900.9957555240185</v>
      </c>
      <c r="T15" s="63">
        <f t="shared" si="6"/>
        <v>1939.0156706344987</v>
      </c>
      <c r="U15" s="63">
        <f t="shared" si="7"/>
        <v>1977.7959840471888</v>
      </c>
      <c r="V15" s="63">
        <f t="shared" si="8"/>
        <v>2017.3519037281326</v>
      </c>
      <c r="W15" s="63">
        <f t="shared" si="9"/>
        <v>2057.6989418026951</v>
      </c>
      <c r="X15" s="63">
        <f t="shared" si="10"/>
        <v>2098.8529206387489</v>
      </c>
      <c r="Y15" s="63">
        <f t="shared" si="11"/>
        <v>2140.8299790515239</v>
      </c>
      <c r="Z15" s="63">
        <f t="shared" si="12"/>
        <v>2183.6465786325543</v>
      </c>
      <c r="AA15" s="63">
        <f t="shared" si="13"/>
        <v>2227.3195102052055</v>
      </c>
      <c r="AB15" s="63">
        <f t="shared" si="14"/>
        <v>2271.8659004093097</v>
      </c>
      <c r="AC15" s="63">
        <f t="shared" si="15"/>
        <v>2317.3032184174958</v>
      </c>
      <c r="AD15" s="63">
        <f t="shared" si="16"/>
        <v>2363.6492827858456</v>
      </c>
    </row>
    <row r="16" spans="1:30" x14ac:dyDescent="0.35">
      <c r="A16" s="1" t="s">
        <v>86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3"/>
      <c r="Y16" s="63"/>
      <c r="Z16" s="63"/>
      <c r="AA16" s="63"/>
      <c r="AB16" s="63"/>
      <c r="AC16" s="63"/>
      <c r="AD16" s="63"/>
    </row>
    <row r="17" spans="1:30" x14ac:dyDescent="0.35">
      <c r="A17" s="1" t="s">
        <v>1</v>
      </c>
      <c r="B17" s="63">
        <f>'Eurostat collected Portables GU'!W17+('Eurostat collected Portables GU'!W17*0.02)</f>
        <v>1623.84</v>
      </c>
      <c r="C17" s="63">
        <f t="shared" si="0"/>
        <v>1656.3167999999998</v>
      </c>
      <c r="D17" s="63">
        <f t="shared" si="0"/>
        <v>1689.4431359999999</v>
      </c>
      <c r="E17" s="63">
        <f t="shared" si="0"/>
        <v>1723.2319987199999</v>
      </c>
      <c r="F17" s="63">
        <f t="shared" si="0"/>
        <v>1757.6966386943998</v>
      </c>
      <c r="G17" s="63">
        <f t="shared" si="0"/>
        <v>1792.8505714682879</v>
      </c>
      <c r="H17" s="63">
        <f t="shared" si="0"/>
        <v>1828.7075828976535</v>
      </c>
      <c r="I17" s="63">
        <f t="shared" si="0"/>
        <v>1865.2817345556066</v>
      </c>
      <c r="J17" s="63">
        <f t="shared" si="0"/>
        <v>1902.5873692467187</v>
      </c>
      <c r="K17" s="63">
        <f t="shared" si="0"/>
        <v>1940.639116631653</v>
      </c>
      <c r="L17" s="63">
        <f t="shared" si="0"/>
        <v>1979.4518989642861</v>
      </c>
      <c r="M17" s="63">
        <f t="shared" si="0"/>
        <v>2019.0409369435718</v>
      </c>
      <c r="N17" s="63">
        <f t="shared" si="0"/>
        <v>2059.4217556824433</v>
      </c>
      <c r="O17" s="63">
        <f t="shared" si="1"/>
        <v>2100.610190796092</v>
      </c>
      <c r="P17" s="63">
        <f t="shared" si="2"/>
        <v>2142.622394612014</v>
      </c>
      <c r="Q17" s="63">
        <f t="shared" si="3"/>
        <v>2185.4748425042544</v>
      </c>
      <c r="R17" s="63">
        <f t="shared" si="4"/>
        <v>2229.1843393543395</v>
      </c>
      <c r="S17" s="63">
        <f t="shared" si="5"/>
        <v>2273.7680261414262</v>
      </c>
      <c r="T17" s="63">
        <f t="shared" si="6"/>
        <v>2319.2433866642546</v>
      </c>
      <c r="U17" s="63">
        <f t="shared" si="7"/>
        <v>2365.6282543975394</v>
      </c>
      <c r="V17" s="63">
        <f t="shared" si="8"/>
        <v>2412.94081948549</v>
      </c>
      <c r="W17" s="63">
        <f t="shared" si="9"/>
        <v>2461.1996358751999</v>
      </c>
      <c r="X17" s="63">
        <f t="shared" si="10"/>
        <v>2510.4236285927041</v>
      </c>
      <c r="Y17" s="63">
        <f t="shared" si="11"/>
        <v>2560.6321011645582</v>
      </c>
      <c r="Z17" s="63">
        <f t="shared" si="12"/>
        <v>2611.8447431878494</v>
      </c>
      <c r="AA17" s="63">
        <f t="shared" si="13"/>
        <v>2664.0816380516062</v>
      </c>
      <c r="AB17" s="63">
        <f t="shared" si="14"/>
        <v>2717.3632708126383</v>
      </c>
      <c r="AC17" s="63">
        <f t="shared" si="15"/>
        <v>2771.7105362288912</v>
      </c>
      <c r="AD17" s="63">
        <f t="shared" si="16"/>
        <v>2827.1447469534692</v>
      </c>
    </row>
    <row r="18" spans="1:30" x14ac:dyDescent="0.35">
      <c r="A18" s="1" t="s">
        <v>4</v>
      </c>
      <c r="B18" s="63">
        <f>'Eurostat collected Portables GU'!W18+('Eurostat collected Portables GU'!W18*0.02)</f>
        <v>10708.98</v>
      </c>
      <c r="C18" s="63">
        <f t="shared" si="0"/>
        <v>10923.159599999999</v>
      </c>
      <c r="D18" s="63">
        <f t="shared" si="0"/>
        <v>11141.622791999998</v>
      </c>
      <c r="E18" s="63">
        <f t="shared" si="0"/>
        <v>11364.455247839998</v>
      </c>
      <c r="F18" s="63">
        <f t="shared" si="0"/>
        <v>11591.744352796799</v>
      </c>
      <c r="G18" s="63">
        <f t="shared" si="0"/>
        <v>11823.579239852736</v>
      </c>
      <c r="H18" s="63">
        <f t="shared" si="0"/>
        <v>12060.05082464979</v>
      </c>
      <c r="I18" s="63">
        <f t="shared" si="0"/>
        <v>12301.251841142786</v>
      </c>
      <c r="J18" s="63">
        <f t="shared" si="0"/>
        <v>12547.276877965642</v>
      </c>
      <c r="K18" s="63">
        <f t="shared" si="0"/>
        <v>12798.222415524955</v>
      </c>
      <c r="L18" s="63">
        <f t="shared" si="0"/>
        <v>13054.186863835454</v>
      </c>
      <c r="M18" s="63">
        <f t="shared" si="0"/>
        <v>13315.270601112163</v>
      </c>
      <c r="N18" s="63">
        <f t="shared" si="0"/>
        <v>13581.576013134407</v>
      </c>
      <c r="O18" s="63">
        <f t="shared" si="1"/>
        <v>13853.207533397095</v>
      </c>
      <c r="P18" s="63">
        <f t="shared" si="2"/>
        <v>14130.271684065037</v>
      </c>
      <c r="Q18" s="63">
        <f t="shared" si="3"/>
        <v>14412.877117746339</v>
      </c>
      <c r="R18" s="63">
        <f t="shared" si="4"/>
        <v>14701.134660101265</v>
      </c>
      <c r="S18" s="63">
        <f t="shared" si="5"/>
        <v>14995.15735330329</v>
      </c>
      <c r="T18" s="63">
        <f t="shared" si="6"/>
        <v>15295.060500369356</v>
      </c>
      <c r="U18" s="63">
        <f t="shared" si="7"/>
        <v>15600.961710376743</v>
      </c>
      <c r="V18" s="63">
        <f t="shared" si="8"/>
        <v>15912.980944584278</v>
      </c>
      <c r="W18" s="63">
        <f t="shared" si="9"/>
        <v>16231.240563475963</v>
      </c>
      <c r="X18" s="63">
        <f t="shared" si="10"/>
        <v>16555.865374745481</v>
      </c>
      <c r="Y18" s="63">
        <f t="shared" si="11"/>
        <v>16886.982682240392</v>
      </c>
      <c r="Z18" s="63">
        <f t="shared" si="12"/>
        <v>17224.722335885199</v>
      </c>
      <c r="AA18" s="63">
        <f t="shared" si="13"/>
        <v>17569.216782602904</v>
      </c>
      <c r="AB18" s="63">
        <f t="shared" si="14"/>
        <v>17920.601118254963</v>
      </c>
      <c r="AC18" s="63">
        <f t="shared" si="15"/>
        <v>18279.013140620063</v>
      </c>
      <c r="AD18" s="63">
        <f t="shared" si="16"/>
        <v>18644.593403432464</v>
      </c>
    </row>
    <row r="19" spans="1:30" x14ac:dyDescent="0.35">
      <c r="A19" s="1" t="s">
        <v>5</v>
      </c>
      <c r="B19" s="63">
        <f>'Eurostat collected Portables GU'!W19+('Eurostat collected Portables GU'!W19*0.02)</f>
        <v>403.92</v>
      </c>
      <c r="C19" s="63">
        <f t="shared" si="0"/>
        <v>411.9984</v>
      </c>
      <c r="D19" s="63">
        <f t="shared" si="0"/>
        <v>420.23836799999998</v>
      </c>
      <c r="E19" s="63">
        <f t="shared" si="0"/>
        <v>428.64313535999997</v>
      </c>
      <c r="F19" s="63">
        <f t="shared" si="0"/>
        <v>437.21599806719996</v>
      </c>
      <c r="G19" s="63">
        <f t="shared" si="0"/>
        <v>445.96031802854395</v>
      </c>
      <c r="H19" s="63">
        <f t="shared" si="0"/>
        <v>454.87952438911481</v>
      </c>
      <c r="I19" s="63">
        <f t="shared" si="0"/>
        <v>463.97711487689708</v>
      </c>
      <c r="J19" s="63">
        <f t="shared" si="0"/>
        <v>473.25665717443502</v>
      </c>
      <c r="K19" s="63">
        <f t="shared" si="0"/>
        <v>482.72179031792371</v>
      </c>
      <c r="L19" s="63">
        <f t="shared" si="0"/>
        <v>492.3762261242822</v>
      </c>
      <c r="M19" s="63">
        <f t="shared" si="0"/>
        <v>502.22375064676783</v>
      </c>
      <c r="N19" s="63">
        <f t="shared" si="0"/>
        <v>512.26822565970315</v>
      </c>
      <c r="O19" s="63">
        <f t="shared" si="1"/>
        <v>522.51359017289724</v>
      </c>
      <c r="P19" s="63">
        <f t="shared" si="2"/>
        <v>532.96386197635513</v>
      </c>
      <c r="Q19" s="63">
        <f t="shared" si="3"/>
        <v>543.62313921588225</v>
      </c>
      <c r="R19" s="63">
        <f t="shared" si="4"/>
        <v>554.49560200019994</v>
      </c>
      <c r="S19" s="63">
        <f t="shared" si="5"/>
        <v>565.58551404020398</v>
      </c>
      <c r="T19" s="63">
        <f t="shared" si="6"/>
        <v>576.89722432100803</v>
      </c>
      <c r="U19" s="63">
        <f t="shared" si="7"/>
        <v>588.43516880742823</v>
      </c>
      <c r="V19" s="63">
        <f t="shared" si="8"/>
        <v>600.20387218357678</v>
      </c>
      <c r="W19" s="63">
        <f t="shared" si="9"/>
        <v>612.20794962724835</v>
      </c>
      <c r="X19" s="63">
        <f t="shared" si="10"/>
        <v>624.45210861979331</v>
      </c>
      <c r="Y19" s="63">
        <f t="shared" si="11"/>
        <v>636.94115079218921</v>
      </c>
      <c r="Z19" s="63">
        <f t="shared" si="12"/>
        <v>649.67997380803297</v>
      </c>
      <c r="AA19" s="63">
        <f t="shared" si="13"/>
        <v>662.67357328419359</v>
      </c>
      <c r="AB19" s="63">
        <f t="shared" si="14"/>
        <v>675.9270447498775</v>
      </c>
      <c r="AC19" s="63">
        <f t="shared" si="15"/>
        <v>689.445585644875</v>
      </c>
      <c r="AD19" s="63">
        <f t="shared" si="16"/>
        <v>703.23449735777251</v>
      </c>
    </row>
    <row r="20" spans="1:30" x14ac:dyDescent="0.35">
      <c r="A20" s="1" t="s">
        <v>6</v>
      </c>
      <c r="B20" s="63">
        <f>'Eurostat collected Portables GU'!W20+('Eurostat collected Portables GU'!W20*0.02)</f>
        <v>168.3</v>
      </c>
      <c r="C20" s="63">
        <f t="shared" si="0"/>
        <v>171.66600000000003</v>
      </c>
      <c r="D20" s="63">
        <f t="shared" si="0"/>
        <v>175.09932000000003</v>
      </c>
      <c r="E20" s="63">
        <f t="shared" si="0"/>
        <v>178.60130640000003</v>
      </c>
      <c r="F20" s="63">
        <f t="shared" si="0"/>
        <v>182.17333252800003</v>
      </c>
      <c r="G20" s="63">
        <f t="shared" si="0"/>
        <v>185.81679917856002</v>
      </c>
      <c r="H20" s="63">
        <f t="shared" si="0"/>
        <v>189.53313516213123</v>
      </c>
      <c r="I20" s="63">
        <f t="shared" si="0"/>
        <v>193.32379786537385</v>
      </c>
      <c r="J20" s="63">
        <f t="shared" si="0"/>
        <v>197.19027382268132</v>
      </c>
      <c r="K20" s="63">
        <f t="shared" si="0"/>
        <v>201.13407929913495</v>
      </c>
      <c r="L20" s="63">
        <f t="shared" si="0"/>
        <v>205.15676088511765</v>
      </c>
      <c r="M20" s="63">
        <f t="shared" si="0"/>
        <v>209.25989610281999</v>
      </c>
      <c r="N20" s="63">
        <f t="shared" si="0"/>
        <v>213.4450940248764</v>
      </c>
      <c r="O20" s="63">
        <f t="shared" si="1"/>
        <v>217.71399590537393</v>
      </c>
      <c r="P20" s="63">
        <f t="shared" si="2"/>
        <v>222.0682758234814</v>
      </c>
      <c r="Q20" s="63">
        <f t="shared" si="3"/>
        <v>226.50964133995103</v>
      </c>
      <c r="R20" s="63">
        <f t="shared" si="4"/>
        <v>231.03983416675004</v>
      </c>
      <c r="S20" s="63">
        <f t="shared" si="5"/>
        <v>235.66063085008503</v>
      </c>
      <c r="T20" s="63">
        <f t="shared" si="6"/>
        <v>240.37384346708672</v>
      </c>
      <c r="U20" s="63">
        <f t="shared" si="7"/>
        <v>245.18132033642846</v>
      </c>
      <c r="V20" s="63">
        <f t="shared" si="8"/>
        <v>250.08494674315702</v>
      </c>
      <c r="W20" s="63">
        <f t="shared" si="9"/>
        <v>255.08664567802015</v>
      </c>
      <c r="X20" s="63">
        <f t="shared" si="10"/>
        <v>260.18837859158054</v>
      </c>
      <c r="Y20" s="63">
        <f t="shared" si="11"/>
        <v>265.39214616341218</v>
      </c>
      <c r="Z20" s="63">
        <f t="shared" si="12"/>
        <v>270.69998908668043</v>
      </c>
      <c r="AA20" s="63">
        <f t="shared" si="13"/>
        <v>276.11398886841403</v>
      </c>
      <c r="AB20" s="63">
        <f t="shared" si="14"/>
        <v>281.63626864578231</v>
      </c>
      <c r="AC20" s="63">
        <f t="shared" si="15"/>
        <v>287.26899401869798</v>
      </c>
      <c r="AD20" s="63">
        <f t="shared" si="16"/>
        <v>293.01437389907193</v>
      </c>
    </row>
    <row r="21" spans="1:30" x14ac:dyDescent="0.35">
      <c r="A21" s="1" t="s">
        <v>7</v>
      </c>
      <c r="B21" s="63">
        <f>'Eurostat collected Portables GU'!W21+('Eurostat collected Portables GU'!W21*0.02)</f>
        <v>323.33999999999997</v>
      </c>
      <c r="C21" s="63">
        <f t="shared" si="0"/>
        <v>329.80679999999995</v>
      </c>
      <c r="D21" s="63">
        <f t="shared" si="0"/>
        <v>336.40293599999995</v>
      </c>
      <c r="E21" s="63">
        <f t="shared" si="0"/>
        <v>343.13099471999993</v>
      </c>
      <c r="F21" s="63">
        <f t="shared" si="0"/>
        <v>349.99361461439992</v>
      </c>
      <c r="G21" s="63">
        <f t="shared" si="0"/>
        <v>356.99348690668791</v>
      </c>
      <c r="H21" s="63">
        <f t="shared" si="0"/>
        <v>364.13335664482167</v>
      </c>
      <c r="I21" s="63">
        <f t="shared" si="0"/>
        <v>371.41602377771812</v>
      </c>
      <c r="J21" s="63">
        <f t="shared" si="0"/>
        <v>378.84434425327248</v>
      </c>
      <c r="K21" s="63">
        <f t="shared" si="0"/>
        <v>386.42123113833793</v>
      </c>
      <c r="L21" s="63">
        <f t="shared" si="0"/>
        <v>394.14965576110467</v>
      </c>
      <c r="M21" s="63">
        <f t="shared" ref="D21:N32" si="17">L21+(L21*0.02)</f>
        <v>402.03264887632679</v>
      </c>
      <c r="N21" s="63">
        <f t="shared" si="17"/>
        <v>410.07330185385331</v>
      </c>
      <c r="O21" s="63">
        <f t="shared" si="1"/>
        <v>418.27476789093038</v>
      </c>
      <c r="P21" s="63">
        <f t="shared" si="2"/>
        <v>426.64026324874897</v>
      </c>
      <c r="Q21" s="63">
        <f t="shared" si="3"/>
        <v>435.17306851372393</v>
      </c>
      <c r="R21" s="63">
        <f t="shared" si="4"/>
        <v>443.87652988399839</v>
      </c>
      <c r="S21" s="63">
        <f t="shared" si="5"/>
        <v>452.75406048167838</v>
      </c>
      <c r="T21" s="63">
        <f t="shared" si="6"/>
        <v>461.80914169131194</v>
      </c>
      <c r="U21" s="63">
        <f t="shared" si="7"/>
        <v>471.0453245251382</v>
      </c>
      <c r="V21" s="63">
        <f t="shared" si="8"/>
        <v>480.46623101564097</v>
      </c>
      <c r="W21" s="63">
        <f t="shared" si="9"/>
        <v>490.07555563595378</v>
      </c>
      <c r="X21" s="63">
        <f t="shared" si="10"/>
        <v>499.87706674867286</v>
      </c>
      <c r="Y21" s="63">
        <f t="shared" si="11"/>
        <v>509.87460808364631</v>
      </c>
      <c r="Z21" s="63">
        <f t="shared" si="12"/>
        <v>520.07210024531923</v>
      </c>
      <c r="AA21" s="63">
        <f t="shared" si="13"/>
        <v>530.47354225022559</v>
      </c>
      <c r="AB21" s="63">
        <f t="shared" si="14"/>
        <v>541.08301309523006</v>
      </c>
      <c r="AC21" s="63">
        <f t="shared" si="15"/>
        <v>551.9046733571347</v>
      </c>
      <c r="AD21" s="63">
        <f t="shared" si="16"/>
        <v>562.94276682427744</v>
      </c>
    </row>
    <row r="22" spans="1:30" x14ac:dyDescent="0.35">
      <c r="A22" s="1" t="s">
        <v>8</v>
      </c>
      <c r="B22" s="63">
        <f>'Eurostat collected Portables GU'!W22+('Eurostat collected Portables GU'!W22*0.02)</f>
        <v>35.700000000000003</v>
      </c>
      <c r="C22" s="63">
        <f t="shared" si="0"/>
        <v>36.414000000000001</v>
      </c>
      <c r="D22" s="63">
        <f t="shared" si="17"/>
        <v>37.14228</v>
      </c>
      <c r="E22" s="63">
        <f t="shared" si="17"/>
        <v>37.885125600000002</v>
      </c>
      <c r="F22" s="63">
        <f t="shared" si="17"/>
        <v>38.642828112000004</v>
      </c>
      <c r="G22" s="63">
        <f t="shared" si="17"/>
        <v>39.415684674240005</v>
      </c>
      <c r="H22" s="63">
        <f t="shared" si="17"/>
        <v>40.203998367724807</v>
      </c>
      <c r="I22" s="63">
        <f t="shared" si="17"/>
        <v>41.008078335079304</v>
      </c>
      <c r="J22" s="63">
        <f t="shared" si="17"/>
        <v>41.82823990178089</v>
      </c>
      <c r="K22" s="63">
        <f t="shared" si="17"/>
        <v>42.664804699816507</v>
      </c>
      <c r="L22" s="63">
        <f t="shared" si="17"/>
        <v>43.518100793812835</v>
      </c>
      <c r="M22" s="63">
        <f t="shared" si="17"/>
        <v>44.388462809689088</v>
      </c>
      <c r="N22" s="63">
        <f t="shared" si="17"/>
        <v>45.276232065882873</v>
      </c>
      <c r="O22" s="63">
        <f t="shared" si="1"/>
        <v>46.181756707200528</v>
      </c>
      <c r="P22" s="63">
        <f t="shared" si="2"/>
        <v>47.105391841344542</v>
      </c>
      <c r="Q22" s="63">
        <f t="shared" si="3"/>
        <v>48.047499678171434</v>
      </c>
      <c r="R22" s="63">
        <f t="shared" si="4"/>
        <v>49.008449671734866</v>
      </c>
      <c r="S22" s="63">
        <f t="shared" si="5"/>
        <v>49.988618665169561</v>
      </c>
      <c r="T22" s="63">
        <f t="shared" si="6"/>
        <v>50.988391038472955</v>
      </c>
      <c r="U22" s="63">
        <f t="shared" si="7"/>
        <v>52.008158859242414</v>
      </c>
      <c r="V22" s="63">
        <f t="shared" si="8"/>
        <v>53.048322036427265</v>
      </c>
      <c r="W22" s="63">
        <f t="shared" si="9"/>
        <v>54.109288477155808</v>
      </c>
      <c r="X22" s="63">
        <f t="shared" si="10"/>
        <v>55.191474246698924</v>
      </c>
      <c r="Y22" s="63">
        <f t="shared" si="11"/>
        <v>56.295303731632899</v>
      </c>
      <c r="Z22" s="63">
        <f t="shared" si="12"/>
        <v>57.421209806265558</v>
      </c>
      <c r="AA22" s="63">
        <f t="shared" si="13"/>
        <v>58.56963400239087</v>
      </c>
      <c r="AB22" s="63">
        <f t="shared" si="14"/>
        <v>59.741026682438687</v>
      </c>
      <c r="AC22" s="63">
        <f t="shared" si="15"/>
        <v>60.93584721608746</v>
      </c>
      <c r="AD22" s="63">
        <f t="shared" si="16"/>
        <v>62.154564160409208</v>
      </c>
    </row>
    <row r="23" spans="1:30" x14ac:dyDescent="0.35">
      <c r="A23" s="1" t="s">
        <v>9</v>
      </c>
      <c r="B23" s="63">
        <f>'Eurostat collected Portables GU'!W23+('Eurostat collected Portables GU'!W23*0.02)</f>
        <v>4638.96</v>
      </c>
      <c r="C23" s="63">
        <f t="shared" si="0"/>
        <v>4731.7392</v>
      </c>
      <c r="D23" s="63">
        <f t="shared" si="17"/>
        <v>4826.3739839999998</v>
      </c>
      <c r="E23" s="63">
        <f t="shared" si="17"/>
        <v>4922.9014636800002</v>
      </c>
      <c r="F23" s="63">
        <f t="shared" si="17"/>
        <v>5021.3594929536002</v>
      </c>
      <c r="G23" s="63">
        <f t="shared" si="17"/>
        <v>5121.7866828126726</v>
      </c>
      <c r="H23" s="63">
        <f t="shared" si="17"/>
        <v>5224.222416468926</v>
      </c>
      <c r="I23" s="63">
        <f t="shared" si="17"/>
        <v>5328.7068647983042</v>
      </c>
      <c r="J23" s="63">
        <f t="shared" si="17"/>
        <v>5435.2810020942707</v>
      </c>
      <c r="K23" s="63">
        <f t="shared" si="17"/>
        <v>5543.9866221361563</v>
      </c>
      <c r="L23" s="63">
        <f t="shared" si="17"/>
        <v>5654.8663545788795</v>
      </c>
      <c r="M23" s="63">
        <f t="shared" si="17"/>
        <v>5767.9636816704569</v>
      </c>
      <c r="N23" s="63">
        <f t="shared" si="17"/>
        <v>5883.3229553038664</v>
      </c>
      <c r="O23" s="63">
        <f t="shared" si="1"/>
        <v>6000.9894144099435</v>
      </c>
      <c r="P23" s="63">
        <f t="shared" si="2"/>
        <v>6121.009202698142</v>
      </c>
      <c r="Q23" s="63">
        <f t="shared" si="3"/>
        <v>6243.4293867521046</v>
      </c>
      <c r="R23" s="63">
        <f t="shared" si="4"/>
        <v>6368.2979744871463</v>
      </c>
      <c r="S23" s="63">
        <f t="shared" si="5"/>
        <v>6495.663933976889</v>
      </c>
      <c r="T23" s="63">
        <f t="shared" si="6"/>
        <v>6625.577212656427</v>
      </c>
      <c r="U23" s="63">
        <f t="shared" si="7"/>
        <v>6758.0887569095557</v>
      </c>
      <c r="V23" s="63">
        <f t="shared" si="8"/>
        <v>6893.2505320477467</v>
      </c>
      <c r="W23" s="63">
        <f t="shared" si="9"/>
        <v>7031.1155426887017</v>
      </c>
      <c r="X23" s="63">
        <f t="shared" si="10"/>
        <v>7171.7378535424759</v>
      </c>
      <c r="Y23" s="63">
        <f t="shared" si="11"/>
        <v>7315.1726106133256</v>
      </c>
      <c r="Z23" s="63">
        <f t="shared" si="12"/>
        <v>7461.4760628255917</v>
      </c>
      <c r="AA23" s="63">
        <f t="shared" si="13"/>
        <v>7610.705584082104</v>
      </c>
      <c r="AB23" s="63">
        <f t="shared" si="14"/>
        <v>7762.9196957637459</v>
      </c>
      <c r="AC23" s="63">
        <f t="shared" si="15"/>
        <v>7918.1780896790206</v>
      </c>
      <c r="AD23" s="63">
        <f t="shared" si="16"/>
        <v>8076.5416514726012</v>
      </c>
    </row>
    <row r="24" spans="1:30" x14ac:dyDescent="0.35">
      <c r="A24" s="1" t="s">
        <v>10</v>
      </c>
      <c r="B24" s="63">
        <f>'Eurostat collected Portables GU'!W24+('Eurostat collected Portables GU'!W24*0.02)</f>
        <v>2369.46</v>
      </c>
      <c r="C24" s="63">
        <f t="shared" si="0"/>
        <v>2416.8492000000001</v>
      </c>
      <c r="D24" s="63">
        <f t="shared" si="17"/>
        <v>2465.1861840000001</v>
      </c>
      <c r="E24" s="63">
        <f t="shared" si="17"/>
        <v>2514.4899076800002</v>
      </c>
      <c r="F24" s="63">
        <f t="shared" si="17"/>
        <v>2564.7797058336</v>
      </c>
      <c r="G24" s="63">
        <f t="shared" si="17"/>
        <v>2616.075299950272</v>
      </c>
      <c r="H24" s="63">
        <f t="shared" si="17"/>
        <v>2668.3968059492772</v>
      </c>
      <c r="I24" s="63">
        <f t="shared" si="17"/>
        <v>2721.7647420682629</v>
      </c>
      <c r="J24" s="63">
        <f t="shared" si="17"/>
        <v>2776.2000369096281</v>
      </c>
      <c r="K24" s="63">
        <f t="shared" si="17"/>
        <v>2831.7240376478208</v>
      </c>
      <c r="L24" s="63">
        <f t="shared" si="17"/>
        <v>2888.358518400777</v>
      </c>
      <c r="M24" s="63">
        <f t="shared" si="17"/>
        <v>2946.1256887687928</v>
      </c>
      <c r="N24" s="63">
        <f t="shared" si="17"/>
        <v>3005.0482025441688</v>
      </c>
      <c r="O24" s="63">
        <f t="shared" si="1"/>
        <v>3065.1491665950521</v>
      </c>
      <c r="P24" s="63">
        <f t="shared" si="2"/>
        <v>3126.4521499269531</v>
      </c>
      <c r="Q24" s="63">
        <f t="shared" si="3"/>
        <v>3188.981192925492</v>
      </c>
      <c r="R24" s="63">
        <f t="shared" si="4"/>
        <v>3252.7608167840017</v>
      </c>
      <c r="S24" s="63">
        <f t="shared" si="5"/>
        <v>3317.8160331196818</v>
      </c>
      <c r="T24" s="63">
        <f t="shared" si="6"/>
        <v>3384.1723537820753</v>
      </c>
      <c r="U24" s="63">
        <f t="shared" si="7"/>
        <v>3451.855800857717</v>
      </c>
      <c r="V24" s="63">
        <f t="shared" si="8"/>
        <v>3520.8929168748714</v>
      </c>
      <c r="W24" s="63">
        <f t="shared" si="9"/>
        <v>3591.3107752123688</v>
      </c>
      <c r="X24" s="63">
        <f t="shared" si="10"/>
        <v>3663.1369907166163</v>
      </c>
      <c r="Y24" s="63">
        <f t="shared" si="11"/>
        <v>3736.3997305309485</v>
      </c>
      <c r="Z24" s="63">
        <f t="shared" si="12"/>
        <v>3811.1277251415677</v>
      </c>
      <c r="AA24" s="63">
        <f t="shared" si="13"/>
        <v>3887.3502796443991</v>
      </c>
      <c r="AB24" s="63">
        <f t="shared" si="14"/>
        <v>3965.097285237287</v>
      </c>
      <c r="AC24" s="63">
        <f t="shared" si="15"/>
        <v>4044.3992309420328</v>
      </c>
      <c r="AD24" s="63">
        <f t="shared" si="16"/>
        <v>4125.2872155608738</v>
      </c>
    </row>
    <row r="25" spans="1:30" x14ac:dyDescent="0.35">
      <c r="A25" s="1" t="s">
        <v>11</v>
      </c>
      <c r="B25" s="63">
        <f>'Eurostat collected Portables GU'!W25+('Eurostat collected Portables GU'!W25*0.02)</f>
        <v>9263.64</v>
      </c>
      <c r="C25" s="63">
        <f t="shared" si="0"/>
        <v>9448.9128000000001</v>
      </c>
      <c r="D25" s="63">
        <f t="shared" si="17"/>
        <v>9637.8910560000004</v>
      </c>
      <c r="E25" s="63">
        <f t="shared" si="17"/>
        <v>9830.6488771200002</v>
      </c>
      <c r="F25" s="63">
        <f t="shared" si="17"/>
        <v>10027.2618546624</v>
      </c>
      <c r="G25" s="63">
        <f t="shared" si="17"/>
        <v>10227.807091755647</v>
      </c>
      <c r="H25" s="63">
        <f t="shared" si="17"/>
        <v>10432.363233590761</v>
      </c>
      <c r="I25" s="63">
        <f t="shared" si="17"/>
        <v>10641.010498262576</v>
      </c>
      <c r="J25" s="63">
        <f t="shared" si="17"/>
        <v>10853.830708227828</v>
      </c>
      <c r="K25" s="63">
        <f t="shared" si="17"/>
        <v>11070.907322392384</v>
      </c>
      <c r="L25" s="63">
        <f t="shared" si="17"/>
        <v>11292.325468840232</v>
      </c>
      <c r="M25" s="63">
        <f t="shared" si="17"/>
        <v>11518.171978217037</v>
      </c>
      <c r="N25" s="63">
        <f t="shared" si="17"/>
        <v>11748.535417781377</v>
      </c>
      <c r="O25" s="63">
        <f t="shared" si="1"/>
        <v>11983.506126137005</v>
      </c>
      <c r="P25" s="63">
        <f t="shared" si="2"/>
        <v>12223.176248659745</v>
      </c>
      <c r="Q25" s="63">
        <f t="shared" si="3"/>
        <v>12467.63977363294</v>
      </c>
      <c r="R25" s="63">
        <f t="shared" si="4"/>
        <v>12716.9925691056</v>
      </c>
      <c r="S25" s="63">
        <f t="shared" si="5"/>
        <v>12971.332420487712</v>
      </c>
      <c r="T25" s="63">
        <f t="shared" si="6"/>
        <v>13230.759068897465</v>
      </c>
      <c r="U25" s="63">
        <f t="shared" si="7"/>
        <v>13495.374250275414</v>
      </c>
      <c r="V25" s="63">
        <f t="shared" si="8"/>
        <v>13765.281735280922</v>
      </c>
      <c r="W25" s="63">
        <f t="shared" si="9"/>
        <v>14040.587369986541</v>
      </c>
      <c r="X25" s="63">
        <f t="shared" si="10"/>
        <v>14321.399117386271</v>
      </c>
      <c r="Y25" s="63">
        <f t="shared" si="11"/>
        <v>14607.827099733995</v>
      </c>
      <c r="Z25" s="63">
        <f t="shared" si="12"/>
        <v>14899.983641728675</v>
      </c>
      <c r="AA25" s="63">
        <f t="shared" si="13"/>
        <v>15197.983314563249</v>
      </c>
      <c r="AB25" s="63">
        <f t="shared" si="14"/>
        <v>15501.942980854514</v>
      </c>
      <c r="AC25" s="63">
        <f t="shared" si="15"/>
        <v>15811.981840471604</v>
      </c>
      <c r="AD25" s="63">
        <f t="shared" si="16"/>
        <v>16128.221477281037</v>
      </c>
    </row>
    <row r="26" spans="1:30" x14ac:dyDescent="0.35">
      <c r="A26" s="1" t="s">
        <v>13</v>
      </c>
      <c r="B26" s="63">
        <f>'Eurostat collected Portables GU'!W26+('Eurostat collected Portables GU'!W26*0.02)</f>
        <v>435.54</v>
      </c>
      <c r="C26" s="63">
        <f t="shared" si="0"/>
        <v>444.25080000000003</v>
      </c>
      <c r="D26" s="63">
        <f t="shared" si="17"/>
        <v>453.13581600000003</v>
      </c>
      <c r="E26" s="63">
        <f t="shared" si="17"/>
        <v>462.19853232000003</v>
      </c>
      <c r="F26" s="63">
        <f t="shared" si="17"/>
        <v>471.44250296640001</v>
      </c>
      <c r="G26" s="63">
        <f t="shared" si="17"/>
        <v>480.87135302572801</v>
      </c>
      <c r="H26" s="63">
        <f t="shared" si="17"/>
        <v>490.48878008624257</v>
      </c>
      <c r="I26" s="63">
        <f t="shared" si="17"/>
        <v>500.29855568796745</v>
      </c>
      <c r="J26" s="63">
        <f t="shared" si="17"/>
        <v>510.30452680172681</v>
      </c>
      <c r="K26" s="63">
        <f t="shared" si="17"/>
        <v>520.51061733776135</v>
      </c>
      <c r="L26" s="63">
        <f t="shared" si="17"/>
        <v>530.92082968451655</v>
      </c>
      <c r="M26" s="63">
        <f t="shared" si="17"/>
        <v>541.53924627820686</v>
      </c>
      <c r="N26" s="63">
        <f t="shared" si="17"/>
        <v>552.37003120377096</v>
      </c>
      <c r="O26" s="63">
        <f t="shared" si="1"/>
        <v>563.41743182784637</v>
      </c>
      <c r="P26" s="63">
        <f t="shared" si="2"/>
        <v>574.68578046440325</v>
      </c>
      <c r="Q26" s="63">
        <f t="shared" si="3"/>
        <v>586.17949607369133</v>
      </c>
      <c r="R26" s="63">
        <f t="shared" si="4"/>
        <v>597.90308599516516</v>
      </c>
      <c r="S26" s="63">
        <f t="shared" si="5"/>
        <v>609.86114771506845</v>
      </c>
      <c r="T26" s="63">
        <f t="shared" si="6"/>
        <v>622.05837066936988</v>
      </c>
      <c r="U26" s="63">
        <f t="shared" si="7"/>
        <v>634.49953808275723</v>
      </c>
      <c r="V26" s="63">
        <f t="shared" si="8"/>
        <v>647.18952884441239</v>
      </c>
      <c r="W26" s="63">
        <f t="shared" si="9"/>
        <v>660.1333194213006</v>
      </c>
      <c r="X26" s="63">
        <f t="shared" si="10"/>
        <v>673.33598580972659</v>
      </c>
      <c r="Y26" s="63">
        <f t="shared" si="11"/>
        <v>686.80270552592117</v>
      </c>
      <c r="Z26" s="63">
        <f t="shared" si="12"/>
        <v>700.53875963643964</v>
      </c>
      <c r="AA26" s="63">
        <f t="shared" si="13"/>
        <v>714.54953482916846</v>
      </c>
      <c r="AB26" s="63">
        <f t="shared" si="14"/>
        <v>728.84052552575179</v>
      </c>
      <c r="AC26" s="63">
        <f t="shared" si="15"/>
        <v>743.41733603626687</v>
      </c>
      <c r="AD26" s="63">
        <f t="shared" si="16"/>
        <v>758.28568275699217</v>
      </c>
    </row>
    <row r="27" spans="1:30" x14ac:dyDescent="0.35">
      <c r="A27" s="1" t="s">
        <v>12</v>
      </c>
      <c r="B27" s="63">
        <f>'Eurostat collected Portables GU'!W27+('Eurostat collected Portables GU'!W27*0.02)</f>
        <v>2176.5168000000003</v>
      </c>
      <c r="C27" s="63">
        <f t="shared" si="0"/>
        <v>2220.0471360000001</v>
      </c>
      <c r="D27" s="63">
        <f t="shared" si="17"/>
        <v>2264.44807872</v>
      </c>
      <c r="E27" s="63">
        <f t="shared" si="17"/>
        <v>2309.7370402944002</v>
      </c>
      <c r="F27" s="63">
        <f t="shared" si="17"/>
        <v>2355.9317811002884</v>
      </c>
      <c r="G27" s="63">
        <f t="shared" si="17"/>
        <v>2403.0504167222944</v>
      </c>
      <c r="H27" s="63">
        <f t="shared" si="17"/>
        <v>2451.1114250567402</v>
      </c>
      <c r="I27" s="63">
        <f t="shared" si="17"/>
        <v>2500.1336535578748</v>
      </c>
      <c r="J27" s="63">
        <f t="shared" si="17"/>
        <v>2550.1363266290323</v>
      </c>
      <c r="K27" s="63">
        <f t="shared" si="17"/>
        <v>2601.139053161613</v>
      </c>
      <c r="L27" s="63">
        <f t="shared" si="17"/>
        <v>2653.1618342248453</v>
      </c>
      <c r="M27" s="63">
        <f t="shared" si="17"/>
        <v>2706.2250709093423</v>
      </c>
      <c r="N27" s="63">
        <f t="shared" si="17"/>
        <v>2760.3495723275291</v>
      </c>
      <c r="O27" s="63">
        <f t="shared" si="1"/>
        <v>2815.5565637740797</v>
      </c>
      <c r="P27" s="63">
        <f t="shared" si="2"/>
        <v>2871.8676950495615</v>
      </c>
      <c r="Q27" s="63">
        <f t="shared" si="3"/>
        <v>2929.3050489505526</v>
      </c>
      <c r="R27" s="63">
        <f t="shared" si="4"/>
        <v>2987.8911499295637</v>
      </c>
      <c r="S27" s="63">
        <f t="shared" si="5"/>
        <v>3047.6489729281548</v>
      </c>
      <c r="T27" s="63">
        <f t="shared" si="6"/>
        <v>3108.601952386718</v>
      </c>
      <c r="U27" s="63">
        <f t="shared" si="7"/>
        <v>3170.7739914344525</v>
      </c>
      <c r="V27" s="63">
        <f t="shared" si="8"/>
        <v>3234.1894712631415</v>
      </c>
      <c r="W27" s="63">
        <f t="shared" si="9"/>
        <v>3298.8732606884041</v>
      </c>
      <c r="X27" s="63">
        <f t="shared" si="10"/>
        <v>3364.8507259021721</v>
      </c>
      <c r="Y27" s="63">
        <f t="shared" si="11"/>
        <v>3432.1477404202155</v>
      </c>
      <c r="Z27" s="63">
        <f t="shared" si="12"/>
        <v>3500.7906952286198</v>
      </c>
      <c r="AA27" s="63">
        <f t="shared" si="13"/>
        <v>3570.8065091331923</v>
      </c>
      <c r="AB27" s="63">
        <f t="shared" si="14"/>
        <v>3642.2226393158562</v>
      </c>
      <c r="AC27" s="63">
        <f t="shared" si="15"/>
        <v>3715.0670921021733</v>
      </c>
      <c r="AD27" s="63">
        <f t="shared" si="16"/>
        <v>3789.3684339442166</v>
      </c>
    </row>
    <row r="28" spans="1:30" x14ac:dyDescent="0.35">
      <c r="A28" s="1" t="s">
        <v>16</v>
      </c>
      <c r="B28" s="63">
        <f>'Eurostat collected Portables GU'!W28+('Eurostat collected Portables GU'!W28*0.02)</f>
        <v>3796.44</v>
      </c>
      <c r="C28" s="63">
        <f t="shared" si="0"/>
        <v>3872.3688000000002</v>
      </c>
      <c r="D28" s="63">
        <f t="shared" si="17"/>
        <v>3949.8161760000003</v>
      </c>
      <c r="E28" s="63">
        <f t="shared" si="17"/>
        <v>4028.8124995200001</v>
      </c>
      <c r="F28" s="63">
        <f t="shared" si="17"/>
        <v>4109.3887495104</v>
      </c>
      <c r="G28" s="63">
        <f t="shared" si="17"/>
        <v>4191.5765245006078</v>
      </c>
      <c r="H28" s="63">
        <f t="shared" si="17"/>
        <v>4275.4080549906203</v>
      </c>
      <c r="I28" s="63">
        <f t="shared" si="17"/>
        <v>4360.9162160904325</v>
      </c>
      <c r="J28" s="63">
        <f t="shared" si="17"/>
        <v>4448.1345404122412</v>
      </c>
      <c r="K28" s="63">
        <f t="shared" si="17"/>
        <v>4537.0972312204858</v>
      </c>
      <c r="L28" s="63">
        <f t="shared" si="17"/>
        <v>4627.8391758448952</v>
      </c>
      <c r="M28" s="63">
        <f t="shared" si="17"/>
        <v>4720.3959593617928</v>
      </c>
      <c r="N28" s="63">
        <f t="shared" si="17"/>
        <v>4814.8038785490289</v>
      </c>
      <c r="O28" s="63">
        <f t="shared" si="1"/>
        <v>4911.0999561200097</v>
      </c>
      <c r="P28" s="63">
        <f t="shared" si="2"/>
        <v>5009.3219552424098</v>
      </c>
      <c r="Q28" s="63">
        <f t="shared" si="3"/>
        <v>5109.5083943472582</v>
      </c>
      <c r="R28" s="63">
        <f t="shared" si="4"/>
        <v>5211.6985622342036</v>
      </c>
      <c r="S28" s="63">
        <f t="shared" si="5"/>
        <v>5315.9325334788873</v>
      </c>
      <c r="T28" s="63">
        <f t="shared" si="6"/>
        <v>5422.2511841484647</v>
      </c>
      <c r="U28" s="63">
        <f t="shared" si="7"/>
        <v>5530.6962078314336</v>
      </c>
      <c r="V28" s="63">
        <f t="shared" si="8"/>
        <v>5641.3101319880625</v>
      </c>
      <c r="W28" s="63">
        <f t="shared" si="9"/>
        <v>5754.136334627824</v>
      </c>
      <c r="X28" s="63">
        <f t="shared" si="10"/>
        <v>5869.2190613203802</v>
      </c>
      <c r="Y28" s="63">
        <f t="shared" si="11"/>
        <v>5986.6034425467878</v>
      </c>
      <c r="Z28" s="63">
        <f t="shared" si="12"/>
        <v>6106.3355113977232</v>
      </c>
      <c r="AA28" s="63">
        <f t="shared" si="13"/>
        <v>6228.4622216256776</v>
      </c>
      <c r="AB28" s="63">
        <f t="shared" si="14"/>
        <v>6353.0314660581907</v>
      </c>
      <c r="AC28" s="63">
        <f t="shared" si="15"/>
        <v>6480.0920953793548</v>
      </c>
      <c r="AD28" s="63">
        <f t="shared" si="16"/>
        <v>6609.6939372869419</v>
      </c>
    </row>
    <row r="29" spans="1:30" x14ac:dyDescent="0.35">
      <c r="A29" s="1" t="s">
        <v>81</v>
      </c>
      <c r="B29" s="63">
        <f>'Eurostat collected Portables GU'!W29+('Eurostat collected Portables GU'!W29*0.02)</f>
        <v>3303.27</v>
      </c>
      <c r="C29" s="63">
        <f t="shared" si="0"/>
        <v>3369.3353999999999</v>
      </c>
      <c r="D29" s="63">
        <f t="shared" si="17"/>
        <v>3436.7221079999999</v>
      </c>
      <c r="E29" s="63">
        <f t="shared" si="17"/>
        <v>3505.45655016</v>
      </c>
      <c r="F29" s="63">
        <f t="shared" si="17"/>
        <v>3575.5656811632002</v>
      </c>
      <c r="G29" s="63">
        <f t="shared" si="17"/>
        <v>3647.0769947864642</v>
      </c>
      <c r="H29" s="63">
        <f t="shared" si="17"/>
        <v>3720.0185346821936</v>
      </c>
      <c r="I29" s="63">
        <f t="shared" si="17"/>
        <v>3794.4189053758373</v>
      </c>
      <c r="J29" s="63">
        <f t="shared" si="17"/>
        <v>3870.3072834833542</v>
      </c>
      <c r="K29" s="63">
        <f t="shared" si="17"/>
        <v>3947.7134291530215</v>
      </c>
      <c r="L29" s="63">
        <f t="shared" si="17"/>
        <v>4026.6676977360821</v>
      </c>
      <c r="M29" s="63">
        <f t="shared" si="17"/>
        <v>4107.201051690804</v>
      </c>
      <c r="N29" s="63">
        <f t="shared" si="17"/>
        <v>4189.34507272462</v>
      </c>
      <c r="O29" s="63">
        <f t="shared" si="1"/>
        <v>4273.1319741791121</v>
      </c>
      <c r="P29" s="63">
        <f t="shared" si="2"/>
        <v>4358.5946136626944</v>
      </c>
      <c r="Q29" s="63">
        <f t="shared" si="3"/>
        <v>4445.7665059359479</v>
      </c>
      <c r="R29" s="63">
        <f t="shared" si="4"/>
        <v>4534.6818360546667</v>
      </c>
      <c r="S29" s="63">
        <f t="shared" si="5"/>
        <v>4625.3754727757605</v>
      </c>
      <c r="T29" s="63">
        <f t="shared" si="6"/>
        <v>4717.8829822312755</v>
      </c>
      <c r="U29" s="63">
        <f t="shared" si="7"/>
        <v>4812.240641875901</v>
      </c>
      <c r="V29" s="63">
        <f t="shared" si="8"/>
        <v>4908.4854547134191</v>
      </c>
      <c r="W29" s="63">
        <f t="shared" si="9"/>
        <v>5006.6551638076871</v>
      </c>
      <c r="X29" s="63">
        <f t="shared" si="10"/>
        <v>5106.7882670838408</v>
      </c>
      <c r="Y29" s="63">
        <f t="shared" si="11"/>
        <v>5208.9240324255179</v>
      </c>
      <c r="Z29" s="63">
        <f t="shared" si="12"/>
        <v>5313.1025130740281</v>
      </c>
      <c r="AA29" s="63">
        <f t="shared" si="13"/>
        <v>5419.364563335509</v>
      </c>
      <c r="AB29" s="63">
        <f t="shared" si="14"/>
        <v>5527.7518546022193</v>
      </c>
      <c r="AC29" s="63">
        <f t="shared" si="15"/>
        <v>5638.3068916942639</v>
      </c>
      <c r="AD29" s="63">
        <f t="shared" si="16"/>
        <v>5751.0730295281492</v>
      </c>
    </row>
    <row r="30" spans="1:30" x14ac:dyDescent="0.35">
      <c r="A30" s="1" t="s">
        <v>15</v>
      </c>
      <c r="B30" s="63">
        <f>'Eurostat collected Portables GU'!W30+('Eurostat collected Portables GU'!W30*0.02)</f>
        <v>352.92</v>
      </c>
      <c r="C30" s="63">
        <f t="shared" si="0"/>
        <v>359.97840000000002</v>
      </c>
      <c r="D30" s="63">
        <f t="shared" si="17"/>
        <v>367.17796800000002</v>
      </c>
      <c r="E30" s="63">
        <f t="shared" si="17"/>
        <v>374.52152736000005</v>
      </c>
      <c r="F30" s="63">
        <f t="shared" si="17"/>
        <v>382.01195790720004</v>
      </c>
      <c r="G30" s="63">
        <f t="shared" si="17"/>
        <v>389.65219706534407</v>
      </c>
      <c r="H30" s="63">
        <f t="shared" si="17"/>
        <v>397.44524100665097</v>
      </c>
      <c r="I30" s="63">
        <f t="shared" si="17"/>
        <v>405.39414582678398</v>
      </c>
      <c r="J30" s="63">
        <f t="shared" si="17"/>
        <v>413.50202874331967</v>
      </c>
      <c r="K30" s="63">
        <f t="shared" si="17"/>
        <v>421.77206931818608</v>
      </c>
      <c r="L30" s="63">
        <f t="shared" si="17"/>
        <v>430.2075107045498</v>
      </c>
      <c r="M30" s="63">
        <f t="shared" si="17"/>
        <v>438.81166091864083</v>
      </c>
      <c r="N30" s="63">
        <f t="shared" si="17"/>
        <v>447.58789413701362</v>
      </c>
      <c r="O30" s="63">
        <f t="shared" si="1"/>
        <v>456.53965201975387</v>
      </c>
      <c r="P30" s="63">
        <f t="shared" si="2"/>
        <v>465.67044506014895</v>
      </c>
      <c r="Q30" s="63">
        <f t="shared" si="3"/>
        <v>474.98385396135194</v>
      </c>
      <c r="R30" s="63">
        <f t="shared" si="4"/>
        <v>484.48353104057895</v>
      </c>
      <c r="S30" s="63">
        <f t="shared" si="5"/>
        <v>494.17320166139052</v>
      </c>
      <c r="T30" s="63">
        <f t="shared" si="6"/>
        <v>504.05666569461835</v>
      </c>
      <c r="U30" s="63">
        <f t="shared" si="7"/>
        <v>514.13779900851068</v>
      </c>
      <c r="V30" s="63">
        <f t="shared" si="8"/>
        <v>524.42055498868092</v>
      </c>
      <c r="W30" s="63">
        <f t="shared" si="9"/>
        <v>534.90896608845458</v>
      </c>
      <c r="X30" s="63">
        <f t="shared" si="10"/>
        <v>545.60714541022367</v>
      </c>
      <c r="Y30" s="63">
        <f t="shared" si="11"/>
        <v>556.51928831842815</v>
      </c>
      <c r="Z30" s="63">
        <f t="shared" si="12"/>
        <v>567.64967408479674</v>
      </c>
      <c r="AA30" s="63">
        <f t="shared" si="13"/>
        <v>579.00266756649273</v>
      </c>
      <c r="AB30" s="63">
        <f t="shared" si="14"/>
        <v>590.5827209178226</v>
      </c>
      <c r="AC30" s="63">
        <f t="shared" si="15"/>
        <v>602.394375336179</v>
      </c>
      <c r="AD30" s="63">
        <f t="shared" si="16"/>
        <v>614.44226284290255</v>
      </c>
    </row>
    <row r="31" spans="1:30" x14ac:dyDescent="0.35">
      <c r="A31" s="1" t="s">
        <v>14</v>
      </c>
      <c r="B31" s="63">
        <f>'Eurostat collected Portables GU'!W31+('Eurostat collected Portables GU'!W31*0.02)</f>
        <v>973.08</v>
      </c>
      <c r="C31" s="63">
        <f t="shared" si="0"/>
        <v>992.54160000000002</v>
      </c>
      <c r="D31" s="63">
        <f t="shared" si="17"/>
        <v>1012.392432</v>
      </c>
      <c r="E31" s="63">
        <f t="shared" si="17"/>
        <v>1032.6402806399999</v>
      </c>
      <c r="F31" s="63">
        <f t="shared" si="17"/>
        <v>1053.2930862527999</v>
      </c>
      <c r="G31" s="63">
        <f t="shared" si="17"/>
        <v>1074.3589479778559</v>
      </c>
      <c r="H31" s="63">
        <f t="shared" si="17"/>
        <v>1095.8461269374129</v>
      </c>
      <c r="I31" s="63">
        <f t="shared" si="17"/>
        <v>1117.7630494761611</v>
      </c>
      <c r="J31" s="63">
        <f t="shared" si="17"/>
        <v>1140.1183104656843</v>
      </c>
      <c r="K31" s="63">
        <f t="shared" si="17"/>
        <v>1162.920676674998</v>
      </c>
      <c r="L31" s="63">
        <f t="shared" si="17"/>
        <v>1186.1790902084981</v>
      </c>
      <c r="M31" s="63">
        <f t="shared" si="17"/>
        <v>1209.9026720126681</v>
      </c>
      <c r="N31" s="63">
        <f t="shared" si="17"/>
        <v>1234.1007254529213</v>
      </c>
      <c r="O31" s="63">
        <f t="shared" si="1"/>
        <v>1258.7827399619798</v>
      </c>
      <c r="P31" s="63">
        <f t="shared" si="2"/>
        <v>1283.9583947612193</v>
      </c>
      <c r="Q31" s="63">
        <f t="shared" si="3"/>
        <v>1309.6375626564436</v>
      </c>
      <c r="R31" s="63">
        <f t="shared" si="4"/>
        <v>1335.8303139095724</v>
      </c>
      <c r="S31" s="63">
        <f t="shared" si="5"/>
        <v>1362.5469201877638</v>
      </c>
      <c r="T31" s="63">
        <f t="shared" si="6"/>
        <v>1389.7978585915191</v>
      </c>
      <c r="U31" s="63">
        <f t="shared" si="7"/>
        <v>1417.5938157633495</v>
      </c>
      <c r="V31" s="63">
        <f t="shared" si="8"/>
        <v>1445.9456920786165</v>
      </c>
      <c r="W31" s="63">
        <f t="shared" si="9"/>
        <v>1474.8646059201888</v>
      </c>
      <c r="X31" s="63">
        <f t="shared" si="10"/>
        <v>1504.3618980385925</v>
      </c>
      <c r="Y31" s="63">
        <f t="shared" si="11"/>
        <v>1534.4491359993642</v>
      </c>
      <c r="Z31" s="63">
        <f t="shared" si="12"/>
        <v>1565.1381187193515</v>
      </c>
      <c r="AA31" s="63">
        <f t="shared" si="13"/>
        <v>1596.4408810937384</v>
      </c>
      <c r="AB31" s="63">
        <f t="shared" si="14"/>
        <v>1628.3696987156131</v>
      </c>
      <c r="AC31" s="63">
        <f t="shared" si="15"/>
        <v>1660.9370926899253</v>
      </c>
      <c r="AD31" s="63">
        <f t="shared" si="16"/>
        <v>1694.1558345437238</v>
      </c>
    </row>
    <row r="32" spans="1:30" x14ac:dyDescent="0.35">
      <c r="A32" s="1" t="s">
        <v>0</v>
      </c>
      <c r="B32" s="63">
        <f>'Eurostat collected Portables GU'!W32+('Eurostat collected Portables GU'!W32*0.02)</f>
        <v>18658.082760000001</v>
      </c>
      <c r="C32" s="63">
        <f t="shared" si="0"/>
        <v>19031.244415200003</v>
      </c>
      <c r="D32" s="63">
        <f t="shared" si="17"/>
        <v>19411.869303504001</v>
      </c>
      <c r="E32" s="63">
        <f t="shared" si="17"/>
        <v>19800.106689574081</v>
      </c>
      <c r="F32" s="63">
        <f t="shared" si="17"/>
        <v>20196.108823365561</v>
      </c>
      <c r="G32" s="63">
        <f t="shared" si="17"/>
        <v>20600.030999832874</v>
      </c>
      <c r="H32" s="63">
        <f t="shared" si="17"/>
        <v>21012.031619829533</v>
      </c>
      <c r="I32" s="63">
        <f t="shared" si="17"/>
        <v>21432.272252226125</v>
      </c>
      <c r="J32" s="63">
        <f t="shared" si="17"/>
        <v>21860.917697270648</v>
      </c>
      <c r="K32" s="63">
        <f t="shared" si="17"/>
        <v>22298.136051216061</v>
      </c>
      <c r="L32" s="63">
        <f t="shared" si="17"/>
        <v>22744.098772240381</v>
      </c>
      <c r="M32" s="63">
        <f t="shared" si="17"/>
        <v>23198.980747685189</v>
      </c>
      <c r="N32" s="63">
        <f t="shared" si="17"/>
        <v>23662.960362638893</v>
      </c>
      <c r="O32" s="63">
        <f t="shared" si="1"/>
        <v>24136.219569891669</v>
      </c>
      <c r="P32" s="63">
        <f t="shared" si="2"/>
        <v>24618.943961289504</v>
      </c>
      <c r="Q32" s="63">
        <f t="shared" si="3"/>
        <v>25111.322840515295</v>
      </c>
      <c r="R32" s="63">
        <f t="shared" si="4"/>
        <v>25613.5492973256</v>
      </c>
      <c r="S32" s="63">
        <f t="shared" si="5"/>
        <v>26125.820283272111</v>
      </c>
      <c r="T32" s="63">
        <f t="shared" si="6"/>
        <v>26648.336688937554</v>
      </c>
      <c r="U32" s="63">
        <f t="shared" si="7"/>
        <v>27181.303422716304</v>
      </c>
      <c r="V32" s="63">
        <f t="shared" si="8"/>
        <v>27724.929491170631</v>
      </c>
      <c r="W32" s="63">
        <f t="shared" si="9"/>
        <v>28279.428080994043</v>
      </c>
      <c r="X32" s="63">
        <f t="shared" si="10"/>
        <v>28845.016642613922</v>
      </c>
      <c r="Y32" s="63">
        <f t="shared" si="11"/>
        <v>29421.9169754662</v>
      </c>
      <c r="Z32" s="63">
        <f t="shared" si="12"/>
        <v>30010.355314975524</v>
      </c>
      <c r="AA32" s="63">
        <f t="shared" si="13"/>
        <v>30610.562421275034</v>
      </c>
      <c r="AB32" s="63">
        <f t="shared" si="14"/>
        <v>31222.773669700535</v>
      </c>
      <c r="AC32" s="63">
        <f t="shared" si="15"/>
        <v>31847.229143094544</v>
      </c>
      <c r="AD32" s="63">
        <f t="shared" si="16"/>
        <v>32484.173725956436</v>
      </c>
    </row>
    <row r="33" spans="1:30" x14ac:dyDescent="0.35">
      <c r="A33" s="1" t="s">
        <v>87</v>
      </c>
      <c r="B33" s="65">
        <f>SUM(B2:B32)</f>
        <v>134622.24996000002</v>
      </c>
      <c r="C33" s="65">
        <f t="shared" ref="C33:AD33" si="18">SUM(C2:C32)</f>
        <v>137314.69495919999</v>
      </c>
      <c r="D33" s="65">
        <f t="shared" si="18"/>
        <v>140060.98885838399</v>
      </c>
      <c r="E33" s="65">
        <f t="shared" si="18"/>
        <v>142862.20863555174</v>
      </c>
      <c r="F33" s="65">
        <f t="shared" si="18"/>
        <v>145719.45280826272</v>
      </c>
      <c r="G33" s="65">
        <f t="shared" si="18"/>
        <v>148633.84186442796</v>
      </c>
      <c r="H33" s="65">
        <f t="shared" si="18"/>
        <v>151606.5187017165</v>
      </c>
      <c r="I33" s="65">
        <f t="shared" si="18"/>
        <v>154638.6490757509</v>
      </c>
      <c r="J33" s="65">
        <f t="shared" si="18"/>
        <v>157731.42205726588</v>
      </c>
      <c r="K33" s="65">
        <f t="shared" si="18"/>
        <v>160886.05049841118</v>
      </c>
      <c r="L33" s="65">
        <f t="shared" si="18"/>
        <v>164103.77150837943</v>
      </c>
      <c r="M33" s="65">
        <f t="shared" si="18"/>
        <v>167385.84693854698</v>
      </c>
      <c r="N33" s="65">
        <f t="shared" si="18"/>
        <v>170733.563877318</v>
      </c>
      <c r="O33" s="65">
        <f t="shared" si="18"/>
        <v>174148.23515486432</v>
      </c>
      <c r="P33" s="65">
        <f t="shared" si="18"/>
        <v>177631.19985796159</v>
      </c>
      <c r="Q33" s="65">
        <f t="shared" si="18"/>
        <v>181183.82385512078</v>
      </c>
      <c r="R33" s="65">
        <f t="shared" si="18"/>
        <v>184807.50033222322</v>
      </c>
      <c r="S33" s="65">
        <f t="shared" si="18"/>
        <v>188503.65033886768</v>
      </c>
      <c r="T33" s="65">
        <f t="shared" si="18"/>
        <v>192273.72334564503</v>
      </c>
      <c r="U33" s="65">
        <f t="shared" si="18"/>
        <v>196119.19781255792</v>
      </c>
      <c r="V33" s="65">
        <f t="shared" si="18"/>
        <v>200041.58176880903</v>
      </c>
      <c r="W33" s="65">
        <f t="shared" si="18"/>
        <v>204042.4134041853</v>
      </c>
      <c r="X33" s="65">
        <f t="shared" si="18"/>
        <v>208123.26167226903</v>
      </c>
      <c r="Y33" s="65">
        <f t="shared" si="18"/>
        <v>212285.72690571431</v>
      </c>
      <c r="Z33" s="65">
        <f t="shared" si="18"/>
        <v>216531.4414438286</v>
      </c>
      <c r="AA33" s="65">
        <f t="shared" si="18"/>
        <v>220862.07027270528</v>
      </c>
      <c r="AB33" s="65">
        <f t="shared" si="18"/>
        <v>225279.31167815928</v>
      </c>
      <c r="AC33" s="65">
        <f t="shared" si="18"/>
        <v>229784.89791172248</v>
      </c>
      <c r="AD33" s="65">
        <f t="shared" si="18"/>
        <v>234380.59586995695</v>
      </c>
    </row>
    <row r="35" spans="1:30" x14ac:dyDescent="0.35">
      <c r="A35" s="62"/>
      <c r="B35" s="6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9CE7-C563-46C8-92AF-171338AE60C6}">
  <sheetPr>
    <tabColor theme="9"/>
  </sheetPr>
  <dimension ref="A1:AD38"/>
  <sheetViews>
    <sheetView zoomScale="74" zoomScaleNormal="74" workbookViewId="0">
      <selection activeCell="A7" sqref="A7"/>
    </sheetView>
  </sheetViews>
  <sheetFormatPr baseColWidth="10" defaultRowHeight="14.5" x14ac:dyDescent="0.35"/>
  <cols>
    <col min="1" max="1" width="21.1796875" customWidth="1"/>
    <col min="2" max="30" width="11.26953125" bestFit="1" customWidth="1"/>
  </cols>
  <sheetData>
    <row r="1" spans="1:30" x14ac:dyDescent="0.35">
      <c r="A1" s="58" t="s">
        <v>85</v>
      </c>
      <c r="B1" s="58">
        <v>2022</v>
      </c>
      <c r="C1" s="58">
        <v>2023</v>
      </c>
      <c r="D1" s="58">
        <v>2024</v>
      </c>
      <c r="E1" s="58">
        <v>2025</v>
      </c>
      <c r="F1" s="58">
        <v>2026</v>
      </c>
      <c r="G1" s="58">
        <v>2027</v>
      </c>
      <c r="H1" s="58">
        <v>2028</v>
      </c>
      <c r="I1" s="58">
        <v>2029</v>
      </c>
      <c r="J1" s="58">
        <v>2030</v>
      </c>
      <c r="K1" s="58">
        <v>2031</v>
      </c>
      <c r="L1" s="58">
        <v>2032</v>
      </c>
      <c r="M1" s="58">
        <v>2033</v>
      </c>
      <c r="N1" s="58">
        <v>2034</v>
      </c>
      <c r="O1" s="58">
        <v>2035</v>
      </c>
      <c r="P1" s="58">
        <v>2036</v>
      </c>
      <c r="Q1" s="58">
        <v>2037</v>
      </c>
      <c r="R1" s="58">
        <v>2038</v>
      </c>
      <c r="S1" s="58">
        <v>2039</v>
      </c>
      <c r="T1" s="58">
        <v>2040</v>
      </c>
      <c r="U1" s="58">
        <v>2041</v>
      </c>
      <c r="V1" s="58">
        <v>2042</v>
      </c>
      <c r="W1" s="58">
        <v>2043</v>
      </c>
      <c r="X1" s="58">
        <v>2044</v>
      </c>
      <c r="Y1" s="58">
        <v>2045</v>
      </c>
      <c r="Z1" s="58">
        <v>2046</v>
      </c>
      <c r="AA1" s="58">
        <v>2047</v>
      </c>
      <c r="AB1" s="58">
        <v>2048</v>
      </c>
      <c r="AC1" s="58">
        <v>2049</v>
      </c>
      <c r="AD1" s="58">
        <v>2050</v>
      </c>
    </row>
    <row r="2" spans="1:30" x14ac:dyDescent="0.35">
      <c r="A2" s="1" t="s">
        <v>17</v>
      </c>
      <c r="B2" s="64">
        <f>'Eurostat collected Portables GU'!W2+('Eurostat collected Portables GU'!W2*0.03)</f>
        <v>20661.8</v>
      </c>
      <c r="C2" s="64">
        <f t="shared" ref="C2:AD2" si="0">B2+(B2*0.03)</f>
        <v>21281.653999999999</v>
      </c>
      <c r="D2" s="64">
        <f t="shared" si="0"/>
        <v>21920.103619999998</v>
      </c>
      <c r="E2" s="64">
        <f t="shared" si="0"/>
        <v>22577.706728599998</v>
      </c>
      <c r="F2" s="64">
        <f t="shared" si="0"/>
        <v>23255.037930457998</v>
      </c>
      <c r="G2" s="64">
        <f t="shared" si="0"/>
        <v>23952.689068371739</v>
      </c>
      <c r="H2" s="64">
        <f t="shared" si="0"/>
        <v>24671.269740422893</v>
      </c>
      <c r="I2" s="64">
        <f t="shared" si="0"/>
        <v>25411.407832635581</v>
      </c>
      <c r="J2" s="64">
        <f t="shared" si="0"/>
        <v>26173.750067614648</v>
      </c>
      <c r="K2" s="64">
        <f t="shared" si="0"/>
        <v>26958.962569643089</v>
      </c>
      <c r="L2" s="64">
        <f t="shared" si="0"/>
        <v>27767.731446732381</v>
      </c>
      <c r="M2" s="64">
        <f t="shared" si="0"/>
        <v>28600.763390134354</v>
      </c>
      <c r="N2" s="64">
        <f t="shared" si="0"/>
        <v>29458.786291838383</v>
      </c>
      <c r="O2" s="64">
        <f t="shared" si="0"/>
        <v>30342.549880593535</v>
      </c>
      <c r="P2" s="64">
        <f t="shared" si="0"/>
        <v>31252.826377011341</v>
      </c>
      <c r="Q2" s="64">
        <f t="shared" si="0"/>
        <v>32190.41116832168</v>
      </c>
      <c r="R2" s="64">
        <f t="shared" si="0"/>
        <v>33156.123503371331</v>
      </c>
      <c r="S2" s="64">
        <f t="shared" si="0"/>
        <v>34150.80720847247</v>
      </c>
      <c r="T2" s="64">
        <f t="shared" si="0"/>
        <v>35175.331424726646</v>
      </c>
      <c r="U2" s="64">
        <f t="shared" si="0"/>
        <v>36230.591367468449</v>
      </c>
      <c r="V2" s="64">
        <f t="shared" si="0"/>
        <v>37317.509108492501</v>
      </c>
      <c r="W2" s="64">
        <f t="shared" si="0"/>
        <v>38437.034381747275</v>
      </c>
      <c r="X2" s="64">
        <f t="shared" si="0"/>
        <v>39590.145413199694</v>
      </c>
      <c r="Y2" s="64">
        <f t="shared" si="0"/>
        <v>40777.849775595685</v>
      </c>
      <c r="Z2" s="64">
        <f t="shared" si="0"/>
        <v>42001.185268863555</v>
      </c>
      <c r="AA2" s="64">
        <f t="shared" si="0"/>
        <v>43261.220826929464</v>
      </c>
      <c r="AB2" s="64">
        <f t="shared" si="0"/>
        <v>44559.057451737346</v>
      </c>
      <c r="AC2" s="64">
        <f t="shared" si="0"/>
        <v>45895.829175289466</v>
      </c>
      <c r="AD2" s="64">
        <f t="shared" si="0"/>
        <v>47272.704050548149</v>
      </c>
    </row>
    <row r="3" spans="1:30" x14ac:dyDescent="0.35">
      <c r="A3" s="1" t="s">
        <v>18</v>
      </c>
      <c r="B3" s="64">
        <f>'Eurostat collected Portables GU'!W3+('Eurostat collected Portables GU'!W3*0.03)</f>
        <v>2853.1</v>
      </c>
      <c r="C3" s="64">
        <f t="shared" ref="C3:AD3" si="1">B3+(B3*0.03)</f>
        <v>2938.6929999999998</v>
      </c>
      <c r="D3" s="64">
        <f t="shared" si="1"/>
        <v>3026.8537899999997</v>
      </c>
      <c r="E3" s="64">
        <f t="shared" si="1"/>
        <v>3117.6594036999995</v>
      </c>
      <c r="F3" s="64">
        <f t="shared" si="1"/>
        <v>3211.1891858109993</v>
      </c>
      <c r="G3" s="64">
        <f t="shared" si="1"/>
        <v>3307.5248613853291</v>
      </c>
      <c r="H3" s="64">
        <f t="shared" si="1"/>
        <v>3406.7506072268889</v>
      </c>
      <c r="I3" s="64">
        <f t="shared" si="1"/>
        <v>3508.9531254436956</v>
      </c>
      <c r="J3" s="64">
        <f t="shared" si="1"/>
        <v>3614.2217192070066</v>
      </c>
      <c r="K3" s="64">
        <f t="shared" si="1"/>
        <v>3722.6483707832167</v>
      </c>
      <c r="L3" s="64">
        <f t="shared" si="1"/>
        <v>3834.3278219067133</v>
      </c>
      <c r="M3" s="64">
        <f t="shared" si="1"/>
        <v>3949.3576565639146</v>
      </c>
      <c r="N3" s="64">
        <f t="shared" si="1"/>
        <v>4067.8383862608321</v>
      </c>
      <c r="O3" s="64">
        <f t="shared" si="1"/>
        <v>4189.8735378486572</v>
      </c>
      <c r="P3" s="64">
        <f t="shared" si="1"/>
        <v>4315.5697439841169</v>
      </c>
      <c r="Q3" s="64">
        <f t="shared" si="1"/>
        <v>4445.0368363036405</v>
      </c>
      <c r="R3" s="64">
        <f t="shared" si="1"/>
        <v>4578.3879413927498</v>
      </c>
      <c r="S3" s="64">
        <f t="shared" si="1"/>
        <v>4715.7395796345327</v>
      </c>
      <c r="T3" s="64">
        <f t="shared" si="1"/>
        <v>4857.2117670235684</v>
      </c>
      <c r="U3" s="64">
        <f t="shared" si="1"/>
        <v>5002.9281200342757</v>
      </c>
      <c r="V3" s="64">
        <f t="shared" si="1"/>
        <v>5153.0159636353037</v>
      </c>
      <c r="W3" s="64">
        <f t="shared" si="1"/>
        <v>5307.6064425443628</v>
      </c>
      <c r="X3" s="64">
        <f t="shared" si="1"/>
        <v>5466.8346358206936</v>
      </c>
      <c r="Y3" s="64">
        <f t="shared" si="1"/>
        <v>5630.8396748953146</v>
      </c>
      <c r="Z3" s="64">
        <f t="shared" si="1"/>
        <v>5799.7648651421741</v>
      </c>
      <c r="AA3" s="64">
        <f t="shared" si="1"/>
        <v>5973.7578110964396</v>
      </c>
      <c r="AB3" s="64">
        <f t="shared" si="1"/>
        <v>6152.9705454293326</v>
      </c>
      <c r="AC3" s="64">
        <f t="shared" si="1"/>
        <v>6337.5596617922129</v>
      </c>
      <c r="AD3" s="64">
        <f t="shared" si="1"/>
        <v>6527.6864516459791</v>
      </c>
    </row>
    <row r="4" spans="1:30" x14ac:dyDescent="0.35">
      <c r="A4" s="1" t="s">
        <v>19</v>
      </c>
      <c r="B4" s="64">
        <f>'Eurostat collected Portables GU'!W4+('Eurostat collected Portables GU'!W4*0.03)</f>
        <v>3493.76</v>
      </c>
      <c r="C4" s="64">
        <f t="shared" ref="C4:AD4" si="2">B4+(B4*0.03)</f>
        <v>3598.5728000000004</v>
      </c>
      <c r="D4" s="64">
        <f t="shared" si="2"/>
        <v>3706.5299840000002</v>
      </c>
      <c r="E4" s="64">
        <f t="shared" si="2"/>
        <v>3817.72588352</v>
      </c>
      <c r="F4" s="64">
        <f t="shared" si="2"/>
        <v>3932.2576600256002</v>
      </c>
      <c r="G4" s="64">
        <f t="shared" si="2"/>
        <v>4050.2253898263684</v>
      </c>
      <c r="H4" s="64">
        <f t="shared" si="2"/>
        <v>4171.7321515211597</v>
      </c>
      <c r="I4" s="64">
        <f t="shared" si="2"/>
        <v>4296.8841160667944</v>
      </c>
      <c r="J4" s="64">
        <f t="shared" si="2"/>
        <v>4425.790639548798</v>
      </c>
      <c r="K4" s="64">
        <f t="shared" si="2"/>
        <v>4558.5643587352624</v>
      </c>
      <c r="L4" s="64">
        <f t="shared" si="2"/>
        <v>4695.3212894973203</v>
      </c>
      <c r="M4" s="64">
        <f t="shared" si="2"/>
        <v>4836.1809281822398</v>
      </c>
      <c r="N4" s="64">
        <f t="shared" si="2"/>
        <v>4981.2663560277069</v>
      </c>
      <c r="O4" s="64">
        <f t="shared" si="2"/>
        <v>5130.7043467085377</v>
      </c>
      <c r="P4" s="64">
        <f t="shared" si="2"/>
        <v>5284.6254771097938</v>
      </c>
      <c r="Q4" s="64">
        <f t="shared" si="2"/>
        <v>5443.1642414230873</v>
      </c>
      <c r="R4" s="64">
        <f t="shared" si="2"/>
        <v>5606.4591686657795</v>
      </c>
      <c r="S4" s="64">
        <f t="shared" si="2"/>
        <v>5774.6529437257532</v>
      </c>
      <c r="T4" s="64">
        <f t="shared" si="2"/>
        <v>5947.8925320375256</v>
      </c>
      <c r="U4" s="64">
        <f t="shared" si="2"/>
        <v>6126.3293079986515</v>
      </c>
      <c r="V4" s="64">
        <f t="shared" si="2"/>
        <v>6310.1191872386107</v>
      </c>
      <c r="W4" s="64">
        <f t="shared" si="2"/>
        <v>6499.4227628557692</v>
      </c>
      <c r="X4" s="64">
        <f t="shared" si="2"/>
        <v>6694.4054457414422</v>
      </c>
      <c r="Y4" s="64">
        <f t="shared" si="2"/>
        <v>6895.2376091136857</v>
      </c>
      <c r="Z4" s="64">
        <f t="shared" si="2"/>
        <v>7102.0947373870958</v>
      </c>
      <c r="AA4" s="64">
        <f t="shared" si="2"/>
        <v>7315.1575795087083</v>
      </c>
      <c r="AB4" s="64">
        <f t="shared" si="2"/>
        <v>7534.6123068939696</v>
      </c>
      <c r="AC4" s="64">
        <f t="shared" si="2"/>
        <v>7760.6506761007886</v>
      </c>
      <c r="AD4" s="64">
        <f t="shared" si="2"/>
        <v>7993.4701963838124</v>
      </c>
    </row>
    <row r="5" spans="1:30" x14ac:dyDescent="0.35">
      <c r="A5" s="1" t="s">
        <v>20</v>
      </c>
      <c r="B5" s="64">
        <f>'Eurostat collected Portables GU'!W5+('Eurostat collected Portables GU'!W5*0.03)</f>
        <v>461.44</v>
      </c>
      <c r="C5" s="64">
        <f t="shared" ref="C5:AD5" si="3">B5+(B5*0.03)</f>
        <v>475.28320000000002</v>
      </c>
      <c r="D5" s="64">
        <f t="shared" si="3"/>
        <v>489.541696</v>
      </c>
      <c r="E5" s="64">
        <f t="shared" si="3"/>
        <v>504.22794687999999</v>
      </c>
      <c r="F5" s="64">
        <f t="shared" si="3"/>
        <v>519.35478528639999</v>
      </c>
      <c r="G5" s="64">
        <f t="shared" si="3"/>
        <v>534.93542884499197</v>
      </c>
      <c r="H5" s="64">
        <f t="shared" si="3"/>
        <v>550.9834917103417</v>
      </c>
      <c r="I5" s="64">
        <f t="shared" si="3"/>
        <v>567.51299646165194</v>
      </c>
      <c r="J5" s="64">
        <f t="shared" si="3"/>
        <v>584.53838635550153</v>
      </c>
      <c r="K5" s="64">
        <f t="shared" si="3"/>
        <v>602.07453794616663</v>
      </c>
      <c r="L5" s="64">
        <f t="shared" si="3"/>
        <v>620.13677408455158</v>
      </c>
      <c r="M5" s="64">
        <f t="shared" si="3"/>
        <v>638.74087730708811</v>
      </c>
      <c r="N5" s="64">
        <f t="shared" si="3"/>
        <v>657.90310362630078</v>
      </c>
      <c r="O5" s="64">
        <f t="shared" si="3"/>
        <v>677.64019673508983</v>
      </c>
      <c r="P5" s="64">
        <f t="shared" si="3"/>
        <v>697.96940263714248</v>
      </c>
      <c r="Q5" s="64">
        <f t="shared" si="3"/>
        <v>718.90848471625679</v>
      </c>
      <c r="R5" s="64">
        <f t="shared" si="3"/>
        <v>740.47573925774452</v>
      </c>
      <c r="S5" s="64">
        <f t="shared" si="3"/>
        <v>762.69001143547689</v>
      </c>
      <c r="T5" s="64">
        <f t="shared" si="3"/>
        <v>785.57071177854118</v>
      </c>
      <c r="U5" s="64">
        <f t="shared" si="3"/>
        <v>809.13783313189742</v>
      </c>
      <c r="V5" s="64">
        <f t="shared" si="3"/>
        <v>833.4119681258544</v>
      </c>
      <c r="W5" s="64">
        <f t="shared" si="3"/>
        <v>858.41432716963004</v>
      </c>
      <c r="X5" s="64">
        <f t="shared" si="3"/>
        <v>884.16675698471897</v>
      </c>
      <c r="Y5" s="64">
        <f t="shared" si="3"/>
        <v>910.69175969426055</v>
      </c>
      <c r="Z5" s="64">
        <f t="shared" si="3"/>
        <v>938.01251248508834</v>
      </c>
      <c r="AA5" s="64">
        <f t="shared" si="3"/>
        <v>966.15288785964094</v>
      </c>
      <c r="AB5" s="64">
        <f t="shared" si="3"/>
        <v>995.13747449543018</v>
      </c>
      <c r="AC5" s="64">
        <f t="shared" si="3"/>
        <v>1024.9915987302932</v>
      </c>
      <c r="AD5" s="64">
        <f t="shared" si="3"/>
        <v>1055.7413466922019</v>
      </c>
    </row>
    <row r="6" spans="1:30" x14ac:dyDescent="0.35">
      <c r="A6" s="1" t="s">
        <v>21</v>
      </c>
      <c r="B6" s="64">
        <f>'Eurostat collected Portables GU'!W6+('Eurostat collected Portables GU'!W6*0.03)</f>
        <v>91.67</v>
      </c>
      <c r="C6" s="64">
        <f t="shared" ref="C6:AD6" si="4">B6+(B6*0.03)</f>
        <v>94.420100000000005</v>
      </c>
      <c r="D6" s="64">
        <f t="shared" si="4"/>
        <v>97.252703000000011</v>
      </c>
      <c r="E6" s="64">
        <f t="shared" si="4"/>
        <v>100.17028409000001</v>
      </c>
      <c r="F6" s="64">
        <f t="shared" si="4"/>
        <v>103.17539261270001</v>
      </c>
      <c r="G6" s="64">
        <f t="shared" si="4"/>
        <v>106.27065439108101</v>
      </c>
      <c r="H6" s="64">
        <f t="shared" si="4"/>
        <v>109.45877402281344</v>
      </c>
      <c r="I6" s="64">
        <f t="shared" si="4"/>
        <v>112.74253724349785</v>
      </c>
      <c r="J6" s="64">
        <f t="shared" si="4"/>
        <v>116.12481336080279</v>
      </c>
      <c r="K6" s="64">
        <f t="shared" si="4"/>
        <v>119.60855776162687</v>
      </c>
      <c r="L6" s="64">
        <f t="shared" si="4"/>
        <v>123.19681449447567</v>
      </c>
      <c r="M6" s="64">
        <f t="shared" si="4"/>
        <v>126.89271892930995</v>
      </c>
      <c r="N6" s="64">
        <f t="shared" si="4"/>
        <v>130.69950049718926</v>
      </c>
      <c r="O6" s="64">
        <f t="shared" si="4"/>
        <v>134.62048551210495</v>
      </c>
      <c r="P6" s="64">
        <f t="shared" si="4"/>
        <v>138.65910007746811</v>
      </c>
      <c r="Q6" s="64">
        <f t="shared" si="4"/>
        <v>142.81887307979216</v>
      </c>
      <c r="R6" s="64">
        <f t="shared" si="4"/>
        <v>147.10343927218591</v>
      </c>
      <c r="S6" s="64">
        <f t="shared" si="4"/>
        <v>151.51654245035149</v>
      </c>
      <c r="T6" s="64">
        <f t="shared" si="4"/>
        <v>156.06203872386203</v>
      </c>
      <c r="U6" s="64">
        <f t="shared" si="4"/>
        <v>160.74389988557789</v>
      </c>
      <c r="V6" s="64">
        <f t="shared" si="4"/>
        <v>165.56621688214523</v>
      </c>
      <c r="W6" s="64">
        <f t="shared" si="4"/>
        <v>170.53320338860959</v>
      </c>
      <c r="X6" s="64">
        <f t="shared" si="4"/>
        <v>175.64919949026788</v>
      </c>
      <c r="Y6" s="64">
        <f t="shared" si="4"/>
        <v>180.91867547497591</v>
      </c>
      <c r="Z6" s="64">
        <f t="shared" si="4"/>
        <v>186.34623573922519</v>
      </c>
      <c r="AA6" s="64">
        <f t="shared" si="4"/>
        <v>191.93662281140195</v>
      </c>
      <c r="AB6" s="64">
        <f t="shared" si="4"/>
        <v>197.69472149574401</v>
      </c>
      <c r="AC6" s="64">
        <f t="shared" si="4"/>
        <v>203.62556314061632</v>
      </c>
      <c r="AD6" s="64">
        <f t="shared" si="4"/>
        <v>209.73433003483481</v>
      </c>
    </row>
    <row r="7" spans="1:30" x14ac:dyDescent="0.35">
      <c r="A7" s="1" t="s">
        <v>88</v>
      </c>
      <c r="B7" s="64">
        <f>'Eurostat collected Portables GU'!W7+('Eurostat collected Portables GU'!W7*0.03)</f>
        <v>2505.9899999999998</v>
      </c>
      <c r="C7" s="64">
        <f t="shared" ref="C7:AD7" si="5">B7+(B7*0.03)</f>
        <v>2581.1696999999999</v>
      </c>
      <c r="D7" s="64">
        <f t="shared" si="5"/>
        <v>2658.6047909999998</v>
      </c>
      <c r="E7" s="64">
        <f t="shared" si="5"/>
        <v>2738.3629347299998</v>
      </c>
      <c r="F7" s="64">
        <f t="shared" si="5"/>
        <v>2820.5138227718999</v>
      </c>
      <c r="G7" s="64">
        <f t="shared" si="5"/>
        <v>2905.1292374550567</v>
      </c>
      <c r="H7" s="64">
        <f t="shared" si="5"/>
        <v>2992.2831145787086</v>
      </c>
      <c r="I7" s="64">
        <f t="shared" si="5"/>
        <v>3082.0516080160696</v>
      </c>
      <c r="J7" s="64">
        <f t="shared" si="5"/>
        <v>3174.5131562565516</v>
      </c>
      <c r="K7" s="64">
        <f t="shared" si="5"/>
        <v>3269.7485509442481</v>
      </c>
      <c r="L7" s="64">
        <f t="shared" si="5"/>
        <v>3367.8410074725757</v>
      </c>
      <c r="M7" s="64">
        <f t="shared" si="5"/>
        <v>3468.8762376967529</v>
      </c>
      <c r="N7" s="64">
        <f t="shared" si="5"/>
        <v>3572.9425248276557</v>
      </c>
      <c r="O7" s="64">
        <f t="shared" si="5"/>
        <v>3680.1308005724854</v>
      </c>
      <c r="P7" s="64">
        <f t="shared" si="5"/>
        <v>3790.5347245896601</v>
      </c>
      <c r="Q7" s="64">
        <f t="shared" si="5"/>
        <v>3904.25076632735</v>
      </c>
      <c r="R7" s="64">
        <f t="shared" si="5"/>
        <v>4021.3782893171706</v>
      </c>
      <c r="S7" s="64">
        <f t="shared" si="5"/>
        <v>4142.0196379966856</v>
      </c>
      <c r="T7" s="64">
        <f t="shared" si="5"/>
        <v>4266.2802271365863</v>
      </c>
      <c r="U7" s="64">
        <f t="shared" si="5"/>
        <v>4394.2686339506836</v>
      </c>
      <c r="V7" s="64">
        <f t="shared" si="5"/>
        <v>4526.096692969204</v>
      </c>
      <c r="W7" s="64">
        <f t="shared" si="5"/>
        <v>4661.87959375828</v>
      </c>
      <c r="X7" s="64">
        <f t="shared" si="5"/>
        <v>4801.7359815710279</v>
      </c>
      <c r="Y7" s="64">
        <f t="shared" si="5"/>
        <v>4945.7880610181583</v>
      </c>
      <c r="Z7" s="64">
        <f t="shared" si="5"/>
        <v>5094.1617028487026</v>
      </c>
      <c r="AA7" s="64">
        <f t="shared" si="5"/>
        <v>5246.9865539341636</v>
      </c>
      <c r="AB7" s="64">
        <f t="shared" si="5"/>
        <v>5404.3961505521884</v>
      </c>
      <c r="AC7" s="64">
        <f t="shared" si="5"/>
        <v>5566.5280350687544</v>
      </c>
      <c r="AD7" s="64">
        <f t="shared" si="5"/>
        <v>5733.5238761208175</v>
      </c>
    </row>
    <row r="8" spans="1:30" x14ac:dyDescent="0.35">
      <c r="A8" s="1" t="s">
        <v>22</v>
      </c>
      <c r="B8" s="64">
        <f>'Eurostat collected Portables GU'!W8+('Eurostat collected Portables GU'!W8*0.03)</f>
        <v>30512.720000000001</v>
      </c>
      <c r="C8" s="64">
        <f t="shared" ref="C8:AD8" si="6">B8+(B8*0.03)</f>
        <v>31428.101600000002</v>
      </c>
      <c r="D8" s="64">
        <f t="shared" si="6"/>
        <v>32370.944648000001</v>
      </c>
      <c r="E8" s="64">
        <f t="shared" si="6"/>
        <v>33342.072987439999</v>
      </c>
      <c r="F8" s="64">
        <f t="shared" si="6"/>
        <v>34342.3351770632</v>
      </c>
      <c r="G8" s="64">
        <f t="shared" si="6"/>
        <v>35372.605232375099</v>
      </c>
      <c r="H8" s="64">
        <f t="shared" si="6"/>
        <v>36433.783389346354</v>
      </c>
      <c r="I8" s="64">
        <f t="shared" si="6"/>
        <v>37526.796891026745</v>
      </c>
      <c r="J8" s="64">
        <f t="shared" si="6"/>
        <v>38652.60079775755</v>
      </c>
      <c r="K8" s="64">
        <f t="shared" si="6"/>
        <v>39812.178821690279</v>
      </c>
      <c r="L8" s="64">
        <f t="shared" si="6"/>
        <v>41006.544186340987</v>
      </c>
      <c r="M8" s="64">
        <f t="shared" si="6"/>
        <v>42236.740511931217</v>
      </c>
      <c r="N8" s="64">
        <f t="shared" si="6"/>
        <v>43503.842727289157</v>
      </c>
      <c r="O8" s="64">
        <f t="shared" si="6"/>
        <v>44808.958009107831</v>
      </c>
      <c r="P8" s="64">
        <f t="shared" si="6"/>
        <v>46153.226749381065</v>
      </c>
      <c r="Q8" s="64">
        <f t="shared" si="6"/>
        <v>47537.823551862501</v>
      </c>
      <c r="R8" s="64">
        <f t="shared" si="6"/>
        <v>48963.958258418374</v>
      </c>
      <c r="S8" s="64">
        <f t="shared" si="6"/>
        <v>50432.877006170922</v>
      </c>
      <c r="T8" s="64">
        <f t="shared" si="6"/>
        <v>51945.863316356052</v>
      </c>
      <c r="U8" s="64">
        <f t="shared" si="6"/>
        <v>53504.239215846734</v>
      </c>
      <c r="V8" s="64">
        <f t="shared" si="6"/>
        <v>55109.366392322132</v>
      </c>
      <c r="W8" s="64">
        <f t="shared" si="6"/>
        <v>56762.647384091797</v>
      </c>
      <c r="X8" s="64">
        <f t="shared" si="6"/>
        <v>58465.526805614551</v>
      </c>
      <c r="Y8" s="64">
        <f t="shared" si="6"/>
        <v>60219.492609782988</v>
      </c>
      <c r="Z8" s="64">
        <f t="shared" si="6"/>
        <v>62026.077388076475</v>
      </c>
      <c r="AA8" s="64">
        <f t="shared" si="6"/>
        <v>63886.859709718767</v>
      </c>
      <c r="AB8" s="64">
        <f t="shared" si="6"/>
        <v>65803.465501010331</v>
      </c>
      <c r="AC8" s="64">
        <f t="shared" si="6"/>
        <v>67777.569466040644</v>
      </c>
      <c r="AD8" s="64">
        <f t="shared" si="6"/>
        <v>69810.896550021862</v>
      </c>
    </row>
    <row r="9" spans="1:30" x14ac:dyDescent="0.35">
      <c r="A9" s="1" t="s">
        <v>23</v>
      </c>
      <c r="B9" s="64">
        <f>'Eurostat collected Portables GU'!W9+('Eurostat collected Portables GU'!W9*0.03)</f>
        <v>2697.57</v>
      </c>
      <c r="C9" s="64">
        <f t="shared" ref="C9:AD9" si="7">B9+(B9*0.03)</f>
        <v>2778.4971</v>
      </c>
      <c r="D9" s="64">
        <f t="shared" si="7"/>
        <v>2861.8520130000002</v>
      </c>
      <c r="E9" s="64">
        <f t="shared" si="7"/>
        <v>2947.7075733900001</v>
      </c>
      <c r="F9" s="64">
        <f t="shared" si="7"/>
        <v>3036.1388005917001</v>
      </c>
      <c r="G9" s="64">
        <f t="shared" si="7"/>
        <v>3127.2229646094511</v>
      </c>
      <c r="H9" s="64">
        <f t="shared" si="7"/>
        <v>3221.0396535477348</v>
      </c>
      <c r="I9" s="64">
        <f t="shared" si="7"/>
        <v>3317.670843154167</v>
      </c>
      <c r="J9" s="64">
        <f t="shared" si="7"/>
        <v>3417.2009684487921</v>
      </c>
      <c r="K9" s="64">
        <f t="shared" si="7"/>
        <v>3519.7169975022557</v>
      </c>
      <c r="L9" s="64">
        <f t="shared" si="7"/>
        <v>3625.3085074273235</v>
      </c>
      <c r="M9" s="64">
        <f t="shared" si="7"/>
        <v>3734.0677626501433</v>
      </c>
      <c r="N9" s="64">
        <f t="shared" si="7"/>
        <v>3846.0897955296477</v>
      </c>
      <c r="O9" s="64">
        <f t="shared" si="7"/>
        <v>3961.4724893955372</v>
      </c>
      <c r="P9" s="64">
        <f t="shared" si="7"/>
        <v>4080.3166640774034</v>
      </c>
      <c r="Q9" s="64">
        <f t="shared" si="7"/>
        <v>4202.7261639997259</v>
      </c>
      <c r="R9" s="64">
        <f t="shared" si="7"/>
        <v>4328.807948919718</v>
      </c>
      <c r="S9" s="64">
        <f t="shared" si="7"/>
        <v>4458.6721873873094</v>
      </c>
      <c r="T9" s="64">
        <f t="shared" si="7"/>
        <v>4592.4323530089287</v>
      </c>
      <c r="U9" s="64">
        <f t="shared" si="7"/>
        <v>4730.2053235991962</v>
      </c>
      <c r="V9" s="64">
        <f t="shared" si="7"/>
        <v>4872.1114833071724</v>
      </c>
      <c r="W9" s="64">
        <f t="shared" si="7"/>
        <v>5018.2748278063873</v>
      </c>
      <c r="X9" s="64">
        <f t="shared" si="7"/>
        <v>5168.8230726405791</v>
      </c>
      <c r="Y9" s="64">
        <f t="shared" si="7"/>
        <v>5323.8877648197968</v>
      </c>
      <c r="Z9" s="64">
        <f t="shared" si="7"/>
        <v>5483.6043977643903</v>
      </c>
      <c r="AA9" s="64">
        <f t="shared" si="7"/>
        <v>5648.1125296973223</v>
      </c>
      <c r="AB9" s="64">
        <f t="shared" si="7"/>
        <v>5817.5559055882422</v>
      </c>
      <c r="AC9" s="64">
        <f t="shared" si="7"/>
        <v>5992.0825827558892</v>
      </c>
      <c r="AD9" s="64">
        <f t="shared" si="7"/>
        <v>6171.8450602385656</v>
      </c>
    </row>
    <row r="10" spans="1:30" x14ac:dyDescent="0.35">
      <c r="A10" s="1" t="s">
        <v>26</v>
      </c>
      <c r="B10" s="64">
        <f>'Eurostat collected Portables GU'!W10+('Eurostat collected Portables GU'!W10*0.03)</f>
        <v>235.87</v>
      </c>
      <c r="C10" s="64">
        <f t="shared" ref="C10:AD10" si="8">B10+(B10*0.03)</f>
        <v>242.9461</v>
      </c>
      <c r="D10" s="64">
        <f t="shared" si="8"/>
        <v>250.23448300000001</v>
      </c>
      <c r="E10" s="64">
        <f t="shared" si="8"/>
        <v>257.74151749000004</v>
      </c>
      <c r="F10" s="64">
        <f t="shared" si="8"/>
        <v>265.47376301470001</v>
      </c>
      <c r="G10" s="64">
        <f t="shared" si="8"/>
        <v>273.437975905141</v>
      </c>
      <c r="H10" s="64">
        <f t="shared" si="8"/>
        <v>281.64111518229521</v>
      </c>
      <c r="I10" s="64">
        <f t="shared" si="8"/>
        <v>290.09034863776407</v>
      </c>
      <c r="J10" s="64">
        <f t="shared" si="8"/>
        <v>298.79305909689697</v>
      </c>
      <c r="K10" s="64">
        <f t="shared" si="8"/>
        <v>307.75685086980388</v>
      </c>
      <c r="L10" s="64">
        <f t="shared" si="8"/>
        <v>316.98955639589798</v>
      </c>
      <c r="M10" s="64">
        <f t="shared" si="8"/>
        <v>326.49924308777491</v>
      </c>
      <c r="N10" s="64">
        <f t="shared" si="8"/>
        <v>336.29422038040815</v>
      </c>
      <c r="O10" s="64">
        <f t="shared" si="8"/>
        <v>346.38304699182038</v>
      </c>
      <c r="P10" s="64">
        <f t="shared" si="8"/>
        <v>356.774538401575</v>
      </c>
      <c r="Q10" s="64">
        <f t="shared" si="8"/>
        <v>367.47777455362223</v>
      </c>
      <c r="R10" s="64">
        <f t="shared" si="8"/>
        <v>378.50210779023087</v>
      </c>
      <c r="S10" s="64">
        <f t="shared" si="8"/>
        <v>389.85717102393778</v>
      </c>
      <c r="T10" s="64">
        <f t="shared" si="8"/>
        <v>401.55288615465594</v>
      </c>
      <c r="U10" s="64">
        <f t="shared" si="8"/>
        <v>413.59947273929561</v>
      </c>
      <c r="V10" s="64">
        <f t="shared" si="8"/>
        <v>426.0074569214745</v>
      </c>
      <c r="W10" s="64">
        <f t="shared" si="8"/>
        <v>438.78768062911871</v>
      </c>
      <c r="X10" s="64">
        <f t="shared" si="8"/>
        <v>451.95131104799225</v>
      </c>
      <c r="Y10" s="64">
        <f t="shared" si="8"/>
        <v>465.50985037943201</v>
      </c>
      <c r="Z10" s="64">
        <f t="shared" si="8"/>
        <v>479.47514589081499</v>
      </c>
      <c r="AA10" s="64">
        <f t="shared" si="8"/>
        <v>493.85940026753946</v>
      </c>
      <c r="AB10" s="64">
        <f t="shared" si="8"/>
        <v>508.67518227556565</v>
      </c>
      <c r="AC10" s="64">
        <f t="shared" si="8"/>
        <v>523.93543774383261</v>
      </c>
      <c r="AD10" s="64">
        <f t="shared" si="8"/>
        <v>539.65350087614763</v>
      </c>
    </row>
    <row r="11" spans="1:30" x14ac:dyDescent="0.35">
      <c r="A11" s="1" t="s">
        <v>27</v>
      </c>
      <c r="B11" s="64">
        <f>'Eurostat collected Portables GU'!W11+('Eurostat collected Portables GU'!W11*0.03)</f>
        <v>631.41059999999993</v>
      </c>
      <c r="C11" s="64">
        <f t="shared" ref="C11:AD11" si="9">B11+(B11*0.03)</f>
        <v>650.35291799999993</v>
      </c>
      <c r="D11" s="64">
        <f t="shared" si="9"/>
        <v>669.86350553999989</v>
      </c>
      <c r="E11" s="64">
        <f t="shared" si="9"/>
        <v>689.95941070619983</v>
      </c>
      <c r="F11" s="64">
        <f t="shared" si="9"/>
        <v>710.65819302738578</v>
      </c>
      <c r="G11" s="64">
        <f t="shared" si="9"/>
        <v>731.97793881820735</v>
      </c>
      <c r="H11" s="64">
        <f t="shared" si="9"/>
        <v>753.93727698275359</v>
      </c>
      <c r="I11" s="64">
        <f t="shared" si="9"/>
        <v>776.5553952922362</v>
      </c>
      <c r="J11" s="64">
        <f t="shared" si="9"/>
        <v>799.85205715100324</v>
      </c>
      <c r="K11" s="64">
        <f t="shared" si="9"/>
        <v>823.84761886553338</v>
      </c>
      <c r="L11" s="64">
        <f t="shared" si="9"/>
        <v>848.5630474314994</v>
      </c>
      <c r="M11" s="64">
        <f t="shared" si="9"/>
        <v>874.01993885444438</v>
      </c>
      <c r="N11" s="64">
        <f t="shared" si="9"/>
        <v>900.24053702007768</v>
      </c>
      <c r="O11" s="64">
        <f t="shared" si="9"/>
        <v>927.24775313068005</v>
      </c>
      <c r="P11" s="64">
        <f t="shared" si="9"/>
        <v>955.0651857246005</v>
      </c>
      <c r="Q11" s="64">
        <f t="shared" si="9"/>
        <v>983.71714129633847</v>
      </c>
      <c r="R11" s="64">
        <f t="shared" si="9"/>
        <v>1013.2286555352287</v>
      </c>
      <c r="S11" s="64">
        <f t="shared" si="9"/>
        <v>1043.6255152012855</v>
      </c>
      <c r="T11" s="64">
        <f t="shared" si="9"/>
        <v>1074.9342806573241</v>
      </c>
      <c r="U11" s="64">
        <f t="shared" si="9"/>
        <v>1107.1823090770438</v>
      </c>
      <c r="V11" s="64">
        <f t="shared" si="9"/>
        <v>1140.3977783493551</v>
      </c>
      <c r="W11" s="64">
        <f t="shared" si="9"/>
        <v>1174.6097116998358</v>
      </c>
      <c r="X11" s="64">
        <f t="shared" si="9"/>
        <v>1209.8480030508308</v>
      </c>
      <c r="Y11" s="64">
        <f t="shared" si="9"/>
        <v>1246.1434431423556</v>
      </c>
      <c r="Z11" s="64">
        <f t="shared" si="9"/>
        <v>1283.5277464366263</v>
      </c>
      <c r="AA11" s="64">
        <f t="shared" si="9"/>
        <v>1322.0335788297252</v>
      </c>
      <c r="AB11" s="64">
        <f t="shared" si="9"/>
        <v>1361.6945861946169</v>
      </c>
      <c r="AC11" s="64">
        <f t="shared" si="9"/>
        <v>1402.5454237804554</v>
      </c>
      <c r="AD11" s="64">
        <f t="shared" si="9"/>
        <v>1444.621786493869</v>
      </c>
    </row>
    <row r="12" spans="1:30" x14ac:dyDescent="0.35">
      <c r="A12" s="1" t="s">
        <v>25</v>
      </c>
      <c r="B12" s="64">
        <f>'Eurostat collected Portables GU'!W12+('Eurostat collected Portables GU'!W12*0.03)</f>
        <v>7697.19</v>
      </c>
      <c r="C12" s="64">
        <f t="shared" ref="C12:AD12" si="10">B12+(B12*0.03)</f>
        <v>7928.1056999999992</v>
      </c>
      <c r="D12" s="64">
        <f t="shared" si="10"/>
        <v>8165.9488709999987</v>
      </c>
      <c r="E12" s="64">
        <f t="shared" si="10"/>
        <v>8410.9273371299987</v>
      </c>
      <c r="F12" s="64">
        <f t="shared" si="10"/>
        <v>8663.2551572438988</v>
      </c>
      <c r="G12" s="64">
        <f t="shared" si="10"/>
        <v>8923.1528119612158</v>
      </c>
      <c r="H12" s="64">
        <f t="shared" si="10"/>
        <v>9190.8473963200522</v>
      </c>
      <c r="I12" s="64">
        <f t="shared" si="10"/>
        <v>9466.5728182096536</v>
      </c>
      <c r="J12" s="64">
        <f t="shared" si="10"/>
        <v>9750.5700027559433</v>
      </c>
      <c r="K12" s="64">
        <f t="shared" si="10"/>
        <v>10043.087102838621</v>
      </c>
      <c r="L12" s="64">
        <f t="shared" si="10"/>
        <v>10344.37971592378</v>
      </c>
      <c r="M12" s="64">
        <f t="shared" si="10"/>
        <v>10654.711107401494</v>
      </c>
      <c r="N12" s="64">
        <f t="shared" si="10"/>
        <v>10974.352440623539</v>
      </c>
      <c r="O12" s="64">
        <f t="shared" si="10"/>
        <v>11303.583013842246</v>
      </c>
      <c r="P12" s="64">
        <f t="shared" si="10"/>
        <v>11642.690504257513</v>
      </c>
      <c r="Q12" s="64">
        <f t="shared" si="10"/>
        <v>11991.971219385237</v>
      </c>
      <c r="R12" s="64">
        <f t="shared" si="10"/>
        <v>12351.730355966794</v>
      </c>
      <c r="S12" s="64">
        <f t="shared" si="10"/>
        <v>12722.282266645798</v>
      </c>
      <c r="T12" s="64">
        <f t="shared" si="10"/>
        <v>13103.950734645172</v>
      </c>
      <c r="U12" s="64">
        <f t="shared" si="10"/>
        <v>13497.069256684526</v>
      </c>
      <c r="V12" s="64">
        <f t="shared" si="10"/>
        <v>13901.981334385062</v>
      </c>
      <c r="W12" s="64">
        <f t="shared" si="10"/>
        <v>14319.040774416613</v>
      </c>
      <c r="X12" s="64">
        <f t="shared" si="10"/>
        <v>14748.611997649112</v>
      </c>
      <c r="Y12" s="64">
        <f t="shared" si="10"/>
        <v>15191.070357578585</v>
      </c>
      <c r="Z12" s="64">
        <f t="shared" si="10"/>
        <v>15646.802468305943</v>
      </c>
      <c r="AA12" s="64">
        <f t="shared" si="10"/>
        <v>16116.206542355121</v>
      </c>
      <c r="AB12" s="64">
        <f t="shared" si="10"/>
        <v>16599.692738625774</v>
      </c>
      <c r="AC12" s="64">
        <f t="shared" si="10"/>
        <v>17097.683520784547</v>
      </c>
      <c r="AD12" s="64">
        <f t="shared" si="10"/>
        <v>17610.614026408082</v>
      </c>
    </row>
    <row r="13" spans="1:30" x14ac:dyDescent="0.35">
      <c r="A13" s="1" t="s">
        <v>24</v>
      </c>
      <c r="B13" s="64">
        <f>'Eurostat collected Portables GU'!W13+('Eurostat collected Portables GU'!W13*0.03)</f>
        <v>2156.8200000000002</v>
      </c>
      <c r="C13" s="64">
        <f t="shared" ref="C13:AD13" si="11">B13+(B13*0.03)</f>
        <v>2221.5246000000002</v>
      </c>
      <c r="D13" s="64">
        <f t="shared" si="11"/>
        <v>2288.1703380000004</v>
      </c>
      <c r="E13" s="64">
        <f t="shared" si="11"/>
        <v>2356.8154481400002</v>
      </c>
      <c r="F13" s="64">
        <f t="shared" si="11"/>
        <v>2427.5199115842001</v>
      </c>
      <c r="G13" s="64">
        <f t="shared" si="11"/>
        <v>2500.3455089317263</v>
      </c>
      <c r="H13" s="64">
        <f t="shared" si="11"/>
        <v>2575.3558741996781</v>
      </c>
      <c r="I13" s="64">
        <f t="shared" si="11"/>
        <v>2652.6165504256683</v>
      </c>
      <c r="J13" s="64">
        <f t="shared" si="11"/>
        <v>2732.1950469384383</v>
      </c>
      <c r="K13" s="64">
        <f t="shared" si="11"/>
        <v>2814.1608983465912</v>
      </c>
      <c r="L13" s="64">
        <f t="shared" si="11"/>
        <v>2898.585725296989</v>
      </c>
      <c r="M13" s="64">
        <f t="shared" si="11"/>
        <v>2985.5432970558986</v>
      </c>
      <c r="N13" s="64">
        <f t="shared" si="11"/>
        <v>3075.1095959675754</v>
      </c>
      <c r="O13" s="64">
        <f t="shared" si="11"/>
        <v>3167.3628838466025</v>
      </c>
      <c r="P13" s="64">
        <f t="shared" si="11"/>
        <v>3262.3837703620006</v>
      </c>
      <c r="Q13" s="64">
        <f t="shared" si="11"/>
        <v>3360.2552834728608</v>
      </c>
      <c r="R13" s="64">
        <f t="shared" si="11"/>
        <v>3461.0629419770466</v>
      </c>
      <c r="S13" s="64">
        <f t="shared" si="11"/>
        <v>3564.8948302363578</v>
      </c>
      <c r="T13" s="64">
        <f t="shared" si="11"/>
        <v>3671.8416751434488</v>
      </c>
      <c r="U13" s="64">
        <f t="shared" si="11"/>
        <v>3781.9969253977524</v>
      </c>
      <c r="V13" s="64">
        <f t="shared" si="11"/>
        <v>3895.4568331596852</v>
      </c>
      <c r="W13" s="64">
        <f t="shared" si="11"/>
        <v>4012.3205381544758</v>
      </c>
      <c r="X13" s="64">
        <f t="shared" si="11"/>
        <v>4132.69015429911</v>
      </c>
      <c r="Y13" s="64">
        <f t="shared" si="11"/>
        <v>4256.6708589280834</v>
      </c>
      <c r="Z13" s="64">
        <f t="shared" si="11"/>
        <v>4384.3709846959255</v>
      </c>
      <c r="AA13" s="64">
        <f t="shared" si="11"/>
        <v>4515.9021142368028</v>
      </c>
      <c r="AB13" s="64">
        <f t="shared" si="11"/>
        <v>4651.3791776639073</v>
      </c>
      <c r="AC13" s="64">
        <f t="shared" si="11"/>
        <v>4790.9205529938245</v>
      </c>
      <c r="AD13" s="64">
        <f t="shared" si="11"/>
        <v>4934.6481695836392</v>
      </c>
    </row>
    <row r="14" spans="1:30" x14ac:dyDescent="0.35">
      <c r="A14" s="1" t="s">
        <v>2</v>
      </c>
      <c r="B14" s="64">
        <f>'Eurostat collected Portables GU'!W14+('Eurostat collected Portables GU'!W14*0.03)</f>
        <v>759.11</v>
      </c>
      <c r="C14" s="64">
        <f t="shared" ref="C14:AD14" si="12">B14+(B14*0.03)</f>
        <v>781.88329999999996</v>
      </c>
      <c r="D14" s="64">
        <f t="shared" si="12"/>
        <v>805.33979899999997</v>
      </c>
      <c r="E14" s="64">
        <f t="shared" si="12"/>
        <v>829.49999296999999</v>
      </c>
      <c r="F14" s="64">
        <f t="shared" si="12"/>
        <v>854.38499275909999</v>
      </c>
      <c r="G14" s="64">
        <f t="shared" si="12"/>
        <v>880.01654254187304</v>
      </c>
      <c r="H14" s="64">
        <f t="shared" si="12"/>
        <v>906.41703881812919</v>
      </c>
      <c r="I14" s="64">
        <f t="shared" si="12"/>
        <v>933.60954998267312</v>
      </c>
      <c r="J14" s="64">
        <f t="shared" si="12"/>
        <v>961.61783648215328</v>
      </c>
      <c r="K14" s="64">
        <f t="shared" si="12"/>
        <v>990.46637157661792</v>
      </c>
      <c r="L14" s="64">
        <f t="shared" si="12"/>
        <v>1020.1803627239165</v>
      </c>
      <c r="M14" s="64">
        <f t="shared" si="12"/>
        <v>1050.7857736056339</v>
      </c>
      <c r="N14" s="64">
        <f t="shared" si="12"/>
        <v>1082.3093468138029</v>
      </c>
      <c r="O14" s="64">
        <f t="shared" si="12"/>
        <v>1114.778627218217</v>
      </c>
      <c r="P14" s="64">
        <f t="shared" si="12"/>
        <v>1148.2219860347636</v>
      </c>
      <c r="Q14" s="64">
        <f t="shared" si="12"/>
        <v>1182.6686456158066</v>
      </c>
      <c r="R14" s="64">
        <f t="shared" si="12"/>
        <v>1218.1487049842808</v>
      </c>
      <c r="S14" s="64">
        <f t="shared" si="12"/>
        <v>1254.6931661338092</v>
      </c>
      <c r="T14" s="64">
        <f t="shared" si="12"/>
        <v>1292.3339611178235</v>
      </c>
      <c r="U14" s="64">
        <f t="shared" si="12"/>
        <v>1331.1039799513583</v>
      </c>
      <c r="V14" s="64">
        <f t="shared" si="12"/>
        <v>1371.0370993498991</v>
      </c>
      <c r="W14" s="64">
        <f t="shared" si="12"/>
        <v>1412.168212330396</v>
      </c>
      <c r="X14" s="64">
        <f t="shared" si="12"/>
        <v>1454.5332587003079</v>
      </c>
      <c r="Y14" s="64">
        <f t="shared" si="12"/>
        <v>1498.1692564613172</v>
      </c>
      <c r="Z14" s="64">
        <f t="shared" si="12"/>
        <v>1543.1143341551567</v>
      </c>
      <c r="AA14" s="64">
        <f t="shared" si="12"/>
        <v>1589.4077641798115</v>
      </c>
      <c r="AB14" s="64">
        <f t="shared" si="12"/>
        <v>1637.0899971052058</v>
      </c>
      <c r="AC14" s="64">
        <f t="shared" si="12"/>
        <v>1686.202697018362</v>
      </c>
      <c r="AD14" s="64">
        <f t="shared" si="12"/>
        <v>1736.7887779289129</v>
      </c>
    </row>
    <row r="15" spans="1:30" x14ac:dyDescent="0.35">
      <c r="A15" s="1" t="s">
        <v>3</v>
      </c>
      <c r="B15" s="64">
        <f>'Eurostat collected Portables GU'!W15+('Eurostat collected Portables GU'!W15*0.03)</f>
        <v>1370.93</v>
      </c>
      <c r="C15" s="64">
        <f t="shared" ref="C15:AD15" si="13">B15+(B15*0.03)</f>
        <v>1412.0579</v>
      </c>
      <c r="D15" s="64">
        <f t="shared" si="13"/>
        <v>1454.419637</v>
      </c>
      <c r="E15" s="64">
        <f t="shared" si="13"/>
        <v>1498.05222611</v>
      </c>
      <c r="F15" s="64">
        <f t="shared" si="13"/>
        <v>1542.9937928933</v>
      </c>
      <c r="G15" s="64">
        <f t="shared" si="13"/>
        <v>1589.283606680099</v>
      </c>
      <c r="H15" s="64">
        <f t="shared" si="13"/>
        <v>1636.962114880502</v>
      </c>
      <c r="I15" s="64">
        <f t="shared" si="13"/>
        <v>1686.0709783269172</v>
      </c>
      <c r="J15" s="64">
        <f t="shared" si="13"/>
        <v>1736.6531076767246</v>
      </c>
      <c r="K15" s="64">
        <f t="shared" si="13"/>
        <v>1788.7527009070263</v>
      </c>
      <c r="L15" s="64">
        <f t="shared" si="13"/>
        <v>1842.4152819342371</v>
      </c>
      <c r="M15" s="64">
        <f t="shared" si="13"/>
        <v>1897.6877403922642</v>
      </c>
      <c r="N15" s="64">
        <f t="shared" si="13"/>
        <v>1954.6183726040322</v>
      </c>
      <c r="O15" s="64">
        <f t="shared" si="13"/>
        <v>2013.2569237821531</v>
      </c>
      <c r="P15" s="64">
        <f t="shared" si="13"/>
        <v>2073.6546314956177</v>
      </c>
      <c r="Q15" s="64">
        <f t="shared" si="13"/>
        <v>2135.8642704404861</v>
      </c>
      <c r="R15" s="64">
        <f t="shared" si="13"/>
        <v>2199.9401985537006</v>
      </c>
      <c r="S15" s="64">
        <f t="shared" si="13"/>
        <v>2265.9384045103116</v>
      </c>
      <c r="T15" s="64">
        <f t="shared" si="13"/>
        <v>2333.9165566456209</v>
      </c>
      <c r="U15" s="64">
        <f t="shared" si="13"/>
        <v>2403.9340533449895</v>
      </c>
      <c r="V15" s="64">
        <f t="shared" si="13"/>
        <v>2476.052074945339</v>
      </c>
      <c r="W15" s="64">
        <f t="shared" si="13"/>
        <v>2550.3336371936994</v>
      </c>
      <c r="X15" s="64">
        <f t="shared" si="13"/>
        <v>2626.8436463095104</v>
      </c>
      <c r="Y15" s="64">
        <f t="shared" si="13"/>
        <v>2705.6489556987958</v>
      </c>
      <c r="Z15" s="64">
        <f t="shared" si="13"/>
        <v>2786.8184243697597</v>
      </c>
      <c r="AA15" s="64">
        <f t="shared" si="13"/>
        <v>2870.4229771008522</v>
      </c>
      <c r="AB15" s="64">
        <f t="shared" si="13"/>
        <v>2956.5356664138776</v>
      </c>
      <c r="AC15" s="64">
        <f t="shared" si="13"/>
        <v>3045.2317364062937</v>
      </c>
      <c r="AD15" s="64">
        <f t="shared" si="13"/>
        <v>3136.5886884984825</v>
      </c>
    </row>
    <row r="16" spans="1:30" x14ac:dyDescent="0.35">
      <c r="A16" s="1" t="s">
        <v>86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64"/>
      <c r="Y16" s="64"/>
      <c r="Z16" s="64"/>
      <c r="AA16" s="64"/>
      <c r="AB16" s="64"/>
      <c r="AC16" s="64"/>
      <c r="AD16" s="64"/>
    </row>
    <row r="17" spans="1:30" x14ac:dyDescent="0.35">
      <c r="A17" s="1" t="s">
        <v>1</v>
      </c>
      <c r="B17" s="64">
        <f>'Eurostat collected Portables GU'!W17+('Eurostat collected Portables GU'!W17*0.03)</f>
        <v>1639.76</v>
      </c>
      <c r="C17" s="64">
        <f t="shared" ref="C17:AD17" si="14">B17+(B17*0.03)</f>
        <v>1688.9528</v>
      </c>
      <c r="D17" s="64">
        <f t="shared" si="14"/>
        <v>1739.621384</v>
      </c>
      <c r="E17" s="64">
        <f t="shared" si="14"/>
        <v>1791.81002552</v>
      </c>
      <c r="F17" s="64">
        <f t="shared" si="14"/>
        <v>1845.5643262855999</v>
      </c>
      <c r="G17" s="64">
        <f t="shared" si="14"/>
        <v>1900.931256074168</v>
      </c>
      <c r="H17" s="64">
        <f t="shared" si="14"/>
        <v>1957.959193756393</v>
      </c>
      <c r="I17" s="64">
        <f t="shared" si="14"/>
        <v>2016.6979695690848</v>
      </c>
      <c r="J17" s="64">
        <f t="shared" si="14"/>
        <v>2077.1989086561571</v>
      </c>
      <c r="K17" s="64">
        <f t="shared" si="14"/>
        <v>2139.5148759158419</v>
      </c>
      <c r="L17" s="64">
        <f t="shared" si="14"/>
        <v>2203.7003221933173</v>
      </c>
      <c r="M17" s="64">
        <f t="shared" si="14"/>
        <v>2269.8113318591168</v>
      </c>
      <c r="N17" s="64">
        <f t="shared" si="14"/>
        <v>2337.9056718148904</v>
      </c>
      <c r="O17" s="64">
        <f t="shared" si="14"/>
        <v>2408.0428419693371</v>
      </c>
      <c r="P17" s="64">
        <f t="shared" si="14"/>
        <v>2480.2841272284172</v>
      </c>
      <c r="Q17" s="64">
        <f t="shared" si="14"/>
        <v>2554.6926510452699</v>
      </c>
      <c r="R17" s="64">
        <f t="shared" si="14"/>
        <v>2631.333430576628</v>
      </c>
      <c r="S17" s="64">
        <f t="shared" si="14"/>
        <v>2710.2734334939269</v>
      </c>
      <c r="T17" s="64">
        <f t="shared" si="14"/>
        <v>2791.5816364987445</v>
      </c>
      <c r="U17" s="64">
        <f t="shared" si="14"/>
        <v>2875.3290855937066</v>
      </c>
      <c r="V17" s="64">
        <f t="shared" si="14"/>
        <v>2961.5889581615179</v>
      </c>
      <c r="W17" s="64">
        <f t="shared" si="14"/>
        <v>3050.4366269063635</v>
      </c>
      <c r="X17" s="64">
        <f t="shared" si="14"/>
        <v>3141.9497257135545</v>
      </c>
      <c r="Y17" s="64">
        <f t="shared" si="14"/>
        <v>3236.2082174849611</v>
      </c>
      <c r="Z17" s="64">
        <f t="shared" si="14"/>
        <v>3333.2944640095097</v>
      </c>
      <c r="AA17" s="64">
        <f t="shared" si="14"/>
        <v>3433.2932979297952</v>
      </c>
      <c r="AB17" s="64">
        <f t="shared" si="14"/>
        <v>3536.292096867689</v>
      </c>
      <c r="AC17" s="64">
        <f t="shared" si="14"/>
        <v>3642.3808597737197</v>
      </c>
      <c r="AD17" s="64">
        <f t="shared" si="14"/>
        <v>3751.6522855669314</v>
      </c>
    </row>
    <row r="18" spans="1:30" x14ac:dyDescent="0.35">
      <c r="A18" s="1" t="s">
        <v>4</v>
      </c>
      <c r="B18" s="64">
        <f>'Eurostat collected Portables GU'!W18+('Eurostat collected Portables GU'!W18*0.03)</f>
        <v>10813.97</v>
      </c>
      <c r="C18" s="64">
        <f t="shared" ref="C18:AD18" si="15">B18+(B18*0.03)</f>
        <v>11138.389099999999</v>
      </c>
      <c r="D18" s="64">
        <f t="shared" si="15"/>
        <v>11472.540772999999</v>
      </c>
      <c r="E18" s="64">
        <f t="shared" si="15"/>
        <v>11816.716996189998</v>
      </c>
      <c r="F18" s="64">
        <f t="shared" si="15"/>
        <v>12171.218506075698</v>
      </c>
      <c r="G18" s="64">
        <f t="shared" si="15"/>
        <v>12536.355061257969</v>
      </c>
      <c r="H18" s="64">
        <f t="shared" si="15"/>
        <v>12912.445713095709</v>
      </c>
      <c r="I18" s="64">
        <f t="shared" si="15"/>
        <v>13299.819084488579</v>
      </c>
      <c r="J18" s="64">
        <f t="shared" si="15"/>
        <v>13698.813657023236</v>
      </c>
      <c r="K18" s="64">
        <f t="shared" si="15"/>
        <v>14109.778066733934</v>
      </c>
      <c r="L18" s="64">
        <f t="shared" si="15"/>
        <v>14533.071408735952</v>
      </c>
      <c r="M18" s="64">
        <f t="shared" si="15"/>
        <v>14969.063550998031</v>
      </c>
      <c r="N18" s="64">
        <f t="shared" si="15"/>
        <v>15418.135457527973</v>
      </c>
      <c r="O18" s="64">
        <f t="shared" si="15"/>
        <v>15880.679521253813</v>
      </c>
      <c r="P18" s="64">
        <f t="shared" si="15"/>
        <v>16357.099906891428</v>
      </c>
      <c r="Q18" s="64">
        <f t="shared" si="15"/>
        <v>16847.812904098169</v>
      </c>
      <c r="R18" s="64">
        <f t="shared" si="15"/>
        <v>17353.247291221116</v>
      </c>
      <c r="S18" s="64">
        <f t="shared" si="15"/>
        <v>17873.84470995775</v>
      </c>
      <c r="T18" s="64">
        <f t="shared" si="15"/>
        <v>18410.060051256482</v>
      </c>
      <c r="U18" s="64">
        <f t="shared" si="15"/>
        <v>18962.361852794176</v>
      </c>
      <c r="V18" s="64">
        <f t="shared" si="15"/>
        <v>19531.232708378</v>
      </c>
      <c r="W18" s="64">
        <f t="shared" si="15"/>
        <v>20117.16968962934</v>
      </c>
      <c r="X18" s="64">
        <f t="shared" si="15"/>
        <v>20720.684780318221</v>
      </c>
      <c r="Y18" s="64">
        <f t="shared" si="15"/>
        <v>21342.305323727767</v>
      </c>
      <c r="Z18" s="64">
        <f t="shared" si="15"/>
        <v>21982.574483439599</v>
      </c>
      <c r="AA18" s="64">
        <f t="shared" si="15"/>
        <v>22642.051717942788</v>
      </c>
      <c r="AB18" s="64">
        <f t="shared" si="15"/>
        <v>23321.31326948107</v>
      </c>
      <c r="AC18" s="64">
        <f t="shared" si="15"/>
        <v>24020.952667565503</v>
      </c>
      <c r="AD18" s="64">
        <f t="shared" si="15"/>
        <v>24741.581247592469</v>
      </c>
    </row>
    <row r="19" spans="1:30" x14ac:dyDescent="0.35">
      <c r="A19" s="1" t="s">
        <v>5</v>
      </c>
      <c r="B19" s="64">
        <f>'Eurostat collected Portables GU'!W19+('Eurostat collected Portables GU'!W19*0.03)</f>
        <v>407.88</v>
      </c>
      <c r="C19" s="64">
        <f t="shared" ref="C19:AD19" si="16">B19+(B19*0.03)</f>
        <v>420.1164</v>
      </c>
      <c r="D19" s="64">
        <f t="shared" si="16"/>
        <v>432.71989200000002</v>
      </c>
      <c r="E19" s="64">
        <f t="shared" si="16"/>
        <v>445.70148876000002</v>
      </c>
      <c r="F19" s="64">
        <f t="shared" si="16"/>
        <v>459.07253342280001</v>
      </c>
      <c r="G19" s="64">
        <f t="shared" si="16"/>
        <v>472.84470942548398</v>
      </c>
      <c r="H19" s="64">
        <f t="shared" si="16"/>
        <v>487.0300507082485</v>
      </c>
      <c r="I19" s="64">
        <f t="shared" si="16"/>
        <v>501.64095222949595</v>
      </c>
      <c r="J19" s="64">
        <f t="shared" si="16"/>
        <v>516.69018079638079</v>
      </c>
      <c r="K19" s="64">
        <f t="shared" si="16"/>
        <v>532.1908862202722</v>
      </c>
      <c r="L19" s="64">
        <f t="shared" si="16"/>
        <v>548.15661280688039</v>
      </c>
      <c r="M19" s="64">
        <f t="shared" si="16"/>
        <v>564.60131119108678</v>
      </c>
      <c r="N19" s="64">
        <f t="shared" si="16"/>
        <v>581.53935052681936</v>
      </c>
      <c r="O19" s="64">
        <f t="shared" si="16"/>
        <v>598.98553104262396</v>
      </c>
      <c r="P19" s="64">
        <f t="shared" si="16"/>
        <v>616.95509697390264</v>
      </c>
      <c r="Q19" s="64">
        <f t="shared" si="16"/>
        <v>635.4637498831197</v>
      </c>
      <c r="R19" s="64">
        <f t="shared" si="16"/>
        <v>654.52766237961328</v>
      </c>
      <c r="S19" s="64">
        <f t="shared" si="16"/>
        <v>674.16349225100168</v>
      </c>
      <c r="T19" s="64">
        <f t="shared" si="16"/>
        <v>694.38839701853169</v>
      </c>
      <c r="U19" s="64">
        <f t="shared" si="16"/>
        <v>715.22004892908762</v>
      </c>
      <c r="V19" s="64">
        <f t="shared" si="16"/>
        <v>736.67665039696021</v>
      </c>
      <c r="W19" s="64">
        <f t="shared" si="16"/>
        <v>758.77694990886903</v>
      </c>
      <c r="X19" s="64">
        <f t="shared" si="16"/>
        <v>781.54025840613508</v>
      </c>
      <c r="Y19" s="64">
        <f t="shared" si="16"/>
        <v>804.9864661583191</v>
      </c>
      <c r="Z19" s="64">
        <f t="shared" si="16"/>
        <v>829.13606014306868</v>
      </c>
      <c r="AA19" s="64">
        <f t="shared" si="16"/>
        <v>854.01014194736069</v>
      </c>
      <c r="AB19" s="64">
        <f t="shared" si="16"/>
        <v>879.63044620578148</v>
      </c>
      <c r="AC19" s="64">
        <f t="shared" si="16"/>
        <v>906.01935959195498</v>
      </c>
      <c r="AD19" s="64">
        <f t="shared" si="16"/>
        <v>933.19994037971367</v>
      </c>
    </row>
    <row r="20" spans="1:30" x14ac:dyDescent="0.35">
      <c r="A20" s="1" t="s">
        <v>6</v>
      </c>
      <c r="B20" s="64">
        <f>'Eurostat collected Portables GU'!W20+('Eurostat collected Portables GU'!W20*0.03)</f>
        <v>169.95</v>
      </c>
      <c r="C20" s="64">
        <f t="shared" ref="C20:AD20" si="17">B20+(B20*0.03)</f>
        <v>175.04849999999999</v>
      </c>
      <c r="D20" s="64">
        <f t="shared" si="17"/>
        <v>180.29995499999998</v>
      </c>
      <c r="E20" s="64">
        <f t="shared" si="17"/>
        <v>185.70895364999998</v>
      </c>
      <c r="F20" s="64">
        <f t="shared" si="17"/>
        <v>191.28022225949999</v>
      </c>
      <c r="G20" s="64">
        <f t="shared" si="17"/>
        <v>197.01862892728499</v>
      </c>
      <c r="H20" s="64">
        <f t="shared" si="17"/>
        <v>202.92918779510353</v>
      </c>
      <c r="I20" s="64">
        <f t="shared" si="17"/>
        <v>209.01706342895665</v>
      </c>
      <c r="J20" s="64">
        <f t="shared" si="17"/>
        <v>215.28757533182534</v>
      </c>
      <c r="K20" s="64">
        <f t="shared" si="17"/>
        <v>221.7462025917801</v>
      </c>
      <c r="L20" s="64">
        <f t="shared" si="17"/>
        <v>228.3985886695335</v>
      </c>
      <c r="M20" s="64">
        <f t="shared" si="17"/>
        <v>235.25054632961951</v>
      </c>
      <c r="N20" s="64">
        <f t="shared" si="17"/>
        <v>242.30806271950809</v>
      </c>
      <c r="O20" s="64">
        <f t="shared" si="17"/>
        <v>249.57730460109332</v>
      </c>
      <c r="P20" s="64">
        <f t="shared" si="17"/>
        <v>257.06462373912609</v>
      </c>
      <c r="Q20" s="64">
        <f t="shared" si="17"/>
        <v>264.77656245129987</v>
      </c>
      <c r="R20" s="64">
        <f t="shared" si="17"/>
        <v>272.71985932483886</v>
      </c>
      <c r="S20" s="64">
        <f t="shared" si="17"/>
        <v>280.90145510458404</v>
      </c>
      <c r="T20" s="64">
        <f t="shared" si="17"/>
        <v>289.32849875772155</v>
      </c>
      <c r="U20" s="64">
        <f t="shared" si="17"/>
        <v>298.00835372045321</v>
      </c>
      <c r="V20" s="64">
        <f t="shared" si="17"/>
        <v>306.94860433206679</v>
      </c>
      <c r="W20" s="64">
        <f t="shared" si="17"/>
        <v>316.15706246202882</v>
      </c>
      <c r="X20" s="64">
        <f t="shared" si="17"/>
        <v>325.64177433588969</v>
      </c>
      <c r="Y20" s="64">
        <f t="shared" si="17"/>
        <v>335.41102756596638</v>
      </c>
      <c r="Z20" s="64">
        <f t="shared" si="17"/>
        <v>345.47335839294539</v>
      </c>
      <c r="AA20" s="64">
        <f t="shared" si="17"/>
        <v>355.83755914473375</v>
      </c>
      <c r="AB20" s="64">
        <f t="shared" si="17"/>
        <v>366.51268591907575</v>
      </c>
      <c r="AC20" s="64">
        <f t="shared" si="17"/>
        <v>377.50806649664804</v>
      </c>
      <c r="AD20" s="64">
        <f t="shared" si="17"/>
        <v>388.83330849154748</v>
      </c>
    </row>
    <row r="21" spans="1:30" x14ac:dyDescent="0.35">
      <c r="A21" s="1" t="s">
        <v>7</v>
      </c>
      <c r="B21" s="64">
        <f>'Eurostat collected Portables GU'!W21+('Eurostat collected Portables GU'!W21*0.03)</f>
        <v>326.51</v>
      </c>
      <c r="C21" s="64">
        <f t="shared" ref="C21:AD21" si="18">B21+(B21*0.03)</f>
        <v>336.30529999999999</v>
      </c>
      <c r="D21" s="64">
        <f t="shared" si="18"/>
        <v>346.39445899999998</v>
      </c>
      <c r="E21" s="64">
        <f t="shared" si="18"/>
        <v>356.78629276999999</v>
      </c>
      <c r="F21" s="64">
        <f t="shared" si="18"/>
        <v>367.48988155309996</v>
      </c>
      <c r="G21" s="64">
        <f t="shared" si="18"/>
        <v>378.51457799969296</v>
      </c>
      <c r="H21" s="64">
        <f t="shared" si="18"/>
        <v>389.87001533968373</v>
      </c>
      <c r="I21" s="64">
        <f t="shared" si="18"/>
        <v>401.56611579987424</v>
      </c>
      <c r="J21" s="64">
        <f t="shared" si="18"/>
        <v>413.61309927387049</v>
      </c>
      <c r="K21" s="64">
        <f t="shared" si="18"/>
        <v>426.0214922520866</v>
      </c>
      <c r="L21" s="64">
        <f t="shared" si="18"/>
        <v>438.80213701964919</v>
      </c>
      <c r="M21" s="64">
        <f t="shared" si="18"/>
        <v>451.96620113023869</v>
      </c>
      <c r="N21" s="64">
        <f t="shared" si="18"/>
        <v>465.52518716414585</v>
      </c>
      <c r="O21" s="64">
        <f t="shared" si="18"/>
        <v>479.49094277907022</v>
      </c>
      <c r="P21" s="64">
        <f t="shared" si="18"/>
        <v>493.87567106244234</v>
      </c>
      <c r="Q21" s="64">
        <f t="shared" si="18"/>
        <v>508.69194119431563</v>
      </c>
      <c r="R21" s="64">
        <f t="shared" si="18"/>
        <v>523.95269943014512</v>
      </c>
      <c r="S21" s="64">
        <f t="shared" si="18"/>
        <v>539.67128041304943</v>
      </c>
      <c r="T21" s="64">
        <f t="shared" si="18"/>
        <v>555.86141882544086</v>
      </c>
      <c r="U21" s="64">
        <f t="shared" si="18"/>
        <v>572.53726139020409</v>
      </c>
      <c r="V21" s="64">
        <f t="shared" si="18"/>
        <v>589.71337923191027</v>
      </c>
      <c r="W21" s="64">
        <f t="shared" si="18"/>
        <v>607.40478060886755</v>
      </c>
      <c r="X21" s="64">
        <f t="shared" si="18"/>
        <v>625.62692402713355</v>
      </c>
      <c r="Y21" s="64">
        <f t="shared" si="18"/>
        <v>644.39573174794759</v>
      </c>
      <c r="Z21" s="64">
        <f t="shared" si="18"/>
        <v>663.727603700386</v>
      </c>
      <c r="AA21" s="64">
        <f t="shared" si="18"/>
        <v>683.63943181139757</v>
      </c>
      <c r="AB21" s="64">
        <f t="shared" si="18"/>
        <v>704.14861476573947</v>
      </c>
      <c r="AC21" s="64">
        <f t="shared" si="18"/>
        <v>725.27307320871159</v>
      </c>
      <c r="AD21" s="64">
        <f t="shared" si="18"/>
        <v>747.03126540497294</v>
      </c>
    </row>
    <row r="22" spans="1:30" x14ac:dyDescent="0.35">
      <c r="A22" s="1" t="s">
        <v>8</v>
      </c>
      <c r="B22" s="64">
        <f>'Eurostat collected Portables GU'!W22+('Eurostat collected Portables GU'!W22*0.03)</f>
        <v>36.049999999999997</v>
      </c>
      <c r="C22" s="64">
        <f t="shared" ref="C22:AD22" si="19">B22+(B22*0.03)</f>
        <v>37.131499999999996</v>
      </c>
      <c r="D22" s="64">
        <f t="shared" si="19"/>
        <v>38.245444999999997</v>
      </c>
      <c r="E22" s="64">
        <f t="shared" si="19"/>
        <v>39.392808349999996</v>
      </c>
      <c r="F22" s="64">
        <f t="shared" si="19"/>
        <v>40.574592600499997</v>
      </c>
      <c r="G22" s="64">
        <f t="shared" si="19"/>
        <v>41.791830378514994</v>
      </c>
      <c r="H22" s="64">
        <f t="shared" si="19"/>
        <v>43.045585289870445</v>
      </c>
      <c r="I22" s="64">
        <f t="shared" si="19"/>
        <v>44.336952848566561</v>
      </c>
      <c r="J22" s="64">
        <f t="shared" si="19"/>
        <v>45.667061434023559</v>
      </c>
      <c r="K22" s="64">
        <f t="shared" si="19"/>
        <v>47.037073277044264</v>
      </c>
      <c r="L22" s="64">
        <f t="shared" si="19"/>
        <v>48.448185475355594</v>
      </c>
      <c r="M22" s="64">
        <f t="shared" si="19"/>
        <v>49.901631039616262</v>
      </c>
      <c r="N22" s="64">
        <f t="shared" si="19"/>
        <v>51.39867997080475</v>
      </c>
      <c r="O22" s="64">
        <f t="shared" si="19"/>
        <v>52.940640369928893</v>
      </c>
      <c r="P22" s="64">
        <f t="shared" si="19"/>
        <v>54.528859581026758</v>
      </c>
      <c r="Q22" s="64">
        <f t="shared" si="19"/>
        <v>56.16472536845756</v>
      </c>
      <c r="R22" s="64">
        <f t="shared" si="19"/>
        <v>57.849667129511289</v>
      </c>
      <c r="S22" s="64">
        <f t="shared" si="19"/>
        <v>59.585157143396628</v>
      </c>
      <c r="T22" s="64">
        <f t="shared" si="19"/>
        <v>61.372711857698526</v>
      </c>
      <c r="U22" s="64">
        <f t="shared" si="19"/>
        <v>63.213893213429479</v>
      </c>
      <c r="V22" s="64">
        <f t="shared" si="19"/>
        <v>65.110310009832361</v>
      </c>
      <c r="W22" s="64">
        <f t="shared" si="19"/>
        <v>67.063619310127336</v>
      </c>
      <c r="X22" s="64">
        <f t="shared" si="19"/>
        <v>69.075527889431157</v>
      </c>
      <c r="Y22" s="64">
        <f t="shared" si="19"/>
        <v>71.147793726114088</v>
      </c>
      <c r="Z22" s="64">
        <f t="shared" si="19"/>
        <v>73.282227537897512</v>
      </c>
      <c r="AA22" s="64">
        <f t="shared" si="19"/>
        <v>75.480694364034434</v>
      </c>
      <c r="AB22" s="64">
        <f t="shared" si="19"/>
        <v>77.745115194955474</v>
      </c>
      <c r="AC22" s="64">
        <f t="shared" si="19"/>
        <v>80.077468650804136</v>
      </c>
      <c r="AD22" s="64">
        <f t="shared" si="19"/>
        <v>82.479792710328255</v>
      </c>
    </row>
    <row r="23" spans="1:30" x14ac:dyDescent="0.35">
      <c r="A23" s="1" t="s">
        <v>9</v>
      </c>
      <c r="B23" s="64">
        <f>'Eurostat collected Portables GU'!W23+('Eurostat collected Portables GU'!W23*0.03)</f>
        <v>4684.4399999999996</v>
      </c>
      <c r="C23" s="64">
        <f t="shared" ref="C23:AD23" si="20">B23+(B23*0.03)</f>
        <v>4824.9731999999995</v>
      </c>
      <c r="D23" s="64">
        <f t="shared" si="20"/>
        <v>4969.7223959999992</v>
      </c>
      <c r="E23" s="64">
        <f t="shared" si="20"/>
        <v>5118.8140678799991</v>
      </c>
      <c r="F23" s="64">
        <f t="shared" si="20"/>
        <v>5272.3784899163993</v>
      </c>
      <c r="G23" s="64">
        <f t="shared" si="20"/>
        <v>5430.5498446138909</v>
      </c>
      <c r="H23" s="64">
        <f t="shared" si="20"/>
        <v>5593.4663399523079</v>
      </c>
      <c r="I23" s="64">
        <f t="shared" si="20"/>
        <v>5761.2703301508773</v>
      </c>
      <c r="J23" s="64">
        <f t="shared" si="20"/>
        <v>5934.1084400554037</v>
      </c>
      <c r="K23" s="64">
        <f t="shared" si="20"/>
        <v>6112.1316932570662</v>
      </c>
      <c r="L23" s="64">
        <f t="shared" si="20"/>
        <v>6295.4956440547785</v>
      </c>
      <c r="M23" s="64">
        <f t="shared" si="20"/>
        <v>6484.3605133764222</v>
      </c>
      <c r="N23" s="64">
        <f t="shared" si="20"/>
        <v>6678.891328777715</v>
      </c>
      <c r="O23" s="64">
        <f t="shared" si="20"/>
        <v>6879.2580686410465</v>
      </c>
      <c r="P23" s="64">
        <f t="shared" si="20"/>
        <v>7085.6358107002779</v>
      </c>
      <c r="Q23" s="64">
        <f t="shared" si="20"/>
        <v>7298.2048850212859</v>
      </c>
      <c r="R23" s="64">
        <f t="shared" si="20"/>
        <v>7517.1510315719242</v>
      </c>
      <c r="S23" s="64">
        <f t="shared" si="20"/>
        <v>7742.6655625190815</v>
      </c>
      <c r="T23" s="64">
        <f t="shared" si="20"/>
        <v>7974.9455293946539</v>
      </c>
      <c r="U23" s="64">
        <f t="shared" si="20"/>
        <v>8214.193895276494</v>
      </c>
      <c r="V23" s="64">
        <f t="shared" si="20"/>
        <v>8460.6197121347886</v>
      </c>
      <c r="W23" s="64">
        <f t="shared" si="20"/>
        <v>8714.4383034988314</v>
      </c>
      <c r="X23" s="64">
        <f t="shared" si="20"/>
        <v>8975.8714526037966</v>
      </c>
      <c r="Y23" s="64">
        <f t="shared" si="20"/>
        <v>9245.1475961819106</v>
      </c>
      <c r="Z23" s="64">
        <f t="shared" si="20"/>
        <v>9522.5020240673675</v>
      </c>
      <c r="AA23" s="64">
        <f t="shared" si="20"/>
        <v>9808.1770847893877</v>
      </c>
      <c r="AB23" s="64">
        <f t="shared" si="20"/>
        <v>10102.42239733307</v>
      </c>
      <c r="AC23" s="64">
        <f t="shared" si="20"/>
        <v>10405.495069253062</v>
      </c>
      <c r="AD23" s="64">
        <f t="shared" si="20"/>
        <v>10717.659921330654</v>
      </c>
    </row>
    <row r="24" spans="1:30" x14ac:dyDescent="0.35">
      <c r="A24" s="1" t="s">
        <v>10</v>
      </c>
      <c r="B24" s="64">
        <f>'Eurostat collected Portables GU'!W24+('Eurostat collected Portables GU'!W24*0.03)</f>
        <v>2392.69</v>
      </c>
      <c r="C24" s="64">
        <f t="shared" ref="C24:AD24" si="21">B24+(B24*0.03)</f>
        <v>2464.4706999999999</v>
      </c>
      <c r="D24" s="64">
        <f t="shared" si="21"/>
        <v>2538.4048209999996</v>
      </c>
      <c r="E24" s="64">
        <f t="shared" si="21"/>
        <v>2614.5569656299995</v>
      </c>
      <c r="F24" s="64">
        <f t="shared" si="21"/>
        <v>2692.9936745988994</v>
      </c>
      <c r="G24" s="64">
        <f t="shared" si="21"/>
        <v>2773.7834848368661</v>
      </c>
      <c r="H24" s="64">
        <f t="shared" si="21"/>
        <v>2856.9969893819721</v>
      </c>
      <c r="I24" s="64">
        <f t="shared" si="21"/>
        <v>2942.7068990634311</v>
      </c>
      <c r="J24" s="64">
        <f t="shared" si="21"/>
        <v>3030.9881060353341</v>
      </c>
      <c r="K24" s="64">
        <f t="shared" si="21"/>
        <v>3121.917749216394</v>
      </c>
      <c r="L24" s="64">
        <f t="shared" si="21"/>
        <v>3215.5752816928857</v>
      </c>
      <c r="M24" s="64">
        <f t="shared" si="21"/>
        <v>3312.0425401436723</v>
      </c>
      <c r="N24" s="64">
        <f t="shared" si="21"/>
        <v>3411.4038163479827</v>
      </c>
      <c r="O24" s="64">
        <f t="shared" si="21"/>
        <v>3513.7459308384223</v>
      </c>
      <c r="P24" s="64">
        <f t="shared" si="21"/>
        <v>3619.158308763575</v>
      </c>
      <c r="Q24" s="64">
        <f t="shared" si="21"/>
        <v>3727.733058026482</v>
      </c>
      <c r="R24" s="64">
        <f t="shared" si="21"/>
        <v>3839.5650497672764</v>
      </c>
      <c r="S24" s="64">
        <f t="shared" si="21"/>
        <v>3954.7520012602945</v>
      </c>
      <c r="T24" s="64">
        <f t="shared" si="21"/>
        <v>4073.3945612981033</v>
      </c>
      <c r="U24" s="64">
        <f t="shared" si="21"/>
        <v>4195.596398137046</v>
      </c>
      <c r="V24" s="64">
        <f t="shared" si="21"/>
        <v>4321.4642900811577</v>
      </c>
      <c r="W24" s="64">
        <f t="shared" si="21"/>
        <v>4451.1082187835927</v>
      </c>
      <c r="X24" s="64">
        <f t="shared" si="21"/>
        <v>4584.6414653471002</v>
      </c>
      <c r="Y24" s="64">
        <f t="shared" si="21"/>
        <v>4722.1807093075131</v>
      </c>
      <c r="Z24" s="64">
        <f t="shared" si="21"/>
        <v>4863.8461305867386</v>
      </c>
      <c r="AA24" s="64">
        <f t="shared" si="21"/>
        <v>5009.761514504341</v>
      </c>
      <c r="AB24" s="64">
        <f t="shared" si="21"/>
        <v>5160.0543599394714</v>
      </c>
      <c r="AC24" s="64">
        <f t="shared" si="21"/>
        <v>5314.8559907376557</v>
      </c>
      <c r="AD24" s="64">
        <f t="shared" si="21"/>
        <v>5474.3016704597858</v>
      </c>
    </row>
    <row r="25" spans="1:30" x14ac:dyDescent="0.35">
      <c r="A25" s="1" t="s">
        <v>11</v>
      </c>
      <c r="B25" s="64">
        <f>'Eurostat collected Portables GU'!W25+('Eurostat collected Portables GU'!W25*0.03)</f>
        <v>9354.4599999999991</v>
      </c>
      <c r="C25" s="64">
        <f t="shared" ref="C25:AD25" si="22">B25+(B25*0.03)</f>
        <v>9635.0937999999987</v>
      </c>
      <c r="D25" s="64">
        <f t="shared" si="22"/>
        <v>9924.1466139999993</v>
      </c>
      <c r="E25" s="64">
        <f t="shared" si="22"/>
        <v>10221.871012419999</v>
      </c>
      <c r="F25" s="64">
        <f t="shared" si="22"/>
        <v>10528.527142792598</v>
      </c>
      <c r="G25" s="64">
        <f t="shared" si="22"/>
        <v>10844.382957076376</v>
      </c>
      <c r="H25" s="64">
        <f t="shared" si="22"/>
        <v>11169.714445788666</v>
      </c>
      <c r="I25" s="64">
        <f t="shared" si="22"/>
        <v>11504.805879162326</v>
      </c>
      <c r="J25" s="64">
        <f t="shared" si="22"/>
        <v>11849.950055537196</v>
      </c>
      <c r="K25" s="64">
        <f t="shared" si="22"/>
        <v>12205.448557203312</v>
      </c>
      <c r="L25" s="64">
        <f t="shared" si="22"/>
        <v>12571.612013919412</v>
      </c>
      <c r="M25" s="64">
        <f t="shared" si="22"/>
        <v>12948.760374336995</v>
      </c>
      <c r="N25" s="64">
        <f t="shared" si="22"/>
        <v>13337.223185567105</v>
      </c>
      <c r="O25" s="64">
        <f t="shared" si="22"/>
        <v>13737.339881134118</v>
      </c>
      <c r="P25" s="64">
        <f t="shared" si="22"/>
        <v>14149.460077568141</v>
      </c>
      <c r="Q25" s="64">
        <f t="shared" si="22"/>
        <v>14573.943879895185</v>
      </c>
      <c r="R25" s="64">
        <f t="shared" si="22"/>
        <v>15011.16219629204</v>
      </c>
      <c r="S25" s="64">
        <f t="shared" si="22"/>
        <v>15461.497062180801</v>
      </c>
      <c r="T25" s="64">
        <f t="shared" si="22"/>
        <v>15925.341974046225</v>
      </c>
      <c r="U25" s="64">
        <f t="shared" si="22"/>
        <v>16403.102233267611</v>
      </c>
      <c r="V25" s="64">
        <f t="shared" si="22"/>
        <v>16895.195300265641</v>
      </c>
      <c r="W25" s="64">
        <f t="shared" si="22"/>
        <v>17402.051159273611</v>
      </c>
      <c r="X25" s="64">
        <f t="shared" si="22"/>
        <v>17924.112694051819</v>
      </c>
      <c r="Y25" s="64">
        <f t="shared" si="22"/>
        <v>18461.836074873372</v>
      </c>
      <c r="Z25" s="64">
        <f t="shared" si="22"/>
        <v>19015.691157119574</v>
      </c>
      <c r="AA25" s="64">
        <f t="shared" si="22"/>
        <v>19586.161891833162</v>
      </c>
      <c r="AB25" s="64">
        <f t="shared" si="22"/>
        <v>20173.746748588157</v>
      </c>
      <c r="AC25" s="64">
        <f t="shared" si="22"/>
        <v>20778.959151045801</v>
      </c>
      <c r="AD25" s="64">
        <f t="shared" si="22"/>
        <v>21402.327925577174</v>
      </c>
    </row>
    <row r="26" spans="1:30" x14ac:dyDescent="0.35">
      <c r="A26" s="1" t="s">
        <v>13</v>
      </c>
      <c r="B26" s="64">
        <f>'Eurostat collected Portables GU'!W26+('Eurostat collected Portables GU'!W26*0.03)</f>
        <v>439.81</v>
      </c>
      <c r="C26" s="64">
        <f t="shared" ref="C26:AD26" si="23">B26+(B26*0.03)</f>
        <v>453.0043</v>
      </c>
      <c r="D26" s="64">
        <f t="shared" si="23"/>
        <v>466.59442899999999</v>
      </c>
      <c r="E26" s="64">
        <f t="shared" si="23"/>
        <v>480.59226187000002</v>
      </c>
      <c r="F26" s="64">
        <f t="shared" si="23"/>
        <v>495.01002972610002</v>
      </c>
      <c r="G26" s="64">
        <f t="shared" si="23"/>
        <v>509.86033061788299</v>
      </c>
      <c r="H26" s="64">
        <f t="shared" si="23"/>
        <v>525.15614053641946</v>
      </c>
      <c r="I26" s="64">
        <f t="shared" si="23"/>
        <v>540.91082475251199</v>
      </c>
      <c r="J26" s="64">
        <f t="shared" si="23"/>
        <v>557.1381494950873</v>
      </c>
      <c r="K26" s="64">
        <f t="shared" si="23"/>
        <v>573.85229397993987</v>
      </c>
      <c r="L26" s="64">
        <f t="shared" si="23"/>
        <v>591.06786279933806</v>
      </c>
      <c r="M26" s="64">
        <f t="shared" si="23"/>
        <v>608.79989868331825</v>
      </c>
      <c r="N26" s="64">
        <f t="shared" si="23"/>
        <v>627.06389564381777</v>
      </c>
      <c r="O26" s="64">
        <f t="shared" si="23"/>
        <v>645.87581251313236</v>
      </c>
      <c r="P26" s="64">
        <f t="shared" si="23"/>
        <v>665.25208688852638</v>
      </c>
      <c r="Q26" s="64">
        <f t="shared" si="23"/>
        <v>685.20964949518213</v>
      </c>
      <c r="R26" s="64">
        <f t="shared" si="23"/>
        <v>705.76593898003762</v>
      </c>
      <c r="S26" s="64">
        <f t="shared" si="23"/>
        <v>726.93891714943879</v>
      </c>
      <c r="T26" s="64">
        <f t="shared" si="23"/>
        <v>748.74708466392201</v>
      </c>
      <c r="U26" s="64">
        <f t="shared" si="23"/>
        <v>771.20949720383965</v>
      </c>
      <c r="V26" s="64">
        <f t="shared" si="23"/>
        <v>794.34578211995483</v>
      </c>
      <c r="W26" s="64">
        <f t="shared" si="23"/>
        <v>818.17615558355351</v>
      </c>
      <c r="X26" s="64">
        <f t="shared" si="23"/>
        <v>842.72144025106013</v>
      </c>
      <c r="Y26" s="64">
        <f t="shared" si="23"/>
        <v>868.00308345859196</v>
      </c>
      <c r="Z26" s="64">
        <f t="shared" si="23"/>
        <v>894.04317596234966</v>
      </c>
      <c r="AA26" s="64">
        <f t="shared" si="23"/>
        <v>920.86447124122014</v>
      </c>
      <c r="AB26" s="64">
        <f t="shared" si="23"/>
        <v>948.49040537845679</v>
      </c>
      <c r="AC26" s="64">
        <f t="shared" si="23"/>
        <v>976.94511753981044</v>
      </c>
      <c r="AD26" s="64">
        <f t="shared" si="23"/>
        <v>1006.2534710660047</v>
      </c>
    </row>
    <row r="27" spans="1:30" x14ac:dyDescent="0.35">
      <c r="A27" s="1" t="s">
        <v>12</v>
      </c>
      <c r="B27" s="64">
        <f>'Eurostat collected Portables GU'!W27+('Eurostat collected Portables GU'!W27*0.03)</f>
        <v>2197.8552</v>
      </c>
      <c r="C27" s="64">
        <f t="shared" ref="C27:AD27" si="24">B27+(B27*0.03)</f>
        <v>2263.7908560000001</v>
      </c>
      <c r="D27" s="64">
        <f t="shared" si="24"/>
        <v>2331.70458168</v>
      </c>
      <c r="E27" s="64">
        <f t="shared" si="24"/>
        <v>2401.6557191304</v>
      </c>
      <c r="F27" s="64">
        <f t="shared" si="24"/>
        <v>2473.7053907043119</v>
      </c>
      <c r="G27" s="64">
        <f t="shared" si="24"/>
        <v>2547.9165524254413</v>
      </c>
      <c r="H27" s="64">
        <f t="shared" si="24"/>
        <v>2624.3540489982047</v>
      </c>
      <c r="I27" s="64">
        <f t="shared" si="24"/>
        <v>2703.0846704681508</v>
      </c>
      <c r="J27" s="64">
        <f t="shared" si="24"/>
        <v>2784.1772105821951</v>
      </c>
      <c r="K27" s="64">
        <f t="shared" si="24"/>
        <v>2867.7025268996608</v>
      </c>
      <c r="L27" s="64">
        <f t="shared" si="24"/>
        <v>2953.7336027066508</v>
      </c>
      <c r="M27" s="64">
        <f t="shared" si="24"/>
        <v>3042.3456107878501</v>
      </c>
      <c r="N27" s="64">
        <f t="shared" si="24"/>
        <v>3133.6159791114856</v>
      </c>
      <c r="O27" s="64">
        <f t="shared" si="24"/>
        <v>3227.62445848483</v>
      </c>
      <c r="P27" s="64">
        <f t="shared" si="24"/>
        <v>3324.4531922393749</v>
      </c>
      <c r="Q27" s="64">
        <f t="shared" si="24"/>
        <v>3424.1867880065561</v>
      </c>
      <c r="R27" s="64">
        <f t="shared" si="24"/>
        <v>3526.9123916467529</v>
      </c>
      <c r="S27" s="64">
        <f t="shared" si="24"/>
        <v>3632.7197633961555</v>
      </c>
      <c r="T27" s="64">
        <f t="shared" si="24"/>
        <v>3741.7013562980401</v>
      </c>
      <c r="U27" s="64">
        <f t="shared" si="24"/>
        <v>3853.9523969869815</v>
      </c>
      <c r="V27" s="64">
        <f t="shared" si="24"/>
        <v>3969.5709688965908</v>
      </c>
      <c r="W27" s="64">
        <f t="shared" si="24"/>
        <v>4088.6580979634887</v>
      </c>
      <c r="X27" s="64">
        <f t="shared" si="24"/>
        <v>4211.3178409023931</v>
      </c>
      <c r="Y27" s="64">
        <f t="shared" si="24"/>
        <v>4337.6573761294649</v>
      </c>
      <c r="Z27" s="64">
        <f t="shared" si="24"/>
        <v>4467.7870974133484</v>
      </c>
      <c r="AA27" s="64">
        <f t="shared" si="24"/>
        <v>4601.820710335749</v>
      </c>
      <c r="AB27" s="64">
        <f t="shared" si="24"/>
        <v>4739.8753316458215</v>
      </c>
      <c r="AC27" s="64">
        <f t="shared" si="24"/>
        <v>4882.071591595196</v>
      </c>
      <c r="AD27" s="64">
        <f t="shared" si="24"/>
        <v>5028.5337393430518</v>
      </c>
    </row>
    <row r="28" spans="1:30" x14ac:dyDescent="0.35">
      <c r="A28" s="1" t="s">
        <v>16</v>
      </c>
      <c r="B28" s="64">
        <f>'Eurostat collected Portables GU'!W28+('Eurostat collected Portables GU'!W28*0.03)</f>
        <v>3833.66</v>
      </c>
      <c r="C28" s="64">
        <f t="shared" ref="C28:AD28" si="25">B28+(B28*0.03)</f>
        <v>3948.6697999999997</v>
      </c>
      <c r="D28" s="64">
        <f t="shared" si="25"/>
        <v>4067.1298939999997</v>
      </c>
      <c r="E28" s="64">
        <f t="shared" si="25"/>
        <v>4189.1437908199996</v>
      </c>
      <c r="F28" s="64">
        <f t="shared" si="25"/>
        <v>4314.8181045445999</v>
      </c>
      <c r="G28" s="64">
        <f t="shared" si="25"/>
        <v>4444.2626476809382</v>
      </c>
      <c r="H28" s="64">
        <f t="shared" si="25"/>
        <v>4577.5905271113661</v>
      </c>
      <c r="I28" s="64">
        <f t="shared" si="25"/>
        <v>4714.9182429247066</v>
      </c>
      <c r="J28" s="64">
        <f t="shared" si="25"/>
        <v>4856.3657902124478</v>
      </c>
      <c r="K28" s="64">
        <f t="shared" si="25"/>
        <v>5002.0567639188212</v>
      </c>
      <c r="L28" s="64">
        <f t="shared" si="25"/>
        <v>5152.1184668363858</v>
      </c>
      <c r="M28" s="64">
        <f t="shared" si="25"/>
        <v>5306.6820208414774</v>
      </c>
      <c r="N28" s="64">
        <f t="shared" si="25"/>
        <v>5465.8824814667214</v>
      </c>
      <c r="O28" s="64">
        <f t="shared" si="25"/>
        <v>5629.8589559107231</v>
      </c>
      <c r="P28" s="64">
        <f t="shared" si="25"/>
        <v>5798.7547245880451</v>
      </c>
      <c r="Q28" s="64">
        <f t="shared" si="25"/>
        <v>5972.7173663256863</v>
      </c>
      <c r="R28" s="64">
        <f t="shared" si="25"/>
        <v>6151.8988873154567</v>
      </c>
      <c r="S28" s="64">
        <f t="shared" si="25"/>
        <v>6336.45585393492</v>
      </c>
      <c r="T28" s="64">
        <f t="shared" si="25"/>
        <v>6526.5495295529672</v>
      </c>
      <c r="U28" s="64">
        <f t="shared" si="25"/>
        <v>6722.3460154395561</v>
      </c>
      <c r="V28" s="64">
        <f t="shared" si="25"/>
        <v>6924.0163959027432</v>
      </c>
      <c r="W28" s="64">
        <f t="shared" si="25"/>
        <v>7131.7368877798253</v>
      </c>
      <c r="X28" s="64">
        <f t="shared" si="25"/>
        <v>7345.6889944132199</v>
      </c>
      <c r="Y28" s="64">
        <f t="shared" si="25"/>
        <v>7566.0596642456167</v>
      </c>
      <c r="Z28" s="64">
        <f t="shared" si="25"/>
        <v>7793.0414541729851</v>
      </c>
      <c r="AA28" s="64">
        <f t="shared" si="25"/>
        <v>8026.8326977981751</v>
      </c>
      <c r="AB28" s="64">
        <f t="shared" si="25"/>
        <v>8267.6376787321205</v>
      </c>
      <c r="AC28" s="64">
        <f t="shared" si="25"/>
        <v>8515.6668090940839</v>
      </c>
      <c r="AD28" s="64">
        <f t="shared" si="25"/>
        <v>8771.1368133669057</v>
      </c>
    </row>
    <row r="29" spans="1:30" x14ac:dyDescent="0.35">
      <c r="A29" s="1" t="s">
        <v>81</v>
      </c>
      <c r="B29" s="64">
        <f>'Eurostat collected Portables GU'!W29+('Eurostat collected Portables GU'!W29*0.03)</f>
        <v>3335.6550000000002</v>
      </c>
      <c r="C29" s="64">
        <f t="shared" ref="C29:AD29" si="26">B29+(B29*0.03)</f>
        <v>3435.7246500000001</v>
      </c>
      <c r="D29" s="64">
        <f t="shared" si="26"/>
        <v>3538.7963895000003</v>
      </c>
      <c r="E29" s="64">
        <f t="shared" si="26"/>
        <v>3644.9602811850004</v>
      </c>
      <c r="F29" s="64">
        <f t="shared" si="26"/>
        <v>3754.3090896205504</v>
      </c>
      <c r="G29" s="64">
        <f t="shared" si="26"/>
        <v>3866.9383623091667</v>
      </c>
      <c r="H29" s="64">
        <f t="shared" si="26"/>
        <v>3982.9465131784418</v>
      </c>
      <c r="I29" s="64">
        <f t="shared" si="26"/>
        <v>4102.4349085737949</v>
      </c>
      <c r="J29" s="64">
        <f t="shared" si="26"/>
        <v>4225.507955831009</v>
      </c>
      <c r="K29" s="64">
        <f t="shared" si="26"/>
        <v>4352.2731945059395</v>
      </c>
      <c r="L29" s="64">
        <f t="shared" si="26"/>
        <v>4482.8413903411174</v>
      </c>
      <c r="M29" s="64">
        <f t="shared" si="26"/>
        <v>4617.3266320513512</v>
      </c>
      <c r="N29" s="64">
        <f t="shared" si="26"/>
        <v>4755.846431012892</v>
      </c>
      <c r="O29" s="64">
        <f t="shared" si="26"/>
        <v>4898.5218239432788</v>
      </c>
      <c r="P29" s="64">
        <f t="shared" si="26"/>
        <v>5045.4774786615772</v>
      </c>
      <c r="Q29" s="64">
        <f t="shared" si="26"/>
        <v>5196.8418030214243</v>
      </c>
      <c r="R29" s="64">
        <f t="shared" si="26"/>
        <v>5352.7470571120666</v>
      </c>
      <c r="S29" s="64">
        <f t="shared" si="26"/>
        <v>5513.3294688254282</v>
      </c>
      <c r="T29" s="64">
        <f t="shared" si="26"/>
        <v>5678.729352890191</v>
      </c>
      <c r="U29" s="64">
        <f t="shared" si="26"/>
        <v>5849.0912334768964</v>
      </c>
      <c r="V29" s="64">
        <f t="shared" si="26"/>
        <v>6024.5639704812029</v>
      </c>
      <c r="W29" s="64">
        <f t="shared" si="26"/>
        <v>6205.3008895956391</v>
      </c>
      <c r="X29" s="64">
        <f t="shared" si="26"/>
        <v>6391.4599162835084</v>
      </c>
      <c r="Y29" s="64">
        <f t="shared" si="26"/>
        <v>6583.2037137720135</v>
      </c>
      <c r="Z29" s="64">
        <f t="shared" si="26"/>
        <v>6780.6998251851737</v>
      </c>
      <c r="AA29" s="64">
        <f t="shared" si="26"/>
        <v>6984.1208199407292</v>
      </c>
      <c r="AB29" s="64">
        <f t="shared" si="26"/>
        <v>7193.6444445389507</v>
      </c>
      <c r="AC29" s="64">
        <f t="shared" si="26"/>
        <v>7409.4537778751192</v>
      </c>
      <c r="AD29" s="64">
        <f t="shared" si="26"/>
        <v>7631.7373912113726</v>
      </c>
    </row>
    <row r="30" spans="1:30" x14ac:dyDescent="0.35">
      <c r="A30" s="1" t="s">
        <v>15</v>
      </c>
      <c r="B30" s="64">
        <f>'Eurostat collected Portables GU'!W30+('Eurostat collected Portables GU'!W30*0.03)</f>
        <v>356.38</v>
      </c>
      <c r="C30" s="64">
        <f t="shared" ref="C30:AD30" si="27">B30+(B30*0.03)</f>
        <v>367.07139999999998</v>
      </c>
      <c r="D30" s="64">
        <f t="shared" si="27"/>
        <v>378.08354199999997</v>
      </c>
      <c r="E30" s="64">
        <f t="shared" si="27"/>
        <v>389.42604825999996</v>
      </c>
      <c r="F30" s="64">
        <f t="shared" si="27"/>
        <v>401.10882970779994</v>
      </c>
      <c r="G30" s="64">
        <f t="shared" si="27"/>
        <v>413.14209459903395</v>
      </c>
      <c r="H30" s="64">
        <f t="shared" si="27"/>
        <v>425.53635743700499</v>
      </c>
      <c r="I30" s="64">
        <f t="shared" si="27"/>
        <v>438.30244816011515</v>
      </c>
      <c r="J30" s="64">
        <f t="shared" si="27"/>
        <v>451.45152160491858</v>
      </c>
      <c r="K30" s="64">
        <f t="shared" si="27"/>
        <v>464.99506725306617</v>
      </c>
      <c r="L30" s="64">
        <f t="shared" si="27"/>
        <v>478.94491927065815</v>
      </c>
      <c r="M30" s="64">
        <f t="shared" si="27"/>
        <v>493.31326684877791</v>
      </c>
      <c r="N30" s="64">
        <f t="shared" si="27"/>
        <v>508.11266485424125</v>
      </c>
      <c r="O30" s="64">
        <f t="shared" si="27"/>
        <v>523.35604479986853</v>
      </c>
      <c r="P30" s="64">
        <f t="shared" si="27"/>
        <v>539.05672614386458</v>
      </c>
      <c r="Q30" s="64">
        <f t="shared" si="27"/>
        <v>555.22842792818051</v>
      </c>
      <c r="R30" s="64">
        <f t="shared" si="27"/>
        <v>571.88528076602597</v>
      </c>
      <c r="S30" s="64">
        <f t="shared" si="27"/>
        <v>589.04183918900674</v>
      </c>
      <c r="T30" s="64">
        <f t="shared" si="27"/>
        <v>606.71309436467698</v>
      </c>
      <c r="U30" s="64">
        <f t="shared" si="27"/>
        <v>624.91448719561731</v>
      </c>
      <c r="V30" s="64">
        <f t="shared" si="27"/>
        <v>643.66192181148585</v>
      </c>
      <c r="W30" s="64">
        <f t="shared" si="27"/>
        <v>662.97177946583042</v>
      </c>
      <c r="X30" s="64">
        <f t="shared" si="27"/>
        <v>682.86093284980529</v>
      </c>
      <c r="Y30" s="64">
        <f t="shared" si="27"/>
        <v>703.34676083529951</v>
      </c>
      <c r="Z30" s="64">
        <f t="shared" si="27"/>
        <v>724.44716366035846</v>
      </c>
      <c r="AA30" s="64">
        <f t="shared" si="27"/>
        <v>746.18057857016925</v>
      </c>
      <c r="AB30" s="64">
        <f t="shared" si="27"/>
        <v>768.56599592727434</v>
      </c>
      <c r="AC30" s="64">
        <f t="shared" si="27"/>
        <v>791.62297580509255</v>
      </c>
      <c r="AD30" s="64">
        <f t="shared" si="27"/>
        <v>815.3716650792453</v>
      </c>
    </row>
    <row r="31" spans="1:30" x14ac:dyDescent="0.35">
      <c r="A31" s="1" t="s">
        <v>14</v>
      </c>
      <c r="B31" s="64">
        <f>'Eurostat collected Portables GU'!W31+('Eurostat collected Portables GU'!W31*0.03)</f>
        <v>982.62</v>
      </c>
      <c r="C31" s="64">
        <f t="shared" ref="C31:AD31" si="28">B31+(B31*0.03)</f>
        <v>1012.0986</v>
      </c>
      <c r="D31" s="64">
        <f t="shared" si="28"/>
        <v>1042.461558</v>
      </c>
      <c r="E31" s="64">
        <f t="shared" si="28"/>
        <v>1073.7354047399999</v>
      </c>
      <c r="F31" s="64">
        <f t="shared" si="28"/>
        <v>1105.9474668821999</v>
      </c>
      <c r="G31" s="64">
        <f t="shared" si="28"/>
        <v>1139.1258908886659</v>
      </c>
      <c r="H31" s="64">
        <f t="shared" si="28"/>
        <v>1173.2996676153259</v>
      </c>
      <c r="I31" s="64">
        <f t="shared" si="28"/>
        <v>1208.4986576437857</v>
      </c>
      <c r="J31" s="64">
        <f t="shared" si="28"/>
        <v>1244.7536173730994</v>
      </c>
      <c r="K31" s="64">
        <f t="shared" si="28"/>
        <v>1282.0962258942923</v>
      </c>
      <c r="L31" s="64">
        <f t="shared" si="28"/>
        <v>1320.5591126711211</v>
      </c>
      <c r="M31" s="64">
        <f t="shared" si="28"/>
        <v>1360.1758860512548</v>
      </c>
      <c r="N31" s="64">
        <f t="shared" si="28"/>
        <v>1400.9811626327923</v>
      </c>
      <c r="O31" s="64">
        <f t="shared" si="28"/>
        <v>1443.010597511776</v>
      </c>
      <c r="P31" s="64">
        <f t="shared" si="28"/>
        <v>1486.3009154371293</v>
      </c>
      <c r="Q31" s="64">
        <f t="shared" si="28"/>
        <v>1530.8899429002431</v>
      </c>
      <c r="R31" s="64">
        <f t="shared" si="28"/>
        <v>1576.8166411872503</v>
      </c>
      <c r="S31" s="64">
        <f t="shared" si="28"/>
        <v>1624.1211404228677</v>
      </c>
      <c r="T31" s="64">
        <f t="shared" si="28"/>
        <v>1672.8447746355537</v>
      </c>
      <c r="U31" s="64">
        <f t="shared" si="28"/>
        <v>1723.0301178746204</v>
      </c>
      <c r="V31" s="64">
        <f t="shared" si="28"/>
        <v>1774.7210214108591</v>
      </c>
      <c r="W31" s="64">
        <f t="shared" si="28"/>
        <v>1827.9626520531849</v>
      </c>
      <c r="X31" s="64">
        <f t="shared" si="28"/>
        <v>1882.8015316147805</v>
      </c>
      <c r="Y31" s="64">
        <f t="shared" si="28"/>
        <v>1939.285577563224</v>
      </c>
      <c r="Z31" s="64">
        <f t="shared" si="28"/>
        <v>1997.4641448901207</v>
      </c>
      <c r="AA31" s="64">
        <f t="shared" si="28"/>
        <v>2057.3880692368243</v>
      </c>
      <c r="AB31" s="64">
        <f t="shared" si="28"/>
        <v>2119.109711313929</v>
      </c>
      <c r="AC31" s="64">
        <f t="shared" si="28"/>
        <v>2182.6830026533466</v>
      </c>
      <c r="AD31" s="64">
        <f t="shared" si="28"/>
        <v>2248.1634927329469</v>
      </c>
    </row>
    <row r="32" spans="1:30" x14ac:dyDescent="0.35">
      <c r="A32" s="1" t="s">
        <v>0</v>
      </c>
      <c r="B32" s="64">
        <f>'Eurostat collected Portables GU'!W32+('Eurostat collected Portables GU'!W32*0.03)</f>
        <v>18841.005140000001</v>
      </c>
      <c r="C32" s="64">
        <f t="shared" ref="C32:AD32" si="29">B32+(B32*0.03)</f>
        <v>19406.2352942</v>
      </c>
      <c r="D32" s="64">
        <f t="shared" si="29"/>
        <v>19988.422353025999</v>
      </c>
      <c r="E32" s="64">
        <f t="shared" si="29"/>
        <v>20588.075023616781</v>
      </c>
      <c r="F32" s="64">
        <f t="shared" si="29"/>
        <v>21205.717274325285</v>
      </c>
      <c r="G32" s="64">
        <f t="shared" si="29"/>
        <v>21841.888792555044</v>
      </c>
      <c r="H32" s="64">
        <f t="shared" si="29"/>
        <v>22497.145456331695</v>
      </c>
      <c r="I32" s="64">
        <f t="shared" si="29"/>
        <v>23172.059820021645</v>
      </c>
      <c r="J32" s="64">
        <f t="shared" si="29"/>
        <v>23867.221614622293</v>
      </c>
      <c r="K32" s="64">
        <f t="shared" si="29"/>
        <v>24583.238263060961</v>
      </c>
      <c r="L32" s="64">
        <f t="shared" si="29"/>
        <v>25320.735410952791</v>
      </c>
      <c r="M32" s="64">
        <f t="shared" si="29"/>
        <v>26080.357473281376</v>
      </c>
      <c r="N32" s="64">
        <f t="shared" si="29"/>
        <v>26862.768197479818</v>
      </c>
      <c r="O32" s="64">
        <f t="shared" si="29"/>
        <v>27668.651243404212</v>
      </c>
      <c r="P32" s="64">
        <f t="shared" si="29"/>
        <v>28498.71078070634</v>
      </c>
      <c r="Q32" s="64">
        <f t="shared" si="29"/>
        <v>29353.67210412753</v>
      </c>
      <c r="R32" s="64">
        <f t="shared" si="29"/>
        <v>30234.282267251358</v>
      </c>
      <c r="S32" s="64">
        <f t="shared" si="29"/>
        <v>31141.310735268897</v>
      </c>
      <c r="T32" s="64">
        <f t="shared" si="29"/>
        <v>32075.550057326964</v>
      </c>
      <c r="U32" s="64">
        <f t="shared" si="29"/>
        <v>33037.816559046776</v>
      </c>
      <c r="V32" s="64">
        <f t="shared" si="29"/>
        <v>34028.951055818179</v>
      </c>
      <c r="W32" s="64">
        <f t="shared" si="29"/>
        <v>35049.819587492726</v>
      </c>
      <c r="X32" s="64">
        <f t="shared" si="29"/>
        <v>36101.314175117506</v>
      </c>
      <c r="Y32" s="64">
        <f t="shared" si="29"/>
        <v>37184.353600371032</v>
      </c>
      <c r="Z32" s="64">
        <f t="shared" si="29"/>
        <v>38299.884208382166</v>
      </c>
      <c r="AA32" s="64">
        <f t="shared" si="29"/>
        <v>39448.880734633633</v>
      </c>
      <c r="AB32" s="64">
        <f t="shared" si="29"/>
        <v>40632.347156672644</v>
      </c>
      <c r="AC32" s="64">
        <f t="shared" si="29"/>
        <v>41851.31757137282</v>
      </c>
      <c r="AD32" s="64">
        <f t="shared" si="29"/>
        <v>43106.857098514003</v>
      </c>
    </row>
    <row r="33" spans="1:30" x14ac:dyDescent="0.35">
      <c r="A33" s="1" t="s">
        <v>87</v>
      </c>
      <c r="B33" s="65">
        <f>SUM(B1:B32)</f>
        <v>137964.07594000001</v>
      </c>
      <c r="C33" s="65">
        <f>SUM(C1:C32)</f>
        <v>142043.33821820002</v>
      </c>
      <c r="D33" s="65">
        <f t="shared" ref="D33:AD33" si="30">SUM(D1:D32)</f>
        <v>146244.94836474594</v>
      </c>
      <c r="E33" s="65">
        <f t="shared" si="30"/>
        <v>150572.57681568834</v>
      </c>
      <c r="F33" s="65">
        <f t="shared" si="30"/>
        <v>155030.00412015905</v>
      </c>
      <c r="G33" s="65">
        <f t="shared" si="30"/>
        <v>159621.12424376377</v>
      </c>
      <c r="H33" s="65">
        <f t="shared" si="30"/>
        <v>164349.94797107673</v>
      </c>
      <c r="I33" s="65">
        <f t="shared" si="30"/>
        <v>169220.60641020897</v>
      </c>
      <c r="J33" s="65">
        <f t="shared" si="30"/>
        <v>174237.35460251529</v>
      </c>
      <c r="K33" s="65">
        <f t="shared" si="30"/>
        <v>179404.5752405907</v>
      </c>
      <c r="L33" s="65">
        <f t="shared" si="30"/>
        <v>184726.78249780851</v>
      </c>
      <c r="M33" s="65">
        <f t="shared" si="30"/>
        <v>190208.6259727428</v>
      </c>
      <c r="N33" s="65">
        <f t="shared" si="30"/>
        <v>195854.89475192496</v>
      </c>
      <c r="O33" s="65">
        <f t="shared" si="30"/>
        <v>201670.52159448277</v>
      </c>
      <c r="P33" s="65">
        <f t="shared" si="30"/>
        <v>207660.58724231724</v>
      </c>
      <c r="Q33" s="65">
        <f t="shared" si="30"/>
        <v>213830.32485958678</v>
      </c>
      <c r="R33" s="65">
        <f t="shared" si="30"/>
        <v>220185.12460537441</v>
      </c>
      <c r="S33" s="65">
        <f t="shared" si="30"/>
        <v>226730.53834353562</v>
      </c>
      <c r="T33" s="65">
        <f t="shared" si="30"/>
        <v>233472.28449384167</v>
      </c>
      <c r="U33" s="65">
        <f t="shared" si="30"/>
        <v>240416.25302865694</v>
      </c>
      <c r="V33" s="65">
        <f t="shared" si="30"/>
        <v>247568.51061951666</v>
      </c>
      <c r="W33" s="65">
        <f t="shared" si="30"/>
        <v>254935.30593810216</v>
      </c>
      <c r="X33" s="65">
        <f t="shared" si="30"/>
        <v>262523.07511624525</v>
      </c>
      <c r="Y33" s="65">
        <f t="shared" si="30"/>
        <v>270338.44736973254</v>
      </c>
      <c r="Z33" s="65">
        <f t="shared" si="30"/>
        <v>278388.25079082453</v>
      </c>
      <c r="AA33" s="65">
        <f t="shared" si="30"/>
        <v>286679.51831454929</v>
      </c>
      <c r="AB33" s="65">
        <f t="shared" si="30"/>
        <v>295219.49386398576</v>
      </c>
      <c r="AC33" s="65">
        <f t="shared" si="30"/>
        <v>304015.63867990527</v>
      </c>
      <c r="AD33" s="65">
        <f t="shared" si="30"/>
        <v>313075.63784030249</v>
      </c>
    </row>
    <row r="35" spans="1:30" x14ac:dyDescent="0.35">
      <c r="A35" s="62"/>
    </row>
    <row r="38" spans="1:30" x14ac:dyDescent="0.35">
      <c r="A38" s="6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879-F0F5-4E52-A8CB-D4A014A32C3E}">
  <dimension ref="A1:AZ4"/>
  <sheetViews>
    <sheetView workbookViewId="0">
      <selection activeCell="I20" sqref="I20"/>
    </sheetView>
  </sheetViews>
  <sheetFormatPr baseColWidth="10" defaultRowHeight="14.5" x14ac:dyDescent="0.35"/>
  <cols>
    <col min="1" max="1" width="20.453125" customWidth="1"/>
  </cols>
  <sheetData>
    <row r="1" spans="1:5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t="s">
        <v>82</v>
      </c>
      <c r="B2">
        <v>56898.765202279952</v>
      </c>
      <c r="C2">
        <v>58059.964492122424</v>
      </c>
      <c r="D2">
        <v>59244.861726655537</v>
      </c>
      <c r="E2">
        <v>60453.940537403614</v>
      </c>
      <c r="F2">
        <v>61687.69442592204</v>
      </c>
      <c r="G2">
        <v>62946.626965226569</v>
      </c>
      <c r="H2">
        <v>64210.660168598552</v>
      </c>
      <c r="I2">
        <v>65467.938947549534</v>
      </c>
      <c r="J2">
        <v>66852.978517907701</v>
      </c>
      <c r="K2">
        <v>68110.304610109903</v>
      </c>
      <c r="L2">
        <v>69422.453683785599</v>
      </c>
      <c r="M2">
        <v>70799.973146720004</v>
      </c>
      <c r="N2">
        <v>77806.135864000011</v>
      </c>
      <c r="O2">
        <v>79565.546799999996</v>
      </c>
      <c r="P2">
        <v>85150.66</v>
      </c>
      <c r="Q2">
        <v>92941</v>
      </c>
      <c r="R2">
        <v>103394</v>
      </c>
      <c r="S2">
        <v>104593</v>
      </c>
      <c r="T2">
        <v>111736.319</v>
      </c>
      <c r="U2">
        <v>123017.609</v>
      </c>
      <c r="V2">
        <v>121497.224</v>
      </c>
      <c r="W2">
        <v>131982.598</v>
      </c>
      <c r="X2">
        <v>133302.42398000002</v>
      </c>
      <c r="Y2">
        <v>134635.44821979999</v>
      </c>
      <c r="Z2">
        <v>135981.80270199801</v>
      </c>
      <c r="AA2">
        <v>137341.62072901797</v>
      </c>
      <c r="AB2">
        <v>138715.03693630811</v>
      </c>
      <c r="AC2">
        <v>140102.18730567122</v>
      </c>
      <c r="AD2">
        <v>141503.20917872796</v>
      </c>
      <c r="AE2">
        <v>142918.24127051522</v>
      </c>
      <c r="AF2">
        <v>144347.42368322038</v>
      </c>
      <c r="AG2">
        <v>145790.89792005258</v>
      </c>
      <c r="AH2">
        <v>147248.8068992531</v>
      </c>
      <c r="AI2">
        <v>148721.29496824564</v>
      </c>
      <c r="AJ2">
        <v>150208.50791792807</v>
      </c>
      <c r="AK2">
        <v>151710.59299710736</v>
      </c>
      <c r="AL2">
        <v>153227.69892707845</v>
      </c>
      <c r="AM2">
        <v>154759.97591634924</v>
      </c>
      <c r="AN2">
        <v>156307.57567551272</v>
      </c>
      <c r="AO2">
        <v>157870.65143226786</v>
      </c>
      <c r="AP2">
        <v>159449.35794659049</v>
      </c>
      <c r="AQ2">
        <v>161043.85152605636</v>
      </c>
      <c r="AR2">
        <v>162654.29004131697</v>
      </c>
      <c r="AS2">
        <v>164280.83294173016</v>
      </c>
      <c r="AT2">
        <v>165923.64127114744</v>
      </c>
      <c r="AU2">
        <v>167582.87768385888</v>
      </c>
      <c r="AV2">
        <v>169258.70646069746</v>
      </c>
      <c r="AW2">
        <v>170951.29352530453</v>
      </c>
      <c r="AX2">
        <v>172660.80646055756</v>
      </c>
      <c r="AY2">
        <v>174387.4145251631</v>
      </c>
      <c r="AZ2">
        <v>176131.28867041477</v>
      </c>
    </row>
    <row r="3" spans="1:52" x14ac:dyDescent="0.35">
      <c r="A3" t="s">
        <v>83</v>
      </c>
      <c r="X3">
        <v>134622.24996000002</v>
      </c>
      <c r="Y3">
        <v>137314.69495919999</v>
      </c>
      <c r="Z3">
        <v>140060.98885838399</v>
      </c>
      <c r="AA3">
        <v>142862.20863555174</v>
      </c>
      <c r="AB3">
        <v>145719.45280826272</v>
      </c>
      <c r="AC3">
        <v>148633.84186442796</v>
      </c>
      <c r="AD3">
        <v>151606.5187017165</v>
      </c>
      <c r="AE3">
        <v>154638.6490757509</v>
      </c>
      <c r="AF3">
        <v>157731.42205726588</v>
      </c>
      <c r="AG3">
        <v>160886.05049841118</v>
      </c>
      <c r="AH3">
        <v>164103.77150837943</v>
      </c>
      <c r="AI3">
        <v>167385.84693854698</v>
      </c>
      <c r="AJ3">
        <v>170733.563877318</v>
      </c>
      <c r="AK3">
        <v>174148.23515486432</v>
      </c>
      <c r="AL3">
        <v>177631.19985796159</v>
      </c>
      <c r="AM3">
        <v>181183.82385512078</v>
      </c>
      <c r="AN3">
        <v>184807.50033222322</v>
      </c>
      <c r="AO3">
        <v>188503.65033886768</v>
      </c>
      <c r="AP3">
        <v>192273.72334564503</v>
      </c>
      <c r="AQ3">
        <v>196119.19781255792</v>
      </c>
      <c r="AR3">
        <v>200041.58176880903</v>
      </c>
      <c r="AS3">
        <v>204042.4134041853</v>
      </c>
      <c r="AT3">
        <v>208123.26167226903</v>
      </c>
      <c r="AU3">
        <v>212285.72690571431</v>
      </c>
      <c r="AV3">
        <v>216531.4414438286</v>
      </c>
      <c r="AW3">
        <v>220862.07027270528</v>
      </c>
      <c r="AX3">
        <v>225279.31167815928</v>
      </c>
      <c r="AY3">
        <v>229784.89791172248</v>
      </c>
      <c r="AZ3">
        <v>234380.59586995695</v>
      </c>
    </row>
    <row r="4" spans="1:52" x14ac:dyDescent="0.35">
      <c r="A4" t="s">
        <v>84</v>
      </c>
      <c r="X4">
        <v>135942.07594000001</v>
      </c>
      <c r="Y4">
        <v>140020.33821820002</v>
      </c>
      <c r="Z4">
        <v>144220.94836474594</v>
      </c>
      <c r="AA4">
        <v>148547.57681568834</v>
      </c>
      <c r="AB4">
        <v>153004.00412015905</v>
      </c>
      <c r="AC4">
        <v>157594.12424376377</v>
      </c>
      <c r="AD4">
        <v>162321.9479710767</v>
      </c>
      <c r="AE4">
        <v>167191.606410209</v>
      </c>
      <c r="AF4">
        <v>172207.35460251529</v>
      </c>
      <c r="AG4">
        <v>177373.5752405907</v>
      </c>
      <c r="AH4">
        <v>182694.78249780851</v>
      </c>
      <c r="AI4">
        <v>188175.6259727428</v>
      </c>
      <c r="AJ4">
        <v>193820.89475192496</v>
      </c>
      <c r="AK4">
        <v>199635.52159448277</v>
      </c>
      <c r="AL4">
        <v>205624.58724231724</v>
      </c>
      <c r="AM4">
        <v>211793.32485958681</v>
      </c>
      <c r="AN4">
        <v>218147.12460537441</v>
      </c>
      <c r="AO4">
        <v>224691.53834353562</v>
      </c>
      <c r="AP4">
        <v>231432.2844938417</v>
      </c>
      <c r="AQ4">
        <v>238375.25302865694</v>
      </c>
      <c r="AR4">
        <v>245526.51061951666</v>
      </c>
      <c r="AS4">
        <v>252892.30593810216</v>
      </c>
      <c r="AT4">
        <v>260479.07511624522</v>
      </c>
      <c r="AU4">
        <v>268293.44736973254</v>
      </c>
      <c r="AV4">
        <v>276342.25079082453</v>
      </c>
      <c r="AW4">
        <v>284632.51831454929</v>
      </c>
      <c r="AX4">
        <v>293171.49386398576</v>
      </c>
      <c r="AY4">
        <v>301966.63867990527</v>
      </c>
      <c r="AZ4">
        <v>311025.63784030249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CA5B-BFE4-4225-AC9E-AEA1FED4DC70}">
  <dimension ref="A1:AA48"/>
  <sheetViews>
    <sheetView workbookViewId="0"/>
  </sheetViews>
  <sheetFormatPr baseColWidth="10" defaultRowHeight="14.5" x14ac:dyDescent="0.35"/>
  <cols>
    <col min="1" max="1" width="35.7265625" customWidth="1"/>
    <col min="2" max="2" width="23.08984375" customWidth="1"/>
  </cols>
  <sheetData>
    <row r="1" spans="1:27" x14ac:dyDescent="0.35">
      <c r="A1" t="s">
        <v>28</v>
      </c>
    </row>
    <row r="3" spans="1:27" x14ac:dyDescent="0.35">
      <c r="A3" t="s">
        <v>0</v>
      </c>
    </row>
    <row r="4" spans="1:27" x14ac:dyDescent="0.35">
      <c r="A4" s="38" t="s">
        <v>29</v>
      </c>
      <c r="B4" s="38"/>
      <c r="C4" s="38">
        <v>2010</v>
      </c>
      <c r="D4" s="38">
        <v>2011</v>
      </c>
      <c r="E4" s="38">
        <v>2012</v>
      </c>
      <c r="F4" s="38">
        <v>2013</v>
      </c>
      <c r="G4" s="38">
        <v>2014</v>
      </c>
      <c r="H4" s="38">
        <v>2015</v>
      </c>
      <c r="I4" s="38">
        <v>2016</v>
      </c>
      <c r="J4" s="38">
        <v>2017</v>
      </c>
      <c r="K4" s="38">
        <v>2018</v>
      </c>
      <c r="L4" s="38">
        <v>2019</v>
      </c>
      <c r="M4" s="38">
        <v>2020</v>
      </c>
      <c r="N4" s="38">
        <v>2021</v>
      </c>
      <c r="P4" s="38">
        <v>2010</v>
      </c>
      <c r="Q4" s="38">
        <v>2011</v>
      </c>
      <c r="R4" s="38">
        <v>2012</v>
      </c>
      <c r="S4" s="38">
        <v>2013</v>
      </c>
      <c r="T4" s="38">
        <v>2014</v>
      </c>
      <c r="U4" s="38">
        <v>2015</v>
      </c>
      <c r="V4" s="38">
        <v>2016</v>
      </c>
      <c r="W4" s="38">
        <v>2017</v>
      </c>
      <c r="X4" s="38">
        <v>2018</v>
      </c>
      <c r="Y4" s="38">
        <v>2019</v>
      </c>
      <c r="Z4" s="38">
        <v>2020</v>
      </c>
      <c r="AA4" s="38">
        <v>2021</v>
      </c>
    </row>
    <row r="5" spans="1:27" x14ac:dyDescent="0.35">
      <c r="A5" s="38" t="s">
        <v>30</v>
      </c>
      <c r="B5" s="38" t="s">
        <v>31</v>
      </c>
      <c r="C5" s="38">
        <v>1850.1890000000001</v>
      </c>
      <c r="D5" s="38">
        <v>5867.44</v>
      </c>
      <c r="E5" s="38">
        <v>8983.1610000000001</v>
      </c>
      <c r="F5" s="38">
        <v>10485.252</v>
      </c>
      <c r="G5" s="38">
        <v>10050.769</v>
      </c>
      <c r="H5" s="38">
        <v>10625.929</v>
      </c>
      <c r="I5" s="38">
        <v>8747.0570000000007</v>
      </c>
      <c r="J5" s="38">
        <v>9520.0220000000008</v>
      </c>
      <c r="K5" s="38">
        <v>9488.3109999999997</v>
      </c>
      <c r="L5" s="38">
        <v>10745.724</v>
      </c>
      <c r="M5" s="38">
        <v>11470.637000000001</v>
      </c>
      <c r="N5" s="38">
        <v>14101.138000000001</v>
      </c>
      <c r="P5" s="9">
        <f>C5/$C$8</f>
        <v>0.4176563923907618</v>
      </c>
      <c r="Q5" s="9">
        <f>D5/$D$8</f>
        <v>0.73529728746150846</v>
      </c>
      <c r="R5" s="9">
        <f>E5/$E$8</f>
        <v>0.8235573519534819</v>
      </c>
      <c r="S5" s="9">
        <f>F5/$F$8</f>
        <v>0.86033804031274042</v>
      </c>
      <c r="T5" s="9">
        <f>G5/$G$8</f>
        <v>0.76334952497849295</v>
      </c>
      <c r="U5" s="9">
        <f>H5/$H$8</f>
        <v>0.71415387020418708</v>
      </c>
      <c r="V5" s="9">
        <f>I5/$I$8</f>
        <v>0.51843984939678356</v>
      </c>
      <c r="W5" s="9">
        <f>J5/$J$8</f>
        <v>0.54626454038658689</v>
      </c>
      <c r="X5" s="9">
        <f>K5/$K$8</f>
        <v>0.53271242854052525</v>
      </c>
      <c r="Y5" s="9">
        <f>L5/$L$8</f>
        <v>0.60794080701830411</v>
      </c>
      <c r="Z5" s="9">
        <f>M5/$M$8</f>
        <v>0.64702685390256798</v>
      </c>
      <c r="AA5" s="9">
        <f>N5/$N$8</f>
        <v>0.7708809605473097</v>
      </c>
    </row>
    <row r="6" spans="1:27" x14ac:dyDescent="0.35">
      <c r="A6" s="38" t="s">
        <v>32</v>
      </c>
      <c r="B6" s="38" t="s">
        <v>31</v>
      </c>
      <c r="C6" s="38">
        <v>360.59100000000001</v>
      </c>
      <c r="D6" s="38">
        <v>233.10499999999999</v>
      </c>
      <c r="E6" s="38">
        <v>129.85900000000001</v>
      </c>
      <c r="F6" s="38">
        <v>169.185</v>
      </c>
      <c r="G6" s="38">
        <v>288.95800000000003</v>
      </c>
      <c r="H6" s="38">
        <v>323.84199999999998</v>
      </c>
      <c r="I6" s="38">
        <v>478.85599999999999</v>
      </c>
      <c r="J6" s="38">
        <v>984.22199999999998</v>
      </c>
      <c r="K6" s="38">
        <v>902.447</v>
      </c>
      <c r="L6" s="38">
        <v>785.71699999999998</v>
      </c>
      <c r="M6" s="38">
        <v>534.68100000000004</v>
      </c>
      <c r="N6" s="38">
        <v>324.08600000000001</v>
      </c>
      <c r="P6" s="9">
        <f t="shared" ref="P6:P8" si="0">C6/$C$8</f>
        <v>8.1398784766625029E-2</v>
      </c>
      <c r="Q6" s="9">
        <f t="shared" ref="Q6:Q8" si="1">D6/$D$8</f>
        <v>2.9212309660382543E-2</v>
      </c>
      <c r="R6" s="9">
        <f t="shared" ref="R6:R8" si="2">E6/$E$8</f>
        <v>1.1905200649006202E-2</v>
      </c>
      <c r="S6" s="9">
        <f t="shared" ref="S6:S8" si="3">F6/$F$8</f>
        <v>1.3882002201788854E-2</v>
      </c>
      <c r="T6" s="9">
        <f t="shared" ref="T6:T8" si="4">G6/$G$8</f>
        <v>2.1946176659590463E-2</v>
      </c>
      <c r="U6" s="9">
        <f t="shared" ref="U6:U8" si="5">H6/$H$8</f>
        <v>2.1764969221483067E-2</v>
      </c>
      <c r="V6" s="9">
        <f t="shared" ref="V6:V8" si="6">I6/$I$8</f>
        <v>2.8381892620883361E-2</v>
      </c>
      <c r="W6" s="9">
        <f t="shared" ref="W6:W8" si="7">J6/$J$8</f>
        <v>5.6475245379513546E-2</v>
      </c>
      <c r="X6" s="9">
        <f t="shared" ref="X6:X8" si="8">K6/$K$8</f>
        <v>5.0667050542410698E-2</v>
      </c>
      <c r="Y6" s="9">
        <f t="shared" ref="Y6:Y8" si="9">L6/$L$8</f>
        <v>4.4452046885626401E-2</v>
      </c>
      <c r="Z6" s="9">
        <f t="shared" ref="Z6:Z8" si="10">M6/$M$8</f>
        <v>3.0159873882459966E-2</v>
      </c>
      <c r="AA6" s="9">
        <f t="shared" ref="AA6:AA8" si="11">N6/$N$8</f>
        <v>1.7717132261235613E-2</v>
      </c>
    </row>
    <row r="7" spans="1:27" x14ac:dyDescent="0.35">
      <c r="A7" s="38" t="s">
        <v>33</v>
      </c>
      <c r="B7" s="38" t="s">
        <v>31</v>
      </c>
      <c r="C7" s="38">
        <v>2219.1509999999998</v>
      </c>
      <c r="D7" s="38">
        <v>1879.1389999999999</v>
      </c>
      <c r="E7" s="38">
        <v>1794.7339999999999</v>
      </c>
      <c r="F7" s="38">
        <v>1532.9259999999999</v>
      </c>
      <c r="G7" s="38">
        <v>2826.94</v>
      </c>
      <c r="H7" s="38">
        <v>3929.2759999999998</v>
      </c>
      <c r="I7" s="38">
        <v>7645.9709999999995</v>
      </c>
      <c r="J7" s="38">
        <v>6923.25</v>
      </c>
      <c r="K7" s="38">
        <v>7420.5609999999997</v>
      </c>
      <c r="L7" s="38">
        <v>6144.1679999999997</v>
      </c>
      <c r="M7" s="38">
        <v>5722.9059999999999</v>
      </c>
      <c r="N7" s="38">
        <v>3867.0140000000001</v>
      </c>
      <c r="P7" s="9">
        <f t="shared" si="0"/>
        <v>0.50094482284261299</v>
      </c>
      <c r="Q7" s="9">
        <f t="shared" si="1"/>
        <v>0.23549040287810896</v>
      </c>
      <c r="R7" s="9">
        <f t="shared" si="2"/>
        <v>0.16453744739751189</v>
      </c>
      <c r="S7" s="9">
        <f t="shared" si="3"/>
        <v>0.1257799574854708</v>
      </c>
      <c r="T7" s="9">
        <f t="shared" si="4"/>
        <v>0.21470429836191648</v>
      </c>
      <c r="U7" s="9">
        <f t="shared" si="5"/>
        <v>0.26408116057432979</v>
      </c>
      <c r="V7" s="9">
        <f t="shared" si="6"/>
        <v>0.45317825798233324</v>
      </c>
      <c r="W7" s="9">
        <f t="shared" si="7"/>
        <v>0.39726021423389962</v>
      </c>
      <c r="X7" s="9">
        <f t="shared" si="8"/>
        <v>0.41662052091706403</v>
      </c>
      <c r="Y7" s="9">
        <f t="shared" si="9"/>
        <v>0.34760714609606941</v>
      </c>
      <c r="Z7" s="9">
        <f t="shared" si="10"/>
        <v>0.32281327221497197</v>
      </c>
      <c r="AA7" s="9">
        <f t="shared" si="11"/>
        <v>0.21140190719145463</v>
      </c>
    </row>
    <row r="8" spans="1:27" x14ac:dyDescent="0.35">
      <c r="A8" s="38" t="s">
        <v>34</v>
      </c>
      <c r="B8" s="38" t="s">
        <v>31</v>
      </c>
      <c r="C8" s="38">
        <v>4429.9310000000005</v>
      </c>
      <c r="D8" s="38">
        <v>7979.6839999999993</v>
      </c>
      <c r="E8" s="38">
        <v>10907.754000000001</v>
      </c>
      <c r="F8" s="38">
        <v>12187.362999999999</v>
      </c>
      <c r="G8" s="38">
        <v>13166.667000000001</v>
      </c>
      <c r="H8" s="38">
        <v>14879.047</v>
      </c>
      <c r="I8" s="38">
        <v>16871.883999999998</v>
      </c>
      <c r="J8" s="38">
        <v>17427.493999999999</v>
      </c>
      <c r="K8" s="38">
        <v>17811.319</v>
      </c>
      <c r="L8" s="38">
        <v>17675.609</v>
      </c>
      <c r="M8" s="38">
        <v>17728.224000000002</v>
      </c>
      <c r="N8" s="38">
        <v>18292.238000000001</v>
      </c>
      <c r="P8" s="9">
        <f t="shared" si="0"/>
        <v>1</v>
      </c>
      <c r="Q8" s="9">
        <f t="shared" si="1"/>
        <v>1</v>
      </c>
      <c r="R8" s="9">
        <f t="shared" si="2"/>
        <v>1</v>
      </c>
      <c r="S8" s="9">
        <f t="shared" si="3"/>
        <v>1</v>
      </c>
      <c r="T8" s="9">
        <f t="shared" si="4"/>
        <v>1</v>
      </c>
      <c r="U8" s="9">
        <f t="shared" si="5"/>
        <v>1</v>
      </c>
      <c r="V8" s="9">
        <f t="shared" si="6"/>
        <v>1</v>
      </c>
      <c r="W8" s="9">
        <f t="shared" si="7"/>
        <v>1</v>
      </c>
      <c r="X8" s="9">
        <f t="shared" si="8"/>
        <v>1</v>
      </c>
      <c r="Y8" s="9">
        <f t="shared" si="9"/>
        <v>1</v>
      </c>
      <c r="Z8" s="9">
        <f t="shared" si="10"/>
        <v>1</v>
      </c>
      <c r="AA8" s="9">
        <f t="shared" si="11"/>
        <v>1</v>
      </c>
    </row>
    <row r="10" spans="1:27" x14ac:dyDescent="0.35">
      <c r="A10" t="s">
        <v>55</v>
      </c>
    </row>
    <row r="11" spans="1:27" x14ac:dyDescent="0.35">
      <c r="A11" s="38" t="s">
        <v>39</v>
      </c>
      <c r="B11" s="39" t="s">
        <v>40</v>
      </c>
      <c r="C11" s="38">
        <v>2010</v>
      </c>
      <c r="D11" s="38">
        <v>2011</v>
      </c>
      <c r="E11" s="38">
        <v>2012</v>
      </c>
      <c r="F11" s="38">
        <v>2013</v>
      </c>
      <c r="G11" s="38">
        <v>2014</v>
      </c>
      <c r="H11" s="38">
        <v>2015</v>
      </c>
      <c r="I11" s="38">
        <v>2016</v>
      </c>
      <c r="J11" s="38">
        <v>2017</v>
      </c>
      <c r="K11" s="38">
        <v>2018</v>
      </c>
      <c r="L11" s="38">
        <v>2019</v>
      </c>
      <c r="M11" s="38">
        <v>2020</v>
      </c>
      <c r="N11" s="38">
        <v>2021</v>
      </c>
    </row>
    <row r="12" spans="1:27" x14ac:dyDescent="0.35">
      <c r="A12" s="38" t="s">
        <v>41</v>
      </c>
      <c r="B12" s="39" t="s">
        <v>42</v>
      </c>
      <c r="C12" s="38">
        <v>15495.859</v>
      </c>
      <c r="D12" s="36">
        <v>14843.879000000001</v>
      </c>
      <c r="E12" s="36">
        <v>16772.744999999999</v>
      </c>
      <c r="F12" s="36">
        <v>15149.947</v>
      </c>
      <c r="G12" s="36">
        <v>15264.393999999957</v>
      </c>
      <c r="H12" s="36">
        <v>14559.014999999967</v>
      </c>
      <c r="I12" s="36">
        <v>14275.878000000012</v>
      </c>
      <c r="J12" s="36">
        <v>12830.535999999987</v>
      </c>
      <c r="K12" s="36">
        <v>10634.849</v>
      </c>
      <c r="L12" s="36">
        <v>10772.677000000001</v>
      </c>
      <c r="M12" s="36">
        <v>9599.8950000000004</v>
      </c>
      <c r="N12" s="38"/>
    </row>
    <row r="13" spans="1:27" x14ac:dyDescent="0.35">
      <c r="A13" s="38" t="s">
        <v>43</v>
      </c>
      <c r="B13" s="39" t="s">
        <v>44</v>
      </c>
      <c r="C13" s="38">
        <v>3.879</v>
      </c>
      <c r="D13" s="36">
        <v>4.0309999999999997</v>
      </c>
      <c r="E13" s="36">
        <v>1.575</v>
      </c>
      <c r="F13" s="36">
        <v>1.153</v>
      </c>
      <c r="G13" s="36">
        <v>11.542</v>
      </c>
      <c r="H13" s="36">
        <v>9.4429999999999996</v>
      </c>
      <c r="I13" s="36">
        <v>4.3040000000000003</v>
      </c>
      <c r="J13" s="36">
        <v>0.754</v>
      </c>
      <c r="K13" s="36">
        <v>5.3999999999999999E-2</v>
      </c>
      <c r="L13" s="36">
        <v>0.114</v>
      </c>
      <c r="M13" s="36">
        <v>2.0369999999999999</v>
      </c>
      <c r="N13" s="38"/>
    </row>
    <row r="14" spans="1:27" ht="29" x14ac:dyDescent="0.35">
      <c r="A14" s="38" t="s">
        <v>45</v>
      </c>
      <c r="B14" s="39" t="s">
        <v>46</v>
      </c>
      <c r="C14" s="38">
        <v>0</v>
      </c>
      <c r="D14" s="36">
        <v>8.0000000000000002E-3</v>
      </c>
      <c r="E14" s="36">
        <v>3.0000000000000001E-3</v>
      </c>
      <c r="F14" s="36">
        <v>0</v>
      </c>
      <c r="G14" s="36">
        <v>7.0000000000000001E-3</v>
      </c>
      <c r="H14" s="36">
        <v>0</v>
      </c>
      <c r="I14" s="36">
        <v>1E-3</v>
      </c>
      <c r="J14" s="36">
        <v>0</v>
      </c>
      <c r="K14" s="36">
        <v>0</v>
      </c>
      <c r="L14" s="36">
        <v>0</v>
      </c>
      <c r="M14" s="36">
        <v>0</v>
      </c>
      <c r="N14" s="38"/>
    </row>
    <row r="15" spans="1:27" ht="29" x14ac:dyDescent="0.35">
      <c r="A15" s="38" t="s">
        <v>47</v>
      </c>
      <c r="B15" s="39" t="s">
        <v>48</v>
      </c>
      <c r="C15" s="38">
        <v>7.601</v>
      </c>
      <c r="D15" s="36">
        <v>2.726</v>
      </c>
      <c r="E15" s="36">
        <v>5.532</v>
      </c>
      <c r="F15" s="36">
        <v>2.6459999999999999</v>
      </c>
      <c r="G15" s="36">
        <v>1.7609999999999999</v>
      </c>
      <c r="H15" s="36">
        <v>3.012</v>
      </c>
      <c r="I15" s="36">
        <v>3.3929999999999993</v>
      </c>
      <c r="J15" s="36">
        <v>1.9319999999999999</v>
      </c>
      <c r="K15" s="36">
        <v>25.155000000000001</v>
      </c>
      <c r="L15" s="36">
        <v>0.76100000000000001</v>
      </c>
      <c r="M15" s="36">
        <v>0.16800000000000001</v>
      </c>
      <c r="N15" s="38"/>
    </row>
    <row r="16" spans="1:27" ht="29" x14ac:dyDescent="0.35">
      <c r="A16" s="38" t="s">
        <v>49</v>
      </c>
      <c r="B16" s="39" t="s">
        <v>50</v>
      </c>
      <c r="C16" s="38">
        <v>188.46799999999999</v>
      </c>
      <c r="D16" s="36">
        <v>311.96100000000001</v>
      </c>
      <c r="E16" s="36">
        <v>312.9249999999999</v>
      </c>
      <c r="F16" s="36">
        <v>300.11599999999999</v>
      </c>
      <c r="G16" s="36">
        <v>327.52800000000002</v>
      </c>
      <c r="H16" s="36">
        <v>161.35599999999999</v>
      </c>
      <c r="I16" s="36">
        <v>151.501</v>
      </c>
      <c r="J16" s="36">
        <v>20.71</v>
      </c>
      <c r="K16" s="36">
        <v>12.992000000000001</v>
      </c>
      <c r="L16" s="36">
        <v>15.13</v>
      </c>
      <c r="M16" s="36">
        <v>8.0289999999999999</v>
      </c>
      <c r="N16" s="38"/>
    </row>
    <row r="17" spans="1:20" ht="101.5" x14ac:dyDescent="0.35">
      <c r="A17" s="38" t="s">
        <v>51</v>
      </c>
      <c r="B17" s="39" t="s">
        <v>52</v>
      </c>
      <c r="C17" s="38">
        <v>12.326000000000001</v>
      </c>
      <c r="D17" s="36">
        <v>28.28</v>
      </c>
      <c r="E17" s="36">
        <v>191.19499999999999</v>
      </c>
      <c r="F17" s="36">
        <v>24.775999999999499</v>
      </c>
      <c r="G17" s="36">
        <v>23.620999999999999</v>
      </c>
      <c r="H17" s="36">
        <v>22.042999999999999</v>
      </c>
      <c r="I17" s="36">
        <v>17.61399999999999</v>
      </c>
      <c r="J17" s="36">
        <v>6.7629999999999999</v>
      </c>
      <c r="K17" s="36">
        <v>11.022</v>
      </c>
      <c r="L17" s="36">
        <v>50.000999999999998</v>
      </c>
      <c r="M17" s="36">
        <v>24.407</v>
      </c>
      <c r="N17" s="38"/>
    </row>
    <row r="18" spans="1:20" ht="58" x14ac:dyDescent="0.35">
      <c r="A18" s="38" t="s">
        <v>53</v>
      </c>
      <c r="B18" s="39" t="s">
        <v>54</v>
      </c>
      <c r="C18" s="38">
        <v>13.577999999999999</v>
      </c>
      <c r="D18" s="36">
        <v>16.366999999999994</v>
      </c>
      <c r="E18" s="36">
        <v>131.21799999999999</v>
      </c>
      <c r="F18" s="36">
        <v>242.30200000000002</v>
      </c>
      <c r="G18" s="36">
        <v>116.607</v>
      </c>
      <c r="H18" s="36">
        <v>119.80899999999495</v>
      </c>
      <c r="I18" s="36">
        <v>200.66499999999937</v>
      </c>
      <c r="J18" s="36">
        <v>212.46399999999988</v>
      </c>
      <c r="K18" s="36">
        <v>238.221</v>
      </c>
      <c r="L18" s="36">
        <v>234.75399999999999</v>
      </c>
      <c r="M18" s="36">
        <v>249.52600000000001</v>
      </c>
      <c r="N18" s="38"/>
    </row>
    <row r="19" spans="1:20" x14ac:dyDescent="0.35">
      <c r="A19" s="38"/>
      <c r="B19" s="38"/>
      <c r="C19" s="38">
        <v>15721.711000000001</v>
      </c>
      <c r="D19" s="37">
        <f t="shared" ref="D19:M19" si="12">SUM(D12:D18)</f>
        <v>15207.252000000002</v>
      </c>
      <c r="E19" s="37">
        <f t="shared" si="12"/>
        <v>17415.192999999999</v>
      </c>
      <c r="F19" s="37">
        <f t="shared" si="12"/>
        <v>15720.94</v>
      </c>
      <c r="G19" s="37">
        <f t="shared" si="12"/>
        <v>15745.459999999955</v>
      </c>
      <c r="H19" s="37">
        <f t="shared" si="12"/>
        <v>14874.677999999962</v>
      </c>
      <c r="I19" s="37">
        <f t="shared" si="12"/>
        <v>14653.356000000011</v>
      </c>
      <c r="J19" s="37">
        <f t="shared" si="12"/>
        <v>13073.158999999989</v>
      </c>
      <c r="K19" s="37">
        <f t="shared" si="12"/>
        <v>10922.293000000001</v>
      </c>
      <c r="L19" s="37">
        <f t="shared" si="12"/>
        <v>11073.437000000002</v>
      </c>
      <c r="M19" s="37">
        <f t="shared" si="12"/>
        <v>9884.0619999999999</v>
      </c>
      <c r="N19" s="38"/>
    </row>
    <row r="20" spans="1:20" ht="15" thickBot="1" x14ac:dyDescent="0.4"/>
    <row r="21" spans="1:20" ht="15" thickBot="1" x14ac:dyDescent="0.4">
      <c r="A21" s="66" t="s">
        <v>61</v>
      </c>
      <c r="B21" s="67"/>
      <c r="C21" s="67"/>
      <c r="D21" s="67"/>
      <c r="E21" s="67"/>
      <c r="F21" s="67"/>
      <c r="G21" s="67"/>
      <c r="H21" s="67"/>
      <c r="I21" s="67"/>
      <c r="J21" s="68"/>
    </row>
    <row r="22" spans="1:20" ht="15" thickBot="1" x14ac:dyDescent="0.4">
      <c r="A22" s="40" t="s">
        <v>56</v>
      </c>
      <c r="B22" s="41">
        <v>2012</v>
      </c>
      <c r="C22" s="41">
        <v>2013</v>
      </c>
      <c r="D22" s="41">
        <v>2014</v>
      </c>
      <c r="E22" s="42">
        <v>2015</v>
      </c>
      <c r="F22" s="42">
        <v>2016</v>
      </c>
      <c r="G22" s="42">
        <v>2017</v>
      </c>
      <c r="H22" s="42">
        <v>2018</v>
      </c>
      <c r="I22" s="42">
        <v>2019</v>
      </c>
      <c r="J22" s="42">
        <v>2020</v>
      </c>
    </row>
    <row r="23" spans="1:20" ht="15" thickBot="1" x14ac:dyDescent="0.4">
      <c r="A23" s="43" t="s">
        <v>57</v>
      </c>
      <c r="B23" s="44">
        <v>9.3000000000000007</v>
      </c>
      <c r="C23" s="44">
        <v>16.8</v>
      </c>
      <c r="D23" s="44">
        <v>8.1999999999999993</v>
      </c>
      <c r="E23" s="45">
        <v>21.1</v>
      </c>
      <c r="F23" s="45">
        <v>3.6</v>
      </c>
      <c r="G23" s="45">
        <v>2.2000000000000002</v>
      </c>
      <c r="H23" s="45">
        <v>0.9</v>
      </c>
      <c r="I23" s="45">
        <v>3.2</v>
      </c>
      <c r="J23" s="45">
        <v>4.2</v>
      </c>
    </row>
    <row r="24" spans="1:20" ht="15" thickBot="1" x14ac:dyDescent="0.4">
      <c r="A24" s="43" t="s">
        <v>58</v>
      </c>
      <c r="B24" s="45">
        <v>0.3</v>
      </c>
      <c r="C24" s="45">
        <v>0.9</v>
      </c>
      <c r="D24" s="45">
        <v>0.3</v>
      </c>
      <c r="E24" s="45">
        <v>0.5</v>
      </c>
      <c r="F24" s="45">
        <v>0.4</v>
      </c>
      <c r="G24" s="45">
        <v>0</v>
      </c>
      <c r="H24" s="45">
        <v>0</v>
      </c>
      <c r="I24" s="45">
        <v>0</v>
      </c>
      <c r="J24" s="45">
        <v>0</v>
      </c>
    </row>
    <row r="25" spans="1:20" ht="15" thickBot="1" x14ac:dyDescent="0.4">
      <c r="A25" s="46" t="s">
        <v>59</v>
      </c>
      <c r="B25" s="45">
        <v>10.7</v>
      </c>
      <c r="C25" s="45">
        <v>21</v>
      </c>
      <c r="D25" s="47">
        <v>12.6</v>
      </c>
      <c r="E25" s="48">
        <v>13.3</v>
      </c>
      <c r="F25" s="48">
        <v>18.899999999999999</v>
      </c>
      <c r="G25" s="48">
        <v>23.3</v>
      </c>
      <c r="H25" s="48">
        <v>26.3</v>
      </c>
      <c r="I25" s="48">
        <v>30.1</v>
      </c>
      <c r="J25" s="49">
        <v>34.9</v>
      </c>
    </row>
    <row r="26" spans="1:20" ht="15" thickBot="1" x14ac:dyDescent="0.4">
      <c r="A26" s="50" t="s">
        <v>60</v>
      </c>
      <c r="B26" s="51">
        <f>SUM(B23:B25)</f>
        <v>20.3</v>
      </c>
      <c r="C26" s="51">
        <f t="shared" ref="C26:J26" si="13">SUM(C23:C25)</f>
        <v>38.700000000000003</v>
      </c>
      <c r="D26" s="51">
        <f t="shared" si="13"/>
        <v>21.1</v>
      </c>
      <c r="E26" s="51">
        <f t="shared" si="13"/>
        <v>34.900000000000006</v>
      </c>
      <c r="F26" s="51">
        <f t="shared" si="13"/>
        <v>22.9</v>
      </c>
      <c r="G26" s="51">
        <f t="shared" si="13"/>
        <v>25.5</v>
      </c>
      <c r="H26" s="51">
        <f t="shared" si="13"/>
        <v>27.2</v>
      </c>
      <c r="I26" s="51">
        <f t="shared" si="13"/>
        <v>33.300000000000004</v>
      </c>
      <c r="J26" s="51">
        <f t="shared" si="13"/>
        <v>39.1</v>
      </c>
    </row>
    <row r="29" spans="1:20" x14ac:dyDescent="0.35">
      <c r="A29" s="38" t="s">
        <v>70</v>
      </c>
      <c r="B29" s="38">
        <v>2010</v>
      </c>
      <c r="C29" s="38">
        <v>2011</v>
      </c>
      <c r="D29" s="38">
        <v>2012</v>
      </c>
      <c r="E29" s="38">
        <v>2013</v>
      </c>
      <c r="F29" s="38">
        <v>2014</v>
      </c>
      <c r="G29" s="38">
        <v>2015</v>
      </c>
      <c r="H29" s="38">
        <v>2016</v>
      </c>
      <c r="I29" s="38">
        <v>2017</v>
      </c>
      <c r="J29" s="38">
        <v>2018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</row>
    <row r="30" spans="1:20" x14ac:dyDescent="0.35">
      <c r="A30" s="38" t="s">
        <v>62</v>
      </c>
      <c r="B30" s="38">
        <v>1641.8</v>
      </c>
      <c r="C30" s="38">
        <v>2176.6</v>
      </c>
      <c r="D30" s="38">
        <v>2464.9</v>
      </c>
      <c r="E30" s="38">
        <v>2424.8000000000002</v>
      </c>
      <c r="F30" s="38">
        <v>2134.6</v>
      </c>
      <c r="G30" s="38">
        <v>2477.4</v>
      </c>
      <c r="H30" s="38">
        <v>2033.3</v>
      </c>
      <c r="I30" s="38">
        <v>2347.6</v>
      </c>
      <c r="J30" s="38">
        <v>2351.6</v>
      </c>
      <c r="L30" s="8">
        <v>0.68905023712594959</v>
      </c>
      <c r="M30" s="8">
        <v>0.71889553126135342</v>
      </c>
      <c r="N30" s="8">
        <v>0.68859649122807021</v>
      </c>
      <c r="O30" s="8">
        <v>0.66981575094610657</v>
      </c>
      <c r="P30" s="8">
        <v>0.63148241280359729</v>
      </c>
      <c r="Q30" s="8">
        <v>0.70141562853907136</v>
      </c>
      <c r="R30" s="8">
        <v>0.69386431886431887</v>
      </c>
      <c r="S30" s="8">
        <v>0.67562667280628552</v>
      </c>
      <c r="T30" s="8">
        <v>0.73669371260298877</v>
      </c>
    </row>
    <row r="31" spans="1:20" x14ac:dyDescent="0.35">
      <c r="A31" s="38" t="s">
        <v>63</v>
      </c>
      <c r="B31" s="38">
        <v>31.5</v>
      </c>
      <c r="C31" s="38">
        <v>33.4</v>
      </c>
      <c r="D31" s="38">
        <v>84.6</v>
      </c>
      <c r="E31" s="38">
        <v>81.400000000000006</v>
      </c>
      <c r="F31" s="38">
        <v>81.099999999999994</v>
      </c>
      <c r="G31" s="38">
        <v>73.099999999999994</v>
      </c>
      <c r="H31" s="38">
        <v>48.2</v>
      </c>
      <c r="I31" s="38">
        <v>51.2</v>
      </c>
      <c r="J31" s="38">
        <v>36.200000000000003</v>
      </c>
      <c r="L31" s="8">
        <v>1.3220296302513956E-2</v>
      </c>
      <c r="M31" s="8">
        <v>1.1031476037916569E-2</v>
      </c>
      <c r="N31" s="8">
        <v>2.3633925578276902E-2</v>
      </c>
      <c r="O31" s="8">
        <v>2.248556669705257E-2</v>
      </c>
      <c r="P31" s="8">
        <v>2.3991953376919208E-2</v>
      </c>
      <c r="Q31" s="8">
        <v>2.0696489241223102E-2</v>
      </c>
      <c r="R31" s="8">
        <v>1.6448266448266448E-2</v>
      </c>
      <c r="S31" s="8">
        <v>1.4735085043313095E-2</v>
      </c>
      <c r="T31" s="8">
        <v>1.1340496851602396E-2</v>
      </c>
    </row>
    <row r="32" spans="1:20" x14ac:dyDescent="0.35">
      <c r="A32" s="38" t="s">
        <v>64</v>
      </c>
      <c r="B32" s="38">
        <v>130</v>
      </c>
      <c r="C32" s="38">
        <v>164.4</v>
      </c>
      <c r="D32" s="38">
        <v>179.1</v>
      </c>
      <c r="E32" s="38">
        <v>195.7</v>
      </c>
      <c r="F32" s="38">
        <v>174.1</v>
      </c>
      <c r="G32" s="38">
        <v>180.8</v>
      </c>
      <c r="H32" s="38">
        <v>170.2</v>
      </c>
      <c r="I32" s="38">
        <v>182.8</v>
      </c>
      <c r="J32" s="38">
        <v>114.6</v>
      </c>
      <c r="L32" s="8">
        <v>5.4559952994502038E-2</v>
      </c>
      <c r="M32" s="8">
        <v>5.4298642533936646E-2</v>
      </c>
      <c r="N32" s="8">
        <v>5.0033523298692588E-2</v>
      </c>
      <c r="O32" s="8">
        <v>5.4059280130383136E-2</v>
      </c>
      <c r="P32" s="8">
        <v>5.1504304351684765E-2</v>
      </c>
      <c r="Q32" s="8">
        <v>5.1189127972819937E-2</v>
      </c>
      <c r="R32" s="8">
        <v>5.8080808080808073E-2</v>
      </c>
      <c r="S32" s="8">
        <v>5.2608858318703787E-2</v>
      </c>
      <c r="T32" s="8">
        <v>3.5901130916951227E-2</v>
      </c>
    </row>
    <row r="33" spans="1:20" x14ac:dyDescent="0.35">
      <c r="A33" s="38" t="s">
        <v>65</v>
      </c>
      <c r="B33" s="38">
        <v>244.1</v>
      </c>
      <c r="C33" s="38">
        <v>215</v>
      </c>
      <c r="D33" s="38">
        <v>241.2</v>
      </c>
      <c r="E33" s="38">
        <v>274.7</v>
      </c>
      <c r="F33" s="38">
        <v>250</v>
      </c>
      <c r="G33" s="38">
        <v>248.7</v>
      </c>
      <c r="H33" s="38">
        <v>196.3</v>
      </c>
      <c r="I33" s="38">
        <v>206.2</v>
      </c>
      <c r="J33" s="38">
        <v>135.1</v>
      </c>
      <c r="L33" s="8">
        <v>0.10244680404583037</v>
      </c>
      <c r="M33" s="8">
        <v>7.1010998447666535E-2</v>
      </c>
      <c r="N33" s="8">
        <v>6.7381830372108611E-2</v>
      </c>
      <c r="O33" s="8">
        <v>7.5881881715974694E-2</v>
      </c>
      <c r="P33" s="8">
        <v>7.3957932727864398E-2</v>
      </c>
      <c r="Q33" s="8">
        <v>7.0413363533408824E-2</v>
      </c>
      <c r="R33" s="8">
        <v>6.6987441987441984E-2</v>
      </c>
      <c r="S33" s="8">
        <v>5.9343252654905469E-2</v>
      </c>
      <c r="T33" s="8">
        <v>4.2323235487610043E-2</v>
      </c>
    </row>
    <row r="34" spans="1:20" x14ac:dyDescent="0.35">
      <c r="A34" s="38" t="s">
        <v>66</v>
      </c>
      <c r="B34" s="38">
        <v>256.5</v>
      </c>
      <c r="C34" s="38">
        <v>347.5</v>
      </c>
      <c r="D34" s="38">
        <v>437.8</v>
      </c>
      <c r="E34" s="38">
        <v>449</v>
      </c>
      <c r="F34" s="38">
        <v>369.8</v>
      </c>
      <c r="G34" s="38">
        <v>370.1</v>
      </c>
      <c r="H34" s="38">
        <v>295.3</v>
      </c>
      <c r="I34" s="38">
        <v>479.6</v>
      </c>
      <c r="J34" s="38">
        <v>362.9</v>
      </c>
      <c r="L34" s="8">
        <v>0.10765098417761364</v>
      </c>
      <c r="M34" s="8">
        <v>0.11477359051425173</v>
      </c>
      <c r="N34" s="8">
        <v>0.12230416806347079</v>
      </c>
      <c r="O34" s="8">
        <v>0.12402972293583051</v>
      </c>
      <c r="P34" s="8">
        <v>0.10939857409105702</v>
      </c>
      <c r="Q34" s="8">
        <v>0.10478482446206117</v>
      </c>
      <c r="R34" s="8">
        <v>0.10077122577122577</v>
      </c>
      <c r="S34" s="8">
        <v>0.13802630442915939</v>
      </c>
      <c r="T34" s="8">
        <v>0.11368691457034555</v>
      </c>
    </row>
    <row r="35" spans="1:20" x14ac:dyDescent="0.35">
      <c r="A35" s="38" t="s">
        <v>67</v>
      </c>
      <c r="B35" s="38">
        <v>76.8</v>
      </c>
      <c r="C35" s="38">
        <v>88.3</v>
      </c>
      <c r="D35" s="38">
        <v>169.2</v>
      </c>
      <c r="E35" s="38">
        <v>171.4</v>
      </c>
      <c r="F35" s="38">
        <v>367.2</v>
      </c>
      <c r="G35" s="38">
        <v>180.4</v>
      </c>
      <c r="H35" s="38">
        <v>184.4</v>
      </c>
      <c r="I35" s="38">
        <v>206.1</v>
      </c>
      <c r="J35" s="38">
        <v>190.2</v>
      </c>
      <c r="L35" s="8">
        <v>3.2232341461367359E-2</v>
      </c>
      <c r="M35" s="8">
        <v>2.9164051920599791E-2</v>
      </c>
      <c r="N35" s="8">
        <v>4.7267851156553804E-2</v>
      </c>
      <c r="O35" s="8">
        <v>4.7346758376840423E-2</v>
      </c>
      <c r="P35" s="8">
        <v>0.10862941159068722</v>
      </c>
      <c r="Q35" s="8">
        <v>5.1075877689694224E-2</v>
      </c>
      <c r="R35" s="8">
        <v>6.2926562926562929E-2</v>
      </c>
      <c r="S35" s="8">
        <v>5.9314473191930249E-2</v>
      </c>
      <c r="T35" s="8">
        <v>5.9584599479966173E-2</v>
      </c>
    </row>
    <row r="36" spans="1:20" x14ac:dyDescent="0.35">
      <c r="A36" s="38" t="s">
        <v>68</v>
      </c>
      <c r="B36" s="38">
        <v>2</v>
      </c>
      <c r="C36" s="38">
        <v>2.5</v>
      </c>
      <c r="D36" s="38">
        <v>2.8</v>
      </c>
      <c r="E36" s="38">
        <v>23.1</v>
      </c>
      <c r="F36" s="38">
        <v>3.5</v>
      </c>
      <c r="G36" s="38">
        <v>1.5</v>
      </c>
      <c r="H36" s="38">
        <v>2.7</v>
      </c>
      <c r="I36" s="38">
        <v>1.2</v>
      </c>
      <c r="J36" s="38">
        <v>1.5</v>
      </c>
      <c r="L36" s="8">
        <v>8.393838922231083E-4</v>
      </c>
      <c r="M36" s="8">
        <v>8.2570928427519235E-4</v>
      </c>
      <c r="N36" s="8">
        <v>7.8221030282713151E-4</v>
      </c>
      <c r="O36" s="8">
        <v>6.3810391978122161E-3</v>
      </c>
      <c r="P36" s="8">
        <v>1.0354110581901016E-3</v>
      </c>
      <c r="Q36" s="8">
        <v>4.2468856172140431E-4</v>
      </c>
      <c r="R36" s="8">
        <v>9.2137592137592141E-4</v>
      </c>
      <c r="S36" s="8">
        <v>3.4535355570265063E-4</v>
      </c>
      <c r="T36" s="8">
        <v>4.6991009053601085E-4</v>
      </c>
    </row>
    <row r="37" spans="1:20" x14ac:dyDescent="0.35">
      <c r="A37" s="38" t="s">
        <v>69</v>
      </c>
      <c r="B37" s="38">
        <v>2382.6999999999998</v>
      </c>
      <c r="C37" s="38">
        <v>3027.7000000000003</v>
      </c>
      <c r="D37" s="38">
        <v>3579.6</v>
      </c>
      <c r="E37" s="38">
        <v>3620.1</v>
      </c>
      <c r="F37" s="38">
        <v>3380.2999999999997</v>
      </c>
      <c r="G37" s="38">
        <v>3532</v>
      </c>
      <c r="H37" s="38">
        <v>2930.4</v>
      </c>
      <c r="I37" s="38">
        <v>3474.6999999999994</v>
      </c>
      <c r="J37" s="38">
        <v>3192.0999999999995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</row>
    <row r="39" spans="1:20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20" x14ac:dyDescent="0.35">
      <c r="A40" s="23"/>
      <c r="B40" s="23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3"/>
    </row>
    <row r="41" spans="1:20" x14ac:dyDescent="0.35">
      <c r="A41" s="23"/>
      <c r="B41" s="23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23"/>
    </row>
    <row r="42" spans="1:20" x14ac:dyDescent="0.35">
      <c r="A42" s="23"/>
      <c r="B42" s="23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23"/>
    </row>
    <row r="43" spans="1:20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20" x14ac:dyDescent="0.35">
      <c r="A44" s="23"/>
      <c r="B44" s="23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23"/>
    </row>
    <row r="45" spans="1:20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20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20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20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</sheetData>
  <mergeCells count="1">
    <mergeCell ref="A21:J2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6902-52D9-424C-95A1-6E4DAACC675A}">
  <dimension ref="A1:U36"/>
  <sheetViews>
    <sheetView workbookViewId="0">
      <selection activeCell="A24" sqref="A24"/>
    </sheetView>
  </sheetViews>
  <sheetFormatPr baseColWidth="10" defaultRowHeight="14.5" x14ac:dyDescent="0.35"/>
  <cols>
    <col min="1" max="1" width="34.453125" customWidth="1"/>
  </cols>
  <sheetData>
    <row r="1" spans="1:14" ht="15" thickBot="1" x14ac:dyDescent="0.4"/>
    <row r="2" spans="1:14" x14ac:dyDescent="0.35">
      <c r="A2" s="30" t="s">
        <v>35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14" x14ac:dyDescent="0.35">
      <c r="A3" s="15"/>
      <c r="B3" s="3"/>
      <c r="C3" s="3">
        <v>2010</v>
      </c>
      <c r="D3" s="3">
        <v>2011</v>
      </c>
      <c r="E3" s="3">
        <v>2012</v>
      </c>
      <c r="F3" s="3">
        <v>2013</v>
      </c>
      <c r="G3" s="3">
        <v>2014</v>
      </c>
      <c r="H3" s="3">
        <v>2015</v>
      </c>
      <c r="I3" s="3">
        <v>2016</v>
      </c>
      <c r="J3" s="3">
        <v>2017</v>
      </c>
      <c r="K3" s="3">
        <v>2018</v>
      </c>
      <c r="L3" s="3">
        <v>2019</v>
      </c>
      <c r="M3" s="3">
        <v>2020</v>
      </c>
      <c r="N3" s="16">
        <v>2021</v>
      </c>
    </row>
    <row r="4" spans="1:14" x14ac:dyDescent="0.35">
      <c r="A4" s="17" t="s">
        <v>30</v>
      </c>
      <c r="B4" s="4" t="s">
        <v>36</v>
      </c>
      <c r="C4" s="5">
        <f>18027.787+1071.461</f>
        <v>19099.248</v>
      </c>
      <c r="D4" s="5">
        <f>24989.205+1605.765</f>
        <v>26594.97</v>
      </c>
      <c r="E4" s="5">
        <f>23629.627+1384.041</f>
        <v>25013.668000000001</v>
      </c>
      <c r="F4" s="5">
        <f>18708.549+178.982</f>
        <v>18887.530999999999</v>
      </c>
      <c r="G4" s="5">
        <f>23603.049+31.781</f>
        <v>23634.829999999998</v>
      </c>
      <c r="H4" s="5">
        <f>23336.712+75.335</f>
        <v>23412.046999999999</v>
      </c>
      <c r="I4" s="5">
        <f>26747.444+0</f>
        <v>26747.444</v>
      </c>
      <c r="J4" s="5">
        <f>31844.098+155.409</f>
        <v>31999.507000000001</v>
      </c>
      <c r="K4" s="5">
        <f>31212.806+131.388</f>
        <v>31344.194</v>
      </c>
      <c r="L4" s="5">
        <v>60118.862000000001</v>
      </c>
      <c r="M4" s="5">
        <f>27810.044+480.99</f>
        <v>28291.034000000003</v>
      </c>
      <c r="N4" s="34">
        <v>1000007.977</v>
      </c>
    </row>
    <row r="5" spans="1:14" x14ac:dyDescent="0.35">
      <c r="A5" s="17" t="s">
        <v>32</v>
      </c>
      <c r="B5" s="4" t="s">
        <v>36</v>
      </c>
      <c r="C5" s="5">
        <f>454.472+303.36</f>
        <v>757.83199999999999</v>
      </c>
      <c r="D5" s="5">
        <f>298.436+303.84</f>
        <v>602.27599999999995</v>
      </c>
      <c r="E5" s="5">
        <f>506.28+326.166</f>
        <v>832.44599999999991</v>
      </c>
      <c r="F5" s="5">
        <f>466.353+308.33</f>
        <v>774.68299999999999</v>
      </c>
      <c r="G5" s="5">
        <f>197.078+0</f>
        <v>197.078</v>
      </c>
      <c r="H5" s="5">
        <v>361.351</v>
      </c>
      <c r="I5" s="5">
        <f>362.545+17.2</f>
        <v>379.745</v>
      </c>
      <c r="J5" s="5">
        <f>355.81+19.745</f>
        <v>375.55500000000001</v>
      </c>
      <c r="K5" s="5">
        <f>374.462 +15.512</f>
        <v>389.97399999999999</v>
      </c>
      <c r="L5" s="5">
        <f>472.645 +0.512</f>
        <v>473.15699999999998</v>
      </c>
      <c r="M5" s="5">
        <v>256.08199999999999</v>
      </c>
      <c r="N5" s="35">
        <f>310.609 +22.266</f>
        <v>332.875</v>
      </c>
    </row>
    <row r="6" spans="1:14" x14ac:dyDescent="0.35">
      <c r="A6" s="17" t="s">
        <v>33</v>
      </c>
      <c r="B6" s="4" t="s">
        <v>36</v>
      </c>
      <c r="C6" s="5">
        <f>309.912+65.66</f>
        <v>375.572</v>
      </c>
      <c r="D6" s="5">
        <f>84+42.11</f>
        <v>126.11</v>
      </c>
      <c r="E6" s="5">
        <f>134.184+108.366</f>
        <v>242.55</v>
      </c>
      <c r="F6" s="5">
        <f>71.279+61.457</f>
        <v>132.73599999999999</v>
      </c>
      <c r="G6" s="5">
        <f>260.538+132.48</f>
        <v>393.01800000000003</v>
      </c>
      <c r="H6" s="5">
        <f>77.715+105.04</f>
        <v>182.755</v>
      </c>
      <c r="I6" s="5">
        <f>115.58+104.591</f>
        <v>220.17099999999999</v>
      </c>
      <c r="J6" s="5">
        <f>142.9+45.643</f>
        <v>188.54300000000001</v>
      </c>
      <c r="K6" s="5">
        <f>156.029 +8.717</f>
        <v>164.74600000000001</v>
      </c>
      <c r="L6" s="5">
        <f>110.345 +26.713</f>
        <v>137.05799999999999</v>
      </c>
      <c r="M6" s="5">
        <f>138.545 +3.421</f>
        <v>141.96599999999998</v>
      </c>
      <c r="N6" s="35">
        <f>354.022 +49.777</f>
        <v>403.79899999999998</v>
      </c>
    </row>
    <row r="7" spans="1:14" x14ac:dyDescent="0.35">
      <c r="A7" s="20"/>
      <c r="B7" s="6"/>
      <c r="C7" s="7">
        <f>SUM(C4:C6)</f>
        <v>20232.651999999998</v>
      </c>
      <c r="D7" s="7">
        <f t="shared" ref="D7:N7" si="0">SUM(D4:D6)</f>
        <v>27323.356000000003</v>
      </c>
      <c r="E7" s="7">
        <f t="shared" si="0"/>
        <v>26088.664000000001</v>
      </c>
      <c r="F7" s="7">
        <f t="shared" si="0"/>
        <v>19794.95</v>
      </c>
      <c r="G7" s="7">
        <f t="shared" si="0"/>
        <v>24224.925999999999</v>
      </c>
      <c r="H7" s="7">
        <f t="shared" si="0"/>
        <v>23956.152999999998</v>
      </c>
      <c r="I7" s="7">
        <f t="shared" si="0"/>
        <v>27347.359999999997</v>
      </c>
      <c r="J7" s="7">
        <f t="shared" si="0"/>
        <v>32563.605000000003</v>
      </c>
      <c r="K7" s="7">
        <f t="shared" si="0"/>
        <v>31898.913999999997</v>
      </c>
      <c r="L7" s="7">
        <f t="shared" si="0"/>
        <v>60729.076999999997</v>
      </c>
      <c r="M7" s="7">
        <f t="shared" si="0"/>
        <v>28689.082000000002</v>
      </c>
      <c r="N7" s="21">
        <f t="shared" si="0"/>
        <v>1000744.651</v>
      </c>
    </row>
    <row r="8" spans="1:14" x14ac:dyDescent="0.35">
      <c r="A8" s="22" t="s">
        <v>37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1:14" x14ac:dyDescent="0.35">
      <c r="A9" s="17" t="s">
        <v>30</v>
      </c>
      <c r="B9" s="4" t="s">
        <v>36</v>
      </c>
      <c r="C9" s="9">
        <f>C4/$C$7</f>
        <v>0.9439814414837957</v>
      </c>
      <c r="D9" s="9">
        <f>D4/$D$7</f>
        <v>0.97334200088744582</v>
      </c>
      <c r="E9" s="9">
        <f>E4/$E$7</f>
        <v>0.95879451703621166</v>
      </c>
      <c r="F9" s="9">
        <f>F4/$F$7</f>
        <v>0.95415906582234344</v>
      </c>
      <c r="G9" s="9">
        <f>G4/$G$7</f>
        <v>0.9756409575822852</v>
      </c>
      <c r="H9" s="9">
        <f>H4/$H$7</f>
        <v>0.97728742173252947</v>
      </c>
      <c r="I9" s="9">
        <f>I4/$I$7</f>
        <v>0.97806311102790189</v>
      </c>
      <c r="J9" s="9">
        <f>J4/$J$7</f>
        <v>0.98267704082517882</v>
      </c>
      <c r="K9" s="9">
        <f>K4/$K$7</f>
        <v>0.98261006628626923</v>
      </c>
      <c r="L9" s="9">
        <f>L4/$L$7</f>
        <v>0.98995184794262558</v>
      </c>
      <c r="M9" s="9">
        <f>M4/$M$7</f>
        <v>0.98612545357847281</v>
      </c>
      <c r="N9" s="25">
        <f>N4/$N$7</f>
        <v>0.99926387415684526</v>
      </c>
    </row>
    <row r="10" spans="1:14" x14ac:dyDescent="0.35">
      <c r="A10" s="17" t="s">
        <v>32</v>
      </c>
      <c r="B10" s="4" t="s">
        <v>36</v>
      </c>
      <c r="C10" s="9">
        <f t="shared" ref="C10:C11" si="1">C5/$C$7</f>
        <v>3.7455890606925876E-2</v>
      </c>
      <c r="D10" s="9">
        <f t="shared" ref="D10:D11" si="2">D5/$D$7</f>
        <v>2.2042533867362407E-2</v>
      </c>
      <c r="E10" s="9">
        <f t="shared" ref="E10:E11" si="3">E5/$E$7</f>
        <v>3.1908341492688161E-2</v>
      </c>
      <c r="F10" s="9">
        <f t="shared" ref="F10:F11" si="4">F5/$F$7</f>
        <v>3.9135385540251429E-2</v>
      </c>
      <c r="G10" s="9">
        <f t="shared" ref="G10:G11" si="5">G5/$G$7</f>
        <v>8.1353396084677416E-3</v>
      </c>
      <c r="H10" s="9">
        <f t="shared" ref="H10:H11" si="6">H5/$H$7</f>
        <v>1.5083849230717471E-2</v>
      </c>
      <c r="I10" s="9">
        <f t="shared" ref="I10:I11" si="7">I5/$I$7</f>
        <v>1.3885983875591649E-2</v>
      </c>
      <c r="J10" s="9">
        <f t="shared" ref="J10:J11" si="8">J5/$J$7</f>
        <v>1.1532967556878299E-2</v>
      </c>
      <c r="K10" s="9">
        <f t="shared" ref="K10:K11" si="9">K5/$K$7</f>
        <v>1.2225306479085778E-2</v>
      </c>
      <c r="L10" s="9">
        <f t="shared" ref="L10:L11" si="10">L5/$L$7</f>
        <v>7.7912759978222626E-3</v>
      </c>
      <c r="M10" s="9">
        <f t="shared" ref="M10:M11" si="11">M5/$M$7</f>
        <v>8.9261134253093202E-3</v>
      </c>
      <c r="N10" s="25">
        <f t="shared" ref="N10:N11" si="12">N5/$N$7</f>
        <v>3.3262730874191804E-4</v>
      </c>
    </row>
    <row r="11" spans="1:14" ht="15" thickBot="1" x14ac:dyDescent="0.4">
      <c r="A11" s="26" t="s">
        <v>33</v>
      </c>
      <c r="B11" s="27" t="s">
        <v>36</v>
      </c>
      <c r="C11" s="28">
        <f t="shared" si="1"/>
        <v>1.8562667909278529E-2</v>
      </c>
      <c r="D11" s="28">
        <f t="shared" si="2"/>
        <v>4.6154652451916951E-3</v>
      </c>
      <c r="E11" s="28">
        <f t="shared" si="3"/>
        <v>9.2971414711002457E-3</v>
      </c>
      <c r="F11" s="28">
        <f t="shared" si="4"/>
        <v>6.7055486374049938E-3</v>
      </c>
      <c r="G11" s="28">
        <f t="shared" si="5"/>
        <v>1.6223702809246975E-2</v>
      </c>
      <c r="H11" s="28">
        <f t="shared" si="6"/>
        <v>7.6287290367531048E-3</v>
      </c>
      <c r="I11" s="28">
        <f t="shared" si="7"/>
        <v>8.0509050965065741E-3</v>
      </c>
      <c r="J11" s="28">
        <f t="shared" si="8"/>
        <v>5.789991617942792E-3</v>
      </c>
      <c r="K11" s="28">
        <f t="shared" si="9"/>
        <v>5.1646272346450419E-3</v>
      </c>
      <c r="L11" s="28">
        <f t="shared" si="10"/>
        <v>2.256876059552165E-3</v>
      </c>
      <c r="M11" s="28">
        <f t="shared" si="11"/>
        <v>4.9484329962178634E-3</v>
      </c>
      <c r="N11" s="29">
        <f t="shared" si="12"/>
        <v>4.0349853441285096E-4</v>
      </c>
    </row>
    <row r="13" spans="1:14" ht="15" thickBot="1" x14ac:dyDescent="0.4"/>
    <row r="14" spans="1:14" x14ac:dyDescent="0.35">
      <c r="A14" s="12" t="s">
        <v>38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</row>
    <row r="15" spans="1:14" x14ac:dyDescent="0.35">
      <c r="A15" s="15"/>
      <c r="B15" s="3"/>
      <c r="C15" s="3">
        <v>2010</v>
      </c>
      <c r="D15" s="3">
        <v>2011</v>
      </c>
      <c r="E15" s="3">
        <v>2012</v>
      </c>
      <c r="F15" s="3">
        <v>2013</v>
      </c>
      <c r="G15" s="3">
        <v>2014</v>
      </c>
      <c r="H15" s="3">
        <v>2015</v>
      </c>
      <c r="I15" s="3">
        <v>2016</v>
      </c>
      <c r="J15" s="3">
        <v>2017</v>
      </c>
      <c r="K15" s="3">
        <v>2018</v>
      </c>
      <c r="L15" s="3">
        <v>2019</v>
      </c>
      <c r="M15" s="3">
        <v>2020</v>
      </c>
      <c r="N15" s="16">
        <v>2021</v>
      </c>
    </row>
    <row r="16" spans="1:14" x14ac:dyDescent="0.35">
      <c r="A16" s="17" t="s">
        <v>30</v>
      </c>
      <c r="B16" s="4" t="s">
        <v>36</v>
      </c>
      <c r="C16" s="5"/>
      <c r="D16" s="5"/>
      <c r="E16" s="10">
        <v>8546</v>
      </c>
      <c r="F16" s="10">
        <v>10475</v>
      </c>
      <c r="G16" s="10">
        <v>8806</v>
      </c>
      <c r="H16" s="10">
        <v>9301</v>
      </c>
      <c r="I16" s="10">
        <v>9854</v>
      </c>
      <c r="J16" s="10">
        <v>9967</v>
      </c>
      <c r="K16" s="10">
        <v>8848</v>
      </c>
      <c r="L16" s="10">
        <v>7999</v>
      </c>
      <c r="M16" s="10">
        <v>6799</v>
      </c>
      <c r="N16" s="18">
        <v>5964</v>
      </c>
    </row>
    <row r="17" spans="1:21" x14ac:dyDescent="0.35">
      <c r="A17" s="17" t="s">
        <v>32</v>
      </c>
      <c r="B17" s="4" t="s">
        <v>36</v>
      </c>
      <c r="C17" s="5"/>
      <c r="D17" s="5"/>
      <c r="E17" s="11">
        <v>36</v>
      </c>
      <c r="F17" s="11">
        <v>31</v>
      </c>
      <c r="G17" s="11">
        <v>23</v>
      </c>
      <c r="H17" s="11">
        <v>23</v>
      </c>
      <c r="I17" s="11">
        <v>19</v>
      </c>
      <c r="J17" s="11">
        <v>27</v>
      </c>
      <c r="K17" s="11">
        <v>19</v>
      </c>
      <c r="L17" s="11">
        <v>30</v>
      </c>
      <c r="M17" s="11">
        <v>145</v>
      </c>
      <c r="N17" s="19">
        <v>149</v>
      </c>
    </row>
    <row r="18" spans="1:21" x14ac:dyDescent="0.35">
      <c r="A18" s="17" t="s">
        <v>33</v>
      </c>
      <c r="B18" s="4" t="s">
        <v>36</v>
      </c>
      <c r="C18" s="5"/>
      <c r="D18" s="5"/>
      <c r="E18" s="11">
        <v>247</v>
      </c>
      <c r="F18" s="11">
        <v>295</v>
      </c>
      <c r="G18" s="11">
        <v>270</v>
      </c>
      <c r="H18" s="11">
        <v>587</v>
      </c>
      <c r="I18" s="11">
        <v>564</v>
      </c>
      <c r="J18" s="11">
        <v>446</v>
      </c>
      <c r="K18" s="10">
        <v>1145</v>
      </c>
      <c r="L18" s="10">
        <v>2253</v>
      </c>
      <c r="M18" s="10">
        <v>5300</v>
      </c>
      <c r="N18" s="18">
        <v>13729</v>
      </c>
    </row>
    <row r="19" spans="1:21" x14ac:dyDescent="0.35">
      <c r="A19" s="20"/>
      <c r="B19" s="6"/>
      <c r="C19" s="7">
        <f>SUM(C16:C18)</f>
        <v>0</v>
      </c>
      <c r="D19" s="7">
        <f t="shared" ref="D19" si="13">SUM(D16:D18)</f>
        <v>0</v>
      </c>
      <c r="E19" s="7">
        <f t="shared" ref="E19" si="14">SUM(E16:E18)</f>
        <v>8829</v>
      </c>
      <c r="F19" s="7">
        <f t="shared" ref="F19" si="15">SUM(F16:F18)</f>
        <v>10801</v>
      </c>
      <c r="G19" s="7">
        <f t="shared" ref="G19" si="16">SUM(G16:G18)</f>
        <v>9099</v>
      </c>
      <c r="H19" s="7">
        <f t="shared" ref="H19" si="17">SUM(H16:H18)</f>
        <v>9911</v>
      </c>
      <c r="I19" s="7">
        <f t="shared" ref="I19" si="18">SUM(I16:I18)</f>
        <v>10437</v>
      </c>
      <c r="J19" s="7">
        <f t="shared" ref="J19" si="19">SUM(J16:J18)</f>
        <v>10440</v>
      </c>
      <c r="K19" s="7">
        <f t="shared" ref="K19" si="20">SUM(K16:K18)</f>
        <v>10012</v>
      </c>
      <c r="L19" s="7">
        <f t="shared" ref="L19" si="21">SUM(L16:L18)</f>
        <v>10282</v>
      </c>
      <c r="M19" s="7">
        <f t="shared" ref="M19" si="22">SUM(M16:M18)</f>
        <v>12244</v>
      </c>
      <c r="N19" s="21">
        <f t="shared" ref="N19" si="23">SUM(N16:N18)</f>
        <v>19842</v>
      </c>
    </row>
    <row r="20" spans="1:21" x14ac:dyDescent="0.35">
      <c r="A20" s="22" t="s">
        <v>37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1:21" x14ac:dyDescent="0.35">
      <c r="A21" s="17" t="s">
        <v>30</v>
      </c>
      <c r="B21" s="4" t="s">
        <v>36</v>
      </c>
      <c r="C21" s="9">
        <f>C16/$C$7</f>
        <v>0</v>
      </c>
      <c r="D21" s="9">
        <f>D16/$D$7</f>
        <v>0</v>
      </c>
      <c r="E21" s="9">
        <f>E16/$E$19</f>
        <v>0.9679465398119832</v>
      </c>
      <c r="F21" s="9">
        <f>F16/$F$19</f>
        <v>0.96981760948060369</v>
      </c>
      <c r="G21" s="9">
        <f>G16/$G$19</f>
        <v>0.96779865919331798</v>
      </c>
      <c r="H21" s="9">
        <f>H16/$H$19</f>
        <v>0.93845222480072643</v>
      </c>
      <c r="I21" s="9">
        <f>I16/$I$19</f>
        <v>0.94414103669636873</v>
      </c>
      <c r="J21" s="9">
        <f>J16/$J$19</f>
        <v>0.95469348659003828</v>
      </c>
      <c r="K21" s="9">
        <f>K16/$K$19</f>
        <v>0.88373951258489813</v>
      </c>
      <c r="L21" s="9">
        <f>L16/$L$19</f>
        <v>0.77796148609219995</v>
      </c>
      <c r="M21" s="9">
        <f>M16/$M$19</f>
        <v>0.55529238810846127</v>
      </c>
      <c r="N21" s="25">
        <f>N16/$N$19</f>
        <v>0.30057453885697005</v>
      </c>
    </row>
    <row r="22" spans="1:21" x14ac:dyDescent="0.35">
      <c r="A22" s="17" t="s">
        <v>32</v>
      </c>
      <c r="B22" s="4" t="s">
        <v>36</v>
      </c>
      <c r="C22" s="9">
        <f t="shared" ref="C22:C23" si="24">C17/$C$7</f>
        <v>0</v>
      </c>
      <c r="D22" s="9">
        <f t="shared" ref="D22:D23" si="25">D17/$D$7</f>
        <v>0</v>
      </c>
      <c r="E22" s="9">
        <f t="shared" ref="E22:E23" si="26">E17/$E$19</f>
        <v>4.0774719673802246E-3</v>
      </c>
      <c r="F22" s="9">
        <f t="shared" ref="F22:F23" si="27">F17/$F$19</f>
        <v>2.8701046199425977E-3</v>
      </c>
      <c r="G22" s="9">
        <f t="shared" ref="G22:G23" si="28">G17/$G$19</f>
        <v>2.5277503022310146E-3</v>
      </c>
      <c r="H22" s="9">
        <f t="shared" ref="H22:H23" si="29">H17/$H$19</f>
        <v>2.3206538189890023E-3</v>
      </c>
      <c r="I22" s="9">
        <f t="shared" ref="I22:I23" si="30">I17/$I$19</f>
        <v>1.8204464884545367E-3</v>
      </c>
      <c r="J22" s="9">
        <f t="shared" ref="J22:J23" si="31">J17/$J$19</f>
        <v>2.5862068965517241E-3</v>
      </c>
      <c r="K22" s="9">
        <f t="shared" ref="K22:K23" si="32">K17/$K$19</f>
        <v>1.8977227327207351E-3</v>
      </c>
      <c r="L22" s="9">
        <f t="shared" ref="L22:L23" si="33">L17/$L$19</f>
        <v>2.9177202878817349E-3</v>
      </c>
      <c r="M22" s="9">
        <f t="shared" ref="M22:M23" si="34">M17/$M$19</f>
        <v>1.1842535119242078E-2</v>
      </c>
      <c r="N22" s="25">
        <f t="shared" ref="N22:N23" si="35">N17/$N$19</f>
        <v>7.5093236568894266E-3</v>
      </c>
    </row>
    <row r="23" spans="1:21" ht="15" thickBot="1" x14ac:dyDescent="0.4">
      <c r="A23" s="26" t="s">
        <v>33</v>
      </c>
      <c r="B23" s="27" t="s">
        <v>36</v>
      </c>
      <c r="C23" s="28">
        <f t="shared" si="24"/>
        <v>0</v>
      </c>
      <c r="D23" s="28">
        <f t="shared" si="25"/>
        <v>0</v>
      </c>
      <c r="E23" s="28">
        <f t="shared" si="26"/>
        <v>2.7975988220636537E-2</v>
      </c>
      <c r="F23" s="28">
        <f t="shared" si="27"/>
        <v>2.7312285899453753E-2</v>
      </c>
      <c r="G23" s="28">
        <f t="shared" si="28"/>
        <v>2.967359050445104E-2</v>
      </c>
      <c r="H23" s="28">
        <f t="shared" si="29"/>
        <v>5.9227121380284534E-2</v>
      </c>
      <c r="I23" s="28">
        <f t="shared" si="30"/>
        <v>5.4038516815176775E-2</v>
      </c>
      <c r="J23" s="28">
        <f t="shared" si="31"/>
        <v>4.272030651340996E-2</v>
      </c>
      <c r="K23" s="28">
        <f t="shared" si="32"/>
        <v>0.11436276468238114</v>
      </c>
      <c r="L23" s="28">
        <f t="shared" si="33"/>
        <v>0.21912079361991829</v>
      </c>
      <c r="M23" s="28">
        <f t="shared" si="34"/>
        <v>0.43286507677229663</v>
      </c>
      <c r="N23" s="29">
        <f t="shared" si="35"/>
        <v>0.69191613748614056</v>
      </c>
    </row>
    <row r="26" spans="1:21" x14ac:dyDescent="0.35">
      <c r="A26" s="53" t="s">
        <v>16</v>
      </c>
      <c r="B26" s="38"/>
      <c r="C26" s="54">
        <v>2010</v>
      </c>
      <c r="D26" s="54">
        <v>2011</v>
      </c>
      <c r="E26" s="54">
        <v>2012</v>
      </c>
      <c r="F26" s="54">
        <v>2013</v>
      </c>
      <c r="G26" s="54">
        <v>2014</v>
      </c>
      <c r="H26" s="54">
        <v>2015</v>
      </c>
      <c r="I26" s="54">
        <v>2016</v>
      </c>
      <c r="J26" s="54">
        <v>2017</v>
      </c>
      <c r="K26" s="54">
        <v>2018</v>
      </c>
      <c r="M26" s="52">
        <v>2010</v>
      </c>
      <c r="N26" s="52">
        <v>2011</v>
      </c>
      <c r="O26" s="52">
        <v>2012</v>
      </c>
      <c r="P26" s="52">
        <v>2013</v>
      </c>
      <c r="Q26" s="52">
        <v>2014</v>
      </c>
      <c r="R26" s="52">
        <v>2015</v>
      </c>
      <c r="S26" s="52">
        <v>2016</v>
      </c>
      <c r="T26" s="52">
        <v>2017</v>
      </c>
      <c r="U26" s="52">
        <v>2018</v>
      </c>
    </row>
    <row r="27" spans="1:21" x14ac:dyDescent="0.35">
      <c r="A27" s="38" t="s">
        <v>71</v>
      </c>
      <c r="B27" s="38"/>
      <c r="C27" s="38">
        <v>360.6</v>
      </c>
      <c r="D27" s="38">
        <v>252.1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M27" s="8">
        <v>2.8164613810501983E-2</v>
      </c>
      <c r="N27" s="8">
        <v>1.8409253552598911E-2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</row>
    <row r="28" spans="1:21" x14ac:dyDescent="0.35">
      <c r="A28" s="38" t="s">
        <v>72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</row>
    <row r="29" spans="1:21" x14ac:dyDescent="0.35">
      <c r="A29" s="38" t="s">
        <v>73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</row>
    <row r="30" spans="1:21" x14ac:dyDescent="0.35">
      <c r="A30" s="38" t="s">
        <v>74</v>
      </c>
      <c r="B30" s="38"/>
      <c r="C30" s="38">
        <v>315.10000000000002</v>
      </c>
      <c r="D30" s="38">
        <v>217</v>
      </c>
      <c r="E30" s="38">
        <v>93.9</v>
      </c>
      <c r="F30" s="38">
        <v>132.30000000000001</v>
      </c>
      <c r="G30" s="38">
        <v>116.9</v>
      </c>
      <c r="H30" s="38">
        <v>118.2</v>
      </c>
      <c r="I30" s="38">
        <v>118.3</v>
      </c>
      <c r="J30" s="38">
        <v>116.5</v>
      </c>
      <c r="K30" s="38">
        <v>0.6</v>
      </c>
      <c r="M30" s="8">
        <v>2.4610842517163545E-2</v>
      </c>
      <c r="N30" s="8">
        <v>1.5846124636707513E-2</v>
      </c>
      <c r="O30" s="8">
        <v>7.1601229192560798E-3</v>
      </c>
      <c r="P30" s="8">
        <v>1.0326095440283482E-2</v>
      </c>
      <c r="Q30" s="8">
        <v>9.6124591943295545E-3</v>
      </c>
      <c r="R30" s="8">
        <v>1.0323234264054709E-2</v>
      </c>
      <c r="S30" s="8">
        <v>1.2728368229648597E-2</v>
      </c>
      <c r="T30" s="8">
        <v>1.2350128801772482E-2</v>
      </c>
      <c r="U30" s="8">
        <v>6.450225757901526E-5</v>
      </c>
    </row>
    <row r="31" spans="1:21" x14ac:dyDescent="0.35">
      <c r="A31" s="38" t="s">
        <v>75</v>
      </c>
      <c r="B31" s="38"/>
      <c r="C31" s="38">
        <v>0.7</v>
      </c>
      <c r="D31" s="38">
        <v>3.3</v>
      </c>
      <c r="E31" s="38">
        <v>1.4</v>
      </c>
      <c r="F31" s="38">
        <v>2</v>
      </c>
      <c r="G31" s="38">
        <v>2.5</v>
      </c>
      <c r="H31" s="38">
        <v>5.2</v>
      </c>
      <c r="I31" s="38">
        <v>7.9</v>
      </c>
      <c r="J31" s="38">
        <v>5</v>
      </c>
      <c r="K31" s="38">
        <v>4.9000000000000004</v>
      </c>
      <c r="M31" s="8">
        <v>5.4673404512899017E-5</v>
      </c>
      <c r="N31" s="8">
        <v>2.4097793226329395E-4</v>
      </c>
      <c r="O31" s="8">
        <v>1.0675369634673601E-4</v>
      </c>
      <c r="P31" s="8">
        <v>1.5610121602847288E-4</v>
      </c>
      <c r="Q31" s="8">
        <v>2.0557012819353196E-4</v>
      </c>
      <c r="R31" s="8">
        <v>4.541524380125591E-4</v>
      </c>
      <c r="S31" s="8">
        <v>8.4999246842116583E-4</v>
      </c>
      <c r="T31" s="8">
        <v>5.3004844642800348E-4</v>
      </c>
      <c r="U31" s="8">
        <v>5.2676843689529137E-4</v>
      </c>
    </row>
    <row r="32" spans="1:21" x14ac:dyDescent="0.35">
      <c r="A32" s="38" t="s">
        <v>76</v>
      </c>
      <c r="B32" s="38"/>
      <c r="C32" s="38">
        <v>6.1</v>
      </c>
      <c r="D32" s="38">
        <v>1.1000000000000001</v>
      </c>
      <c r="E32" s="38">
        <v>0.4</v>
      </c>
      <c r="F32" s="38">
        <v>0</v>
      </c>
      <c r="G32" s="38">
        <v>0</v>
      </c>
      <c r="H32" s="38">
        <v>5</v>
      </c>
      <c r="I32" s="38">
        <v>2.5</v>
      </c>
      <c r="J32" s="38">
        <v>8.8000000000000007</v>
      </c>
      <c r="K32" s="38">
        <v>8.8000000000000007</v>
      </c>
      <c r="M32" s="8">
        <v>4.7643966789812E-4</v>
      </c>
      <c r="N32" s="8">
        <v>8.0325977421097998E-5</v>
      </c>
      <c r="O32" s="8">
        <v>3.0501056099067433E-5</v>
      </c>
      <c r="P32" s="8">
        <v>0</v>
      </c>
      <c r="Q32" s="8">
        <v>0</v>
      </c>
      <c r="R32" s="8">
        <v>4.3668503655053758E-4</v>
      </c>
      <c r="S32" s="8">
        <v>2.6898495836112841E-4</v>
      </c>
      <c r="T32" s="8">
        <v>9.3288526571328628E-4</v>
      </c>
      <c r="U32" s="8">
        <v>9.4603311115889067E-4</v>
      </c>
    </row>
    <row r="33" spans="1:21" x14ac:dyDescent="0.35">
      <c r="A33" s="38" t="s">
        <v>77</v>
      </c>
      <c r="B33" s="38"/>
      <c r="C33" s="38">
        <v>12119.4</v>
      </c>
      <c r="D33" s="38">
        <v>13219.4</v>
      </c>
      <c r="E33" s="38">
        <v>13017.8</v>
      </c>
      <c r="F33" s="38">
        <v>12677.5</v>
      </c>
      <c r="G33" s="38">
        <v>12041.4</v>
      </c>
      <c r="H33" s="38">
        <v>11317</v>
      </c>
      <c r="I33" s="38">
        <v>9155.4</v>
      </c>
      <c r="J33" s="38">
        <v>9289.5</v>
      </c>
      <c r="K33" s="38">
        <v>9233.5</v>
      </c>
      <c r="M33" s="8">
        <v>0.94658408379089765</v>
      </c>
      <c r="N33" s="8">
        <v>0.96532838720042069</v>
      </c>
      <c r="O33" s="8">
        <v>0.99264162021610003</v>
      </c>
      <c r="P33" s="8">
        <v>0.98948658310048243</v>
      </c>
      <c r="Q33" s="8">
        <v>0.99014085665183826</v>
      </c>
      <c r="R33" s="8">
        <v>0.98839291172848676</v>
      </c>
      <c r="S33" s="8">
        <v>0.98506595511179007</v>
      </c>
      <c r="T33" s="8">
        <v>0.98477700861858775</v>
      </c>
      <c r="U33" s="8">
        <v>0.99263599225972909</v>
      </c>
    </row>
    <row r="34" spans="1:21" x14ac:dyDescent="0.35">
      <c r="A34" s="38" t="s">
        <v>78</v>
      </c>
      <c r="B34" s="38"/>
      <c r="C34" s="38">
        <v>1.4</v>
      </c>
      <c r="D34" s="38">
        <v>1.3</v>
      </c>
      <c r="E34" s="38">
        <v>0.8</v>
      </c>
      <c r="F34" s="38">
        <v>0.4</v>
      </c>
      <c r="G34" s="38">
        <v>0.5</v>
      </c>
      <c r="H34" s="38">
        <v>4.5</v>
      </c>
      <c r="I34" s="38">
        <v>1</v>
      </c>
      <c r="J34" s="38">
        <v>10.1</v>
      </c>
      <c r="K34" s="38">
        <v>32.6</v>
      </c>
      <c r="M34" s="8">
        <v>1.0934680902579803E-4</v>
      </c>
      <c r="N34" s="8">
        <v>9.4930700588570353E-5</v>
      </c>
      <c r="O34" s="8">
        <v>6.1002112198134867E-5</v>
      </c>
      <c r="P34" s="8">
        <v>3.1220243205694579E-5</v>
      </c>
      <c r="Q34" s="8">
        <v>4.1114025638706388E-5</v>
      </c>
      <c r="R34" s="8">
        <v>3.9301653289548381E-4</v>
      </c>
      <c r="S34" s="8">
        <v>1.0759398334445137E-4</v>
      </c>
      <c r="T34" s="8">
        <v>1.0706978617845671E-3</v>
      </c>
      <c r="U34" s="8">
        <v>3.504622661793163E-3</v>
      </c>
    </row>
    <row r="35" spans="1:21" x14ac:dyDescent="0.35">
      <c r="A35" s="38" t="s">
        <v>79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9.1</v>
      </c>
      <c r="J35" s="38">
        <v>3.2</v>
      </c>
      <c r="K35" s="38">
        <v>21.6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9.7910524843450742E-4</v>
      </c>
      <c r="T35" s="8">
        <v>3.3923100571392223E-4</v>
      </c>
      <c r="U35" s="8">
        <v>2.3220812728445496E-3</v>
      </c>
    </row>
    <row r="36" spans="1:21" x14ac:dyDescent="0.35">
      <c r="A36" s="38" t="s">
        <v>80</v>
      </c>
      <c r="B36" s="38"/>
      <c r="C36" s="38">
        <v>12803.3</v>
      </c>
      <c r="D36" s="38">
        <v>13694.199999999999</v>
      </c>
      <c r="E36" s="38">
        <v>13114.3</v>
      </c>
      <c r="F36" s="38">
        <v>12812.199999999999</v>
      </c>
      <c r="G36" s="38">
        <v>12161.3</v>
      </c>
      <c r="H36" s="38">
        <v>11449.9</v>
      </c>
      <c r="I36" s="38">
        <v>9294.2000000000007</v>
      </c>
      <c r="J36" s="38">
        <v>9433.1</v>
      </c>
      <c r="K36" s="38">
        <v>9302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Eurostat collected Portables GU</vt:lpstr>
      <vt:lpstr>Collected BAU 2050</vt:lpstr>
      <vt:lpstr>Collected REC 2050</vt:lpstr>
      <vt:lpstr>Collected CIR 2050</vt:lpstr>
      <vt:lpstr>Scenarios</vt:lpstr>
      <vt:lpstr>Share collected BATT portable</vt:lpstr>
      <vt:lpstr>Share collected BATT 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Billaud, Mathilde</dc:creator>
  <cp:lastModifiedBy>Mainuddin, Kibria</cp:lastModifiedBy>
  <dcterms:created xsi:type="dcterms:W3CDTF">2024-02-05T14:31:00Z</dcterms:created>
  <dcterms:modified xsi:type="dcterms:W3CDTF">2024-03-04T01:35:09Z</dcterms:modified>
</cp:coreProperties>
</file>