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7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WP4 - Stock and Waste Flow Characterisation\Task 4.1\Stock &amp; Flow\Final Programming\Portables Merged\"/>
    </mc:Choice>
  </mc:AlternateContent>
  <xr:revisionPtr revIDLastSave="0" documentId="13_ncr:1_{3151CCB6-E1A1-41D5-84EC-07B873CBA3CA}" xr6:coauthVersionLast="36" xr6:coauthVersionMax="36" xr10:uidLastSave="{00000000-0000-0000-0000-000000000000}"/>
  <bookViews>
    <workbookView xWindow="0" yWindow="0" windowWidth="21840" windowHeight="13740" firstSheet="13" activeTab="17" xr2:uid="{00000000-000D-0000-FFFF-FFFF00000000}"/>
  </bookViews>
  <sheets>
    <sheet name="Coll. portables Zn-based" sheetId="37" r:id="rId1"/>
    <sheet name="Coll. portables Li-Rechargeable" sheetId="26" r:id="rId2"/>
    <sheet name="Coll. portables Li-Primary" sheetId="25" r:id="rId3"/>
    <sheet name="Coll. portables Lead-acid" sheetId="24" r:id="rId4"/>
    <sheet name="Coll. portables NiMH" sheetId="22" r:id="rId5"/>
    <sheet name="Coll. portables NiCd" sheetId="23" r:id="rId6"/>
    <sheet name="Coll. portables Other" sheetId="27" r:id="rId7"/>
    <sheet name="Collection Rate" sheetId="36" r:id="rId8"/>
    <sheet name="Weighted Average" sheetId="46" r:id="rId9"/>
    <sheet name="Eurostat Collected Portables" sheetId="10" r:id="rId10"/>
    <sheet name="Eurostat POM Portables" sheetId="39" r:id="rId11"/>
    <sheet name="POM Portables Zn-based" sheetId="38" r:id="rId12"/>
    <sheet name="POM Portables Li-Rechargeab" sheetId="44" r:id="rId13"/>
    <sheet name="POM Portables Li-Primary" sheetId="41" r:id="rId14"/>
    <sheet name="POM Portables Lead-acid" sheetId="42" r:id="rId15"/>
    <sheet name="POM Portables NiMH" sheetId="40" r:id="rId16"/>
    <sheet name="POM Portables NiCd" sheetId="43" r:id="rId17"/>
    <sheet name="POM Portables Other" sheetId="45" r:id="rId18"/>
    <sheet name="Market assumptions" sheetId="28" r:id="rId19"/>
    <sheet name="Overview Graphics" sheetId="29" r:id="rId20"/>
    <sheet name="Overview Values" sheetId="30" r:id="rId21"/>
  </sheets>
  <externalReferences>
    <externalReference r:id="rId22"/>
    <externalReference r:id="rId23"/>
    <externalReference r:id="rId24"/>
  </externalReferences>
  <definedNames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45" l="1"/>
  <c r="Z13" i="45"/>
  <c r="AA13" i="45"/>
  <c r="AB13" i="45"/>
  <c r="AC13" i="45"/>
  <c r="AD13" i="45"/>
  <c r="AE13" i="45"/>
  <c r="AF13" i="45"/>
  <c r="AG13" i="45"/>
  <c r="AH13" i="45"/>
  <c r="AI13" i="45"/>
  <c r="AJ13" i="45"/>
  <c r="AK13" i="45"/>
  <c r="AL13" i="45"/>
  <c r="AM13" i="45"/>
  <c r="AN13" i="45"/>
  <c r="AO13" i="45"/>
  <c r="AP13" i="45"/>
  <c r="AQ13" i="45"/>
  <c r="AR13" i="45"/>
  <c r="AS13" i="45"/>
  <c r="AT13" i="45"/>
  <c r="AU13" i="45"/>
  <c r="AV13" i="45"/>
  <c r="AW13" i="45"/>
  <c r="AX13" i="45"/>
  <c r="AY13" i="45"/>
  <c r="AZ13" i="45"/>
  <c r="Y14" i="45"/>
  <c r="Z14" i="45"/>
  <c r="AA14" i="45"/>
  <c r="AB14" i="45"/>
  <c r="AC14" i="45"/>
  <c r="AD14" i="45"/>
  <c r="AE14" i="45"/>
  <c r="AF14" i="45"/>
  <c r="AG14" i="45"/>
  <c r="AH14" i="45"/>
  <c r="AI14" i="45"/>
  <c r="AJ14" i="45"/>
  <c r="AK14" i="45"/>
  <c r="AL14" i="45"/>
  <c r="AM14" i="45"/>
  <c r="AN14" i="45"/>
  <c r="AO14" i="45"/>
  <c r="AP14" i="45"/>
  <c r="AQ14" i="45"/>
  <c r="AR14" i="45"/>
  <c r="AS14" i="45"/>
  <c r="AT14" i="45"/>
  <c r="AU14" i="45"/>
  <c r="AV14" i="45"/>
  <c r="AW14" i="45"/>
  <c r="AX14" i="45"/>
  <c r="AY14" i="45"/>
  <c r="AZ14" i="45"/>
  <c r="Y15" i="45"/>
  <c r="Z15" i="45"/>
  <c r="AA15" i="45"/>
  <c r="AB15" i="45"/>
  <c r="AC15" i="45"/>
  <c r="AD15" i="45"/>
  <c r="AE15" i="45"/>
  <c r="AF15" i="45"/>
  <c r="AG15" i="45"/>
  <c r="AH15" i="45"/>
  <c r="AI15" i="45"/>
  <c r="AJ15" i="45"/>
  <c r="AK15" i="45"/>
  <c r="AL15" i="45"/>
  <c r="AM15" i="45"/>
  <c r="AN15" i="45"/>
  <c r="AO15" i="45"/>
  <c r="AP15" i="45"/>
  <c r="AQ15" i="45"/>
  <c r="AR15" i="45"/>
  <c r="AS15" i="45"/>
  <c r="AT15" i="45"/>
  <c r="AU15" i="45"/>
  <c r="AV15" i="45"/>
  <c r="AW15" i="45"/>
  <c r="AX15" i="45"/>
  <c r="AY15" i="45"/>
  <c r="AZ15" i="45"/>
  <c r="Y16" i="45"/>
  <c r="Z16" i="45"/>
  <c r="AA16" i="45"/>
  <c r="AB16" i="45"/>
  <c r="AC16" i="45"/>
  <c r="AD16" i="45"/>
  <c r="AE16" i="45"/>
  <c r="AF16" i="45"/>
  <c r="AG16" i="45"/>
  <c r="AH16" i="45"/>
  <c r="AI16" i="45"/>
  <c r="AJ16" i="45"/>
  <c r="AK16" i="45"/>
  <c r="AL16" i="45"/>
  <c r="AM16" i="45"/>
  <c r="AN16" i="45"/>
  <c r="AO16" i="45"/>
  <c r="AP16" i="45"/>
  <c r="AQ16" i="45"/>
  <c r="AR16" i="45"/>
  <c r="AS16" i="45"/>
  <c r="AT16" i="45"/>
  <c r="AU16" i="45"/>
  <c r="AV16" i="45"/>
  <c r="AW16" i="45"/>
  <c r="AX16" i="45"/>
  <c r="AY16" i="45"/>
  <c r="AZ16" i="45"/>
  <c r="Y17" i="45"/>
  <c r="Z17" i="45"/>
  <c r="AA17" i="45"/>
  <c r="AB17" i="45"/>
  <c r="AC17" i="45"/>
  <c r="AD17" i="45"/>
  <c r="AE17" i="45"/>
  <c r="AF17" i="45"/>
  <c r="AG17" i="45"/>
  <c r="AH17" i="45"/>
  <c r="AI17" i="45"/>
  <c r="AJ17" i="45"/>
  <c r="AK17" i="45"/>
  <c r="AL17" i="45"/>
  <c r="AM17" i="45"/>
  <c r="AN17" i="45"/>
  <c r="AO17" i="45"/>
  <c r="AP17" i="45"/>
  <c r="AQ17" i="45"/>
  <c r="AR17" i="45"/>
  <c r="AS17" i="45"/>
  <c r="AT17" i="45"/>
  <c r="AU17" i="45"/>
  <c r="AV17" i="45"/>
  <c r="AW17" i="45"/>
  <c r="AX17" i="45"/>
  <c r="AY17" i="45"/>
  <c r="AZ17" i="45"/>
  <c r="Y18" i="45"/>
  <c r="Z18" i="45"/>
  <c r="AA18" i="45"/>
  <c r="AB18" i="45"/>
  <c r="AC18" i="45"/>
  <c r="AD18" i="45"/>
  <c r="AE18" i="45"/>
  <c r="AF18" i="45"/>
  <c r="AG18" i="45"/>
  <c r="AH18" i="45"/>
  <c r="AI18" i="45"/>
  <c r="AJ18" i="45"/>
  <c r="AK18" i="45"/>
  <c r="AL18" i="45"/>
  <c r="AM18" i="45"/>
  <c r="AN18" i="45"/>
  <c r="AO18" i="45"/>
  <c r="AP18" i="45"/>
  <c r="AQ18" i="45"/>
  <c r="AR18" i="45"/>
  <c r="AS18" i="45"/>
  <c r="AT18" i="45"/>
  <c r="AU18" i="45"/>
  <c r="AV18" i="45"/>
  <c r="AW18" i="45"/>
  <c r="AX18" i="45"/>
  <c r="AY18" i="45"/>
  <c r="AZ18" i="45"/>
  <c r="Y19" i="45"/>
  <c r="Z19" i="45"/>
  <c r="AA19" i="45"/>
  <c r="AB19" i="45"/>
  <c r="AC19" i="45"/>
  <c r="AD19" i="45"/>
  <c r="AE19" i="45"/>
  <c r="AF19" i="45"/>
  <c r="AG19" i="45"/>
  <c r="AH19" i="45"/>
  <c r="AI19" i="45"/>
  <c r="AJ19" i="45"/>
  <c r="AK19" i="45"/>
  <c r="AL19" i="45"/>
  <c r="AM19" i="45"/>
  <c r="AN19" i="45"/>
  <c r="AO19" i="45"/>
  <c r="AP19" i="45"/>
  <c r="AQ19" i="45"/>
  <c r="AR19" i="45"/>
  <c r="AS19" i="45"/>
  <c r="AT19" i="45"/>
  <c r="AU19" i="45"/>
  <c r="AV19" i="45"/>
  <c r="AW19" i="45"/>
  <c r="AX19" i="45"/>
  <c r="AY19" i="45"/>
  <c r="AZ19" i="45"/>
  <c r="Y20" i="45"/>
  <c r="Z20" i="45"/>
  <c r="AA20" i="45"/>
  <c r="AB20" i="45"/>
  <c r="AC20" i="45"/>
  <c r="AD20" i="45"/>
  <c r="AE20" i="45"/>
  <c r="AF20" i="45"/>
  <c r="AG20" i="45"/>
  <c r="AH20" i="45"/>
  <c r="AI20" i="45"/>
  <c r="AJ20" i="45"/>
  <c r="AK20" i="45"/>
  <c r="AL20" i="45"/>
  <c r="AM20" i="45"/>
  <c r="AN20" i="45"/>
  <c r="AO20" i="45"/>
  <c r="AP20" i="45"/>
  <c r="AQ20" i="45"/>
  <c r="AR20" i="45"/>
  <c r="AS20" i="45"/>
  <c r="AT20" i="45"/>
  <c r="AU20" i="45"/>
  <c r="AV20" i="45"/>
  <c r="AW20" i="45"/>
  <c r="AX20" i="45"/>
  <c r="AY20" i="45"/>
  <c r="AZ20" i="45"/>
  <c r="Y21" i="45"/>
  <c r="Z21" i="45"/>
  <c r="AA21" i="45"/>
  <c r="AB21" i="45"/>
  <c r="AC21" i="45"/>
  <c r="AD21" i="45"/>
  <c r="AE21" i="45"/>
  <c r="AF21" i="45"/>
  <c r="AG21" i="45"/>
  <c r="AH21" i="45"/>
  <c r="AI21" i="45"/>
  <c r="AJ21" i="45"/>
  <c r="AK21" i="45"/>
  <c r="AL21" i="45"/>
  <c r="AM21" i="45"/>
  <c r="AN21" i="45"/>
  <c r="AO21" i="45"/>
  <c r="AP21" i="45"/>
  <c r="AQ21" i="45"/>
  <c r="AR21" i="45"/>
  <c r="AS21" i="45"/>
  <c r="AT21" i="45"/>
  <c r="AU21" i="45"/>
  <c r="AV21" i="45"/>
  <c r="AW21" i="45"/>
  <c r="AX21" i="45"/>
  <c r="AY21" i="45"/>
  <c r="AZ21" i="45"/>
  <c r="Y22" i="45"/>
  <c r="Z22" i="45"/>
  <c r="AA22" i="45"/>
  <c r="AB22" i="45"/>
  <c r="AC22" i="45"/>
  <c r="AD22" i="45"/>
  <c r="AE22" i="45"/>
  <c r="AF22" i="45"/>
  <c r="AG22" i="45"/>
  <c r="AH22" i="45"/>
  <c r="AI22" i="45"/>
  <c r="AJ22" i="45"/>
  <c r="AK22" i="45"/>
  <c r="AL22" i="45"/>
  <c r="AM22" i="45"/>
  <c r="AN22" i="45"/>
  <c r="AO22" i="45"/>
  <c r="AP22" i="45"/>
  <c r="AQ22" i="45"/>
  <c r="AR22" i="45"/>
  <c r="AS22" i="45"/>
  <c r="AT22" i="45"/>
  <c r="AU22" i="45"/>
  <c r="AV22" i="45"/>
  <c r="AW22" i="45"/>
  <c r="AX22" i="45"/>
  <c r="AY22" i="45"/>
  <c r="AZ22" i="45"/>
  <c r="Y23" i="45"/>
  <c r="Z23" i="45"/>
  <c r="AA23" i="45"/>
  <c r="AB23" i="45"/>
  <c r="AC23" i="45"/>
  <c r="AD23" i="45"/>
  <c r="AE23" i="45"/>
  <c r="AF23" i="45"/>
  <c r="AG23" i="45"/>
  <c r="AH23" i="45"/>
  <c r="AI23" i="45"/>
  <c r="AJ23" i="45"/>
  <c r="AK23" i="45"/>
  <c r="AL23" i="45"/>
  <c r="AM23" i="45"/>
  <c r="AN23" i="45"/>
  <c r="AO23" i="45"/>
  <c r="AP23" i="45"/>
  <c r="AQ23" i="45"/>
  <c r="AR23" i="45"/>
  <c r="AS23" i="45"/>
  <c r="AT23" i="45"/>
  <c r="AU23" i="45"/>
  <c r="AV23" i="45"/>
  <c r="AW23" i="45"/>
  <c r="AX23" i="45"/>
  <c r="AY23" i="45"/>
  <c r="AZ23" i="45"/>
  <c r="Y24" i="45"/>
  <c r="Z24" i="45"/>
  <c r="AA24" i="45"/>
  <c r="AB24" i="45"/>
  <c r="AC24" i="45"/>
  <c r="AD24" i="45"/>
  <c r="AE24" i="45"/>
  <c r="AF24" i="45"/>
  <c r="AG24" i="45"/>
  <c r="AH24" i="45"/>
  <c r="AI24" i="45"/>
  <c r="AJ24" i="45"/>
  <c r="AK24" i="45"/>
  <c r="AL24" i="45"/>
  <c r="AM24" i="45"/>
  <c r="AN24" i="45"/>
  <c r="AO24" i="45"/>
  <c r="AP24" i="45"/>
  <c r="AQ24" i="45"/>
  <c r="AR24" i="45"/>
  <c r="AS24" i="45"/>
  <c r="AT24" i="45"/>
  <c r="AU24" i="45"/>
  <c r="AV24" i="45"/>
  <c r="AW24" i="45"/>
  <c r="AX24" i="45"/>
  <c r="AY24" i="45"/>
  <c r="AZ24" i="45"/>
  <c r="Y25" i="45"/>
  <c r="Z25" i="45"/>
  <c r="AA25" i="45"/>
  <c r="AB25" i="45"/>
  <c r="AC25" i="45"/>
  <c r="AD25" i="45"/>
  <c r="AE25" i="45"/>
  <c r="AF25" i="45"/>
  <c r="AG25" i="45"/>
  <c r="AH25" i="45"/>
  <c r="AI25" i="45"/>
  <c r="AJ25" i="45"/>
  <c r="AK25" i="45"/>
  <c r="AL25" i="45"/>
  <c r="AM25" i="45"/>
  <c r="AN25" i="45"/>
  <c r="AO25" i="45"/>
  <c r="AP25" i="45"/>
  <c r="AQ25" i="45"/>
  <c r="AR25" i="45"/>
  <c r="AS25" i="45"/>
  <c r="AT25" i="45"/>
  <c r="AU25" i="45"/>
  <c r="AV25" i="45"/>
  <c r="AW25" i="45"/>
  <c r="AX25" i="45"/>
  <c r="AY25" i="45"/>
  <c r="AZ25" i="45"/>
  <c r="Y26" i="45"/>
  <c r="Z26" i="45"/>
  <c r="AA26" i="45"/>
  <c r="AB26" i="45"/>
  <c r="AC26" i="45"/>
  <c r="AD26" i="45"/>
  <c r="AE26" i="45"/>
  <c r="AF26" i="45"/>
  <c r="AG26" i="45"/>
  <c r="AH26" i="45"/>
  <c r="AI26" i="45"/>
  <c r="AJ26" i="45"/>
  <c r="AK26" i="45"/>
  <c r="AL26" i="45"/>
  <c r="AM26" i="45"/>
  <c r="AN26" i="45"/>
  <c r="AO26" i="45"/>
  <c r="AP26" i="45"/>
  <c r="AQ26" i="45"/>
  <c r="AR26" i="45"/>
  <c r="AS26" i="45"/>
  <c r="AT26" i="45"/>
  <c r="AU26" i="45"/>
  <c r="AV26" i="45"/>
  <c r="AW26" i="45"/>
  <c r="AX26" i="45"/>
  <c r="AY26" i="45"/>
  <c r="AZ26" i="45"/>
  <c r="Y27" i="45"/>
  <c r="Z27" i="45"/>
  <c r="AA27" i="45"/>
  <c r="AB27" i="45"/>
  <c r="AC27" i="45"/>
  <c r="AD27" i="45"/>
  <c r="AE27" i="45"/>
  <c r="AF27" i="45"/>
  <c r="AG27" i="45"/>
  <c r="AH27" i="45"/>
  <c r="AI27" i="45"/>
  <c r="AJ27" i="45"/>
  <c r="AK27" i="45"/>
  <c r="AL27" i="45"/>
  <c r="AM27" i="45"/>
  <c r="AN27" i="45"/>
  <c r="AO27" i="45"/>
  <c r="AP27" i="45"/>
  <c r="AQ27" i="45"/>
  <c r="AR27" i="45"/>
  <c r="AS27" i="45"/>
  <c r="AT27" i="45"/>
  <c r="AU27" i="45"/>
  <c r="AV27" i="45"/>
  <c r="AW27" i="45"/>
  <c r="AX27" i="45"/>
  <c r="AY27" i="45"/>
  <c r="AZ27" i="45"/>
  <c r="Y28" i="45"/>
  <c r="Z28" i="45"/>
  <c r="AA28" i="45"/>
  <c r="AB28" i="45"/>
  <c r="AC28" i="45"/>
  <c r="AD28" i="45"/>
  <c r="AE28" i="45"/>
  <c r="AF28" i="45"/>
  <c r="AG28" i="45"/>
  <c r="AH28" i="45"/>
  <c r="AI28" i="45"/>
  <c r="AJ28" i="45"/>
  <c r="AK28" i="45"/>
  <c r="AL28" i="45"/>
  <c r="AM28" i="45"/>
  <c r="AN28" i="45"/>
  <c r="AO28" i="45"/>
  <c r="AP28" i="45"/>
  <c r="AQ28" i="45"/>
  <c r="AR28" i="45"/>
  <c r="AS28" i="45"/>
  <c r="AT28" i="45"/>
  <c r="AU28" i="45"/>
  <c r="AV28" i="45"/>
  <c r="AW28" i="45"/>
  <c r="AX28" i="45"/>
  <c r="AY28" i="45"/>
  <c r="AZ28" i="45"/>
  <c r="Y29" i="45"/>
  <c r="Z29" i="45"/>
  <c r="AA29" i="45"/>
  <c r="AB29" i="45"/>
  <c r="AC29" i="45"/>
  <c r="AD29" i="45"/>
  <c r="AE29" i="45"/>
  <c r="AF29" i="45"/>
  <c r="AG29" i="45"/>
  <c r="AH29" i="45"/>
  <c r="AI29" i="45"/>
  <c r="AJ29" i="45"/>
  <c r="AK29" i="45"/>
  <c r="AL29" i="45"/>
  <c r="AM29" i="45"/>
  <c r="AN29" i="45"/>
  <c r="AO29" i="45"/>
  <c r="AP29" i="45"/>
  <c r="AQ29" i="45"/>
  <c r="AR29" i="45"/>
  <c r="AS29" i="45"/>
  <c r="AT29" i="45"/>
  <c r="AU29" i="45"/>
  <c r="AV29" i="45"/>
  <c r="AW29" i="45"/>
  <c r="AX29" i="45"/>
  <c r="AY29" i="45"/>
  <c r="AZ29" i="45"/>
  <c r="Y30" i="45"/>
  <c r="Z30" i="45"/>
  <c r="AA30" i="45"/>
  <c r="AB30" i="45"/>
  <c r="AC30" i="45"/>
  <c r="AD30" i="45"/>
  <c r="AE30" i="45"/>
  <c r="AF30" i="45"/>
  <c r="AG30" i="45"/>
  <c r="AH30" i="45"/>
  <c r="AI30" i="45"/>
  <c r="AJ30" i="45"/>
  <c r="AK30" i="45"/>
  <c r="AL30" i="45"/>
  <c r="AM30" i="45"/>
  <c r="AN30" i="45"/>
  <c r="AO30" i="45"/>
  <c r="AP30" i="45"/>
  <c r="AQ30" i="45"/>
  <c r="AR30" i="45"/>
  <c r="AS30" i="45"/>
  <c r="AT30" i="45"/>
  <c r="AU30" i="45"/>
  <c r="AV30" i="45"/>
  <c r="AW30" i="45"/>
  <c r="AX30" i="45"/>
  <c r="AY30" i="45"/>
  <c r="AZ30" i="45"/>
  <c r="Y31" i="45"/>
  <c r="Z31" i="45"/>
  <c r="AA31" i="45"/>
  <c r="AB31" i="45"/>
  <c r="AC31" i="45"/>
  <c r="AD31" i="45"/>
  <c r="AE31" i="45"/>
  <c r="AF31" i="45"/>
  <c r="AG31" i="45"/>
  <c r="AH31" i="45"/>
  <c r="AI31" i="45"/>
  <c r="AJ31" i="45"/>
  <c r="AK31" i="45"/>
  <c r="AL31" i="45"/>
  <c r="AM31" i="45"/>
  <c r="AN31" i="45"/>
  <c r="AO31" i="45"/>
  <c r="AP31" i="45"/>
  <c r="AQ31" i="45"/>
  <c r="AR31" i="45"/>
  <c r="AS31" i="45"/>
  <c r="AT31" i="45"/>
  <c r="AU31" i="45"/>
  <c r="AV31" i="45"/>
  <c r="AW31" i="45"/>
  <c r="AX31" i="45"/>
  <c r="AY31" i="45"/>
  <c r="AZ31" i="45"/>
  <c r="Y32" i="45"/>
  <c r="Z32" i="45"/>
  <c r="AA32" i="45"/>
  <c r="AB32" i="45"/>
  <c r="AC32" i="45"/>
  <c r="AD32" i="45"/>
  <c r="AE32" i="45"/>
  <c r="AF32" i="45"/>
  <c r="AG32" i="45"/>
  <c r="AH32" i="45"/>
  <c r="AI32" i="45"/>
  <c r="AJ32" i="45"/>
  <c r="AK32" i="45"/>
  <c r="AL32" i="45"/>
  <c r="AM32" i="45"/>
  <c r="AN32" i="45"/>
  <c r="AO32" i="45"/>
  <c r="AP32" i="45"/>
  <c r="AQ32" i="45"/>
  <c r="AR32" i="45"/>
  <c r="AS32" i="45"/>
  <c r="AT32" i="45"/>
  <c r="AU32" i="45"/>
  <c r="AV32" i="45"/>
  <c r="AW32" i="45"/>
  <c r="AX32" i="45"/>
  <c r="AY32" i="45"/>
  <c r="AZ32" i="45"/>
  <c r="Y33" i="45"/>
  <c r="Z33" i="45"/>
  <c r="AA33" i="45"/>
  <c r="AB33" i="45"/>
  <c r="AC33" i="45"/>
  <c r="AD33" i="45"/>
  <c r="AE33" i="45"/>
  <c r="AF33" i="45"/>
  <c r="AG33" i="45"/>
  <c r="AH33" i="45"/>
  <c r="AI33" i="45"/>
  <c r="AJ33" i="45"/>
  <c r="AK33" i="45"/>
  <c r="AL33" i="45"/>
  <c r="AM33" i="45"/>
  <c r="AN33" i="45"/>
  <c r="AO33" i="45"/>
  <c r="AP33" i="45"/>
  <c r="AQ33" i="45"/>
  <c r="AR33" i="45"/>
  <c r="AS33" i="45"/>
  <c r="AT33" i="45"/>
  <c r="AU33" i="45"/>
  <c r="AV33" i="45"/>
  <c r="AW33" i="45"/>
  <c r="AX33" i="45"/>
  <c r="AY33" i="45"/>
  <c r="AZ33" i="45"/>
  <c r="Y34" i="45"/>
  <c r="Z34" i="45"/>
  <c r="AA34" i="45"/>
  <c r="AB34" i="45"/>
  <c r="AC34" i="45"/>
  <c r="AD34" i="45"/>
  <c r="AE34" i="45"/>
  <c r="AF34" i="45"/>
  <c r="AG34" i="45"/>
  <c r="AH34" i="45"/>
  <c r="AI34" i="45"/>
  <c r="AJ34" i="45"/>
  <c r="AK34" i="45"/>
  <c r="AL34" i="45"/>
  <c r="AM34" i="45"/>
  <c r="AN34" i="45"/>
  <c r="AO34" i="45"/>
  <c r="AP34" i="45"/>
  <c r="AQ34" i="45"/>
  <c r="AR34" i="45"/>
  <c r="AS34" i="45"/>
  <c r="AT34" i="45"/>
  <c r="AU34" i="45"/>
  <c r="AV34" i="45"/>
  <c r="AW34" i="45"/>
  <c r="AX34" i="45"/>
  <c r="AY34" i="45"/>
  <c r="AZ34" i="45"/>
  <c r="Y35" i="45"/>
  <c r="Z35" i="45"/>
  <c r="AA35" i="45"/>
  <c r="AB35" i="45"/>
  <c r="AC35" i="45"/>
  <c r="AD35" i="45"/>
  <c r="AE35" i="45"/>
  <c r="AF35" i="45"/>
  <c r="AG35" i="45"/>
  <c r="AH35" i="45"/>
  <c r="AI35" i="45"/>
  <c r="AJ35" i="45"/>
  <c r="AK35" i="45"/>
  <c r="AL35" i="45"/>
  <c r="AM35" i="45"/>
  <c r="AN35" i="45"/>
  <c r="AO35" i="45"/>
  <c r="AP35" i="45"/>
  <c r="AQ35" i="45"/>
  <c r="AR35" i="45"/>
  <c r="AS35" i="45"/>
  <c r="AT35" i="45"/>
  <c r="AU35" i="45"/>
  <c r="AV35" i="45"/>
  <c r="AW35" i="45"/>
  <c r="AX35" i="45"/>
  <c r="AY35" i="45"/>
  <c r="AZ35" i="45"/>
  <c r="Y36" i="45"/>
  <c r="Z36" i="45"/>
  <c r="AA36" i="45"/>
  <c r="AB36" i="45"/>
  <c r="AC36" i="45"/>
  <c r="AD36" i="45"/>
  <c r="AE36" i="45"/>
  <c r="AF36" i="45"/>
  <c r="AG36" i="45"/>
  <c r="AH36" i="45"/>
  <c r="AI36" i="45"/>
  <c r="AJ36" i="45"/>
  <c r="AK36" i="45"/>
  <c r="AL36" i="45"/>
  <c r="AM36" i="45"/>
  <c r="AN36" i="45"/>
  <c r="AO36" i="45"/>
  <c r="AP36" i="45"/>
  <c r="AQ36" i="45"/>
  <c r="AR36" i="45"/>
  <c r="AS36" i="45"/>
  <c r="AT36" i="45"/>
  <c r="AU36" i="45"/>
  <c r="AV36" i="45"/>
  <c r="AW36" i="45"/>
  <c r="AX36" i="45"/>
  <c r="AY36" i="45"/>
  <c r="AZ36" i="45"/>
  <c r="Y37" i="45"/>
  <c r="Z37" i="45"/>
  <c r="AA37" i="45"/>
  <c r="AB37" i="45"/>
  <c r="AC37" i="45"/>
  <c r="AD37" i="45"/>
  <c r="AE37" i="45"/>
  <c r="AF37" i="45"/>
  <c r="AG37" i="45"/>
  <c r="AH37" i="45"/>
  <c r="AI37" i="45"/>
  <c r="AJ37" i="45"/>
  <c r="AK37" i="45"/>
  <c r="AL37" i="45"/>
  <c r="AM37" i="45"/>
  <c r="AN37" i="45"/>
  <c r="AO37" i="45"/>
  <c r="AP37" i="45"/>
  <c r="AQ37" i="45"/>
  <c r="AR37" i="45"/>
  <c r="AS37" i="45"/>
  <c r="AT37" i="45"/>
  <c r="AU37" i="45"/>
  <c r="AV37" i="45"/>
  <c r="AW37" i="45"/>
  <c r="AX37" i="45"/>
  <c r="AY37" i="45"/>
  <c r="AZ37" i="45"/>
  <c r="Y38" i="45"/>
  <c r="Z38" i="45"/>
  <c r="AA38" i="45"/>
  <c r="AB38" i="45"/>
  <c r="AC38" i="45"/>
  <c r="AD38" i="45"/>
  <c r="AE38" i="45"/>
  <c r="AF38" i="45"/>
  <c r="AG38" i="45"/>
  <c r="AH38" i="45"/>
  <c r="AI38" i="45"/>
  <c r="AJ38" i="45"/>
  <c r="AK38" i="45"/>
  <c r="AL38" i="45"/>
  <c r="AM38" i="45"/>
  <c r="AN38" i="45"/>
  <c r="AO38" i="45"/>
  <c r="AP38" i="45"/>
  <c r="AQ38" i="45"/>
  <c r="AR38" i="45"/>
  <c r="AS38" i="45"/>
  <c r="AT38" i="45"/>
  <c r="AU38" i="45"/>
  <c r="AV38" i="45"/>
  <c r="AW38" i="45"/>
  <c r="AX38" i="45"/>
  <c r="AY38" i="45"/>
  <c r="AZ38" i="45"/>
  <c r="Y39" i="45"/>
  <c r="Z39" i="45"/>
  <c r="AA39" i="45"/>
  <c r="AB39" i="45"/>
  <c r="AC39" i="45"/>
  <c r="AD39" i="45"/>
  <c r="AE39" i="45"/>
  <c r="AF39" i="45"/>
  <c r="AG39" i="45"/>
  <c r="AH39" i="45"/>
  <c r="AI39" i="45"/>
  <c r="AJ39" i="45"/>
  <c r="AK39" i="45"/>
  <c r="AL39" i="45"/>
  <c r="AM39" i="45"/>
  <c r="AN39" i="45"/>
  <c r="AO39" i="45"/>
  <c r="AP39" i="45"/>
  <c r="AQ39" i="45"/>
  <c r="AR39" i="45"/>
  <c r="AS39" i="45"/>
  <c r="AT39" i="45"/>
  <c r="AU39" i="45"/>
  <c r="AV39" i="45"/>
  <c r="AW39" i="45"/>
  <c r="AX39" i="45"/>
  <c r="AY39" i="45"/>
  <c r="AZ39" i="45"/>
  <c r="Y41" i="45"/>
  <c r="Z41" i="45"/>
  <c r="AA41" i="45"/>
  <c r="AB41" i="45"/>
  <c r="AC41" i="45"/>
  <c r="AD41" i="45"/>
  <c r="AE41" i="45"/>
  <c r="AF41" i="45"/>
  <c r="AG41" i="45"/>
  <c r="AH41" i="45"/>
  <c r="AI41" i="45"/>
  <c r="AJ41" i="45"/>
  <c r="AK41" i="45"/>
  <c r="AL41" i="45"/>
  <c r="AM41" i="45"/>
  <c r="AN41" i="45"/>
  <c r="AO41" i="45"/>
  <c r="AP41" i="45"/>
  <c r="AQ41" i="45"/>
  <c r="AR41" i="45"/>
  <c r="AS41" i="45"/>
  <c r="AT41" i="45"/>
  <c r="AU41" i="45"/>
  <c r="AV41" i="45"/>
  <c r="AW41" i="45"/>
  <c r="AX41" i="45"/>
  <c r="AY41" i="45"/>
  <c r="AZ41" i="45"/>
  <c r="Y42" i="45"/>
  <c r="Z42" i="45"/>
  <c r="AA42" i="45"/>
  <c r="AB42" i="45"/>
  <c r="AC42" i="45"/>
  <c r="AD42" i="45"/>
  <c r="AE42" i="45"/>
  <c r="AF42" i="45"/>
  <c r="AG42" i="45"/>
  <c r="AH42" i="45"/>
  <c r="AI42" i="45"/>
  <c r="AJ42" i="45"/>
  <c r="AK42" i="45"/>
  <c r="AL42" i="45"/>
  <c r="AM42" i="45"/>
  <c r="AN42" i="45"/>
  <c r="AO42" i="45"/>
  <c r="AP42" i="45"/>
  <c r="AQ42" i="45"/>
  <c r="AR42" i="45"/>
  <c r="AS42" i="45"/>
  <c r="AT42" i="45"/>
  <c r="AU42" i="45"/>
  <c r="AV42" i="45"/>
  <c r="AW42" i="45"/>
  <c r="AX42" i="45"/>
  <c r="AY42" i="45"/>
  <c r="AZ42" i="45"/>
  <c r="X13" i="45"/>
  <c r="X14" i="45"/>
  <c r="X15" i="45"/>
  <c r="X16" i="45"/>
  <c r="X17" i="45"/>
  <c r="X18" i="45"/>
  <c r="X19" i="45"/>
  <c r="X20" i="45"/>
  <c r="X21" i="45"/>
  <c r="X22" i="45"/>
  <c r="X23" i="45"/>
  <c r="X24" i="45"/>
  <c r="X25" i="45"/>
  <c r="X26" i="45"/>
  <c r="X27" i="45"/>
  <c r="X28" i="45"/>
  <c r="X29" i="45"/>
  <c r="X30" i="45"/>
  <c r="X31" i="45"/>
  <c r="X32" i="45"/>
  <c r="X33" i="45"/>
  <c r="X34" i="45"/>
  <c r="X35" i="45"/>
  <c r="X36" i="45"/>
  <c r="X37" i="45"/>
  <c r="X38" i="45"/>
  <c r="X39" i="45"/>
  <c r="X40" i="45"/>
  <c r="X41" i="45"/>
  <c r="X42" i="45"/>
  <c r="W44" i="43"/>
  <c r="X44" i="43"/>
  <c r="Y44" i="43"/>
  <c r="Z44" i="43"/>
  <c r="AH43" i="43"/>
  <c r="AI43" i="43"/>
  <c r="AJ43" i="43"/>
  <c r="AK43" i="43"/>
  <c r="AL43" i="43"/>
  <c r="AM43" i="43"/>
  <c r="AN43" i="43"/>
  <c r="AO43" i="43"/>
  <c r="AP43" i="43"/>
  <c r="AQ43" i="43"/>
  <c r="AR43" i="43"/>
  <c r="AS43" i="43"/>
  <c r="AT43" i="43"/>
  <c r="AU43" i="43"/>
  <c r="AV43" i="43"/>
  <c r="AW43" i="43"/>
  <c r="AX43" i="43"/>
  <c r="AY43" i="43"/>
  <c r="AZ43" i="43"/>
  <c r="X43" i="43"/>
  <c r="Y43" i="43"/>
  <c r="Z43" i="43"/>
  <c r="AA43" i="43"/>
  <c r="AB43" i="43"/>
  <c r="AC43" i="43"/>
  <c r="AD43" i="43"/>
  <c r="AE43" i="43"/>
  <c r="AF43" i="43"/>
  <c r="AG43" i="43"/>
  <c r="Y12" i="43"/>
  <c r="Z12" i="43"/>
  <c r="AA12" i="43"/>
  <c r="AB12" i="43"/>
  <c r="AC12" i="43"/>
  <c r="AD12" i="43"/>
  <c r="AE12" i="43"/>
  <c r="AF12" i="43"/>
  <c r="AG12" i="43"/>
  <c r="AH12" i="43"/>
  <c r="AI12" i="43"/>
  <c r="AJ12" i="43"/>
  <c r="AK12" i="43"/>
  <c r="AL12" i="43"/>
  <c r="AM12" i="43"/>
  <c r="AN12" i="43"/>
  <c r="AO12" i="43"/>
  <c r="AP12" i="43"/>
  <c r="AQ12" i="43"/>
  <c r="AR12" i="43"/>
  <c r="AS12" i="43"/>
  <c r="AT12" i="43"/>
  <c r="AU12" i="43"/>
  <c r="AV12" i="43"/>
  <c r="AW12" i="43"/>
  <c r="AX12" i="43"/>
  <c r="AY12" i="43"/>
  <c r="AZ12" i="43"/>
  <c r="Y13" i="43"/>
  <c r="Z13" i="43"/>
  <c r="AA13" i="43"/>
  <c r="AB13" i="43"/>
  <c r="AC13" i="43"/>
  <c r="AD13" i="43"/>
  <c r="AE13" i="43"/>
  <c r="AF13" i="43"/>
  <c r="AG13" i="43"/>
  <c r="AH13" i="43"/>
  <c r="AI13" i="43"/>
  <c r="AJ13" i="43"/>
  <c r="AK13" i="43"/>
  <c r="AL13" i="43"/>
  <c r="AM13" i="43"/>
  <c r="AN13" i="43"/>
  <c r="AO13" i="43"/>
  <c r="AP13" i="43"/>
  <c r="AQ13" i="43"/>
  <c r="AR13" i="43"/>
  <c r="AS13" i="43"/>
  <c r="AT13" i="43"/>
  <c r="AU13" i="43"/>
  <c r="AV13" i="43"/>
  <c r="AW13" i="43"/>
  <c r="AX13" i="43"/>
  <c r="AY13" i="43"/>
  <c r="AZ13" i="43"/>
  <c r="Y14" i="43"/>
  <c r="Z14" i="43"/>
  <c r="AA14" i="43"/>
  <c r="AB14" i="43"/>
  <c r="AC14" i="43"/>
  <c r="AD14" i="43"/>
  <c r="AE14" i="43"/>
  <c r="AF14" i="43"/>
  <c r="AG14" i="43"/>
  <c r="AH14" i="43"/>
  <c r="AI14" i="43"/>
  <c r="AJ14" i="43"/>
  <c r="AK14" i="43"/>
  <c r="AL14" i="43"/>
  <c r="AM14" i="43"/>
  <c r="AN14" i="43"/>
  <c r="AO14" i="43"/>
  <c r="AP14" i="43"/>
  <c r="AQ14" i="43"/>
  <c r="AR14" i="43"/>
  <c r="AS14" i="43"/>
  <c r="AT14" i="43"/>
  <c r="AU14" i="43"/>
  <c r="AV14" i="43"/>
  <c r="AW14" i="43"/>
  <c r="AX14" i="43"/>
  <c r="AY14" i="43"/>
  <c r="AZ14" i="43"/>
  <c r="Y15" i="43"/>
  <c r="Z15" i="43"/>
  <c r="AA15" i="43"/>
  <c r="AB15" i="43"/>
  <c r="AC15" i="43"/>
  <c r="AD15" i="43"/>
  <c r="AE15" i="43"/>
  <c r="AF15" i="43"/>
  <c r="AG15" i="43"/>
  <c r="AH15" i="43"/>
  <c r="AI15" i="43"/>
  <c r="AJ15" i="43"/>
  <c r="AK15" i="43"/>
  <c r="AL15" i="43"/>
  <c r="AM15" i="43"/>
  <c r="AN15" i="43"/>
  <c r="AO15" i="43"/>
  <c r="AP15" i="43"/>
  <c r="AQ15" i="43"/>
  <c r="AR15" i="43"/>
  <c r="AS15" i="43"/>
  <c r="AT15" i="43"/>
  <c r="AU15" i="43"/>
  <c r="AV15" i="43"/>
  <c r="AW15" i="43"/>
  <c r="AX15" i="43"/>
  <c r="AY15" i="43"/>
  <c r="AZ15" i="43"/>
  <c r="Y16" i="43"/>
  <c r="Z16" i="43"/>
  <c r="AA16" i="43"/>
  <c r="AB16" i="43"/>
  <c r="AC16" i="43"/>
  <c r="AD16" i="43"/>
  <c r="AE16" i="43"/>
  <c r="AF16" i="43"/>
  <c r="AG16" i="43"/>
  <c r="AH16" i="43"/>
  <c r="AI16" i="43"/>
  <c r="AJ16" i="43"/>
  <c r="AK16" i="43"/>
  <c r="AL16" i="43"/>
  <c r="AM16" i="43"/>
  <c r="AN16" i="43"/>
  <c r="AO16" i="43"/>
  <c r="AP16" i="43"/>
  <c r="AQ16" i="43"/>
  <c r="AR16" i="43"/>
  <c r="AS16" i="43"/>
  <c r="AT16" i="43"/>
  <c r="AU16" i="43"/>
  <c r="AV16" i="43"/>
  <c r="AW16" i="43"/>
  <c r="AX16" i="43"/>
  <c r="AY16" i="43"/>
  <c r="AZ16" i="43"/>
  <c r="Y17" i="43"/>
  <c r="Z17" i="43"/>
  <c r="AA17" i="43"/>
  <c r="AB17" i="43"/>
  <c r="AC17" i="43"/>
  <c r="AD17" i="43"/>
  <c r="AE17" i="43"/>
  <c r="AF17" i="43"/>
  <c r="AG17" i="43"/>
  <c r="AH17" i="43"/>
  <c r="AI17" i="43"/>
  <c r="AJ17" i="43"/>
  <c r="AK17" i="43"/>
  <c r="AL17" i="43"/>
  <c r="AM17" i="43"/>
  <c r="AN17" i="43"/>
  <c r="AO17" i="43"/>
  <c r="AP17" i="43"/>
  <c r="AQ17" i="43"/>
  <c r="AR17" i="43"/>
  <c r="AS17" i="43"/>
  <c r="AT17" i="43"/>
  <c r="AU17" i="43"/>
  <c r="AV17" i="43"/>
  <c r="AW17" i="43"/>
  <c r="AX17" i="43"/>
  <c r="AY17" i="43"/>
  <c r="AZ17" i="43"/>
  <c r="Y18" i="43"/>
  <c r="Z18" i="43"/>
  <c r="AA18" i="43"/>
  <c r="AB18" i="43"/>
  <c r="AC18" i="43"/>
  <c r="AD18" i="43"/>
  <c r="AE18" i="43"/>
  <c r="AF18" i="43"/>
  <c r="AG18" i="43"/>
  <c r="AH18" i="43"/>
  <c r="AI18" i="43"/>
  <c r="AJ18" i="43"/>
  <c r="AK18" i="43"/>
  <c r="AL18" i="43"/>
  <c r="AM18" i="43"/>
  <c r="AN18" i="43"/>
  <c r="AO18" i="43"/>
  <c r="AP18" i="43"/>
  <c r="AQ18" i="43"/>
  <c r="AR18" i="43"/>
  <c r="AS18" i="43"/>
  <c r="AT18" i="43"/>
  <c r="AU18" i="43"/>
  <c r="AV18" i="43"/>
  <c r="AW18" i="43"/>
  <c r="AX18" i="43"/>
  <c r="AY18" i="43"/>
  <c r="AZ18" i="43"/>
  <c r="Y19" i="43"/>
  <c r="Z19" i="43"/>
  <c r="AA19" i="43"/>
  <c r="AB19" i="43"/>
  <c r="AC19" i="43"/>
  <c r="AD19" i="43"/>
  <c r="AE19" i="43"/>
  <c r="AF19" i="43"/>
  <c r="AG19" i="43"/>
  <c r="AH19" i="43"/>
  <c r="AI19" i="43"/>
  <c r="AJ19" i="43"/>
  <c r="AK19" i="43"/>
  <c r="AL19" i="43"/>
  <c r="AM19" i="43"/>
  <c r="AN19" i="43"/>
  <c r="AO19" i="43"/>
  <c r="AP19" i="43"/>
  <c r="AQ19" i="43"/>
  <c r="AR19" i="43"/>
  <c r="AS19" i="43"/>
  <c r="AT19" i="43"/>
  <c r="AU19" i="43"/>
  <c r="AV19" i="43"/>
  <c r="AW19" i="43"/>
  <c r="AX19" i="43"/>
  <c r="AY19" i="43"/>
  <c r="AZ19" i="43"/>
  <c r="Y20" i="43"/>
  <c r="Z20" i="43"/>
  <c r="AA20" i="43"/>
  <c r="AB20" i="43"/>
  <c r="AC20" i="43"/>
  <c r="AD20" i="43"/>
  <c r="AE20" i="43"/>
  <c r="AF20" i="43"/>
  <c r="AG20" i="43"/>
  <c r="AH20" i="43"/>
  <c r="AI20" i="43"/>
  <c r="AJ20" i="43"/>
  <c r="AK20" i="43"/>
  <c r="AL20" i="43"/>
  <c r="AM20" i="43"/>
  <c r="AN20" i="43"/>
  <c r="AO20" i="43"/>
  <c r="AP20" i="43"/>
  <c r="AQ20" i="43"/>
  <c r="AR20" i="43"/>
  <c r="AS20" i="43"/>
  <c r="AT20" i="43"/>
  <c r="AU20" i="43"/>
  <c r="AV20" i="43"/>
  <c r="AW20" i="43"/>
  <c r="AX20" i="43"/>
  <c r="AY20" i="43"/>
  <c r="AZ20" i="43"/>
  <c r="Y21" i="43"/>
  <c r="Z21" i="43"/>
  <c r="AA21" i="43"/>
  <c r="AB21" i="43"/>
  <c r="AC21" i="43"/>
  <c r="AD21" i="43"/>
  <c r="AE21" i="43"/>
  <c r="AF21" i="43"/>
  <c r="AG21" i="43"/>
  <c r="AH21" i="43"/>
  <c r="AI21" i="43"/>
  <c r="AJ21" i="43"/>
  <c r="AK21" i="43"/>
  <c r="AL21" i="43"/>
  <c r="AM21" i="43"/>
  <c r="AN21" i="43"/>
  <c r="AO21" i="43"/>
  <c r="AP21" i="43"/>
  <c r="AQ21" i="43"/>
  <c r="AR21" i="43"/>
  <c r="AS21" i="43"/>
  <c r="AT21" i="43"/>
  <c r="AU21" i="43"/>
  <c r="AV21" i="43"/>
  <c r="AW21" i="43"/>
  <c r="AX21" i="43"/>
  <c r="AY21" i="43"/>
  <c r="AZ21" i="43"/>
  <c r="Y22" i="43"/>
  <c r="Z22" i="43"/>
  <c r="AA22" i="43"/>
  <c r="AB22" i="43"/>
  <c r="AC22" i="43"/>
  <c r="AD22" i="43"/>
  <c r="AE22" i="43"/>
  <c r="AF22" i="43"/>
  <c r="AG22" i="43"/>
  <c r="AH22" i="43"/>
  <c r="AI22" i="43"/>
  <c r="AJ22" i="43"/>
  <c r="AK22" i="43"/>
  <c r="AL22" i="43"/>
  <c r="AM22" i="43"/>
  <c r="AN22" i="43"/>
  <c r="AO22" i="43"/>
  <c r="AP22" i="43"/>
  <c r="AQ22" i="43"/>
  <c r="AR22" i="43"/>
  <c r="AS22" i="43"/>
  <c r="AT22" i="43"/>
  <c r="AU22" i="43"/>
  <c r="AV22" i="43"/>
  <c r="AW22" i="43"/>
  <c r="AX22" i="43"/>
  <c r="AY22" i="43"/>
  <c r="AZ22" i="43"/>
  <c r="Y23" i="43"/>
  <c r="Z23" i="43"/>
  <c r="AA23" i="43"/>
  <c r="AB23" i="43"/>
  <c r="AC23" i="43"/>
  <c r="AD23" i="43"/>
  <c r="AE23" i="43"/>
  <c r="AF23" i="43"/>
  <c r="AG23" i="43"/>
  <c r="AH23" i="43"/>
  <c r="AI23" i="43"/>
  <c r="AJ23" i="43"/>
  <c r="AK23" i="43"/>
  <c r="AL23" i="43"/>
  <c r="AM23" i="43"/>
  <c r="AN23" i="43"/>
  <c r="AO23" i="43"/>
  <c r="AP23" i="43"/>
  <c r="AQ23" i="43"/>
  <c r="AR23" i="43"/>
  <c r="AS23" i="43"/>
  <c r="AT23" i="43"/>
  <c r="AU23" i="43"/>
  <c r="AV23" i="43"/>
  <c r="AW23" i="43"/>
  <c r="AX23" i="43"/>
  <c r="AY23" i="43"/>
  <c r="AZ23" i="43"/>
  <c r="Y24" i="43"/>
  <c r="Z24" i="43"/>
  <c r="AA24" i="43"/>
  <c r="AB24" i="43"/>
  <c r="AC24" i="43"/>
  <c r="AD24" i="43"/>
  <c r="AE24" i="43"/>
  <c r="AF24" i="43"/>
  <c r="AG24" i="43"/>
  <c r="AH24" i="43"/>
  <c r="AI24" i="43"/>
  <c r="AJ24" i="43"/>
  <c r="AK24" i="43"/>
  <c r="AL24" i="43"/>
  <c r="AM24" i="43"/>
  <c r="AN24" i="43"/>
  <c r="AO24" i="43"/>
  <c r="AP24" i="43"/>
  <c r="AQ24" i="43"/>
  <c r="AR24" i="43"/>
  <c r="AS24" i="43"/>
  <c r="AT24" i="43"/>
  <c r="AU24" i="43"/>
  <c r="AV24" i="43"/>
  <c r="AW24" i="43"/>
  <c r="AX24" i="43"/>
  <c r="AY24" i="43"/>
  <c r="AZ24" i="43"/>
  <c r="Y25" i="43"/>
  <c r="Z25" i="43"/>
  <c r="AA25" i="43"/>
  <c r="AB25" i="43"/>
  <c r="AC25" i="43"/>
  <c r="AD25" i="43"/>
  <c r="AE25" i="43"/>
  <c r="AF25" i="43"/>
  <c r="AG25" i="43"/>
  <c r="AH25" i="43"/>
  <c r="AI25" i="43"/>
  <c r="AJ25" i="43"/>
  <c r="AK25" i="43"/>
  <c r="AL25" i="43"/>
  <c r="AM25" i="43"/>
  <c r="AN25" i="43"/>
  <c r="AO25" i="43"/>
  <c r="AP25" i="43"/>
  <c r="AQ25" i="43"/>
  <c r="AR25" i="43"/>
  <c r="AS25" i="43"/>
  <c r="AT25" i="43"/>
  <c r="AU25" i="43"/>
  <c r="AV25" i="43"/>
  <c r="AW25" i="43"/>
  <c r="AX25" i="43"/>
  <c r="AY25" i="43"/>
  <c r="AZ25" i="43"/>
  <c r="Y26" i="43"/>
  <c r="Z26" i="43"/>
  <c r="AA26" i="43"/>
  <c r="AB26" i="43"/>
  <c r="AC26" i="43"/>
  <c r="AD26" i="43"/>
  <c r="AE26" i="43"/>
  <c r="AF26" i="43"/>
  <c r="AG26" i="43"/>
  <c r="AH26" i="43"/>
  <c r="AI26" i="43"/>
  <c r="AJ26" i="43"/>
  <c r="AK26" i="43"/>
  <c r="AL26" i="43"/>
  <c r="AM26" i="43"/>
  <c r="AN26" i="43"/>
  <c r="AO26" i="43"/>
  <c r="AP26" i="43"/>
  <c r="AQ26" i="43"/>
  <c r="AR26" i="43"/>
  <c r="AS26" i="43"/>
  <c r="AT26" i="43"/>
  <c r="AU26" i="43"/>
  <c r="AV26" i="43"/>
  <c r="AW26" i="43"/>
  <c r="AX26" i="43"/>
  <c r="AY26" i="43"/>
  <c r="AZ26" i="43"/>
  <c r="Y27" i="43"/>
  <c r="Z27" i="43"/>
  <c r="AA27" i="43"/>
  <c r="AB27" i="43"/>
  <c r="AC27" i="43"/>
  <c r="AD27" i="43"/>
  <c r="AE27" i="43"/>
  <c r="AF27" i="43"/>
  <c r="AG27" i="43"/>
  <c r="AH27" i="43"/>
  <c r="AI27" i="43"/>
  <c r="AJ27" i="43"/>
  <c r="AK27" i="43"/>
  <c r="AL27" i="43"/>
  <c r="AM27" i="43"/>
  <c r="AN27" i="43"/>
  <c r="AO27" i="43"/>
  <c r="AP27" i="43"/>
  <c r="AQ27" i="43"/>
  <c r="AR27" i="43"/>
  <c r="AS27" i="43"/>
  <c r="AT27" i="43"/>
  <c r="AU27" i="43"/>
  <c r="AV27" i="43"/>
  <c r="AW27" i="43"/>
  <c r="AX27" i="43"/>
  <c r="AY27" i="43"/>
  <c r="AZ27" i="43"/>
  <c r="Y28" i="43"/>
  <c r="Z28" i="43"/>
  <c r="AA28" i="43"/>
  <c r="AB28" i="43"/>
  <c r="AC28" i="43"/>
  <c r="AD28" i="43"/>
  <c r="AE28" i="43"/>
  <c r="AF28" i="43"/>
  <c r="AG28" i="43"/>
  <c r="AH28" i="43"/>
  <c r="AI28" i="43"/>
  <c r="AJ28" i="43"/>
  <c r="AK28" i="43"/>
  <c r="AL28" i="43"/>
  <c r="AM28" i="43"/>
  <c r="AN28" i="43"/>
  <c r="AO28" i="43"/>
  <c r="AP28" i="43"/>
  <c r="AQ28" i="43"/>
  <c r="AR28" i="43"/>
  <c r="AS28" i="43"/>
  <c r="AT28" i="43"/>
  <c r="AU28" i="43"/>
  <c r="AV28" i="43"/>
  <c r="AW28" i="43"/>
  <c r="AX28" i="43"/>
  <c r="AY28" i="43"/>
  <c r="AZ28" i="43"/>
  <c r="Y29" i="43"/>
  <c r="Z29" i="43"/>
  <c r="AA29" i="43"/>
  <c r="AB29" i="43"/>
  <c r="AC29" i="43"/>
  <c r="AD29" i="43"/>
  <c r="AE29" i="43"/>
  <c r="AF29" i="43"/>
  <c r="AG29" i="43"/>
  <c r="AH29" i="43"/>
  <c r="AI29" i="43"/>
  <c r="AJ29" i="43"/>
  <c r="AK29" i="43"/>
  <c r="AL29" i="43"/>
  <c r="AM29" i="43"/>
  <c r="AN29" i="43"/>
  <c r="AO29" i="43"/>
  <c r="AP29" i="43"/>
  <c r="AQ29" i="43"/>
  <c r="AR29" i="43"/>
  <c r="AS29" i="43"/>
  <c r="AT29" i="43"/>
  <c r="AU29" i="43"/>
  <c r="AV29" i="43"/>
  <c r="AW29" i="43"/>
  <c r="AX29" i="43"/>
  <c r="AY29" i="43"/>
  <c r="AZ29" i="43"/>
  <c r="Y30" i="43"/>
  <c r="Z30" i="43"/>
  <c r="AA30" i="43"/>
  <c r="AB30" i="43"/>
  <c r="AC30" i="43"/>
  <c r="AD30" i="43"/>
  <c r="AE30" i="43"/>
  <c r="AF30" i="43"/>
  <c r="AG30" i="43"/>
  <c r="AH30" i="43"/>
  <c r="AI30" i="43"/>
  <c r="AJ30" i="43"/>
  <c r="AK30" i="43"/>
  <c r="AL30" i="43"/>
  <c r="AM30" i="43"/>
  <c r="AN30" i="43"/>
  <c r="AO30" i="43"/>
  <c r="AP30" i="43"/>
  <c r="AQ30" i="43"/>
  <c r="AR30" i="43"/>
  <c r="AS30" i="43"/>
  <c r="AT30" i="43"/>
  <c r="AU30" i="43"/>
  <c r="AV30" i="43"/>
  <c r="AW30" i="43"/>
  <c r="AX30" i="43"/>
  <c r="AY30" i="43"/>
  <c r="AZ30" i="43"/>
  <c r="Y31" i="43"/>
  <c r="Z31" i="43"/>
  <c r="AA31" i="43"/>
  <c r="AB31" i="43"/>
  <c r="AC31" i="43"/>
  <c r="AD31" i="43"/>
  <c r="AE31" i="43"/>
  <c r="AF31" i="43"/>
  <c r="AG31" i="43"/>
  <c r="AH31" i="43"/>
  <c r="AI31" i="43"/>
  <c r="AJ31" i="43"/>
  <c r="AK31" i="43"/>
  <c r="AL31" i="43"/>
  <c r="AM31" i="43"/>
  <c r="AN31" i="43"/>
  <c r="AO31" i="43"/>
  <c r="AP31" i="43"/>
  <c r="AQ31" i="43"/>
  <c r="AR31" i="43"/>
  <c r="AS31" i="43"/>
  <c r="AT31" i="43"/>
  <c r="AU31" i="43"/>
  <c r="AV31" i="43"/>
  <c r="AW31" i="43"/>
  <c r="AX31" i="43"/>
  <c r="AY31" i="43"/>
  <c r="AZ31" i="43"/>
  <c r="Y32" i="43"/>
  <c r="Z32" i="43"/>
  <c r="AA32" i="43"/>
  <c r="AB32" i="43"/>
  <c r="AC32" i="43"/>
  <c r="AD32" i="43"/>
  <c r="AE32" i="43"/>
  <c r="AF32" i="43"/>
  <c r="AG32" i="43"/>
  <c r="AH32" i="43"/>
  <c r="AI32" i="43"/>
  <c r="AJ32" i="43"/>
  <c r="AK32" i="43"/>
  <c r="AL32" i="43"/>
  <c r="AM32" i="43"/>
  <c r="AN32" i="43"/>
  <c r="AO32" i="43"/>
  <c r="AP32" i="43"/>
  <c r="AQ32" i="43"/>
  <c r="AR32" i="43"/>
  <c r="AS32" i="43"/>
  <c r="AT32" i="43"/>
  <c r="AU32" i="43"/>
  <c r="AV32" i="43"/>
  <c r="AW32" i="43"/>
  <c r="AX32" i="43"/>
  <c r="AY32" i="43"/>
  <c r="AZ32" i="43"/>
  <c r="Y33" i="43"/>
  <c r="Z33" i="43"/>
  <c r="AA33" i="43"/>
  <c r="AB33" i="43"/>
  <c r="AC33" i="43"/>
  <c r="AD33" i="43"/>
  <c r="AE33" i="43"/>
  <c r="AF33" i="43"/>
  <c r="AG33" i="43"/>
  <c r="AH33" i="43"/>
  <c r="AI33" i="43"/>
  <c r="AJ33" i="43"/>
  <c r="AK33" i="43"/>
  <c r="AL33" i="43"/>
  <c r="AM33" i="43"/>
  <c r="AN33" i="43"/>
  <c r="AO33" i="43"/>
  <c r="AP33" i="43"/>
  <c r="AQ33" i="43"/>
  <c r="AR33" i="43"/>
  <c r="AS33" i="43"/>
  <c r="AT33" i="43"/>
  <c r="AU33" i="43"/>
  <c r="AV33" i="43"/>
  <c r="AW33" i="43"/>
  <c r="AX33" i="43"/>
  <c r="AY33" i="43"/>
  <c r="AZ33" i="43"/>
  <c r="Y34" i="43"/>
  <c r="Z34" i="43"/>
  <c r="AA34" i="43"/>
  <c r="AB34" i="43"/>
  <c r="AC34" i="43"/>
  <c r="AD34" i="43"/>
  <c r="AE34" i="43"/>
  <c r="AF34" i="43"/>
  <c r="AG34" i="43"/>
  <c r="AH34" i="43"/>
  <c r="AI34" i="43"/>
  <c r="AJ34" i="43"/>
  <c r="AK34" i="43"/>
  <c r="AL34" i="43"/>
  <c r="AM34" i="43"/>
  <c r="AN34" i="43"/>
  <c r="AO34" i="43"/>
  <c r="AP34" i="43"/>
  <c r="AQ34" i="43"/>
  <c r="AR34" i="43"/>
  <c r="AS34" i="43"/>
  <c r="AT34" i="43"/>
  <c r="AU34" i="43"/>
  <c r="AV34" i="43"/>
  <c r="AW34" i="43"/>
  <c r="AX34" i="43"/>
  <c r="AY34" i="43"/>
  <c r="AZ34" i="43"/>
  <c r="Y35" i="43"/>
  <c r="Z35" i="43"/>
  <c r="AA35" i="43"/>
  <c r="AB35" i="43"/>
  <c r="AC35" i="43"/>
  <c r="AD35" i="43"/>
  <c r="AE35" i="43"/>
  <c r="AF35" i="43"/>
  <c r="AG35" i="43"/>
  <c r="AH35" i="43"/>
  <c r="AI35" i="43"/>
  <c r="AJ35" i="43"/>
  <c r="AK35" i="43"/>
  <c r="AL35" i="43"/>
  <c r="AM35" i="43"/>
  <c r="AN35" i="43"/>
  <c r="AO35" i="43"/>
  <c r="AP35" i="43"/>
  <c r="AQ35" i="43"/>
  <c r="AR35" i="43"/>
  <c r="AS35" i="43"/>
  <c r="AT35" i="43"/>
  <c r="AU35" i="43"/>
  <c r="AV35" i="43"/>
  <c r="AW35" i="43"/>
  <c r="AX35" i="43"/>
  <c r="AY35" i="43"/>
  <c r="AZ35" i="43"/>
  <c r="Y36" i="43"/>
  <c r="Z36" i="43"/>
  <c r="AA36" i="43"/>
  <c r="AB36" i="43"/>
  <c r="AC36" i="43"/>
  <c r="AD36" i="43"/>
  <c r="AE36" i="43"/>
  <c r="AF36" i="43"/>
  <c r="AG36" i="43"/>
  <c r="AH36" i="43"/>
  <c r="AI36" i="43"/>
  <c r="AJ36" i="43"/>
  <c r="AK36" i="43"/>
  <c r="AL36" i="43"/>
  <c r="AM36" i="43"/>
  <c r="AN36" i="43"/>
  <c r="AO36" i="43"/>
  <c r="AP36" i="43"/>
  <c r="AQ36" i="43"/>
  <c r="AR36" i="43"/>
  <c r="AS36" i="43"/>
  <c r="AT36" i="43"/>
  <c r="AU36" i="43"/>
  <c r="AV36" i="43"/>
  <c r="AW36" i="43"/>
  <c r="AX36" i="43"/>
  <c r="AY36" i="43"/>
  <c r="AZ36" i="43"/>
  <c r="Y37" i="43"/>
  <c r="Z37" i="43"/>
  <c r="AA37" i="43"/>
  <c r="AB37" i="43"/>
  <c r="AC37" i="43"/>
  <c r="AD37" i="43"/>
  <c r="AE37" i="43"/>
  <c r="AF37" i="43"/>
  <c r="AG37" i="43"/>
  <c r="AH37" i="43"/>
  <c r="AI37" i="43"/>
  <c r="AJ37" i="43"/>
  <c r="AK37" i="43"/>
  <c r="AL37" i="43"/>
  <c r="AM37" i="43"/>
  <c r="AN37" i="43"/>
  <c r="AO37" i="43"/>
  <c r="AP37" i="43"/>
  <c r="AQ37" i="43"/>
  <c r="AR37" i="43"/>
  <c r="AS37" i="43"/>
  <c r="AT37" i="43"/>
  <c r="AU37" i="43"/>
  <c r="AV37" i="43"/>
  <c r="AW37" i="43"/>
  <c r="AX37" i="43"/>
  <c r="AY37" i="43"/>
  <c r="AZ37" i="43"/>
  <c r="Y38" i="43"/>
  <c r="Z38" i="43"/>
  <c r="AA38" i="43"/>
  <c r="AB38" i="43"/>
  <c r="AC38" i="43"/>
  <c r="AD38" i="43"/>
  <c r="AE38" i="43"/>
  <c r="AF38" i="43"/>
  <c r="AG38" i="43"/>
  <c r="AH38" i="43"/>
  <c r="AI38" i="43"/>
  <c r="AJ38" i="43"/>
  <c r="AK38" i="43"/>
  <c r="AL38" i="43"/>
  <c r="AM38" i="43"/>
  <c r="AN38" i="43"/>
  <c r="AO38" i="43"/>
  <c r="AP38" i="43"/>
  <c r="AQ38" i="43"/>
  <c r="AR38" i="43"/>
  <c r="AS38" i="43"/>
  <c r="AT38" i="43"/>
  <c r="AU38" i="43"/>
  <c r="AV38" i="43"/>
  <c r="AW38" i="43"/>
  <c r="AX38" i="43"/>
  <c r="AY38" i="43"/>
  <c r="AZ38" i="43"/>
  <c r="Y39" i="43"/>
  <c r="Z39" i="43"/>
  <c r="AA39" i="43"/>
  <c r="AB39" i="43"/>
  <c r="AC39" i="43"/>
  <c r="AD39" i="43"/>
  <c r="AE39" i="43"/>
  <c r="AF39" i="43"/>
  <c r="AG39" i="43"/>
  <c r="AH39" i="43"/>
  <c r="AI39" i="43"/>
  <c r="AJ39" i="43"/>
  <c r="AK39" i="43"/>
  <c r="AL39" i="43"/>
  <c r="AM39" i="43"/>
  <c r="AN39" i="43"/>
  <c r="AO39" i="43"/>
  <c r="AP39" i="43"/>
  <c r="AQ39" i="43"/>
  <c r="AR39" i="43"/>
  <c r="AS39" i="43"/>
  <c r="AT39" i="43"/>
  <c r="AU39" i="43"/>
  <c r="AV39" i="43"/>
  <c r="AW39" i="43"/>
  <c r="AX39" i="43"/>
  <c r="AY39" i="43"/>
  <c r="AZ39" i="43"/>
  <c r="Y40" i="43"/>
  <c r="Z40" i="43"/>
  <c r="AA40" i="43"/>
  <c r="AB40" i="43"/>
  <c r="AC40" i="43"/>
  <c r="AD40" i="43"/>
  <c r="AE40" i="43"/>
  <c r="AF40" i="43"/>
  <c r="AG40" i="43"/>
  <c r="AH40" i="43"/>
  <c r="AI40" i="43"/>
  <c r="AJ40" i="43"/>
  <c r="AK40" i="43"/>
  <c r="AL40" i="43"/>
  <c r="AM40" i="43"/>
  <c r="AN40" i="43"/>
  <c r="AO40" i="43"/>
  <c r="AP40" i="43"/>
  <c r="AQ40" i="43"/>
  <c r="AR40" i="43"/>
  <c r="AS40" i="43"/>
  <c r="AT40" i="43"/>
  <c r="AU40" i="43"/>
  <c r="AV40" i="43"/>
  <c r="AW40" i="43"/>
  <c r="AX40" i="43"/>
  <c r="AY40" i="43"/>
  <c r="AZ40" i="43"/>
  <c r="Y41" i="43"/>
  <c r="Z41" i="43"/>
  <c r="AA41" i="43"/>
  <c r="AB41" i="43"/>
  <c r="AC41" i="43"/>
  <c r="AD41" i="43"/>
  <c r="AE41" i="43"/>
  <c r="AF41" i="43"/>
  <c r="AG41" i="43"/>
  <c r="AH41" i="43"/>
  <c r="AI41" i="43"/>
  <c r="AJ41" i="43"/>
  <c r="AK41" i="43"/>
  <c r="AL41" i="43"/>
  <c r="AM41" i="43"/>
  <c r="AN41" i="43"/>
  <c r="AO41" i="43"/>
  <c r="AP41" i="43"/>
  <c r="AQ41" i="43"/>
  <c r="AR41" i="43"/>
  <c r="AS41" i="43"/>
  <c r="AT41" i="43"/>
  <c r="AU41" i="43"/>
  <c r="AV41" i="43"/>
  <c r="AW41" i="43"/>
  <c r="AX41" i="43"/>
  <c r="AY41" i="43"/>
  <c r="AZ41" i="43"/>
  <c r="Y42" i="43"/>
  <c r="Z42" i="43"/>
  <c r="AA42" i="43"/>
  <c r="AB42" i="43"/>
  <c r="AC42" i="43"/>
  <c r="AD42" i="43"/>
  <c r="AE42" i="43"/>
  <c r="AF42" i="43"/>
  <c r="AG42" i="43"/>
  <c r="AH42" i="43"/>
  <c r="AI42" i="43"/>
  <c r="AJ42" i="43"/>
  <c r="AK42" i="43"/>
  <c r="AL42" i="43"/>
  <c r="AM42" i="43"/>
  <c r="AN42" i="43"/>
  <c r="AO42" i="43"/>
  <c r="AP42" i="43"/>
  <c r="AQ42" i="43"/>
  <c r="AR42" i="43"/>
  <c r="AS42" i="43"/>
  <c r="AT42" i="43"/>
  <c r="AU42" i="43"/>
  <c r="AV42" i="43"/>
  <c r="AW42" i="43"/>
  <c r="AX42" i="43"/>
  <c r="AY42" i="43"/>
  <c r="AZ42" i="43"/>
  <c r="X13" i="43"/>
  <c r="X14" i="43"/>
  <c r="X15" i="43"/>
  <c r="X16" i="43"/>
  <c r="X17" i="43"/>
  <c r="X18" i="43"/>
  <c r="X19" i="43"/>
  <c r="X20" i="43"/>
  <c r="X21" i="43"/>
  <c r="X22" i="43"/>
  <c r="X23" i="43"/>
  <c r="X24" i="43"/>
  <c r="X25" i="43"/>
  <c r="X26" i="43"/>
  <c r="X27" i="43"/>
  <c r="X28" i="43"/>
  <c r="X29" i="43"/>
  <c r="X30" i="43"/>
  <c r="X31" i="43"/>
  <c r="X32" i="43"/>
  <c r="X33" i="43"/>
  <c r="X34" i="43"/>
  <c r="X35" i="43"/>
  <c r="X36" i="43"/>
  <c r="X37" i="43"/>
  <c r="X38" i="43"/>
  <c r="X39" i="43"/>
  <c r="X40" i="43"/>
  <c r="X41" i="43"/>
  <c r="X42" i="43"/>
  <c r="X12" i="43"/>
  <c r="AS12" i="40"/>
  <c r="AT12" i="40"/>
  <c r="AU12" i="40"/>
  <c r="AV12" i="40"/>
  <c r="AW12" i="40"/>
  <c r="AX12" i="40"/>
  <c r="AY12" i="40"/>
  <c r="AZ12" i="40"/>
  <c r="AS13" i="40"/>
  <c r="AT13" i="40"/>
  <c r="AU13" i="40"/>
  <c r="AV13" i="40"/>
  <c r="AW13" i="40"/>
  <c r="AX13" i="40"/>
  <c r="AY13" i="40"/>
  <c r="AZ13" i="40"/>
  <c r="AS14" i="40"/>
  <c r="AT14" i="40"/>
  <c r="AU14" i="40"/>
  <c r="AV14" i="40"/>
  <c r="AW14" i="40"/>
  <c r="AX14" i="40"/>
  <c r="AY14" i="40"/>
  <c r="AZ14" i="40"/>
  <c r="AS15" i="40"/>
  <c r="AT15" i="40"/>
  <c r="AU15" i="40"/>
  <c r="AV15" i="40"/>
  <c r="AW15" i="40"/>
  <c r="AX15" i="40"/>
  <c r="AY15" i="40"/>
  <c r="AZ15" i="40"/>
  <c r="AS16" i="40"/>
  <c r="AT16" i="40"/>
  <c r="AU16" i="40"/>
  <c r="AV16" i="40"/>
  <c r="AW16" i="40"/>
  <c r="AX16" i="40"/>
  <c r="AY16" i="40"/>
  <c r="AZ16" i="40"/>
  <c r="AS17" i="40"/>
  <c r="AT17" i="40"/>
  <c r="AU17" i="40"/>
  <c r="AV17" i="40"/>
  <c r="AW17" i="40"/>
  <c r="AX17" i="40"/>
  <c r="AY17" i="40"/>
  <c r="AZ17" i="40"/>
  <c r="AS18" i="40"/>
  <c r="AT18" i="40"/>
  <c r="AU18" i="40"/>
  <c r="AV18" i="40"/>
  <c r="AW18" i="40"/>
  <c r="AX18" i="40"/>
  <c r="AY18" i="40"/>
  <c r="AZ18" i="40"/>
  <c r="AS19" i="40"/>
  <c r="AT19" i="40"/>
  <c r="AU19" i="40"/>
  <c r="AV19" i="40"/>
  <c r="AW19" i="40"/>
  <c r="AX19" i="40"/>
  <c r="AY19" i="40"/>
  <c r="AZ19" i="40"/>
  <c r="AS20" i="40"/>
  <c r="AT20" i="40"/>
  <c r="AU20" i="40"/>
  <c r="AV20" i="40"/>
  <c r="AW20" i="40"/>
  <c r="AX20" i="40"/>
  <c r="AY20" i="40"/>
  <c r="AZ20" i="40"/>
  <c r="AS21" i="40"/>
  <c r="AT21" i="40"/>
  <c r="AU21" i="40"/>
  <c r="AV21" i="40"/>
  <c r="AW21" i="40"/>
  <c r="AX21" i="40"/>
  <c r="AY21" i="40"/>
  <c r="AZ21" i="40"/>
  <c r="AS22" i="40"/>
  <c r="AT22" i="40"/>
  <c r="AU22" i="40"/>
  <c r="AV22" i="40"/>
  <c r="AW22" i="40"/>
  <c r="AX22" i="40"/>
  <c r="AY22" i="40"/>
  <c r="AZ22" i="40"/>
  <c r="AS23" i="40"/>
  <c r="AT23" i="40"/>
  <c r="AU23" i="40"/>
  <c r="AV23" i="40"/>
  <c r="AW23" i="40"/>
  <c r="AX23" i="40"/>
  <c r="AY23" i="40"/>
  <c r="AZ23" i="40"/>
  <c r="AS24" i="40"/>
  <c r="AT24" i="40"/>
  <c r="AU24" i="40"/>
  <c r="AV24" i="40"/>
  <c r="AW24" i="40"/>
  <c r="AX24" i="40"/>
  <c r="AY24" i="40"/>
  <c r="AZ24" i="40"/>
  <c r="AS25" i="40"/>
  <c r="AT25" i="40"/>
  <c r="AU25" i="40"/>
  <c r="AV25" i="40"/>
  <c r="AW25" i="40"/>
  <c r="AX25" i="40"/>
  <c r="AY25" i="40"/>
  <c r="AZ25" i="40"/>
  <c r="AS26" i="40"/>
  <c r="AT26" i="40"/>
  <c r="AU26" i="40"/>
  <c r="AV26" i="40"/>
  <c r="AW26" i="40"/>
  <c r="AX26" i="40"/>
  <c r="AY26" i="40"/>
  <c r="AZ26" i="40"/>
  <c r="AS27" i="40"/>
  <c r="AT27" i="40"/>
  <c r="AU27" i="40"/>
  <c r="AV27" i="40"/>
  <c r="AW27" i="40"/>
  <c r="AX27" i="40"/>
  <c r="AY27" i="40"/>
  <c r="AZ27" i="40"/>
  <c r="AS28" i="40"/>
  <c r="AT28" i="40"/>
  <c r="AU28" i="40"/>
  <c r="AV28" i="40"/>
  <c r="AW28" i="40"/>
  <c r="AX28" i="40"/>
  <c r="AY28" i="40"/>
  <c r="AZ28" i="40"/>
  <c r="AS29" i="40"/>
  <c r="AT29" i="40"/>
  <c r="AU29" i="40"/>
  <c r="AV29" i="40"/>
  <c r="AW29" i="40"/>
  <c r="AX29" i="40"/>
  <c r="AY29" i="40"/>
  <c r="AZ29" i="40"/>
  <c r="AS30" i="40"/>
  <c r="AT30" i="40"/>
  <c r="AU30" i="40"/>
  <c r="AV30" i="40"/>
  <c r="AW30" i="40"/>
  <c r="AX30" i="40"/>
  <c r="AY30" i="40"/>
  <c r="AZ30" i="40"/>
  <c r="AS31" i="40"/>
  <c r="AT31" i="40"/>
  <c r="AU31" i="40"/>
  <c r="AV31" i="40"/>
  <c r="AW31" i="40"/>
  <c r="AX31" i="40"/>
  <c r="AY31" i="40"/>
  <c r="AZ31" i="40"/>
  <c r="AS32" i="40"/>
  <c r="AT32" i="40"/>
  <c r="AU32" i="40"/>
  <c r="AV32" i="40"/>
  <c r="AW32" i="40"/>
  <c r="AX32" i="40"/>
  <c r="AY32" i="40"/>
  <c r="AZ32" i="40"/>
  <c r="AS33" i="40"/>
  <c r="AT33" i="40"/>
  <c r="AU33" i="40"/>
  <c r="AV33" i="40"/>
  <c r="AW33" i="40"/>
  <c r="AX33" i="40"/>
  <c r="AY33" i="40"/>
  <c r="AZ33" i="40"/>
  <c r="AS34" i="40"/>
  <c r="AT34" i="40"/>
  <c r="AU34" i="40"/>
  <c r="AV34" i="40"/>
  <c r="AW34" i="40"/>
  <c r="AX34" i="40"/>
  <c r="AY34" i="40"/>
  <c r="AZ34" i="40"/>
  <c r="AS35" i="40"/>
  <c r="AT35" i="40"/>
  <c r="AU35" i="40"/>
  <c r="AV35" i="40"/>
  <c r="AW35" i="40"/>
  <c r="AX35" i="40"/>
  <c r="AY35" i="40"/>
  <c r="AZ35" i="40"/>
  <c r="AS36" i="40"/>
  <c r="AT36" i="40"/>
  <c r="AU36" i="40"/>
  <c r="AV36" i="40"/>
  <c r="AW36" i="40"/>
  <c r="AX36" i="40"/>
  <c r="AY36" i="40"/>
  <c r="AZ36" i="40"/>
  <c r="AS37" i="40"/>
  <c r="AT37" i="40"/>
  <c r="AU37" i="40"/>
  <c r="AV37" i="40"/>
  <c r="AW37" i="40"/>
  <c r="AX37" i="40"/>
  <c r="AY37" i="40"/>
  <c r="AZ37" i="40"/>
  <c r="AS38" i="40"/>
  <c r="AT38" i="40"/>
  <c r="AU38" i="40"/>
  <c r="AV38" i="40"/>
  <c r="AW38" i="40"/>
  <c r="AX38" i="40"/>
  <c r="AY38" i="40"/>
  <c r="AZ38" i="40"/>
  <c r="AS39" i="40"/>
  <c r="AT39" i="40"/>
  <c r="AU39" i="40"/>
  <c r="AV39" i="40"/>
  <c r="AW39" i="40"/>
  <c r="AX39" i="40"/>
  <c r="AY39" i="40"/>
  <c r="AZ39" i="40"/>
  <c r="AS40" i="40"/>
  <c r="AT40" i="40"/>
  <c r="AU40" i="40"/>
  <c r="AV40" i="40"/>
  <c r="AW40" i="40"/>
  <c r="AX40" i="40"/>
  <c r="AY40" i="40"/>
  <c r="AZ40" i="40"/>
  <c r="AS41" i="40"/>
  <c r="AT41" i="40"/>
  <c r="AU41" i="40"/>
  <c r="AV41" i="40"/>
  <c r="AW41" i="40"/>
  <c r="AX41" i="40"/>
  <c r="AY41" i="40"/>
  <c r="AZ41" i="40"/>
  <c r="AS42" i="40"/>
  <c r="AT42" i="40"/>
  <c r="AU42" i="40"/>
  <c r="AV42" i="40"/>
  <c r="AW42" i="40"/>
  <c r="AX42" i="40"/>
  <c r="AY42" i="40"/>
  <c r="AZ42" i="40"/>
  <c r="Y12" i="40"/>
  <c r="Z12" i="40"/>
  <c r="AA12" i="40"/>
  <c r="AB12" i="40"/>
  <c r="AC12" i="40"/>
  <c r="AD12" i="40"/>
  <c r="AE12" i="40"/>
  <c r="AF12" i="40"/>
  <c r="AG12" i="40"/>
  <c r="AH12" i="40"/>
  <c r="AI12" i="40"/>
  <c r="AJ12" i="40"/>
  <c r="AK12" i="40"/>
  <c r="AL12" i="40"/>
  <c r="AM12" i="40"/>
  <c r="AN12" i="40"/>
  <c r="AO12" i="40"/>
  <c r="AP12" i="40"/>
  <c r="AQ12" i="40"/>
  <c r="AR12" i="40"/>
  <c r="Y13" i="40"/>
  <c r="Z13" i="40"/>
  <c r="AA13" i="40"/>
  <c r="AB13" i="40"/>
  <c r="AC13" i="40"/>
  <c r="AD13" i="40"/>
  <c r="AE13" i="40"/>
  <c r="AF13" i="40"/>
  <c r="AG13" i="40"/>
  <c r="AH13" i="40"/>
  <c r="AI13" i="40"/>
  <c r="AJ13" i="40"/>
  <c r="AK13" i="40"/>
  <c r="AL13" i="40"/>
  <c r="AM13" i="40"/>
  <c r="AN13" i="40"/>
  <c r="AO13" i="40"/>
  <c r="AP13" i="40"/>
  <c r="AQ13" i="40"/>
  <c r="AR13" i="40"/>
  <c r="Y14" i="40"/>
  <c r="Z14" i="40"/>
  <c r="AA14" i="40"/>
  <c r="AB14" i="40"/>
  <c r="AC14" i="40"/>
  <c r="AD14" i="40"/>
  <c r="AE14" i="40"/>
  <c r="AF14" i="40"/>
  <c r="AG14" i="40"/>
  <c r="AH14" i="40"/>
  <c r="AI14" i="40"/>
  <c r="AJ14" i="40"/>
  <c r="AK14" i="40"/>
  <c r="AL14" i="40"/>
  <c r="AM14" i="40"/>
  <c r="AN14" i="40"/>
  <c r="AO14" i="40"/>
  <c r="AP14" i="40"/>
  <c r="AQ14" i="40"/>
  <c r="AR14" i="40"/>
  <c r="Y15" i="40"/>
  <c r="Z15" i="40"/>
  <c r="AA15" i="40"/>
  <c r="AB15" i="40"/>
  <c r="AC15" i="40"/>
  <c r="AD15" i="40"/>
  <c r="AE15" i="40"/>
  <c r="AF15" i="40"/>
  <c r="AG15" i="40"/>
  <c r="AH15" i="40"/>
  <c r="AI15" i="40"/>
  <c r="AJ15" i="40"/>
  <c r="AK15" i="40"/>
  <c r="AL15" i="40"/>
  <c r="AM15" i="40"/>
  <c r="AN15" i="40"/>
  <c r="AO15" i="40"/>
  <c r="AP15" i="40"/>
  <c r="AQ15" i="40"/>
  <c r="AR15" i="40"/>
  <c r="Y16" i="40"/>
  <c r="Z16" i="40"/>
  <c r="AA16" i="40"/>
  <c r="AB16" i="40"/>
  <c r="AC16" i="40"/>
  <c r="AD16" i="40"/>
  <c r="AE16" i="40"/>
  <c r="AF16" i="40"/>
  <c r="AG16" i="40"/>
  <c r="AH16" i="40"/>
  <c r="AI16" i="40"/>
  <c r="AJ16" i="40"/>
  <c r="AK16" i="40"/>
  <c r="AL16" i="40"/>
  <c r="AM16" i="40"/>
  <c r="AN16" i="40"/>
  <c r="AO16" i="40"/>
  <c r="AP16" i="40"/>
  <c r="AQ16" i="40"/>
  <c r="AR16" i="40"/>
  <c r="Y17" i="40"/>
  <c r="Z17" i="40"/>
  <c r="AA17" i="40"/>
  <c r="AB17" i="40"/>
  <c r="AC17" i="40"/>
  <c r="AD17" i="40"/>
  <c r="AE17" i="40"/>
  <c r="AF17" i="40"/>
  <c r="AG17" i="40"/>
  <c r="AH17" i="40"/>
  <c r="AI17" i="40"/>
  <c r="AJ17" i="40"/>
  <c r="AK17" i="40"/>
  <c r="AL17" i="40"/>
  <c r="AM17" i="40"/>
  <c r="AN17" i="40"/>
  <c r="AO17" i="40"/>
  <c r="AP17" i="40"/>
  <c r="AQ17" i="40"/>
  <c r="AR17" i="40"/>
  <c r="Y18" i="40"/>
  <c r="Z18" i="40"/>
  <c r="AA18" i="40"/>
  <c r="AB18" i="40"/>
  <c r="AC18" i="40"/>
  <c r="AD18" i="40"/>
  <c r="AE18" i="40"/>
  <c r="AF18" i="40"/>
  <c r="AG18" i="40"/>
  <c r="AH18" i="40"/>
  <c r="AI18" i="40"/>
  <c r="AJ18" i="40"/>
  <c r="AK18" i="40"/>
  <c r="AL18" i="40"/>
  <c r="AM18" i="40"/>
  <c r="AN18" i="40"/>
  <c r="AO18" i="40"/>
  <c r="AP18" i="40"/>
  <c r="AQ18" i="40"/>
  <c r="AR18" i="40"/>
  <c r="Y19" i="40"/>
  <c r="Z19" i="40"/>
  <c r="AA19" i="40"/>
  <c r="AB19" i="40"/>
  <c r="AC19" i="40"/>
  <c r="AD19" i="40"/>
  <c r="AE19" i="40"/>
  <c r="AF19" i="40"/>
  <c r="AG19" i="40"/>
  <c r="AH19" i="40"/>
  <c r="AI19" i="40"/>
  <c r="AJ19" i="40"/>
  <c r="AK19" i="40"/>
  <c r="AL19" i="40"/>
  <c r="AM19" i="40"/>
  <c r="AN19" i="40"/>
  <c r="AO19" i="40"/>
  <c r="AP19" i="40"/>
  <c r="AQ19" i="40"/>
  <c r="AR19" i="40"/>
  <c r="Y20" i="40"/>
  <c r="Z20" i="40"/>
  <c r="AA20" i="40"/>
  <c r="AB20" i="40"/>
  <c r="AC20" i="40"/>
  <c r="AD20" i="40"/>
  <c r="AE20" i="40"/>
  <c r="AF20" i="40"/>
  <c r="AG20" i="40"/>
  <c r="AH20" i="40"/>
  <c r="AI20" i="40"/>
  <c r="AJ20" i="40"/>
  <c r="AK20" i="40"/>
  <c r="AL20" i="40"/>
  <c r="AM20" i="40"/>
  <c r="AN20" i="40"/>
  <c r="AO20" i="40"/>
  <c r="AP20" i="40"/>
  <c r="AQ20" i="40"/>
  <c r="AR20" i="40"/>
  <c r="Y21" i="40"/>
  <c r="Z21" i="40"/>
  <c r="AA21" i="40"/>
  <c r="AB21" i="40"/>
  <c r="AC21" i="40"/>
  <c r="AD21" i="40"/>
  <c r="AE21" i="40"/>
  <c r="AF21" i="40"/>
  <c r="AG21" i="40"/>
  <c r="AH21" i="40"/>
  <c r="AI21" i="40"/>
  <c r="AJ21" i="40"/>
  <c r="AK21" i="40"/>
  <c r="AL21" i="40"/>
  <c r="AM21" i="40"/>
  <c r="AN21" i="40"/>
  <c r="AO21" i="40"/>
  <c r="AP21" i="40"/>
  <c r="AQ21" i="40"/>
  <c r="AR21" i="40"/>
  <c r="Y22" i="40"/>
  <c r="Z22" i="40"/>
  <c r="AA22" i="40"/>
  <c r="AB22" i="40"/>
  <c r="AC22" i="40"/>
  <c r="AD22" i="40"/>
  <c r="AE22" i="40"/>
  <c r="AF22" i="40"/>
  <c r="AG22" i="40"/>
  <c r="AH22" i="40"/>
  <c r="AI22" i="40"/>
  <c r="AJ22" i="40"/>
  <c r="AK22" i="40"/>
  <c r="AL22" i="40"/>
  <c r="AM22" i="40"/>
  <c r="AN22" i="40"/>
  <c r="AO22" i="40"/>
  <c r="AP22" i="40"/>
  <c r="AQ22" i="40"/>
  <c r="AR22" i="40"/>
  <c r="Y23" i="40"/>
  <c r="Z23" i="40"/>
  <c r="AA23" i="40"/>
  <c r="AB23" i="40"/>
  <c r="AC23" i="40"/>
  <c r="AD23" i="40"/>
  <c r="AE23" i="40"/>
  <c r="AF23" i="40"/>
  <c r="AG23" i="40"/>
  <c r="AH23" i="40"/>
  <c r="AI23" i="40"/>
  <c r="AJ23" i="40"/>
  <c r="AK23" i="40"/>
  <c r="AL23" i="40"/>
  <c r="AM23" i="40"/>
  <c r="AN23" i="40"/>
  <c r="AO23" i="40"/>
  <c r="AP23" i="40"/>
  <c r="AQ23" i="40"/>
  <c r="AR23" i="40"/>
  <c r="Y24" i="40"/>
  <c r="Z24" i="40"/>
  <c r="AA24" i="40"/>
  <c r="AB24" i="40"/>
  <c r="AC24" i="40"/>
  <c r="AD24" i="40"/>
  <c r="AE24" i="40"/>
  <c r="AF24" i="40"/>
  <c r="AG24" i="40"/>
  <c r="AH24" i="40"/>
  <c r="AI24" i="40"/>
  <c r="AJ24" i="40"/>
  <c r="AK24" i="40"/>
  <c r="AL24" i="40"/>
  <c r="AM24" i="40"/>
  <c r="AN24" i="40"/>
  <c r="AO24" i="40"/>
  <c r="AP24" i="40"/>
  <c r="AQ24" i="40"/>
  <c r="AR24" i="40"/>
  <c r="Y25" i="40"/>
  <c r="Z25" i="40"/>
  <c r="AA25" i="40"/>
  <c r="AB25" i="40"/>
  <c r="AC25" i="40"/>
  <c r="AD25" i="40"/>
  <c r="AE25" i="40"/>
  <c r="AF25" i="40"/>
  <c r="AG25" i="40"/>
  <c r="AH25" i="40"/>
  <c r="AI25" i="40"/>
  <c r="AJ25" i="40"/>
  <c r="AK25" i="40"/>
  <c r="AL25" i="40"/>
  <c r="AM25" i="40"/>
  <c r="AN25" i="40"/>
  <c r="AO25" i="40"/>
  <c r="AP25" i="40"/>
  <c r="AQ25" i="40"/>
  <c r="AR25" i="40"/>
  <c r="Y26" i="40"/>
  <c r="Z26" i="40"/>
  <c r="AA26" i="40"/>
  <c r="AB26" i="40"/>
  <c r="AC26" i="40"/>
  <c r="AD26" i="40"/>
  <c r="AE26" i="40"/>
  <c r="AF26" i="40"/>
  <c r="AG26" i="40"/>
  <c r="AH26" i="40"/>
  <c r="AI26" i="40"/>
  <c r="AJ26" i="40"/>
  <c r="AK26" i="40"/>
  <c r="AL26" i="40"/>
  <c r="AM26" i="40"/>
  <c r="AN26" i="40"/>
  <c r="AO26" i="40"/>
  <c r="AP26" i="40"/>
  <c r="AQ26" i="40"/>
  <c r="AR26" i="40"/>
  <c r="Y27" i="40"/>
  <c r="Z27" i="40"/>
  <c r="AA27" i="40"/>
  <c r="AB27" i="40"/>
  <c r="AC27" i="40"/>
  <c r="AD27" i="40"/>
  <c r="AE27" i="40"/>
  <c r="AF27" i="40"/>
  <c r="AG27" i="40"/>
  <c r="AH27" i="40"/>
  <c r="AI27" i="40"/>
  <c r="AJ27" i="40"/>
  <c r="AK27" i="40"/>
  <c r="AL27" i="40"/>
  <c r="AM27" i="40"/>
  <c r="AN27" i="40"/>
  <c r="AO27" i="40"/>
  <c r="AP27" i="40"/>
  <c r="AQ27" i="40"/>
  <c r="AR27" i="40"/>
  <c r="Y28" i="40"/>
  <c r="Z28" i="40"/>
  <c r="AA28" i="40"/>
  <c r="AB28" i="40"/>
  <c r="AC28" i="40"/>
  <c r="AD28" i="40"/>
  <c r="AE28" i="40"/>
  <c r="AF28" i="40"/>
  <c r="AG28" i="40"/>
  <c r="AH28" i="40"/>
  <c r="AI28" i="40"/>
  <c r="AJ28" i="40"/>
  <c r="AK28" i="40"/>
  <c r="AL28" i="40"/>
  <c r="AM28" i="40"/>
  <c r="AN28" i="40"/>
  <c r="AO28" i="40"/>
  <c r="AP28" i="40"/>
  <c r="AQ28" i="40"/>
  <c r="AR28" i="40"/>
  <c r="Y29" i="40"/>
  <c r="Z29" i="40"/>
  <c r="AA29" i="40"/>
  <c r="AB29" i="40"/>
  <c r="AC29" i="40"/>
  <c r="AD29" i="40"/>
  <c r="AE29" i="40"/>
  <c r="AF29" i="40"/>
  <c r="AG29" i="40"/>
  <c r="AH29" i="40"/>
  <c r="AI29" i="40"/>
  <c r="AJ29" i="40"/>
  <c r="AK29" i="40"/>
  <c r="AL29" i="40"/>
  <c r="AM29" i="40"/>
  <c r="AN29" i="40"/>
  <c r="AO29" i="40"/>
  <c r="AP29" i="40"/>
  <c r="AQ29" i="40"/>
  <c r="AR29" i="40"/>
  <c r="Y30" i="40"/>
  <c r="Z30" i="40"/>
  <c r="AA30" i="40"/>
  <c r="AB30" i="40"/>
  <c r="AC30" i="40"/>
  <c r="AD30" i="40"/>
  <c r="AE30" i="40"/>
  <c r="AF30" i="40"/>
  <c r="AG30" i="40"/>
  <c r="AH30" i="40"/>
  <c r="AI30" i="40"/>
  <c r="AJ30" i="40"/>
  <c r="AK30" i="40"/>
  <c r="AL30" i="40"/>
  <c r="AM30" i="40"/>
  <c r="AN30" i="40"/>
  <c r="AO30" i="40"/>
  <c r="AP30" i="40"/>
  <c r="AQ30" i="40"/>
  <c r="AR30" i="40"/>
  <c r="Y31" i="40"/>
  <c r="Z31" i="40"/>
  <c r="AA31" i="40"/>
  <c r="AB31" i="40"/>
  <c r="AC31" i="40"/>
  <c r="AD31" i="40"/>
  <c r="AE31" i="40"/>
  <c r="AF31" i="40"/>
  <c r="AG31" i="40"/>
  <c r="AH31" i="40"/>
  <c r="AI31" i="40"/>
  <c r="AJ31" i="40"/>
  <c r="AK31" i="40"/>
  <c r="AL31" i="40"/>
  <c r="AM31" i="40"/>
  <c r="AN31" i="40"/>
  <c r="AO31" i="40"/>
  <c r="AP31" i="40"/>
  <c r="AQ31" i="40"/>
  <c r="AR31" i="40"/>
  <c r="Y32" i="40"/>
  <c r="Z32" i="40"/>
  <c r="AA32" i="40"/>
  <c r="AB32" i="40"/>
  <c r="AC32" i="40"/>
  <c r="AD32" i="40"/>
  <c r="AE32" i="40"/>
  <c r="AF32" i="40"/>
  <c r="AG32" i="40"/>
  <c r="AH32" i="40"/>
  <c r="AI32" i="40"/>
  <c r="AJ32" i="40"/>
  <c r="AK32" i="40"/>
  <c r="AL32" i="40"/>
  <c r="AM32" i="40"/>
  <c r="AN32" i="40"/>
  <c r="AO32" i="40"/>
  <c r="AP32" i="40"/>
  <c r="AQ32" i="40"/>
  <c r="AR32" i="40"/>
  <c r="Y33" i="40"/>
  <c r="Z33" i="40"/>
  <c r="AA33" i="40"/>
  <c r="AB33" i="40"/>
  <c r="AC33" i="40"/>
  <c r="AD33" i="40"/>
  <c r="AE33" i="40"/>
  <c r="AF33" i="40"/>
  <c r="AG33" i="40"/>
  <c r="AH33" i="40"/>
  <c r="AI33" i="40"/>
  <c r="AJ33" i="40"/>
  <c r="AK33" i="40"/>
  <c r="AL33" i="40"/>
  <c r="AM33" i="40"/>
  <c r="AN33" i="40"/>
  <c r="AO33" i="40"/>
  <c r="AP33" i="40"/>
  <c r="AQ33" i="40"/>
  <c r="AR33" i="40"/>
  <c r="Y34" i="40"/>
  <c r="Z34" i="40"/>
  <c r="AA34" i="40"/>
  <c r="AB34" i="40"/>
  <c r="AC34" i="40"/>
  <c r="AD34" i="40"/>
  <c r="AE34" i="40"/>
  <c r="AF34" i="40"/>
  <c r="AG34" i="40"/>
  <c r="AH34" i="40"/>
  <c r="AI34" i="40"/>
  <c r="AJ34" i="40"/>
  <c r="AK34" i="40"/>
  <c r="AL34" i="40"/>
  <c r="AM34" i="40"/>
  <c r="AN34" i="40"/>
  <c r="AO34" i="40"/>
  <c r="AP34" i="40"/>
  <c r="AQ34" i="40"/>
  <c r="AR34" i="40"/>
  <c r="Y35" i="40"/>
  <c r="Z35" i="40"/>
  <c r="AA35" i="40"/>
  <c r="AB35" i="40"/>
  <c r="AC35" i="40"/>
  <c r="AD35" i="40"/>
  <c r="AE35" i="40"/>
  <c r="AF35" i="40"/>
  <c r="AG35" i="40"/>
  <c r="AH35" i="40"/>
  <c r="AI35" i="40"/>
  <c r="AJ35" i="40"/>
  <c r="AK35" i="40"/>
  <c r="AL35" i="40"/>
  <c r="AM35" i="40"/>
  <c r="AN35" i="40"/>
  <c r="AO35" i="40"/>
  <c r="AP35" i="40"/>
  <c r="AQ35" i="40"/>
  <c r="AR35" i="40"/>
  <c r="Y36" i="40"/>
  <c r="Z36" i="40"/>
  <c r="AA36" i="40"/>
  <c r="AB36" i="40"/>
  <c r="AC36" i="40"/>
  <c r="AD36" i="40"/>
  <c r="AE36" i="40"/>
  <c r="AF36" i="40"/>
  <c r="AG36" i="40"/>
  <c r="AH36" i="40"/>
  <c r="AI36" i="40"/>
  <c r="AJ36" i="40"/>
  <c r="AK36" i="40"/>
  <c r="AL36" i="40"/>
  <c r="AM36" i="40"/>
  <c r="AN36" i="40"/>
  <c r="AO36" i="40"/>
  <c r="AP36" i="40"/>
  <c r="AQ36" i="40"/>
  <c r="AR36" i="40"/>
  <c r="Y37" i="40"/>
  <c r="Z37" i="40"/>
  <c r="AA37" i="40"/>
  <c r="AB37" i="40"/>
  <c r="AC37" i="40"/>
  <c r="AD37" i="40"/>
  <c r="AE37" i="40"/>
  <c r="AF37" i="40"/>
  <c r="AG37" i="40"/>
  <c r="AH37" i="40"/>
  <c r="AI37" i="40"/>
  <c r="AJ37" i="40"/>
  <c r="AK37" i="40"/>
  <c r="AL37" i="40"/>
  <c r="AM37" i="40"/>
  <c r="AN37" i="40"/>
  <c r="AO37" i="40"/>
  <c r="AP37" i="40"/>
  <c r="AQ37" i="40"/>
  <c r="AR37" i="40"/>
  <c r="Y38" i="40"/>
  <c r="Z38" i="40"/>
  <c r="AA38" i="40"/>
  <c r="AB38" i="40"/>
  <c r="AC38" i="40"/>
  <c r="AD38" i="40"/>
  <c r="AE38" i="40"/>
  <c r="AF38" i="40"/>
  <c r="AG38" i="40"/>
  <c r="AH38" i="40"/>
  <c r="AI38" i="40"/>
  <c r="AJ38" i="40"/>
  <c r="AK38" i="40"/>
  <c r="AL38" i="40"/>
  <c r="AM38" i="40"/>
  <c r="AN38" i="40"/>
  <c r="AO38" i="40"/>
  <c r="AP38" i="40"/>
  <c r="AQ38" i="40"/>
  <c r="AR38" i="40"/>
  <c r="Y39" i="40"/>
  <c r="Z39" i="40"/>
  <c r="AA39" i="40"/>
  <c r="AB39" i="40"/>
  <c r="AC39" i="40"/>
  <c r="AD39" i="40"/>
  <c r="AE39" i="40"/>
  <c r="AF39" i="40"/>
  <c r="AG39" i="40"/>
  <c r="AH39" i="40"/>
  <c r="AI39" i="40"/>
  <c r="AJ39" i="40"/>
  <c r="AK39" i="40"/>
  <c r="AL39" i="40"/>
  <c r="AM39" i="40"/>
  <c r="AN39" i="40"/>
  <c r="AO39" i="40"/>
  <c r="AP39" i="40"/>
  <c r="AQ39" i="40"/>
  <c r="AR39" i="40"/>
  <c r="Y40" i="40"/>
  <c r="Z40" i="40"/>
  <c r="AA40" i="40"/>
  <c r="AB40" i="40"/>
  <c r="AC40" i="40"/>
  <c r="AD40" i="40"/>
  <c r="AE40" i="40"/>
  <c r="AF40" i="40"/>
  <c r="AG40" i="40"/>
  <c r="AH40" i="40"/>
  <c r="AI40" i="40"/>
  <c r="AJ40" i="40"/>
  <c r="AK40" i="40"/>
  <c r="AL40" i="40"/>
  <c r="AM40" i="40"/>
  <c r="AN40" i="40"/>
  <c r="AO40" i="40"/>
  <c r="AP40" i="40"/>
  <c r="AQ40" i="40"/>
  <c r="AR40" i="40"/>
  <c r="Y41" i="40"/>
  <c r="Z41" i="40"/>
  <c r="AA41" i="40"/>
  <c r="AB41" i="40"/>
  <c r="AC41" i="40"/>
  <c r="AD41" i="40"/>
  <c r="AE41" i="40"/>
  <c r="AF41" i="40"/>
  <c r="AG41" i="40"/>
  <c r="AH41" i="40"/>
  <c r="AI41" i="40"/>
  <c r="AJ41" i="40"/>
  <c r="AK41" i="40"/>
  <c r="AL41" i="40"/>
  <c r="AM41" i="40"/>
  <c r="AN41" i="40"/>
  <c r="AO41" i="40"/>
  <c r="AP41" i="40"/>
  <c r="AQ41" i="40"/>
  <c r="AR41" i="40"/>
  <c r="Y42" i="40"/>
  <c r="Z42" i="40"/>
  <c r="AA42" i="40"/>
  <c r="AB42" i="40"/>
  <c r="AC42" i="40"/>
  <c r="AD42" i="40"/>
  <c r="AE42" i="40"/>
  <c r="AF42" i="40"/>
  <c r="AG42" i="40"/>
  <c r="AH42" i="40"/>
  <c r="AI42" i="40"/>
  <c r="AJ42" i="40"/>
  <c r="AK42" i="40"/>
  <c r="AL42" i="40"/>
  <c r="AM42" i="40"/>
  <c r="AN42" i="40"/>
  <c r="AO42" i="40"/>
  <c r="AP42" i="40"/>
  <c r="AQ42" i="40"/>
  <c r="AR42" i="40"/>
  <c r="X13" i="40"/>
  <c r="X14" i="40"/>
  <c r="X15" i="40"/>
  <c r="X16" i="40"/>
  <c r="X17" i="40"/>
  <c r="X18" i="40"/>
  <c r="X19" i="40"/>
  <c r="X20" i="40"/>
  <c r="X21" i="40"/>
  <c r="X22" i="40"/>
  <c r="X23" i="40"/>
  <c r="X24" i="40"/>
  <c r="X25" i="40"/>
  <c r="X26" i="40"/>
  <c r="X27" i="40"/>
  <c r="X28" i="40"/>
  <c r="X29" i="40"/>
  <c r="X30" i="40"/>
  <c r="X31" i="40"/>
  <c r="X32" i="40"/>
  <c r="X33" i="40"/>
  <c r="X34" i="40"/>
  <c r="X35" i="40"/>
  <c r="X36" i="40"/>
  <c r="X37" i="40"/>
  <c r="X38" i="40"/>
  <c r="X39" i="40"/>
  <c r="X40" i="40"/>
  <c r="X41" i="40"/>
  <c r="X42" i="40"/>
  <c r="X12" i="40"/>
  <c r="Y12" i="42"/>
  <c r="Z12" i="42"/>
  <c r="AA12" i="42"/>
  <c r="AB12" i="42"/>
  <c r="AC12" i="42"/>
  <c r="AD12" i="42"/>
  <c r="AE12" i="42"/>
  <c r="AF12" i="42"/>
  <c r="AG12" i="42"/>
  <c r="AH12" i="42"/>
  <c r="AI12" i="42"/>
  <c r="AJ12" i="42"/>
  <c r="AK12" i="42"/>
  <c r="AL12" i="42"/>
  <c r="AM12" i="42"/>
  <c r="AN12" i="42"/>
  <c r="AO12" i="42"/>
  <c r="AP12" i="42"/>
  <c r="AQ12" i="42"/>
  <c r="AR12" i="42"/>
  <c r="AS12" i="42"/>
  <c r="AT12" i="42"/>
  <c r="AU12" i="42"/>
  <c r="AV12" i="42"/>
  <c r="AW12" i="42"/>
  <c r="AX12" i="42"/>
  <c r="AY12" i="42"/>
  <c r="AZ12" i="42"/>
  <c r="Y13" i="42"/>
  <c r="Z13" i="42"/>
  <c r="AA13" i="42"/>
  <c r="AB13" i="42"/>
  <c r="AC13" i="42"/>
  <c r="AD13" i="42"/>
  <c r="AE13" i="42"/>
  <c r="AF13" i="42"/>
  <c r="AG13" i="42"/>
  <c r="AH13" i="42"/>
  <c r="AI13" i="42"/>
  <c r="AJ13" i="42"/>
  <c r="AK13" i="42"/>
  <c r="AL13" i="42"/>
  <c r="AM13" i="42"/>
  <c r="AN13" i="42"/>
  <c r="AO13" i="42"/>
  <c r="AP13" i="42"/>
  <c r="AQ13" i="42"/>
  <c r="AR13" i="42"/>
  <c r="AS13" i="42"/>
  <c r="AT13" i="42"/>
  <c r="AU13" i="42"/>
  <c r="AV13" i="42"/>
  <c r="AW13" i="42"/>
  <c r="AX13" i="42"/>
  <c r="AY13" i="42"/>
  <c r="AZ13" i="42"/>
  <c r="Y14" i="42"/>
  <c r="Z14" i="42"/>
  <c r="AA14" i="42"/>
  <c r="AB14" i="42"/>
  <c r="AC14" i="42"/>
  <c r="AD14" i="42"/>
  <c r="AE14" i="42"/>
  <c r="AF14" i="42"/>
  <c r="AG14" i="42"/>
  <c r="AH14" i="42"/>
  <c r="AI14" i="42"/>
  <c r="AJ14" i="42"/>
  <c r="AK14" i="42"/>
  <c r="AL14" i="42"/>
  <c r="AM14" i="42"/>
  <c r="AN14" i="42"/>
  <c r="AO14" i="42"/>
  <c r="AP14" i="42"/>
  <c r="AQ14" i="42"/>
  <c r="AR14" i="42"/>
  <c r="AS14" i="42"/>
  <c r="AT14" i="42"/>
  <c r="AU14" i="42"/>
  <c r="AV14" i="42"/>
  <c r="AW14" i="42"/>
  <c r="AX14" i="42"/>
  <c r="AY14" i="42"/>
  <c r="AZ14" i="42"/>
  <c r="Y15" i="42"/>
  <c r="Z15" i="42"/>
  <c r="AA15" i="42"/>
  <c r="AB15" i="42"/>
  <c r="AC15" i="42"/>
  <c r="AD15" i="42"/>
  <c r="AE15" i="42"/>
  <c r="AF15" i="42"/>
  <c r="AG15" i="42"/>
  <c r="AH15" i="42"/>
  <c r="AI15" i="42"/>
  <c r="AJ15" i="42"/>
  <c r="AK15" i="42"/>
  <c r="AL15" i="42"/>
  <c r="AM15" i="42"/>
  <c r="AN15" i="42"/>
  <c r="AO15" i="42"/>
  <c r="AP15" i="42"/>
  <c r="AQ15" i="42"/>
  <c r="AR15" i="42"/>
  <c r="AS15" i="42"/>
  <c r="AT15" i="42"/>
  <c r="AU15" i="42"/>
  <c r="AV15" i="42"/>
  <c r="AW15" i="42"/>
  <c r="AX15" i="42"/>
  <c r="AY15" i="42"/>
  <c r="AZ15" i="42"/>
  <c r="Y16" i="42"/>
  <c r="Z16" i="42"/>
  <c r="AA16" i="42"/>
  <c r="AB16" i="42"/>
  <c r="AC16" i="42"/>
  <c r="AD16" i="42"/>
  <c r="AE16" i="42"/>
  <c r="AF16" i="42"/>
  <c r="AG16" i="42"/>
  <c r="AH16" i="42"/>
  <c r="AI16" i="42"/>
  <c r="AJ16" i="42"/>
  <c r="AK16" i="42"/>
  <c r="AL16" i="42"/>
  <c r="AM16" i="42"/>
  <c r="AN16" i="42"/>
  <c r="AO16" i="42"/>
  <c r="AP16" i="42"/>
  <c r="AQ16" i="42"/>
  <c r="AR16" i="42"/>
  <c r="AS16" i="42"/>
  <c r="AT16" i="42"/>
  <c r="AU16" i="42"/>
  <c r="AV16" i="42"/>
  <c r="AW16" i="42"/>
  <c r="AX16" i="42"/>
  <c r="AY16" i="42"/>
  <c r="AZ16" i="42"/>
  <c r="Y17" i="42"/>
  <c r="Z17" i="42"/>
  <c r="AA17" i="42"/>
  <c r="AB17" i="42"/>
  <c r="AC17" i="42"/>
  <c r="AD17" i="42"/>
  <c r="AE17" i="42"/>
  <c r="AF17" i="42"/>
  <c r="AG17" i="42"/>
  <c r="AH17" i="42"/>
  <c r="AI17" i="42"/>
  <c r="AJ17" i="42"/>
  <c r="AK17" i="42"/>
  <c r="AL17" i="42"/>
  <c r="AM17" i="42"/>
  <c r="AN17" i="42"/>
  <c r="AO17" i="42"/>
  <c r="AP17" i="42"/>
  <c r="AQ17" i="42"/>
  <c r="AR17" i="42"/>
  <c r="AS17" i="42"/>
  <c r="AT17" i="42"/>
  <c r="AU17" i="42"/>
  <c r="AV17" i="42"/>
  <c r="AW17" i="42"/>
  <c r="AX17" i="42"/>
  <c r="AY17" i="42"/>
  <c r="AZ17" i="42"/>
  <c r="Y18" i="42"/>
  <c r="Z18" i="42"/>
  <c r="AA18" i="42"/>
  <c r="AB18" i="42"/>
  <c r="AC18" i="42"/>
  <c r="AD18" i="42"/>
  <c r="AE18" i="42"/>
  <c r="AF18" i="42"/>
  <c r="AG18" i="42"/>
  <c r="AH18" i="42"/>
  <c r="AI18" i="42"/>
  <c r="AJ18" i="42"/>
  <c r="AK18" i="42"/>
  <c r="AL18" i="42"/>
  <c r="AM18" i="42"/>
  <c r="AN18" i="42"/>
  <c r="AO18" i="42"/>
  <c r="AP18" i="42"/>
  <c r="AQ18" i="42"/>
  <c r="AR18" i="42"/>
  <c r="AS18" i="42"/>
  <c r="AT18" i="42"/>
  <c r="AU18" i="42"/>
  <c r="AV18" i="42"/>
  <c r="AW18" i="42"/>
  <c r="AX18" i="42"/>
  <c r="AY18" i="42"/>
  <c r="AZ18" i="42"/>
  <c r="Y19" i="42"/>
  <c r="Z19" i="42"/>
  <c r="AA19" i="42"/>
  <c r="AB19" i="42"/>
  <c r="AC19" i="42"/>
  <c r="AD19" i="42"/>
  <c r="AE19" i="42"/>
  <c r="AF19" i="42"/>
  <c r="AG19" i="42"/>
  <c r="AH19" i="42"/>
  <c r="AI19" i="42"/>
  <c r="AJ19" i="42"/>
  <c r="AK19" i="42"/>
  <c r="AL19" i="42"/>
  <c r="AM19" i="42"/>
  <c r="AN19" i="42"/>
  <c r="AO19" i="42"/>
  <c r="AP19" i="42"/>
  <c r="AQ19" i="42"/>
  <c r="AR19" i="42"/>
  <c r="AS19" i="42"/>
  <c r="AT19" i="42"/>
  <c r="AU19" i="42"/>
  <c r="AV19" i="42"/>
  <c r="AW19" i="42"/>
  <c r="AX19" i="42"/>
  <c r="AY19" i="42"/>
  <c r="AZ19" i="42"/>
  <c r="Y20" i="42"/>
  <c r="Z20" i="42"/>
  <c r="AA20" i="42"/>
  <c r="AB20" i="42"/>
  <c r="AC20" i="42"/>
  <c r="AD20" i="42"/>
  <c r="AE20" i="42"/>
  <c r="AF20" i="42"/>
  <c r="AG20" i="42"/>
  <c r="AH20" i="42"/>
  <c r="AI20" i="42"/>
  <c r="AJ20" i="42"/>
  <c r="AK20" i="42"/>
  <c r="AL20" i="42"/>
  <c r="AM20" i="42"/>
  <c r="AN20" i="42"/>
  <c r="AO20" i="42"/>
  <c r="AP20" i="42"/>
  <c r="AQ20" i="42"/>
  <c r="AR20" i="42"/>
  <c r="AS20" i="42"/>
  <c r="AT20" i="42"/>
  <c r="AU20" i="42"/>
  <c r="AV20" i="42"/>
  <c r="AW20" i="42"/>
  <c r="AX20" i="42"/>
  <c r="AY20" i="42"/>
  <c r="AZ20" i="42"/>
  <c r="Y21" i="42"/>
  <c r="Z21" i="42"/>
  <c r="AA21" i="42"/>
  <c r="AB21" i="42"/>
  <c r="AC21" i="42"/>
  <c r="AD21" i="42"/>
  <c r="AE21" i="42"/>
  <c r="AF21" i="42"/>
  <c r="AG21" i="42"/>
  <c r="AH21" i="42"/>
  <c r="AI21" i="42"/>
  <c r="AJ21" i="42"/>
  <c r="AK21" i="42"/>
  <c r="AL21" i="42"/>
  <c r="AM21" i="42"/>
  <c r="AN21" i="42"/>
  <c r="AO21" i="42"/>
  <c r="AP21" i="42"/>
  <c r="AQ21" i="42"/>
  <c r="AR21" i="42"/>
  <c r="AS21" i="42"/>
  <c r="AT21" i="42"/>
  <c r="AU21" i="42"/>
  <c r="AV21" i="42"/>
  <c r="AW21" i="42"/>
  <c r="AX21" i="42"/>
  <c r="AY21" i="42"/>
  <c r="AZ21" i="42"/>
  <c r="Y22" i="42"/>
  <c r="Z22" i="42"/>
  <c r="AA22" i="42"/>
  <c r="AB22" i="42"/>
  <c r="AC22" i="42"/>
  <c r="AD22" i="42"/>
  <c r="AE22" i="42"/>
  <c r="AF22" i="42"/>
  <c r="AG22" i="42"/>
  <c r="AH22" i="42"/>
  <c r="AI22" i="42"/>
  <c r="AJ22" i="42"/>
  <c r="AK22" i="42"/>
  <c r="AL22" i="42"/>
  <c r="AM22" i="42"/>
  <c r="AN22" i="42"/>
  <c r="AO22" i="42"/>
  <c r="AP22" i="42"/>
  <c r="AQ22" i="42"/>
  <c r="AR22" i="42"/>
  <c r="AS22" i="42"/>
  <c r="AT22" i="42"/>
  <c r="AU22" i="42"/>
  <c r="AV22" i="42"/>
  <c r="AW22" i="42"/>
  <c r="AX22" i="42"/>
  <c r="AY22" i="42"/>
  <c r="AZ22" i="42"/>
  <c r="Y23" i="42"/>
  <c r="Z23" i="42"/>
  <c r="AA23" i="42"/>
  <c r="AB23" i="42"/>
  <c r="AC23" i="42"/>
  <c r="AD23" i="42"/>
  <c r="AE23" i="42"/>
  <c r="AF23" i="42"/>
  <c r="AG23" i="42"/>
  <c r="AH23" i="42"/>
  <c r="AI23" i="42"/>
  <c r="AJ23" i="42"/>
  <c r="AK23" i="42"/>
  <c r="AL23" i="42"/>
  <c r="AM23" i="42"/>
  <c r="AN23" i="42"/>
  <c r="AO23" i="42"/>
  <c r="AP23" i="42"/>
  <c r="AQ23" i="42"/>
  <c r="AR23" i="42"/>
  <c r="AS23" i="42"/>
  <c r="AT23" i="42"/>
  <c r="AU23" i="42"/>
  <c r="AV23" i="42"/>
  <c r="AW23" i="42"/>
  <c r="AX23" i="42"/>
  <c r="AY23" i="42"/>
  <c r="AZ23" i="42"/>
  <c r="Y24" i="42"/>
  <c r="Z24" i="42"/>
  <c r="AA24" i="42"/>
  <c r="AB24" i="42"/>
  <c r="AC24" i="42"/>
  <c r="AD24" i="42"/>
  <c r="AE24" i="42"/>
  <c r="AF24" i="42"/>
  <c r="AG24" i="42"/>
  <c r="AH24" i="42"/>
  <c r="AI24" i="42"/>
  <c r="AJ24" i="42"/>
  <c r="AK24" i="42"/>
  <c r="AL24" i="42"/>
  <c r="AM24" i="42"/>
  <c r="AN24" i="42"/>
  <c r="AO24" i="42"/>
  <c r="AP24" i="42"/>
  <c r="AQ24" i="42"/>
  <c r="AR24" i="42"/>
  <c r="AS24" i="42"/>
  <c r="AT24" i="42"/>
  <c r="AU24" i="42"/>
  <c r="AV24" i="42"/>
  <c r="AW24" i="42"/>
  <c r="AX24" i="42"/>
  <c r="AY24" i="42"/>
  <c r="AZ24" i="42"/>
  <c r="Y25" i="42"/>
  <c r="Z25" i="42"/>
  <c r="AA25" i="42"/>
  <c r="AB25" i="42"/>
  <c r="AC25" i="42"/>
  <c r="AD25" i="42"/>
  <c r="AE25" i="42"/>
  <c r="AF25" i="42"/>
  <c r="AG25" i="42"/>
  <c r="AH25" i="42"/>
  <c r="AI25" i="42"/>
  <c r="AJ25" i="42"/>
  <c r="AK25" i="42"/>
  <c r="AL25" i="42"/>
  <c r="AM25" i="42"/>
  <c r="AN25" i="42"/>
  <c r="AO25" i="42"/>
  <c r="AP25" i="42"/>
  <c r="AQ25" i="42"/>
  <c r="AR25" i="42"/>
  <c r="AS25" i="42"/>
  <c r="AT25" i="42"/>
  <c r="AU25" i="42"/>
  <c r="AV25" i="42"/>
  <c r="AW25" i="42"/>
  <c r="AX25" i="42"/>
  <c r="AY25" i="42"/>
  <c r="AZ25" i="42"/>
  <c r="Y26" i="42"/>
  <c r="Z26" i="42"/>
  <c r="AA26" i="42"/>
  <c r="AB26" i="42"/>
  <c r="AC26" i="42"/>
  <c r="AD26" i="42"/>
  <c r="AE26" i="42"/>
  <c r="AF26" i="42"/>
  <c r="AG26" i="42"/>
  <c r="AH26" i="42"/>
  <c r="AI26" i="42"/>
  <c r="AJ26" i="42"/>
  <c r="AK26" i="42"/>
  <c r="AL26" i="42"/>
  <c r="AM26" i="42"/>
  <c r="AN26" i="42"/>
  <c r="AO26" i="42"/>
  <c r="AP26" i="42"/>
  <c r="AQ26" i="42"/>
  <c r="AR26" i="42"/>
  <c r="AS26" i="42"/>
  <c r="AT26" i="42"/>
  <c r="AU26" i="42"/>
  <c r="AV26" i="42"/>
  <c r="AW26" i="42"/>
  <c r="AX26" i="42"/>
  <c r="AY26" i="42"/>
  <c r="AZ26" i="42"/>
  <c r="Y27" i="42"/>
  <c r="Z27" i="42"/>
  <c r="AA27" i="42"/>
  <c r="AB27" i="42"/>
  <c r="AC27" i="42"/>
  <c r="AD27" i="42"/>
  <c r="AE27" i="42"/>
  <c r="AF27" i="42"/>
  <c r="AG27" i="42"/>
  <c r="AH27" i="42"/>
  <c r="AI27" i="42"/>
  <c r="AJ27" i="42"/>
  <c r="AK27" i="42"/>
  <c r="AL27" i="42"/>
  <c r="AM27" i="42"/>
  <c r="AN27" i="42"/>
  <c r="AO27" i="42"/>
  <c r="AP27" i="42"/>
  <c r="AQ27" i="42"/>
  <c r="AR27" i="42"/>
  <c r="AS27" i="42"/>
  <c r="AT27" i="42"/>
  <c r="AU27" i="42"/>
  <c r="AV27" i="42"/>
  <c r="AW27" i="42"/>
  <c r="AX27" i="42"/>
  <c r="AY27" i="42"/>
  <c r="AZ27" i="42"/>
  <c r="Y28" i="42"/>
  <c r="Z28" i="42"/>
  <c r="AA28" i="42"/>
  <c r="AB28" i="42"/>
  <c r="AC28" i="42"/>
  <c r="AD28" i="42"/>
  <c r="AE28" i="42"/>
  <c r="AF28" i="42"/>
  <c r="AG28" i="42"/>
  <c r="AH28" i="42"/>
  <c r="AI28" i="42"/>
  <c r="AJ28" i="42"/>
  <c r="AK28" i="42"/>
  <c r="AL28" i="42"/>
  <c r="AM28" i="42"/>
  <c r="AN28" i="42"/>
  <c r="AO28" i="42"/>
  <c r="AP28" i="42"/>
  <c r="AQ28" i="42"/>
  <c r="AR28" i="42"/>
  <c r="AS28" i="42"/>
  <c r="AT28" i="42"/>
  <c r="AU28" i="42"/>
  <c r="AV28" i="42"/>
  <c r="AW28" i="42"/>
  <c r="AX28" i="42"/>
  <c r="AY28" i="42"/>
  <c r="AZ28" i="42"/>
  <c r="Y29" i="42"/>
  <c r="Z29" i="42"/>
  <c r="AA29" i="42"/>
  <c r="AB29" i="42"/>
  <c r="AC29" i="42"/>
  <c r="AD29" i="42"/>
  <c r="AE29" i="42"/>
  <c r="AF29" i="42"/>
  <c r="AG29" i="42"/>
  <c r="AH29" i="42"/>
  <c r="AI29" i="42"/>
  <c r="AJ29" i="42"/>
  <c r="AK29" i="42"/>
  <c r="AL29" i="42"/>
  <c r="AM29" i="42"/>
  <c r="AN29" i="42"/>
  <c r="AO29" i="42"/>
  <c r="AP29" i="42"/>
  <c r="AQ29" i="42"/>
  <c r="AR29" i="42"/>
  <c r="AS29" i="42"/>
  <c r="AT29" i="42"/>
  <c r="AU29" i="42"/>
  <c r="AV29" i="42"/>
  <c r="AW29" i="42"/>
  <c r="AX29" i="42"/>
  <c r="AY29" i="42"/>
  <c r="AZ29" i="42"/>
  <c r="Y30" i="42"/>
  <c r="Z30" i="42"/>
  <c r="AA30" i="42"/>
  <c r="AB30" i="42"/>
  <c r="AC30" i="42"/>
  <c r="AD30" i="42"/>
  <c r="AE30" i="42"/>
  <c r="AF30" i="42"/>
  <c r="AG30" i="42"/>
  <c r="AH30" i="42"/>
  <c r="AI30" i="42"/>
  <c r="AJ30" i="42"/>
  <c r="AK30" i="42"/>
  <c r="AL30" i="42"/>
  <c r="AM30" i="42"/>
  <c r="AN30" i="42"/>
  <c r="AO30" i="42"/>
  <c r="AP30" i="42"/>
  <c r="AQ30" i="42"/>
  <c r="AR30" i="42"/>
  <c r="AS30" i="42"/>
  <c r="AT30" i="42"/>
  <c r="AU30" i="42"/>
  <c r="AV30" i="42"/>
  <c r="AW30" i="42"/>
  <c r="AX30" i="42"/>
  <c r="AY30" i="42"/>
  <c r="AZ30" i="42"/>
  <c r="Y31" i="42"/>
  <c r="Z31" i="42"/>
  <c r="AA31" i="42"/>
  <c r="AB31" i="42"/>
  <c r="AC31" i="42"/>
  <c r="AD31" i="42"/>
  <c r="AE31" i="42"/>
  <c r="AF31" i="42"/>
  <c r="AG31" i="42"/>
  <c r="AH31" i="42"/>
  <c r="AI31" i="42"/>
  <c r="AJ31" i="42"/>
  <c r="AK31" i="42"/>
  <c r="AL31" i="42"/>
  <c r="AM31" i="42"/>
  <c r="AN31" i="42"/>
  <c r="AO31" i="42"/>
  <c r="AP31" i="42"/>
  <c r="AQ31" i="42"/>
  <c r="AR31" i="42"/>
  <c r="AS31" i="42"/>
  <c r="AT31" i="42"/>
  <c r="AU31" i="42"/>
  <c r="AV31" i="42"/>
  <c r="AW31" i="42"/>
  <c r="AX31" i="42"/>
  <c r="AY31" i="42"/>
  <c r="AZ31" i="42"/>
  <c r="Y32" i="42"/>
  <c r="Z32" i="42"/>
  <c r="AA32" i="42"/>
  <c r="AB32" i="42"/>
  <c r="AC32" i="42"/>
  <c r="AD32" i="42"/>
  <c r="AE32" i="42"/>
  <c r="AF32" i="42"/>
  <c r="AG32" i="42"/>
  <c r="AH32" i="42"/>
  <c r="AI32" i="42"/>
  <c r="AJ32" i="42"/>
  <c r="AK32" i="42"/>
  <c r="AL32" i="42"/>
  <c r="AM32" i="42"/>
  <c r="AN32" i="42"/>
  <c r="AO32" i="42"/>
  <c r="AP32" i="42"/>
  <c r="AQ32" i="42"/>
  <c r="AR32" i="42"/>
  <c r="AS32" i="42"/>
  <c r="AT32" i="42"/>
  <c r="AU32" i="42"/>
  <c r="AV32" i="42"/>
  <c r="AW32" i="42"/>
  <c r="AX32" i="42"/>
  <c r="AY32" i="42"/>
  <c r="AZ32" i="42"/>
  <c r="Y33" i="42"/>
  <c r="Z33" i="42"/>
  <c r="AA33" i="42"/>
  <c r="AB33" i="42"/>
  <c r="AC33" i="42"/>
  <c r="AD33" i="42"/>
  <c r="AE33" i="42"/>
  <c r="AF33" i="42"/>
  <c r="AG33" i="42"/>
  <c r="AH33" i="42"/>
  <c r="AI33" i="42"/>
  <c r="AJ33" i="42"/>
  <c r="AK33" i="42"/>
  <c r="AL33" i="42"/>
  <c r="AM33" i="42"/>
  <c r="AN33" i="42"/>
  <c r="AO33" i="42"/>
  <c r="AP33" i="42"/>
  <c r="AQ33" i="42"/>
  <c r="AR33" i="42"/>
  <c r="AS33" i="42"/>
  <c r="AT33" i="42"/>
  <c r="AU33" i="42"/>
  <c r="AV33" i="42"/>
  <c r="AW33" i="42"/>
  <c r="AX33" i="42"/>
  <c r="AY33" i="42"/>
  <c r="AZ33" i="42"/>
  <c r="Y34" i="42"/>
  <c r="Z34" i="42"/>
  <c r="AA34" i="42"/>
  <c r="AB34" i="42"/>
  <c r="AC34" i="42"/>
  <c r="AD34" i="42"/>
  <c r="AE34" i="42"/>
  <c r="AF34" i="42"/>
  <c r="AG34" i="42"/>
  <c r="AH34" i="42"/>
  <c r="AI34" i="42"/>
  <c r="AJ34" i="42"/>
  <c r="AK34" i="42"/>
  <c r="AL34" i="42"/>
  <c r="AM34" i="42"/>
  <c r="AN34" i="42"/>
  <c r="AO34" i="42"/>
  <c r="AP34" i="42"/>
  <c r="AQ34" i="42"/>
  <c r="AR34" i="42"/>
  <c r="AS34" i="42"/>
  <c r="AT34" i="42"/>
  <c r="AU34" i="42"/>
  <c r="AV34" i="42"/>
  <c r="AW34" i="42"/>
  <c r="AX34" i="42"/>
  <c r="AY34" i="42"/>
  <c r="AZ34" i="42"/>
  <c r="Y35" i="42"/>
  <c r="Z35" i="42"/>
  <c r="AA35" i="42"/>
  <c r="AB35" i="42"/>
  <c r="AC35" i="42"/>
  <c r="AD35" i="42"/>
  <c r="AE35" i="42"/>
  <c r="AF35" i="42"/>
  <c r="AG35" i="42"/>
  <c r="AH35" i="42"/>
  <c r="AI35" i="42"/>
  <c r="AJ35" i="42"/>
  <c r="AK35" i="42"/>
  <c r="AL35" i="42"/>
  <c r="AM35" i="42"/>
  <c r="AN35" i="42"/>
  <c r="AO35" i="42"/>
  <c r="AP35" i="42"/>
  <c r="AQ35" i="42"/>
  <c r="AR35" i="42"/>
  <c r="AS35" i="42"/>
  <c r="AT35" i="42"/>
  <c r="AU35" i="42"/>
  <c r="AV35" i="42"/>
  <c r="AW35" i="42"/>
  <c r="AX35" i="42"/>
  <c r="AY35" i="42"/>
  <c r="AZ35" i="42"/>
  <c r="Y36" i="42"/>
  <c r="Z36" i="42"/>
  <c r="AA36" i="42"/>
  <c r="AB36" i="42"/>
  <c r="AC36" i="42"/>
  <c r="AD36" i="42"/>
  <c r="AE36" i="42"/>
  <c r="AF36" i="42"/>
  <c r="AG36" i="42"/>
  <c r="AH36" i="42"/>
  <c r="AI36" i="42"/>
  <c r="AJ36" i="42"/>
  <c r="AK36" i="42"/>
  <c r="AL36" i="42"/>
  <c r="AM36" i="42"/>
  <c r="AN36" i="42"/>
  <c r="AO36" i="42"/>
  <c r="AP36" i="42"/>
  <c r="AQ36" i="42"/>
  <c r="AR36" i="42"/>
  <c r="AS36" i="42"/>
  <c r="AT36" i="42"/>
  <c r="AU36" i="42"/>
  <c r="AV36" i="42"/>
  <c r="AW36" i="42"/>
  <c r="AX36" i="42"/>
  <c r="AY36" i="42"/>
  <c r="AZ36" i="42"/>
  <c r="Y37" i="42"/>
  <c r="Z37" i="42"/>
  <c r="AA37" i="42"/>
  <c r="AB37" i="42"/>
  <c r="AC37" i="42"/>
  <c r="AD37" i="42"/>
  <c r="AE37" i="42"/>
  <c r="AF37" i="42"/>
  <c r="AG37" i="42"/>
  <c r="AH37" i="42"/>
  <c r="AI37" i="42"/>
  <c r="AJ37" i="42"/>
  <c r="AK37" i="42"/>
  <c r="AL37" i="42"/>
  <c r="AM37" i="42"/>
  <c r="AN37" i="42"/>
  <c r="AO37" i="42"/>
  <c r="AP37" i="42"/>
  <c r="AQ37" i="42"/>
  <c r="AR37" i="42"/>
  <c r="AS37" i="42"/>
  <c r="AT37" i="42"/>
  <c r="AU37" i="42"/>
  <c r="AV37" i="42"/>
  <c r="AW37" i="42"/>
  <c r="AX37" i="42"/>
  <c r="AY37" i="42"/>
  <c r="AZ37" i="42"/>
  <c r="Y38" i="42"/>
  <c r="Z38" i="42"/>
  <c r="AA38" i="42"/>
  <c r="AB38" i="42"/>
  <c r="AC38" i="42"/>
  <c r="AD38" i="42"/>
  <c r="AE38" i="42"/>
  <c r="AF38" i="42"/>
  <c r="AG38" i="42"/>
  <c r="AH38" i="42"/>
  <c r="AI38" i="42"/>
  <c r="AJ38" i="42"/>
  <c r="AK38" i="42"/>
  <c r="AL38" i="42"/>
  <c r="AM38" i="42"/>
  <c r="AN38" i="42"/>
  <c r="AO38" i="42"/>
  <c r="AP38" i="42"/>
  <c r="AQ38" i="42"/>
  <c r="AR38" i="42"/>
  <c r="AS38" i="42"/>
  <c r="AT38" i="42"/>
  <c r="AU38" i="42"/>
  <c r="AV38" i="42"/>
  <c r="AW38" i="42"/>
  <c r="AX38" i="42"/>
  <c r="AY38" i="42"/>
  <c r="AZ38" i="42"/>
  <c r="Y39" i="42"/>
  <c r="Z39" i="42"/>
  <c r="AA39" i="42"/>
  <c r="AB39" i="42"/>
  <c r="AC39" i="42"/>
  <c r="AD39" i="42"/>
  <c r="AE39" i="42"/>
  <c r="AF39" i="42"/>
  <c r="AG39" i="42"/>
  <c r="AH39" i="42"/>
  <c r="AI39" i="42"/>
  <c r="AJ39" i="42"/>
  <c r="AK39" i="42"/>
  <c r="AL39" i="42"/>
  <c r="AM39" i="42"/>
  <c r="AN39" i="42"/>
  <c r="AO39" i="42"/>
  <c r="AP39" i="42"/>
  <c r="AQ39" i="42"/>
  <c r="AR39" i="42"/>
  <c r="AS39" i="42"/>
  <c r="AT39" i="42"/>
  <c r="AU39" i="42"/>
  <c r="AV39" i="42"/>
  <c r="AW39" i="42"/>
  <c r="AX39" i="42"/>
  <c r="AY39" i="42"/>
  <c r="AZ39" i="42"/>
  <c r="Y40" i="42"/>
  <c r="Z40" i="42"/>
  <c r="AA40" i="42"/>
  <c r="AB40" i="42"/>
  <c r="AC40" i="42"/>
  <c r="AD40" i="42"/>
  <c r="AE40" i="42"/>
  <c r="AF40" i="42"/>
  <c r="AG40" i="42"/>
  <c r="AH40" i="42"/>
  <c r="AI40" i="42"/>
  <c r="AJ40" i="42"/>
  <c r="AK40" i="42"/>
  <c r="AL40" i="42"/>
  <c r="AM40" i="42"/>
  <c r="AN40" i="42"/>
  <c r="AO40" i="42"/>
  <c r="AP40" i="42"/>
  <c r="AQ40" i="42"/>
  <c r="AR40" i="42"/>
  <c r="AS40" i="42"/>
  <c r="AT40" i="42"/>
  <c r="AU40" i="42"/>
  <c r="AV40" i="42"/>
  <c r="AW40" i="42"/>
  <c r="AX40" i="42"/>
  <c r="AY40" i="42"/>
  <c r="AZ40" i="42"/>
  <c r="Y41" i="42"/>
  <c r="Z41" i="42"/>
  <c r="AA41" i="42"/>
  <c r="AB41" i="42"/>
  <c r="AC41" i="42"/>
  <c r="AD41" i="42"/>
  <c r="AE41" i="42"/>
  <c r="AF41" i="42"/>
  <c r="AG41" i="42"/>
  <c r="AH41" i="42"/>
  <c r="AI41" i="42"/>
  <c r="AJ41" i="42"/>
  <c r="AK41" i="42"/>
  <c r="AL41" i="42"/>
  <c r="AM41" i="42"/>
  <c r="AN41" i="42"/>
  <c r="AO41" i="42"/>
  <c r="AP41" i="42"/>
  <c r="AQ41" i="42"/>
  <c r="AR41" i="42"/>
  <c r="AS41" i="42"/>
  <c r="AT41" i="42"/>
  <c r="AU41" i="42"/>
  <c r="AV41" i="42"/>
  <c r="AW41" i="42"/>
  <c r="AX41" i="42"/>
  <c r="AY41" i="42"/>
  <c r="AZ41" i="42"/>
  <c r="Y42" i="42"/>
  <c r="Z42" i="42"/>
  <c r="AA42" i="42"/>
  <c r="AB42" i="42"/>
  <c r="AC42" i="42"/>
  <c r="AD42" i="42"/>
  <c r="AE42" i="42"/>
  <c r="AF42" i="42"/>
  <c r="AG42" i="42"/>
  <c r="AH42" i="42"/>
  <c r="AI42" i="42"/>
  <c r="AJ42" i="42"/>
  <c r="AK42" i="42"/>
  <c r="AL42" i="42"/>
  <c r="AM42" i="42"/>
  <c r="AN42" i="42"/>
  <c r="AO42" i="42"/>
  <c r="AP42" i="42"/>
  <c r="AQ42" i="42"/>
  <c r="AR42" i="42"/>
  <c r="AS42" i="42"/>
  <c r="AT42" i="42"/>
  <c r="AU42" i="42"/>
  <c r="AV42" i="42"/>
  <c r="AW42" i="42"/>
  <c r="AX42" i="42"/>
  <c r="AY42" i="42"/>
  <c r="AZ42" i="42"/>
  <c r="X13" i="42"/>
  <c r="X14" i="42"/>
  <c r="X15" i="42"/>
  <c r="X16" i="42"/>
  <c r="X17" i="42"/>
  <c r="X18" i="42"/>
  <c r="X19" i="42"/>
  <c r="X20" i="42"/>
  <c r="X21" i="42"/>
  <c r="X22" i="42"/>
  <c r="X23" i="42"/>
  <c r="X24" i="42"/>
  <c r="X25" i="42"/>
  <c r="X26" i="42"/>
  <c r="X27" i="42"/>
  <c r="X28" i="42"/>
  <c r="X29" i="42"/>
  <c r="X30" i="42"/>
  <c r="X31" i="42"/>
  <c r="X32" i="42"/>
  <c r="X33" i="42"/>
  <c r="X34" i="42"/>
  <c r="X35" i="42"/>
  <c r="X36" i="42"/>
  <c r="X37" i="42"/>
  <c r="X38" i="42"/>
  <c r="X39" i="42"/>
  <c r="X40" i="42"/>
  <c r="X41" i="42"/>
  <c r="X42" i="42"/>
  <c r="X12" i="42"/>
  <c r="Y12" i="41"/>
  <c r="Z12" i="41"/>
  <c r="AA12" i="41"/>
  <c r="AB12" i="41"/>
  <c r="AC12" i="41"/>
  <c r="AD12" i="41"/>
  <c r="AE12" i="41"/>
  <c r="AF12" i="41"/>
  <c r="AG12" i="41"/>
  <c r="AH12" i="41"/>
  <c r="AI12" i="41"/>
  <c r="AJ12" i="41"/>
  <c r="AK12" i="41"/>
  <c r="AL12" i="41"/>
  <c r="AM12" i="41"/>
  <c r="AN12" i="41"/>
  <c r="AO12" i="41"/>
  <c r="AP12" i="41"/>
  <c r="AQ12" i="41"/>
  <c r="AR12" i="41"/>
  <c r="AS12" i="41"/>
  <c r="AT12" i="41"/>
  <c r="AU12" i="41"/>
  <c r="AV12" i="41"/>
  <c r="AW12" i="41"/>
  <c r="AX12" i="41"/>
  <c r="AY12" i="41"/>
  <c r="AZ12" i="41"/>
  <c r="Y13" i="41"/>
  <c r="Z13" i="41"/>
  <c r="AA13" i="41"/>
  <c r="AB13" i="41"/>
  <c r="AC13" i="41"/>
  <c r="AD13" i="41"/>
  <c r="AE13" i="41"/>
  <c r="AF13" i="41"/>
  <c r="AG13" i="41"/>
  <c r="AH13" i="41"/>
  <c r="AI13" i="41"/>
  <c r="AJ13" i="41"/>
  <c r="AK13" i="41"/>
  <c r="AL13" i="41"/>
  <c r="AM13" i="41"/>
  <c r="AN13" i="41"/>
  <c r="AO13" i="41"/>
  <c r="AP13" i="41"/>
  <c r="AQ13" i="41"/>
  <c r="AR13" i="41"/>
  <c r="AS13" i="41"/>
  <c r="AT13" i="41"/>
  <c r="AU13" i="41"/>
  <c r="AV13" i="41"/>
  <c r="AW13" i="41"/>
  <c r="AX13" i="41"/>
  <c r="AY13" i="41"/>
  <c r="AZ13" i="41"/>
  <c r="Y14" i="41"/>
  <c r="Z14" i="41"/>
  <c r="AA14" i="41"/>
  <c r="AB14" i="41"/>
  <c r="AC14" i="41"/>
  <c r="AD14" i="41"/>
  <c r="AE14" i="41"/>
  <c r="AF14" i="41"/>
  <c r="AG14" i="41"/>
  <c r="AH14" i="41"/>
  <c r="AI14" i="41"/>
  <c r="AJ14" i="41"/>
  <c r="AK14" i="41"/>
  <c r="AL14" i="41"/>
  <c r="AM14" i="41"/>
  <c r="AN14" i="41"/>
  <c r="AO14" i="41"/>
  <c r="AP14" i="41"/>
  <c r="AQ14" i="41"/>
  <c r="AR14" i="41"/>
  <c r="AS14" i="41"/>
  <c r="AT14" i="41"/>
  <c r="AU14" i="41"/>
  <c r="AV14" i="41"/>
  <c r="AW14" i="41"/>
  <c r="AX14" i="41"/>
  <c r="AY14" i="41"/>
  <c r="AZ14" i="41"/>
  <c r="Y15" i="41"/>
  <c r="Z15" i="41"/>
  <c r="AA15" i="41"/>
  <c r="AB15" i="41"/>
  <c r="AC15" i="41"/>
  <c r="AD15" i="41"/>
  <c r="AE15" i="41"/>
  <c r="AF15" i="41"/>
  <c r="AG15" i="41"/>
  <c r="AH15" i="41"/>
  <c r="AI15" i="41"/>
  <c r="AJ15" i="41"/>
  <c r="AK15" i="41"/>
  <c r="AL15" i="41"/>
  <c r="AM15" i="41"/>
  <c r="AN15" i="41"/>
  <c r="AO15" i="41"/>
  <c r="AP15" i="41"/>
  <c r="AQ15" i="41"/>
  <c r="AR15" i="41"/>
  <c r="AS15" i="41"/>
  <c r="AT15" i="41"/>
  <c r="AU15" i="41"/>
  <c r="AV15" i="41"/>
  <c r="AW15" i="41"/>
  <c r="AX15" i="41"/>
  <c r="AY15" i="41"/>
  <c r="AZ15" i="41"/>
  <c r="Y16" i="41"/>
  <c r="Z16" i="41"/>
  <c r="AA16" i="41"/>
  <c r="AB16" i="41"/>
  <c r="AC16" i="41"/>
  <c r="AD16" i="41"/>
  <c r="AE16" i="41"/>
  <c r="AF16" i="41"/>
  <c r="AG16" i="41"/>
  <c r="AH16" i="41"/>
  <c r="AI16" i="41"/>
  <c r="AJ16" i="41"/>
  <c r="AK16" i="41"/>
  <c r="AL16" i="41"/>
  <c r="AM16" i="41"/>
  <c r="AN16" i="41"/>
  <c r="AO16" i="41"/>
  <c r="AP16" i="41"/>
  <c r="AQ16" i="41"/>
  <c r="AR16" i="41"/>
  <c r="AS16" i="41"/>
  <c r="AT16" i="41"/>
  <c r="AU16" i="41"/>
  <c r="AV16" i="41"/>
  <c r="AW16" i="41"/>
  <c r="AX16" i="41"/>
  <c r="AY16" i="41"/>
  <c r="AZ16" i="41"/>
  <c r="Y17" i="41"/>
  <c r="Z17" i="41"/>
  <c r="AA17" i="41"/>
  <c r="AB17" i="41"/>
  <c r="AC17" i="41"/>
  <c r="AD17" i="41"/>
  <c r="AE17" i="41"/>
  <c r="AF17" i="41"/>
  <c r="AG17" i="41"/>
  <c r="AH17" i="41"/>
  <c r="AI17" i="41"/>
  <c r="AJ17" i="41"/>
  <c r="AK17" i="41"/>
  <c r="AL17" i="41"/>
  <c r="AM17" i="41"/>
  <c r="AN17" i="41"/>
  <c r="AO17" i="41"/>
  <c r="AP17" i="41"/>
  <c r="AQ17" i="41"/>
  <c r="AR17" i="41"/>
  <c r="AS17" i="41"/>
  <c r="AT17" i="41"/>
  <c r="AU17" i="41"/>
  <c r="AV17" i="41"/>
  <c r="AW17" i="41"/>
  <c r="AX17" i="41"/>
  <c r="AY17" i="41"/>
  <c r="AZ17" i="41"/>
  <c r="Y18" i="41"/>
  <c r="Z18" i="41"/>
  <c r="AA18" i="41"/>
  <c r="AB18" i="41"/>
  <c r="AC18" i="41"/>
  <c r="AD18" i="41"/>
  <c r="AE18" i="41"/>
  <c r="AF18" i="41"/>
  <c r="AG18" i="41"/>
  <c r="AH18" i="41"/>
  <c r="AI18" i="41"/>
  <c r="AJ18" i="41"/>
  <c r="AK18" i="41"/>
  <c r="AL18" i="41"/>
  <c r="AM18" i="41"/>
  <c r="AN18" i="41"/>
  <c r="AO18" i="41"/>
  <c r="AP18" i="41"/>
  <c r="AQ18" i="41"/>
  <c r="AR18" i="41"/>
  <c r="AS18" i="41"/>
  <c r="AT18" i="41"/>
  <c r="AU18" i="41"/>
  <c r="AV18" i="41"/>
  <c r="AW18" i="41"/>
  <c r="AX18" i="41"/>
  <c r="AY18" i="41"/>
  <c r="AZ18" i="41"/>
  <c r="Y19" i="41"/>
  <c r="Z19" i="41"/>
  <c r="AA19" i="41"/>
  <c r="AB19" i="41"/>
  <c r="AC19" i="41"/>
  <c r="AD19" i="41"/>
  <c r="AE19" i="41"/>
  <c r="AF19" i="41"/>
  <c r="AG19" i="41"/>
  <c r="AH19" i="41"/>
  <c r="AI19" i="41"/>
  <c r="AJ19" i="41"/>
  <c r="AK19" i="41"/>
  <c r="AL19" i="41"/>
  <c r="AM19" i="41"/>
  <c r="AN19" i="41"/>
  <c r="AO19" i="41"/>
  <c r="AP19" i="41"/>
  <c r="AQ19" i="41"/>
  <c r="AR19" i="41"/>
  <c r="AS19" i="41"/>
  <c r="AT19" i="41"/>
  <c r="AU19" i="41"/>
  <c r="AV19" i="41"/>
  <c r="AW19" i="41"/>
  <c r="AX19" i="41"/>
  <c r="AY19" i="41"/>
  <c r="AZ19" i="41"/>
  <c r="Y20" i="41"/>
  <c r="Z20" i="41"/>
  <c r="AA20" i="41"/>
  <c r="AB20" i="41"/>
  <c r="AC20" i="41"/>
  <c r="AD20" i="41"/>
  <c r="AE20" i="41"/>
  <c r="AF20" i="41"/>
  <c r="AG20" i="41"/>
  <c r="AH20" i="41"/>
  <c r="AI20" i="41"/>
  <c r="AJ20" i="41"/>
  <c r="AK20" i="41"/>
  <c r="AL20" i="41"/>
  <c r="AM20" i="41"/>
  <c r="AN20" i="41"/>
  <c r="AO20" i="41"/>
  <c r="AP20" i="41"/>
  <c r="AQ20" i="41"/>
  <c r="AR20" i="41"/>
  <c r="AS20" i="41"/>
  <c r="AT20" i="41"/>
  <c r="AU20" i="41"/>
  <c r="AV20" i="41"/>
  <c r="AW20" i="41"/>
  <c r="AX20" i="41"/>
  <c r="AY20" i="41"/>
  <c r="AZ20" i="41"/>
  <c r="Y21" i="41"/>
  <c r="Z21" i="41"/>
  <c r="AA21" i="41"/>
  <c r="AB21" i="41"/>
  <c r="AC21" i="41"/>
  <c r="AD21" i="41"/>
  <c r="AE21" i="41"/>
  <c r="AF21" i="41"/>
  <c r="AG21" i="41"/>
  <c r="AH21" i="41"/>
  <c r="AI21" i="41"/>
  <c r="AJ21" i="41"/>
  <c r="AK21" i="41"/>
  <c r="AL21" i="41"/>
  <c r="AM21" i="41"/>
  <c r="AN21" i="41"/>
  <c r="AO21" i="41"/>
  <c r="AP21" i="41"/>
  <c r="AQ21" i="41"/>
  <c r="AR21" i="41"/>
  <c r="AS21" i="41"/>
  <c r="AT21" i="41"/>
  <c r="AU21" i="41"/>
  <c r="AV21" i="41"/>
  <c r="AW21" i="41"/>
  <c r="AX21" i="41"/>
  <c r="AY21" i="41"/>
  <c r="AZ21" i="41"/>
  <c r="Y22" i="41"/>
  <c r="Z22" i="41"/>
  <c r="AA22" i="41"/>
  <c r="AB22" i="41"/>
  <c r="AC22" i="41"/>
  <c r="AD22" i="41"/>
  <c r="AE22" i="41"/>
  <c r="AF22" i="41"/>
  <c r="AG22" i="41"/>
  <c r="AH22" i="41"/>
  <c r="AI22" i="41"/>
  <c r="AJ22" i="41"/>
  <c r="AK22" i="41"/>
  <c r="AL22" i="41"/>
  <c r="AM22" i="41"/>
  <c r="AN22" i="41"/>
  <c r="AO22" i="41"/>
  <c r="AP22" i="41"/>
  <c r="AQ22" i="41"/>
  <c r="AR22" i="41"/>
  <c r="AS22" i="41"/>
  <c r="AT22" i="41"/>
  <c r="AU22" i="41"/>
  <c r="AV22" i="41"/>
  <c r="AW22" i="41"/>
  <c r="AX22" i="41"/>
  <c r="AY22" i="41"/>
  <c r="AZ22" i="41"/>
  <c r="Y23" i="41"/>
  <c r="Z23" i="41"/>
  <c r="AA23" i="41"/>
  <c r="AB23" i="41"/>
  <c r="AC23" i="41"/>
  <c r="AD23" i="41"/>
  <c r="AE23" i="41"/>
  <c r="AF23" i="41"/>
  <c r="AG23" i="41"/>
  <c r="AH23" i="41"/>
  <c r="AI23" i="41"/>
  <c r="AJ23" i="41"/>
  <c r="AK23" i="41"/>
  <c r="AL23" i="41"/>
  <c r="AM23" i="41"/>
  <c r="AN23" i="41"/>
  <c r="AO23" i="41"/>
  <c r="AP23" i="41"/>
  <c r="AQ23" i="41"/>
  <c r="AR23" i="41"/>
  <c r="AS23" i="41"/>
  <c r="AT23" i="41"/>
  <c r="AU23" i="41"/>
  <c r="AV23" i="41"/>
  <c r="AW23" i="41"/>
  <c r="AX23" i="41"/>
  <c r="AY23" i="41"/>
  <c r="AZ23" i="41"/>
  <c r="Y24" i="41"/>
  <c r="Z24" i="41"/>
  <c r="AA24" i="41"/>
  <c r="AB24" i="41"/>
  <c r="AC24" i="41"/>
  <c r="AD24" i="41"/>
  <c r="AE24" i="41"/>
  <c r="AF24" i="41"/>
  <c r="AG24" i="41"/>
  <c r="AH24" i="41"/>
  <c r="AI24" i="41"/>
  <c r="AJ24" i="41"/>
  <c r="AK24" i="41"/>
  <c r="AL24" i="41"/>
  <c r="AM24" i="41"/>
  <c r="AN24" i="41"/>
  <c r="AO24" i="41"/>
  <c r="AP24" i="41"/>
  <c r="AQ24" i="41"/>
  <c r="AR24" i="41"/>
  <c r="AS24" i="41"/>
  <c r="AT24" i="41"/>
  <c r="AU24" i="41"/>
  <c r="AV24" i="41"/>
  <c r="AW24" i="41"/>
  <c r="AX24" i="41"/>
  <c r="AY24" i="41"/>
  <c r="AZ24" i="41"/>
  <c r="Y25" i="41"/>
  <c r="Z25" i="41"/>
  <c r="AA25" i="41"/>
  <c r="AB25" i="41"/>
  <c r="AC25" i="41"/>
  <c r="AD25" i="41"/>
  <c r="AE25" i="41"/>
  <c r="AF25" i="41"/>
  <c r="AG25" i="41"/>
  <c r="AH25" i="41"/>
  <c r="AI25" i="41"/>
  <c r="AJ25" i="41"/>
  <c r="AK25" i="41"/>
  <c r="AL25" i="41"/>
  <c r="AM25" i="41"/>
  <c r="AN25" i="41"/>
  <c r="AO25" i="41"/>
  <c r="AP25" i="41"/>
  <c r="AQ25" i="41"/>
  <c r="AR25" i="41"/>
  <c r="AS25" i="41"/>
  <c r="AT25" i="41"/>
  <c r="AU25" i="41"/>
  <c r="AV25" i="41"/>
  <c r="AW25" i="41"/>
  <c r="AX25" i="41"/>
  <c r="AY25" i="41"/>
  <c r="AZ25" i="41"/>
  <c r="Y26" i="41"/>
  <c r="Z26" i="41"/>
  <c r="AA26" i="41"/>
  <c r="AB26" i="41"/>
  <c r="AC26" i="41"/>
  <c r="AD26" i="41"/>
  <c r="AE26" i="41"/>
  <c r="AF26" i="41"/>
  <c r="AG26" i="41"/>
  <c r="AH26" i="41"/>
  <c r="AI26" i="41"/>
  <c r="AJ26" i="41"/>
  <c r="AK26" i="41"/>
  <c r="AL26" i="41"/>
  <c r="AM26" i="41"/>
  <c r="AN26" i="41"/>
  <c r="AO26" i="41"/>
  <c r="AP26" i="41"/>
  <c r="AQ26" i="41"/>
  <c r="AR26" i="41"/>
  <c r="AS26" i="41"/>
  <c r="AT26" i="41"/>
  <c r="AU26" i="41"/>
  <c r="AV26" i="41"/>
  <c r="AW26" i="41"/>
  <c r="AX26" i="41"/>
  <c r="AY26" i="41"/>
  <c r="AZ26" i="41"/>
  <c r="Y27" i="41"/>
  <c r="Z27" i="41"/>
  <c r="AA27" i="41"/>
  <c r="AB27" i="41"/>
  <c r="AC27" i="41"/>
  <c r="AD27" i="41"/>
  <c r="AE27" i="41"/>
  <c r="AF27" i="41"/>
  <c r="AG27" i="41"/>
  <c r="AH27" i="41"/>
  <c r="AI27" i="41"/>
  <c r="AJ27" i="41"/>
  <c r="AK27" i="41"/>
  <c r="AL27" i="41"/>
  <c r="AM27" i="41"/>
  <c r="AN27" i="41"/>
  <c r="AO27" i="41"/>
  <c r="AP27" i="41"/>
  <c r="AQ27" i="41"/>
  <c r="AR27" i="41"/>
  <c r="AS27" i="41"/>
  <c r="AT27" i="41"/>
  <c r="AU27" i="41"/>
  <c r="AV27" i="41"/>
  <c r="AW27" i="41"/>
  <c r="AX27" i="41"/>
  <c r="AY27" i="41"/>
  <c r="AZ27" i="41"/>
  <c r="Y28" i="41"/>
  <c r="Z28" i="41"/>
  <c r="AA28" i="41"/>
  <c r="AB28" i="41"/>
  <c r="AC28" i="41"/>
  <c r="AD28" i="41"/>
  <c r="AE28" i="41"/>
  <c r="AF28" i="41"/>
  <c r="AG28" i="41"/>
  <c r="AH28" i="41"/>
  <c r="AI28" i="41"/>
  <c r="AJ28" i="41"/>
  <c r="AK28" i="41"/>
  <c r="AL28" i="41"/>
  <c r="AM28" i="41"/>
  <c r="AN28" i="41"/>
  <c r="AO28" i="41"/>
  <c r="AP28" i="41"/>
  <c r="AQ28" i="41"/>
  <c r="AR28" i="41"/>
  <c r="AS28" i="41"/>
  <c r="AT28" i="41"/>
  <c r="AU28" i="41"/>
  <c r="AV28" i="41"/>
  <c r="AW28" i="41"/>
  <c r="AX28" i="41"/>
  <c r="AY28" i="41"/>
  <c r="AZ28" i="41"/>
  <c r="Y29" i="41"/>
  <c r="Z29" i="41"/>
  <c r="AA29" i="41"/>
  <c r="AB29" i="41"/>
  <c r="AC29" i="41"/>
  <c r="AD29" i="41"/>
  <c r="AE29" i="41"/>
  <c r="AF29" i="41"/>
  <c r="AG29" i="41"/>
  <c r="AH29" i="41"/>
  <c r="AI29" i="41"/>
  <c r="AJ29" i="41"/>
  <c r="AK29" i="41"/>
  <c r="AL29" i="41"/>
  <c r="AM29" i="41"/>
  <c r="AN29" i="41"/>
  <c r="AO29" i="41"/>
  <c r="AP29" i="41"/>
  <c r="AQ29" i="41"/>
  <c r="AR29" i="41"/>
  <c r="AS29" i="41"/>
  <c r="AT29" i="41"/>
  <c r="AU29" i="41"/>
  <c r="AV29" i="41"/>
  <c r="AW29" i="41"/>
  <c r="AX29" i="41"/>
  <c r="AY29" i="41"/>
  <c r="AZ29" i="41"/>
  <c r="Y30" i="41"/>
  <c r="Z30" i="41"/>
  <c r="AA30" i="41"/>
  <c r="AB30" i="41"/>
  <c r="AC30" i="41"/>
  <c r="AD30" i="41"/>
  <c r="AE30" i="41"/>
  <c r="AF30" i="41"/>
  <c r="AG30" i="41"/>
  <c r="AH30" i="41"/>
  <c r="AI30" i="41"/>
  <c r="AJ30" i="41"/>
  <c r="AK30" i="41"/>
  <c r="AL30" i="41"/>
  <c r="AM30" i="41"/>
  <c r="AN30" i="41"/>
  <c r="AO30" i="41"/>
  <c r="AP30" i="41"/>
  <c r="AQ30" i="41"/>
  <c r="AR30" i="41"/>
  <c r="AS30" i="41"/>
  <c r="AT30" i="41"/>
  <c r="AU30" i="41"/>
  <c r="AV30" i="41"/>
  <c r="AW30" i="41"/>
  <c r="AX30" i="41"/>
  <c r="AY30" i="41"/>
  <c r="AZ30" i="41"/>
  <c r="Y31" i="41"/>
  <c r="Z31" i="41"/>
  <c r="AA31" i="41"/>
  <c r="AB31" i="41"/>
  <c r="AC31" i="41"/>
  <c r="AD31" i="41"/>
  <c r="AE31" i="41"/>
  <c r="AF31" i="41"/>
  <c r="AG31" i="41"/>
  <c r="AH31" i="41"/>
  <c r="AI31" i="41"/>
  <c r="AJ31" i="41"/>
  <c r="AK31" i="41"/>
  <c r="AL31" i="41"/>
  <c r="AM31" i="41"/>
  <c r="AN31" i="41"/>
  <c r="AO31" i="41"/>
  <c r="AP31" i="41"/>
  <c r="AQ31" i="41"/>
  <c r="AR31" i="41"/>
  <c r="AS31" i="41"/>
  <c r="AT31" i="41"/>
  <c r="AU31" i="41"/>
  <c r="AV31" i="41"/>
  <c r="AW31" i="41"/>
  <c r="AX31" i="41"/>
  <c r="AY31" i="41"/>
  <c r="AZ31" i="41"/>
  <c r="Y32" i="41"/>
  <c r="Z32" i="41"/>
  <c r="AA32" i="41"/>
  <c r="AB32" i="41"/>
  <c r="AC32" i="41"/>
  <c r="AD32" i="41"/>
  <c r="AE32" i="41"/>
  <c r="AF32" i="41"/>
  <c r="AG32" i="41"/>
  <c r="AH32" i="41"/>
  <c r="AI32" i="41"/>
  <c r="AJ32" i="41"/>
  <c r="AK32" i="41"/>
  <c r="AL32" i="41"/>
  <c r="AM32" i="41"/>
  <c r="AN32" i="41"/>
  <c r="AO32" i="41"/>
  <c r="AP32" i="41"/>
  <c r="AQ32" i="41"/>
  <c r="AR32" i="41"/>
  <c r="AS32" i="41"/>
  <c r="AT32" i="41"/>
  <c r="AU32" i="41"/>
  <c r="AV32" i="41"/>
  <c r="AW32" i="41"/>
  <c r="AX32" i="41"/>
  <c r="AY32" i="41"/>
  <c r="AZ32" i="41"/>
  <c r="Y33" i="41"/>
  <c r="Z33" i="41"/>
  <c r="AA33" i="41"/>
  <c r="AB33" i="41"/>
  <c r="AC33" i="41"/>
  <c r="AD33" i="41"/>
  <c r="AE33" i="41"/>
  <c r="AF33" i="41"/>
  <c r="AG33" i="41"/>
  <c r="AH33" i="41"/>
  <c r="AI33" i="41"/>
  <c r="AJ33" i="41"/>
  <c r="AK33" i="41"/>
  <c r="AL33" i="41"/>
  <c r="AM33" i="41"/>
  <c r="AN33" i="41"/>
  <c r="AO33" i="41"/>
  <c r="AP33" i="41"/>
  <c r="AQ33" i="41"/>
  <c r="AR33" i="41"/>
  <c r="AS33" i="41"/>
  <c r="AT33" i="41"/>
  <c r="AU33" i="41"/>
  <c r="AV33" i="41"/>
  <c r="AW33" i="41"/>
  <c r="AX33" i="41"/>
  <c r="AY33" i="41"/>
  <c r="AZ33" i="41"/>
  <c r="Y34" i="41"/>
  <c r="Z34" i="41"/>
  <c r="AA34" i="41"/>
  <c r="AB34" i="41"/>
  <c r="AC34" i="41"/>
  <c r="AD34" i="41"/>
  <c r="AE34" i="41"/>
  <c r="AF34" i="41"/>
  <c r="AG34" i="41"/>
  <c r="AH34" i="41"/>
  <c r="AI34" i="41"/>
  <c r="AJ34" i="41"/>
  <c r="AK34" i="41"/>
  <c r="AL34" i="41"/>
  <c r="AM34" i="41"/>
  <c r="AN34" i="41"/>
  <c r="AO34" i="41"/>
  <c r="AP34" i="41"/>
  <c r="AQ34" i="41"/>
  <c r="AR34" i="41"/>
  <c r="AS34" i="41"/>
  <c r="AT34" i="41"/>
  <c r="AU34" i="41"/>
  <c r="AV34" i="41"/>
  <c r="AW34" i="41"/>
  <c r="AX34" i="41"/>
  <c r="AY34" i="41"/>
  <c r="AZ34" i="41"/>
  <c r="Y35" i="41"/>
  <c r="Z35" i="41"/>
  <c r="AA35" i="41"/>
  <c r="AB35" i="41"/>
  <c r="AC35" i="41"/>
  <c r="AD35" i="41"/>
  <c r="AE35" i="41"/>
  <c r="AF35" i="41"/>
  <c r="AG35" i="41"/>
  <c r="AH35" i="41"/>
  <c r="AI35" i="41"/>
  <c r="AJ35" i="41"/>
  <c r="AK35" i="41"/>
  <c r="AL35" i="41"/>
  <c r="AM35" i="41"/>
  <c r="AN35" i="41"/>
  <c r="AO35" i="41"/>
  <c r="AP35" i="41"/>
  <c r="AQ35" i="41"/>
  <c r="AR35" i="41"/>
  <c r="AS35" i="41"/>
  <c r="AT35" i="41"/>
  <c r="AU35" i="41"/>
  <c r="AV35" i="41"/>
  <c r="AW35" i="41"/>
  <c r="AX35" i="41"/>
  <c r="AY35" i="41"/>
  <c r="AZ35" i="41"/>
  <c r="Y36" i="41"/>
  <c r="Z36" i="41"/>
  <c r="AA36" i="41"/>
  <c r="AB36" i="41"/>
  <c r="AC36" i="41"/>
  <c r="AD36" i="41"/>
  <c r="AE36" i="41"/>
  <c r="AF36" i="41"/>
  <c r="AG36" i="41"/>
  <c r="AH36" i="41"/>
  <c r="AI36" i="41"/>
  <c r="AJ36" i="41"/>
  <c r="AK36" i="41"/>
  <c r="AL36" i="41"/>
  <c r="AM36" i="41"/>
  <c r="AN36" i="41"/>
  <c r="AO36" i="41"/>
  <c r="AP36" i="41"/>
  <c r="AQ36" i="41"/>
  <c r="AR36" i="41"/>
  <c r="AS36" i="41"/>
  <c r="AT36" i="41"/>
  <c r="AU36" i="41"/>
  <c r="AV36" i="41"/>
  <c r="AW36" i="41"/>
  <c r="AX36" i="41"/>
  <c r="AY36" i="41"/>
  <c r="AZ36" i="41"/>
  <c r="Y37" i="41"/>
  <c r="Z37" i="41"/>
  <c r="AA37" i="41"/>
  <c r="AB37" i="41"/>
  <c r="AC37" i="41"/>
  <c r="AD37" i="41"/>
  <c r="AE37" i="41"/>
  <c r="AF37" i="41"/>
  <c r="AG37" i="41"/>
  <c r="AH37" i="41"/>
  <c r="AI37" i="41"/>
  <c r="AJ37" i="41"/>
  <c r="AK37" i="41"/>
  <c r="AL37" i="41"/>
  <c r="AM37" i="41"/>
  <c r="AN37" i="41"/>
  <c r="AO37" i="41"/>
  <c r="AP37" i="41"/>
  <c r="AQ37" i="41"/>
  <c r="AR37" i="41"/>
  <c r="AS37" i="41"/>
  <c r="AT37" i="41"/>
  <c r="AU37" i="41"/>
  <c r="AV37" i="41"/>
  <c r="AW37" i="41"/>
  <c r="AX37" i="41"/>
  <c r="AY37" i="41"/>
  <c r="AZ37" i="41"/>
  <c r="Y38" i="41"/>
  <c r="Z38" i="41"/>
  <c r="AA38" i="41"/>
  <c r="AB38" i="41"/>
  <c r="AC38" i="41"/>
  <c r="AD38" i="41"/>
  <c r="AE38" i="41"/>
  <c r="AF38" i="41"/>
  <c r="AG38" i="41"/>
  <c r="AH38" i="41"/>
  <c r="AI38" i="41"/>
  <c r="AJ38" i="41"/>
  <c r="AK38" i="41"/>
  <c r="AL38" i="41"/>
  <c r="AM38" i="41"/>
  <c r="AN38" i="41"/>
  <c r="AO38" i="41"/>
  <c r="AP38" i="41"/>
  <c r="AQ38" i="41"/>
  <c r="AR38" i="41"/>
  <c r="AS38" i="41"/>
  <c r="AT38" i="41"/>
  <c r="AU38" i="41"/>
  <c r="AV38" i="41"/>
  <c r="AW38" i="41"/>
  <c r="AX38" i="41"/>
  <c r="AY38" i="41"/>
  <c r="AZ38" i="41"/>
  <c r="Y39" i="41"/>
  <c r="Z39" i="41"/>
  <c r="AA39" i="41"/>
  <c r="AB39" i="41"/>
  <c r="AC39" i="41"/>
  <c r="AD39" i="41"/>
  <c r="AE39" i="41"/>
  <c r="AF39" i="41"/>
  <c r="AG39" i="41"/>
  <c r="AH39" i="41"/>
  <c r="AI39" i="41"/>
  <c r="AJ39" i="41"/>
  <c r="AK39" i="41"/>
  <c r="AL39" i="41"/>
  <c r="AM39" i="41"/>
  <c r="AN39" i="41"/>
  <c r="AO39" i="41"/>
  <c r="AP39" i="41"/>
  <c r="AQ39" i="41"/>
  <c r="AR39" i="41"/>
  <c r="AS39" i="41"/>
  <c r="AT39" i="41"/>
  <c r="AU39" i="41"/>
  <c r="AV39" i="41"/>
  <c r="AW39" i="41"/>
  <c r="AX39" i="41"/>
  <c r="AY39" i="41"/>
  <c r="AZ39" i="41"/>
  <c r="Y40" i="41"/>
  <c r="Z40" i="41"/>
  <c r="AA40" i="41"/>
  <c r="AB40" i="41"/>
  <c r="AC40" i="41"/>
  <c r="AD40" i="41"/>
  <c r="AE40" i="41"/>
  <c r="AF40" i="41"/>
  <c r="AG40" i="41"/>
  <c r="AH40" i="41"/>
  <c r="AI40" i="41"/>
  <c r="AJ40" i="41"/>
  <c r="AK40" i="41"/>
  <c r="AL40" i="41"/>
  <c r="AM40" i="41"/>
  <c r="AN40" i="41"/>
  <c r="AO40" i="41"/>
  <c r="AP40" i="41"/>
  <c r="AQ40" i="41"/>
  <c r="AR40" i="41"/>
  <c r="AS40" i="41"/>
  <c r="AT40" i="41"/>
  <c r="AU40" i="41"/>
  <c r="AV40" i="41"/>
  <c r="AW40" i="41"/>
  <c r="AX40" i="41"/>
  <c r="AY40" i="41"/>
  <c r="AZ40" i="41"/>
  <c r="Y41" i="41"/>
  <c r="Z41" i="41"/>
  <c r="AA41" i="41"/>
  <c r="AB41" i="41"/>
  <c r="AC41" i="41"/>
  <c r="AD41" i="41"/>
  <c r="AE41" i="41"/>
  <c r="AF41" i="41"/>
  <c r="AG41" i="41"/>
  <c r="AH41" i="41"/>
  <c r="AI41" i="41"/>
  <c r="AJ41" i="41"/>
  <c r="AK41" i="41"/>
  <c r="AL41" i="41"/>
  <c r="AM41" i="41"/>
  <c r="AN41" i="41"/>
  <c r="AO41" i="41"/>
  <c r="AP41" i="41"/>
  <c r="AQ41" i="41"/>
  <c r="AR41" i="41"/>
  <c r="AS41" i="41"/>
  <c r="AT41" i="41"/>
  <c r="AU41" i="41"/>
  <c r="AV41" i="41"/>
  <c r="AW41" i="41"/>
  <c r="AX41" i="41"/>
  <c r="AY41" i="41"/>
  <c r="AZ41" i="41"/>
  <c r="Y42" i="41"/>
  <c r="Z42" i="41"/>
  <c r="AA42" i="41"/>
  <c r="AB42" i="41"/>
  <c r="AC42" i="41"/>
  <c r="AD42" i="41"/>
  <c r="AE42" i="41"/>
  <c r="AF42" i="41"/>
  <c r="AG42" i="41"/>
  <c r="AH42" i="41"/>
  <c r="AI42" i="41"/>
  <c r="AJ42" i="41"/>
  <c r="AK42" i="41"/>
  <c r="AL42" i="41"/>
  <c r="AM42" i="41"/>
  <c r="AN42" i="41"/>
  <c r="AO42" i="41"/>
  <c r="AP42" i="41"/>
  <c r="AQ42" i="41"/>
  <c r="AR42" i="41"/>
  <c r="AS42" i="41"/>
  <c r="AT42" i="41"/>
  <c r="AU42" i="41"/>
  <c r="AV42" i="41"/>
  <c r="AW42" i="41"/>
  <c r="AX42" i="41"/>
  <c r="AY42" i="41"/>
  <c r="AZ4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12" i="41"/>
  <c r="AI12" i="44"/>
  <c r="AJ12" i="44"/>
  <c r="AK12" i="44"/>
  <c r="AL12" i="44"/>
  <c r="AM12" i="44"/>
  <c r="AN12" i="44"/>
  <c r="AO12" i="44"/>
  <c r="AP12" i="44"/>
  <c r="AQ12" i="44"/>
  <c r="AR12" i="44"/>
  <c r="AS12" i="44"/>
  <c r="AT12" i="44"/>
  <c r="AU12" i="44"/>
  <c r="AV12" i="44"/>
  <c r="AW12" i="44"/>
  <c r="AX12" i="44"/>
  <c r="AY12" i="44"/>
  <c r="AZ12" i="44"/>
  <c r="AI13" i="44"/>
  <c r="AJ13" i="44"/>
  <c r="AK13" i="44"/>
  <c r="AL13" i="44"/>
  <c r="AM13" i="44"/>
  <c r="AN13" i="44"/>
  <c r="AO13" i="44"/>
  <c r="AP13" i="44"/>
  <c r="AQ13" i="44"/>
  <c r="AR13" i="44"/>
  <c r="AS13" i="44"/>
  <c r="AT13" i="44"/>
  <c r="AU13" i="44"/>
  <c r="AV13" i="44"/>
  <c r="AW13" i="44"/>
  <c r="AX13" i="44"/>
  <c r="AY13" i="44"/>
  <c r="AZ13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AI15" i="44"/>
  <c r="AJ15" i="44"/>
  <c r="AK15" i="44"/>
  <c r="AL15" i="44"/>
  <c r="AM15" i="44"/>
  <c r="AN15" i="44"/>
  <c r="AO15" i="44"/>
  <c r="AP15" i="44"/>
  <c r="AQ15" i="44"/>
  <c r="AR15" i="44"/>
  <c r="AS15" i="44"/>
  <c r="AT15" i="44"/>
  <c r="AU15" i="44"/>
  <c r="AV15" i="44"/>
  <c r="AW15" i="44"/>
  <c r="AX15" i="44"/>
  <c r="AY15" i="44"/>
  <c r="AZ15" i="44"/>
  <c r="AI16" i="44"/>
  <c r="AJ16" i="44"/>
  <c r="AK16" i="44"/>
  <c r="AL16" i="44"/>
  <c r="AM16" i="44"/>
  <c r="AN16" i="44"/>
  <c r="AO16" i="44"/>
  <c r="AP16" i="44"/>
  <c r="AQ16" i="44"/>
  <c r="AR16" i="44"/>
  <c r="AS16" i="44"/>
  <c r="AT16" i="44"/>
  <c r="AU16" i="44"/>
  <c r="AV16" i="44"/>
  <c r="AW16" i="44"/>
  <c r="AX16" i="44"/>
  <c r="AY16" i="44"/>
  <c r="AZ16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AI18" i="44"/>
  <c r="AJ18" i="44"/>
  <c r="AK18" i="44"/>
  <c r="AL18" i="44"/>
  <c r="AM18" i="44"/>
  <c r="AN18" i="44"/>
  <c r="AO18" i="44"/>
  <c r="AP18" i="44"/>
  <c r="AQ18" i="44"/>
  <c r="AR18" i="44"/>
  <c r="AS18" i="44"/>
  <c r="AT18" i="44"/>
  <c r="AU18" i="44"/>
  <c r="AV18" i="44"/>
  <c r="AW18" i="44"/>
  <c r="AX18" i="44"/>
  <c r="AY18" i="44"/>
  <c r="AZ18" i="44"/>
  <c r="AI19" i="44"/>
  <c r="AJ19" i="44"/>
  <c r="AK19" i="44"/>
  <c r="AL19" i="44"/>
  <c r="AM19" i="44"/>
  <c r="AN19" i="44"/>
  <c r="AO19" i="44"/>
  <c r="AP19" i="44"/>
  <c r="AQ19" i="44"/>
  <c r="AR19" i="44"/>
  <c r="AS19" i="44"/>
  <c r="AT19" i="44"/>
  <c r="AU19" i="44"/>
  <c r="AV19" i="44"/>
  <c r="AW19" i="44"/>
  <c r="AX19" i="44"/>
  <c r="AY19" i="44"/>
  <c r="AZ19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AI21" i="44"/>
  <c r="AJ21" i="44"/>
  <c r="AK21" i="44"/>
  <c r="AL21" i="44"/>
  <c r="AM21" i="44"/>
  <c r="AN21" i="44"/>
  <c r="AO21" i="44"/>
  <c r="AP21" i="44"/>
  <c r="AQ21" i="44"/>
  <c r="AR21" i="44"/>
  <c r="AS21" i="44"/>
  <c r="AT21" i="44"/>
  <c r="AU21" i="44"/>
  <c r="AV21" i="44"/>
  <c r="AW21" i="44"/>
  <c r="AX21" i="44"/>
  <c r="AY21" i="44"/>
  <c r="AZ21" i="44"/>
  <c r="AI22" i="44"/>
  <c r="AJ22" i="44"/>
  <c r="AK22" i="44"/>
  <c r="AL22" i="44"/>
  <c r="AM22" i="44"/>
  <c r="AN22" i="44"/>
  <c r="AO22" i="44"/>
  <c r="AP22" i="44"/>
  <c r="AQ22" i="44"/>
  <c r="AR22" i="44"/>
  <c r="AS22" i="44"/>
  <c r="AT22" i="44"/>
  <c r="AU22" i="44"/>
  <c r="AV22" i="44"/>
  <c r="AW22" i="44"/>
  <c r="AX22" i="44"/>
  <c r="AY22" i="44"/>
  <c r="AZ22" i="44"/>
  <c r="AI23" i="44"/>
  <c r="AJ23" i="44"/>
  <c r="AK23" i="44"/>
  <c r="AL23" i="44"/>
  <c r="AM23" i="44"/>
  <c r="AN23" i="44"/>
  <c r="AO23" i="44"/>
  <c r="AP23" i="44"/>
  <c r="AQ23" i="44"/>
  <c r="AR23" i="44"/>
  <c r="AS23" i="44"/>
  <c r="AT23" i="44"/>
  <c r="AU23" i="44"/>
  <c r="AV23" i="44"/>
  <c r="AW23" i="44"/>
  <c r="AX23" i="44"/>
  <c r="AY23" i="44"/>
  <c r="AZ23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AI25" i="44"/>
  <c r="AJ25" i="44"/>
  <c r="AK25" i="44"/>
  <c r="AL25" i="44"/>
  <c r="AM25" i="44"/>
  <c r="AN25" i="44"/>
  <c r="AO25" i="44"/>
  <c r="AP25" i="44"/>
  <c r="AQ25" i="44"/>
  <c r="AR25" i="44"/>
  <c r="AS25" i="44"/>
  <c r="AT25" i="44"/>
  <c r="AU25" i="44"/>
  <c r="AV25" i="44"/>
  <c r="AW25" i="44"/>
  <c r="AX25" i="44"/>
  <c r="AY25" i="44"/>
  <c r="AZ25" i="44"/>
  <c r="AI26" i="44"/>
  <c r="AJ26" i="44"/>
  <c r="AK26" i="44"/>
  <c r="AL26" i="44"/>
  <c r="AM26" i="44"/>
  <c r="AN26" i="44"/>
  <c r="AO26" i="44"/>
  <c r="AP26" i="44"/>
  <c r="AQ26" i="44"/>
  <c r="AR26" i="44"/>
  <c r="AS26" i="44"/>
  <c r="AT26" i="44"/>
  <c r="AU26" i="44"/>
  <c r="AV26" i="44"/>
  <c r="AW26" i="44"/>
  <c r="AX26" i="44"/>
  <c r="AY26" i="44"/>
  <c r="AZ26" i="44"/>
  <c r="AI27" i="44"/>
  <c r="AJ27" i="44"/>
  <c r="AK27" i="44"/>
  <c r="AL27" i="44"/>
  <c r="AM27" i="44"/>
  <c r="AN27" i="44"/>
  <c r="AO27" i="44"/>
  <c r="AP27" i="44"/>
  <c r="AQ27" i="44"/>
  <c r="AR27" i="44"/>
  <c r="AS27" i="44"/>
  <c r="AT27" i="44"/>
  <c r="AU27" i="44"/>
  <c r="AV27" i="44"/>
  <c r="AW27" i="44"/>
  <c r="AX27" i="44"/>
  <c r="AY27" i="44"/>
  <c r="AZ27" i="44"/>
  <c r="AI28" i="44"/>
  <c r="AJ28" i="44"/>
  <c r="AK28" i="44"/>
  <c r="AL28" i="44"/>
  <c r="AM28" i="44"/>
  <c r="AN28" i="44"/>
  <c r="AO28" i="44"/>
  <c r="AP28" i="44"/>
  <c r="AQ28" i="44"/>
  <c r="AR28" i="44"/>
  <c r="AS28" i="44"/>
  <c r="AT28" i="44"/>
  <c r="AU28" i="44"/>
  <c r="AV28" i="44"/>
  <c r="AW28" i="44"/>
  <c r="AX28" i="44"/>
  <c r="AY28" i="44"/>
  <c r="AZ28" i="44"/>
  <c r="AI29" i="44"/>
  <c r="AJ29" i="44"/>
  <c r="AK29" i="44"/>
  <c r="AL29" i="44"/>
  <c r="AM29" i="44"/>
  <c r="AN29" i="44"/>
  <c r="AO29" i="44"/>
  <c r="AP29" i="44"/>
  <c r="AQ29" i="44"/>
  <c r="AR29" i="44"/>
  <c r="AS29" i="44"/>
  <c r="AT29" i="44"/>
  <c r="AU29" i="44"/>
  <c r="AV29" i="44"/>
  <c r="AW29" i="44"/>
  <c r="AX29" i="44"/>
  <c r="AY29" i="44"/>
  <c r="AZ29" i="44"/>
  <c r="AI30" i="44"/>
  <c r="AJ30" i="44"/>
  <c r="AK30" i="44"/>
  <c r="AL30" i="44"/>
  <c r="AM30" i="44"/>
  <c r="AN30" i="44"/>
  <c r="AO30" i="44"/>
  <c r="AP30" i="44"/>
  <c r="AQ30" i="44"/>
  <c r="AR30" i="44"/>
  <c r="AS30" i="44"/>
  <c r="AT30" i="44"/>
  <c r="AU30" i="44"/>
  <c r="AV30" i="44"/>
  <c r="AW30" i="44"/>
  <c r="AX30" i="44"/>
  <c r="AY30" i="44"/>
  <c r="AZ30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AI32" i="44"/>
  <c r="AJ32" i="44"/>
  <c r="AK32" i="44"/>
  <c r="AL32" i="44"/>
  <c r="AM32" i="44"/>
  <c r="AN32" i="44"/>
  <c r="AO32" i="44"/>
  <c r="AP32" i="44"/>
  <c r="AQ32" i="44"/>
  <c r="AR32" i="44"/>
  <c r="AS32" i="44"/>
  <c r="AT32" i="44"/>
  <c r="AU32" i="44"/>
  <c r="AV32" i="44"/>
  <c r="AW32" i="44"/>
  <c r="AX32" i="44"/>
  <c r="AY32" i="44"/>
  <c r="AZ32" i="44"/>
  <c r="AI33" i="44"/>
  <c r="AJ33" i="44"/>
  <c r="AK33" i="44"/>
  <c r="AL33" i="44"/>
  <c r="AM33" i="44"/>
  <c r="AN33" i="44"/>
  <c r="AO33" i="44"/>
  <c r="AP33" i="44"/>
  <c r="AQ33" i="44"/>
  <c r="AR33" i="44"/>
  <c r="AS33" i="44"/>
  <c r="AT33" i="44"/>
  <c r="AU33" i="44"/>
  <c r="AV33" i="44"/>
  <c r="AW33" i="44"/>
  <c r="AX33" i="44"/>
  <c r="AY33" i="44"/>
  <c r="AZ33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AI35" i="44"/>
  <c r="AJ35" i="44"/>
  <c r="AK35" i="44"/>
  <c r="AL35" i="44"/>
  <c r="AM35" i="44"/>
  <c r="AN35" i="44"/>
  <c r="AO35" i="44"/>
  <c r="AP35" i="44"/>
  <c r="AQ35" i="44"/>
  <c r="AR35" i="44"/>
  <c r="AS35" i="44"/>
  <c r="AT35" i="44"/>
  <c r="AU35" i="44"/>
  <c r="AV35" i="44"/>
  <c r="AW35" i="44"/>
  <c r="AX35" i="44"/>
  <c r="AY35" i="44"/>
  <c r="AZ35" i="44"/>
  <c r="AI36" i="44"/>
  <c r="AJ36" i="44"/>
  <c r="AK36" i="44"/>
  <c r="AL36" i="44"/>
  <c r="AM36" i="44"/>
  <c r="AN36" i="44"/>
  <c r="AO36" i="44"/>
  <c r="AP36" i="44"/>
  <c r="AQ36" i="44"/>
  <c r="AR36" i="44"/>
  <c r="AS36" i="44"/>
  <c r="AT36" i="44"/>
  <c r="AU36" i="44"/>
  <c r="AV36" i="44"/>
  <c r="AW36" i="44"/>
  <c r="AX36" i="44"/>
  <c r="AY36" i="44"/>
  <c r="AZ36" i="44"/>
  <c r="AI37" i="44"/>
  <c r="AJ37" i="44"/>
  <c r="AK37" i="44"/>
  <c r="AL37" i="44"/>
  <c r="AM37" i="44"/>
  <c r="AN37" i="44"/>
  <c r="AO37" i="44"/>
  <c r="AP37" i="44"/>
  <c r="AQ37" i="44"/>
  <c r="AR37" i="44"/>
  <c r="AS37" i="44"/>
  <c r="AT37" i="44"/>
  <c r="AU37" i="44"/>
  <c r="AV37" i="44"/>
  <c r="AW37" i="44"/>
  <c r="AX37" i="44"/>
  <c r="AY37" i="44"/>
  <c r="AZ37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AI39" i="44"/>
  <c r="AJ39" i="44"/>
  <c r="AK39" i="44"/>
  <c r="AL39" i="44"/>
  <c r="AM39" i="44"/>
  <c r="AN39" i="44"/>
  <c r="AO39" i="44"/>
  <c r="AP39" i="44"/>
  <c r="AQ39" i="44"/>
  <c r="AR39" i="44"/>
  <c r="AS39" i="44"/>
  <c r="AT39" i="44"/>
  <c r="AU39" i="44"/>
  <c r="AV39" i="44"/>
  <c r="AW39" i="44"/>
  <c r="AX39" i="44"/>
  <c r="AY39" i="44"/>
  <c r="AZ39" i="44"/>
  <c r="AI40" i="44"/>
  <c r="AJ40" i="44"/>
  <c r="AK40" i="44"/>
  <c r="AL40" i="44"/>
  <c r="AM40" i="44"/>
  <c r="AN40" i="44"/>
  <c r="AO40" i="44"/>
  <c r="AP40" i="44"/>
  <c r="AQ40" i="44"/>
  <c r="AR40" i="44"/>
  <c r="AS40" i="44"/>
  <c r="AT40" i="44"/>
  <c r="AU40" i="44"/>
  <c r="AV40" i="44"/>
  <c r="AW40" i="44"/>
  <c r="AX40" i="44"/>
  <c r="AY40" i="44"/>
  <c r="AZ40" i="44"/>
  <c r="AI41" i="44"/>
  <c r="AJ41" i="44"/>
  <c r="AK41" i="44"/>
  <c r="AL41" i="44"/>
  <c r="AM41" i="44"/>
  <c r="AN41" i="44"/>
  <c r="AO41" i="44"/>
  <c r="AP41" i="44"/>
  <c r="AQ41" i="44"/>
  <c r="AR41" i="44"/>
  <c r="AS41" i="44"/>
  <c r="AT41" i="44"/>
  <c r="AU41" i="44"/>
  <c r="AV41" i="44"/>
  <c r="AW41" i="44"/>
  <c r="AX41" i="44"/>
  <c r="AY41" i="44"/>
  <c r="AZ41" i="44"/>
  <c r="AI42" i="44"/>
  <c r="AJ42" i="44"/>
  <c r="AK42" i="44"/>
  <c r="AL42" i="44"/>
  <c r="AM42" i="44"/>
  <c r="AN42" i="44"/>
  <c r="AO42" i="44"/>
  <c r="AP42" i="44"/>
  <c r="AQ42" i="44"/>
  <c r="AR42" i="44"/>
  <c r="AS42" i="44"/>
  <c r="AT42" i="44"/>
  <c r="AU42" i="44"/>
  <c r="AV42" i="44"/>
  <c r="AW42" i="44"/>
  <c r="AX42" i="44"/>
  <c r="AY42" i="44"/>
  <c r="AZ42" i="44"/>
  <c r="Y12" i="44"/>
  <c r="Z12" i="44"/>
  <c r="AA12" i="44"/>
  <c r="AB12" i="44"/>
  <c r="AC12" i="44"/>
  <c r="AD12" i="44"/>
  <c r="AE12" i="44"/>
  <c r="AF12" i="44"/>
  <c r="AG12" i="44"/>
  <c r="AH12" i="44"/>
  <c r="Y13" i="44"/>
  <c r="Z13" i="44"/>
  <c r="AA13" i="44"/>
  <c r="AB13" i="44"/>
  <c r="AC13" i="44"/>
  <c r="AD13" i="44"/>
  <c r="AE13" i="44"/>
  <c r="AF13" i="44"/>
  <c r="AG13" i="44"/>
  <c r="AH13" i="44"/>
  <c r="Y14" i="44"/>
  <c r="Z14" i="44"/>
  <c r="AA14" i="44"/>
  <c r="AB14" i="44"/>
  <c r="AC14" i="44"/>
  <c r="AD14" i="44"/>
  <c r="AE14" i="44"/>
  <c r="AF14" i="44"/>
  <c r="AG14" i="44"/>
  <c r="AH14" i="44"/>
  <c r="Y15" i="44"/>
  <c r="Z15" i="44"/>
  <c r="AA15" i="44"/>
  <c r="AB15" i="44"/>
  <c r="AC15" i="44"/>
  <c r="AD15" i="44"/>
  <c r="AE15" i="44"/>
  <c r="AF15" i="44"/>
  <c r="AG15" i="44"/>
  <c r="AH15" i="44"/>
  <c r="Y16" i="44"/>
  <c r="Z16" i="44"/>
  <c r="AA16" i="44"/>
  <c r="AB16" i="44"/>
  <c r="AC16" i="44"/>
  <c r="AD16" i="44"/>
  <c r="AE16" i="44"/>
  <c r="AF16" i="44"/>
  <c r="AG16" i="44"/>
  <c r="AH16" i="44"/>
  <c r="Y17" i="44"/>
  <c r="Z17" i="44"/>
  <c r="AA17" i="44"/>
  <c r="AB17" i="44"/>
  <c r="AC17" i="44"/>
  <c r="AD17" i="44"/>
  <c r="AE17" i="44"/>
  <c r="AF17" i="44"/>
  <c r="AG17" i="44"/>
  <c r="AH17" i="44"/>
  <c r="Y18" i="44"/>
  <c r="Z18" i="44"/>
  <c r="AA18" i="44"/>
  <c r="AB18" i="44"/>
  <c r="AC18" i="44"/>
  <c r="AD18" i="44"/>
  <c r="AE18" i="44"/>
  <c r="AF18" i="44"/>
  <c r="AG18" i="44"/>
  <c r="AH18" i="44"/>
  <c r="Y19" i="44"/>
  <c r="Z19" i="44"/>
  <c r="AA19" i="44"/>
  <c r="AB19" i="44"/>
  <c r="AC19" i="44"/>
  <c r="AD19" i="44"/>
  <c r="AE19" i="44"/>
  <c r="AF19" i="44"/>
  <c r="AG19" i="44"/>
  <c r="AH19" i="44"/>
  <c r="Y20" i="44"/>
  <c r="Z20" i="44"/>
  <c r="AA20" i="44"/>
  <c r="AB20" i="44"/>
  <c r="AC20" i="44"/>
  <c r="AD20" i="44"/>
  <c r="AE20" i="44"/>
  <c r="AF20" i="44"/>
  <c r="AG20" i="44"/>
  <c r="AH20" i="44"/>
  <c r="Y21" i="44"/>
  <c r="Z21" i="44"/>
  <c r="AA21" i="44"/>
  <c r="AB21" i="44"/>
  <c r="AC21" i="44"/>
  <c r="AD21" i="44"/>
  <c r="AE21" i="44"/>
  <c r="AF21" i="44"/>
  <c r="AG21" i="44"/>
  <c r="AH21" i="44"/>
  <c r="Y22" i="44"/>
  <c r="Z22" i="44"/>
  <c r="AA22" i="44"/>
  <c r="AB22" i="44"/>
  <c r="AC22" i="44"/>
  <c r="AD22" i="44"/>
  <c r="AE22" i="44"/>
  <c r="AF22" i="44"/>
  <c r="AG22" i="44"/>
  <c r="AH22" i="44"/>
  <c r="Y23" i="44"/>
  <c r="Z23" i="44"/>
  <c r="AA23" i="44"/>
  <c r="AB23" i="44"/>
  <c r="AC23" i="44"/>
  <c r="AD23" i="44"/>
  <c r="AE23" i="44"/>
  <c r="AF23" i="44"/>
  <c r="AG23" i="44"/>
  <c r="AH23" i="44"/>
  <c r="Y24" i="44"/>
  <c r="Z24" i="44"/>
  <c r="AA24" i="44"/>
  <c r="AB24" i="44"/>
  <c r="AC24" i="44"/>
  <c r="AD24" i="44"/>
  <c r="AE24" i="44"/>
  <c r="AF24" i="44"/>
  <c r="AG24" i="44"/>
  <c r="AH24" i="44"/>
  <c r="Y25" i="44"/>
  <c r="Z25" i="44"/>
  <c r="AA25" i="44"/>
  <c r="AB25" i="44"/>
  <c r="AC25" i="44"/>
  <c r="AD25" i="44"/>
  <c r="AE25" i="44"/>
  <c r="AF25" i="44"/>
  <c r="AG25" i="44"/>
  <c r="AH25" i="44"/>
  <c r="Y26" i="44"/>
  <c r="Z26" i="44"/>
  <c r="AA26" i="44"/>
  <c r="AB26" i="44"/>
  <c r="AC26" i="44"/>
  <c r="AD26" i="44"/>
  <c r="AE26" i="44"/>
  <c r="AF26" i="44"/>
  <c r="AG26" i="44"/>
  <c r="AH26" i="44"/>
  <c r="Y27" i="44"/>
  <c r="Z27" i="44"/>
  <c r="AA27" i="44"/>
  <c r="AB27" i="44"/>
  <c r="AC27" i="44"/>
  <c r="AD27" i="44"/>
  <c r="AE27" i="44"/>
  <c r="AF27" i="44"/>
  <c r="AG27" i="44"/>
  <c r="AH27" i="44"/>
  <c r="Y28" i="44"/>
  <c r="Z28" i="44"/>
  <c r="AA28" i="44"/>
  <c r="AB28" i="44"/>
  <c r="AC28" i="44"/>
  <c r="AD28" i="44"/>
  <c r="AE28" i="44"/>
  <c r="AF28" i="44"/>
  <c r="AG28" i="44"/>
  <c r="AH28" i="44"/>
  <c r="Y29" i="44"/>
  <c r="Z29" i="44"/>
  <c r="AA29" i="44"/>
  <c r="AB29" i="44"/>
  <c r="AC29" i="44"/>
  <c r="AD29" i="44"/>
  <c r="AE29" i="44"/>
  <c r="AF29" i="44"/>
  <c r="AG29" i="44"/>
  <c r="AH29" i="44"/>
  <c r="Y30" i="44"/>
  <c r="Z30" i="44"/>
  <c r="AA30" i="44"/>
  <c r="AB30" i="44"/>
  <c r="AC30" i="44"/>
  <c r="AD30" i="44"/>
  <c r="AE30" i="44"/>
  <c r="AF30" i="44"/>
  <c r="AG30" i="44"/>
  <c r="AH30" i="44"/>
  <c r="Y31" i="44"/>
  <c r="Z31" i="44"/>
  <c r="AA31" i="44"/>
  <c r="AB31" i="44"/>
  <c r="AC31" i="44"/>
  <c r="AD31" i="44"/>
  <c r="AE31" i="44"/>
  <c r="AF31" i="44"/>
  <c r="AG31" i="44"/>
  <c r="AH31" i="44"/>
  <c r="Y32" i="44"/>
  <c r="Z32" i="44"/>
  <c r="AA32" i="44"/>
  <c r="AB32" i="44"/>
  <c r="AC32" i="44"/>
  <c r="AD32" i="44"/>
  <c r="AE32" i="44"/>
  <c r="AF32" i="44"/>
  <c r="AG32" i="44"/>
  <c r="AH32" i="44"/>
  <c r="Y33" i="44"/>
  <c r="Z33" i="44"/>
  <c r="AA33" i="44"/>
  <c r="AB33" i="44"/>
  <c r="AC33" i="44"/>
  <c r="AD33" i="44"/>
  <c r="AE33" i="44"/>
  <c r="AF33" i="44"/>
  <c r="AG33" i="44"/>
  <c r="AH33" i="44"/>
  <c r="Y34" i="44"/>
  <c r="Z34" i="44"/>
  <c r="AA34" i="44"/>
  <c r="AB34" i="44"/>
  <c r="AC34" i="44"/>
  <c r="AD34" i="44"/>
  <c r="AE34" i="44"/>
  <c r="AF34" i="44"/>
  <c r="AG34" i="44"/>
  <c r="AH34" i="44"/>
  <c r="Y35" i="44"/>
  <c r="Z35" i="44"/>
  <c r="AA35" i="44"/>
  <c r="AB35" i="44"/>
  <c r="AC35" i="44"/>
  <c r="AD35" i="44"/>
  <c r="AE35" i="44"/>
  <c r="AF35" i="44"/>
  <c r="AG35" i="44"/>
  <c r="AH35" i="44"/>
  <c r="Y36" i="44"/>
  <c r="Z36" i="44"/>
  <c r="AA36" i="44"/>
  <c r="AB36" i="44"/>
  <c r="AC36" i="44"/>
  <c r="AD36" i="44"/>
  <c r="AE36" i="44"/>
  <c r="AF36" i="44"/>
  <c r="AG36" i="44"/>
  <c r="AH36" i="44"/>
  <c r="Y37" i="44"/>
  <c r="Z37" i="44"/>
  <c r="AA37" i="44"/>
  <c r="AB37" i="44"/>
  <c r="AC37" i="44"/>
  <c r="AD37" i="44"/>
  <c r="AE37" i="44"/>
  <c r="AF37" i="44"/>
  <c r="AG37" i="44"/>
  <c r="AH37" i="44"/>
  <c r="Y38" i="44"/>
  <c r="Z38" i="44"/>
  <c r="AA38" i="44"/>
  <c r="AB38" i="44"/>
  <c r="AC38" i="44"/>
  <c r="AD38" i="44"/>
  <c r="AE38" i="44"/>
  <c r="AF38" i="44"/>
  <c r="AG38" i="44"/>
  <c r="AH38" i="44"/>
  <c r="Y39" i="44"/>
  <c r="Z39" i="44"/>
  <c r="AA39" i="44"/>
  <c r="AB39" i="44"/>
  <c r="AC39" i="44"/>
  <c r="AD39" i="44"/>
  <c r="AE39" i="44"/>
  <c r="AF39" i="44"/>
  <c r="AG39" i="44"/>
  <c r="AH39" i="44"/>
  <c r="Y40" i="44"/>
  <c r="Z40" i="44"/>
  <c r="AA40" i="44"/>
  <c r="AB40" i="44"/>
  <c r="AC40" i="44"/>
  <c r="AD40" i="44"/>
  <c r="AE40" i="44"/>
  <c r="AF40" i="44"/>
  <c r="AG40" i="44"/>
  <c r="AH40" i="44"/>
  <c r="Y41" i="44"/>
  <c r="Z41" i="44"/>
  <c r="AA41" i="44"/>
  <c r="AB41" i="44"/>
  <c r="AC41" i="44"/>
  <c r="AD41" i="44"/>
  <c r="AE41" i="44"/>
  <c r="AF41" i="44"/>
  <c r="AG41" i="44"/>
  <c r="AH41" i="44"/>
  <c r="Y42" i="44"/>
  <c r="Z42" i="44"/>
  <c r="AA42" i="44"/>
  <c r="AB42" i="44"/>
  <c r="AC42" i="44"/>
  <c r="AD42" i="44"/>
  <c r="AE42" i="44"/>
  <c r="AF42" i="44"/>
  <c r="AG42" i="44"/>
  <c r="AH42" i="44"/>
  <c r="X13" i="44"/>
  <c r="X14" i="44"/>
  <c r="X15" i="44"/>
  <c r="X16" i="44"/>
  <c r="X17" i="44"/>
  <c r="X18" i="44"/>
  <c r="X19" i="44"/>
  <c r="X20" i="44"/>
  <c r="X21" i="44"/>
  <c r="X22" i="44"/>
  <c r="X23" i="44"/>
  <c r="X24" i="44"/>
  <c r="X25" i="44"/>
  <c r="X26" i="44"/>
  <c r="X27" i="44"/>
  <c r="X28" i="44"/>
  <c r="X29" i="44"/>
  <c r="X30" i="44"/>
  <c r="X31" i="44"/>
  <c r="X32" i="44"/>
  <c r="X33" i="44"/>
  <c r="X34" i="44"/>
  <c r="X35" i="44"/>
  <c r="X36" i="44"/>
  <c r="X37" i="44"/>
  <c r="X38" i="44"/>
  <c r="X39" i="44"/>
  <c r="X40" i="44"/>
  <c r="X41" i="44"/>
  <c r="X42" i="44"/>
  <c r="X12" i="44"/>
  <c r="X12" i="38"/>
  <c r="AL13" i="38"/>
  <c r="AM13" i="38"/>
  <c r="AN13" i="38"/>
  <c r="AO13" i="38"/>
  <c r="AP13" i="38"/>
  <c r="AQ13" i="38"/>
  <c r="AR13" i="38"/>
  <c r="AS13" i="38"/>
  <c r="AT13" i="38"/>
  <c r="AU13" i="38"/>
  <c r="AV13" i="38"/>
  <c r="AW13" i="38"/>
  <c r="AX13" i="38"/>
  <c r="AY13" i="38"/>
  <c r="AZ13" i="38"/>
  <c r="AL14" i="38"/>
  <c r="AM14" i="38"/>
  <c r="AN14" i="38"/>
  <c r="AO14" i="38"/>
  <c r="AP14" i="38"/>
  <c r="AQ14" i="38"/>
  <c r="AR14" i="38"/>
  <c r="AS14" i="38"/>
  <c r="AT14" i="38"/>
  <c r="AU14" i="38"/>
  <c r="AV14" i="38"/>
  <c r="AW14" i="38"/>
  <c r="AX14" i="38"/>
  <c r="AY14" i="38"/>
  <c r="AZ14" i="38"/>
  <c r="AL15" i="38"/>
  <c r="AM15" i="38"/>
  <c r="AN15" i="38"/>
  <c r="AO15" i="38"/>
  <c r="AP15" i="38"/>
  <c r="AQ15" i="38"/>
  <c r="AR15" i="38"/>
  <c r="AS15" i="38"/>
  <c r="AT15" i="38"/>
  <c r="AU15" i="38"/>
  <c r="AV15" i="38"/>
  <c r="AW15" i="38"/>
  <c r="AX15" i="38"/>
  <c r="AY15" i="38"/>
  <c r="AZ15" i="38"/>
  <c r="AL16" i="38"/>
  <c r="AM16" i="38"/>
  <c r="AN16" i="38"/>
  <c r="AO16" i="38"/>
  <c r="AP16" i="38"/>
  <c r="AQ16" i="38"/>
  <c r="AR16" i="38"/>
  <c r="AS16" i="38"/>
  <c r="AT16" i="38"/>
  <c r="AU16" i="38"/>
  <c r="AV16" i="38"/>
  <c r="AW16" i="38"/>
  <c r="AX16" i="38"/>
  <c r="AY16" i="38"/>
  <c r="AZ16" i="38"/>
  <c r="AL17" i="38"/>
  <c r="AM17" i="38"/>
  <c r="AN17" i="38"/>
  <c r="AO17" i="38"/>
  <c r="AP17" i="38"/>
  <c r="AQ17" i="38"/>
  <c r="AR17" i="38"/>
  <c r="AS17" i="38"/>
  <c r="AT17" i="38"/>
  <c r="AU17" i="38"/>
  <c r="AV17" i="38"/>
  <c r="AW17" i="38"/>
  <c r="AX17" i="38"/>
  <c r="AY17" i="38"/>
  <c r="AZ17" i="38"/>
  <c r="AL18" i="38"/>
  <c r="AM18" i="38"/>
  <c r="AN18" i="38"/>
  <c r="AO18" i="38"/>
  <c r="AP18" i="38"/>
  <c r="AQ18" i="38"/>
  <c r="AR18" i="38"/>
  <c r="AS18" i="38"/>
  <c r="AT18" i="38"/>
  <c r="AU18" i="38"/>
  <c r="AV18" i="38"/>
  <c r="AW18" i="38"/>
  <c r="AX18" i="38"/>
  <c r="AY18" i="38"/>
  <c r="AZ18" i="38"/>
  <c r="AL19" i="38"/>
  <c r="AM19" i="38"/>
  <c r="AN19" i="38"/>
  <c r="AO19" i="38"/>
  <c r="AP19" i="38"/>
  <c r="AQ19" i="38"/>
  <c r="AR19" i="38"/>
  <c r="AS19" i="38"/>
  <c r="AT19" i="38"/>
  <c r="AU19" i="38"/>
  <c r="AV19" i="38"/>
  <c r="AW19" i="38"/>
  <c r="AX19" i="38"/>
  <c r="AY19" i="38"/>
  <c r="AZ19" i="38"/>
  <c r="AL20" i="38"/>
  <c r="AM20" i="38"/>
  <c r="AN20" i="38"/>
  <c r="AO20" i="38"/>
  <c r="AP20" i="38"/>
  <c r="AQ20" i="38"/>
  <c r="AR20" i="38"/>
  <c r="AS20" i="38"/>
  <c r="AT20" i="38"/>
  <c r="AU20" i="38"/>
  <c r="AV20" i="38"/>
  <c r="AW20" i="38"/>
  <c r="AX20" i="38"/>
  <c r="AY20" i="38"/>
  <c r="AZ20" i="38"/>
  <c r="AL21" i="38"/>
  <c r="AM21" i="38"/>
  <c r="AN21" i="38"/>
  <c r="AO21" i="38"/>
  <c r="AP21" i="38"/>
  <c r="AQ21" i="38"/>
  <c r="AR21" i="38"/>
  <c r="AS21" i="38"/>
  <c r="AT21" i="38"/>
  <c r="AU21" i="38"/>
  <c r="AV21" i="38"/>
  <c r="AW21" i="38"/>
  <c r="AX21" i="38"/>
  <c r="AY21" i="38"/>
  <c r="AZ21" i="38"/>
  <c r="AL22" i="38"/>
  <c r="AM22" i="38"/>
  <c r="AN22" i="38"/>
  <c r="AO22" i="38"/>
  <c r="AP22" i="38"/>
  <c r="AQ22" i="38"/>
  <c r="AR22" i="38"/>
  <c r="AS22" i="38"/>
  <c r="AT22" i="38"/>
  <c r="AU22" i="38"/>
  <c r="AV22" i="38"/>
  <c r="AW22" i="38"/>
  <c r="AX22" i="38"/>
  <c r="AY22" i="38"/>
  <c r="AZ22" i="38"/>
  <c r="AL23" i="38"/>
  <c r="AM23" i="38"/>
  <c r="AN23" i="38"/>
  <c r="AO23" i="38"/>
  <c r="AP23" i="38"/>
  <c r="AQ23" i="38"/>
  <c r="AR23" i="38"/>
  <c r="AS23" i="38"/>
  <c r="AT23" i="38"/>
  <c r="AU23" i="38"/>
  <c r="AV23" i="38"/>
  <c r="AW23" i="38"/>
  <c r="AX23" i="38"/>
  <c r="AY23" i="38"/>
  <c r="AZ23" i="38"/>
  <c r="AL24" i="38"/>
  <c r="AM24" i="38"/>
  <c r="AN24" i="38"/>
  <c r="AO24" i="38"/>
  <c r="AP24" i="38"/>
  <c r="AQ24" i="38"/>
  <c r="AR24" i="38"/>
  <c r="AS24" i="38"/>
  <c r="AT24" i="38"/>
  <c r="AU24" i="38"/>
  <c r="AV24" i="38"/>
  <c r="AW24" i="38"/>
  <c r="AX24" i="38"/>
  <c r="AY24" i="38"/>
  <c r="AZ24" i="38"/>
  <c r="AL25" i="38"/>
  <c r="AM25" i="38"/>
  <c r="AN25" i="38"/>
  <c r="AO25" i="38"/>
  <c r="AP25" i="38"/>
  <c r="AQ25" i="38"/>
  <c r="AR25" i="38"/>
  <c r="AS25" i="38"/>
  <c r="AT25" i="38"/>
  <c r="AU25" i="38"/>
  <c r="AV25" i="38"/>
  <c r="AW25" i="38"/>
  <c r="AX25" i="38"/>
  <c r="AY25" i="38"/>
  <c r="AZ25" i="38"/>
  <c r="AL26" i="38"/>
  <c r="AM26" i="38"/>
  <c r="AN26" i="38"/>
  <c r="AO26" i="38"/>
  <c r="AP26" i="38"/>
  <c r="AQ26" i="38"/>
  <c r="AR26" i="38"/>
  <c r="AS26" i="38"/>
  <c r="AT26" i="38"/>
  <c r="AU26" i="38"/>
  <c r="AV26" i="38"/>
  <c r="AW26" i="38"/>
  <c r="AX26" i="38"/>
  <c r="AY26" i="38"/>
  <c r="AZ26" i="38"/>
  <c r="AL27" i="38"/>
  <c r="AM27" i="38"/>
  <c r="AN27" i="38"/>
  <c r="AO27" i="38"/>
  <c r="AP27" i="38"/>
  <c r="AQ27" i="38"/>
  <c r="AR27" i="38"/>
  <c r="AS27" i="38"/>
  <c r="AT27" i="38"/>
  <c r="AU27" i="38"/>
  <c r="AV27" i="38"/>
  <c r="AW27" i="38"/>
  <c r="AX27" i="38"/>
  <c r="AY27" i="38"/>
  <c r="AZ27" i="38"/>
  <c r="AL28" i="38"/>
  <c r="AM28" i="38"/>
  <c r="AN28" i="38"/>
  <c r="AO28" i="38"/>
  <c r="AP28" i="38"/>
  <c r="AQ28" i="38"/>
  <c r="AR28" i="38"/>
  <c r="AS28" i="38"/>
  <c r="AT28" i="38"/>
  <c r="AU28" i="38"/>
  <c r="AV28" i="38"/>
  <c r="AW28" i="38"/>
  <c r="AX28" i="38"/>
  <c r="AY28" i="38"/>
  <c r="AZ28" i="38"/>
  <c r="AL29" i="38"/>
  <c r="AM29" i="38"/>
  <c r="AN29" i="38"/>
  <c r="AO29" i="38"/>
  <c r="AP29" i="38"/>
  <c r="AQ29" i="38"/>
  <c r="AR29" i="38"/>
  <c r="AS29" i="38"/>
  <c r="AT29" i="38"/>
  <c r="AU29" i="38"/>
  <c r="AV29" i="38"/>
  <c r="AW29" i="38"/>
  <c r="AX29" i="38"/>
  <c r="AY29" i="38"/>
  <c r="AZ29" i="38"/>
  <c r="AL30" i="38"/>
  <c r="AM30" i="38"/>
  <c r="AN30" i="38"/>
  <c r="AO30" i="38"/>
  <c r="AP30" i="38"/>
  <c r="AQ30" i="38"/>
  <c r="AR30" i="38"/>
  <c r="AS30" i="38"/>
  <c r="AT30" i="38"/>
  <c r="AU30" i="38"/>
  <c r="AV30" i="38"/>
  <c r="AW30" i="38"/>
  <c r="AX30" i="38"/>
  <c r="AY30" i="38"/>
  <c r="AZ30" i="38"/>
  <c r="AL31" i="38"/>
  <c r="AM31" i="38"/>
  <c r="AN31" i="38"/>
  <c r="AO31" i="38"/>
  <c r="AP31" i="38"/>
  <c r="AQ31" i="38"/>
  <c r="AR31" i="38"/>
  <c r="AS31" i="38"/>
  <c r="AT31" i="38"/>
  <c r="AU31" i="38"/>
  <c r="AV31" i="38"/>
  <c r="AW31" i="38"/>
  <c r="AX31" i="38"/>
  <c r="AY31" i="38"/>
  <c r="AZ31" i="38"/>
  <c r="AL32" i="38"/>
  <c r="AM32" i="38"/>
  <c r="AN32" i="38"/>
  <c r="AO32" i="38"/>
  <c r="AP32" i="38"/>
  <c r="AQ32" i="38"/>
  <c r="AR32" i="38"/>
  <c r="AS32" i="38"/>
  <c r="AT32" i="38"/>
  <c r="AU32" i="38"/>
  <c r="AV32" i="38"/>
  <c r="AW32" i="38"/>
  <c r="AX32" i="38"/>
  <c r="AY32" i="38"/>
  <c r="AZ32" i="38"/>
  <c r="AL33" i="38"/>
  <c r="AM33" i="38"/>
  <c r="AN33" i="38"/>
  <c r="AO33" i="38"/>
  <c r="AP33" i="38"/>
  <c r="AQ33" i="38"/>
  <c r="AR33" i="38"/>
  <c r="AS33" i="38"/>
  <c r="AT33" i="38"/>
  <c r="AU33" i="38"/>
  <c r="AV33" i="38"/>
  <c r="AW33" i="38"/>
  <c r="AX33" i="38"/>
  <c r="AY33" i="38"/>
  <c r="AZ33" i="38"/>
  <c r="AL34" i="38"/>
  <c r="AM34" i="38"/>
  <c r="AN34" i="38"/>
  <c r="AO34" i="38"/>
  <c r="AP34" i="38"/>
  <c r="AQ34" i="38"/>
  <c r="AR34" i="38"/>
  <c r="AS34" i="38"/>
  <c r="AT34" i="38"/>
  <c r="AU34" i="38"/>
  <c r="AV34" i="38"/>
  <c r="AW34" i="38"/>
  <c r="AX34" i="38"/>
  <c r="AY34" i="38"/>
  <c r="AZ34" i="38"/>
  <c r="AL35" i="38"/>
  <c r="AM35" i="38"/>
  <c r="AN35" i="38"/>
  <c r="AO35" i="38"/>
  <c r="AP35" i="38"/>
  <c r="AQ35" i="38"/>
  <c r="AR35" i="38"/>
  <c r="AS35" i="38"/>
  <c r="AT35" i="38"/>
  <c r="AU35" i="38"/>
  <c r="AV35" i="38"/>
  <c r="AW35" i="38"/>
  <c r="AX35" i="38"/>
  <c r="AY35" i="38"/>
  <c r="AZ35" i="38"/>
  <c r="AL36" i="38"/>
  <c r="AM36" i="38"/>
  <c r="AN36" i="38"/>
  <c r="AO36" i="38"/>
  <c r="AP36" i="38"/>
  <c r="AQ36" i="38"/>
  <c r="AR36" i="38"/>
  <c r="AS36" i="38"/>
  <c r="AT36" i="38"/>
  <c r="AU36" i="38"/>
  <c r="AV36" i="38"/>
  <c r="AW36" i="38"/>
  <c r="AX36" i="38"/>
  <c r="AY36" i="38"/>
  <c r="AZ36" i="38"/>
  <c r="AL37" i="38"/>
  <c r="AM37" i="38"/>
  <c r="AN37" i="38"/>
  <c r="AO37" i="38"/>
  <c r="AP37" i="38"/>
  <c r="AQ37" i="38"/>
  <c r="AR37" i="38"/>
  <c r="AS37" i="38"/>
  <c r="AT37" i="38"/>
  <c r="AU37" i="38"/>
  <c r="AV37" i="38"/>
  <c r="AW37" i="38"/>
  <c r="AX37" i="38"/>
  <c r="AY37" i="38"/>
  <c r="AZ37" i="38"/>
  <c r="AL38" i="38"/>
  <c r="AM38" i="38"/>
  <c r="AN38" i="38"/>
  <c r="AO38" i="38"/>
  <c r="AP38" i="38"/>
  <c r="AQ38" i="38"/>
  <c r="AR38" i="38"/>
  <c r="AS38" i="38"/>
  <c r="AT38" i="38"/>
  <c r="AU38" i="38"/>
  <c r="AV38" i="38"/>
  <c r="AW38" i="38"/>
  <c r="AX38" i="38"/>
  <c r="AY38" i="38"/>
  <c r="AZ38" i="38"/>
  <c r="AL39" i="38"/>
  <c r="AM39" i="38"/>
  <c r="AN39" i="38"/>
  <c r="AO39" i="38"/>
  <c r="AP39" i="38"/>
  <c r="AQ39" i="38"/>
  <c r="AR39" i="38"/>
  <c r="AS39" i="38"/>
  <c r="AT39" i="38"/>
  <c r="AU39" i="38"/>
  <c r="AV39" i="38"/>
  <c r="AW39" i="38"/>
  <c r="AX39" i="38"/>
  <c r="AY39" i="38"/>
  <c r="AZ39" i="38"/>
  <c r="AL40" i="38"/>
  <c r="AM40" i="38"/>
  <c r="AN40" i="38"/>
  <c r="AO40" i="38"/>
  <c r="AP40" i="38"/>
  <c r="AQ40" i="38"/>
  <c r="AR40" i="38"/>
  <c r="AS40" i="38"/>
  <c r="AT40" i="38"/>
  <c r="AU40" i="38"/>
  <c r="AV40" i="38"/>
  <c r="AW40" i="38"/>
  <c r="AX40" i="38"/>
  <c r="AY40" i="38"/>
  <c r="AZ40" i="38"/>
  <c r="AL41" i="38"/>
  <c r="AM41" i="38"/>
  <c r="AN41" i="38"/>
  <c r="AO41" i="38"/>
  <c r="AP41" i="38"/>
  <c r="AQ41" i="38"/>
  <c r="AR41" i="38"/>
  <c r="AS41" i="38"/>
  <c r="AT41" i="38"/>
  <c r="AU41" i="38"/>
  <c r="AV41" i="38"/>
  <c r="AW41" i="38"/>
  <c r="AX41" i="38"/>
  <c r="AY41" i="38"/>
  <c r="AZ41" i="38"/>
  <c r="AL42" i="38"/>
  <c r="AM42" i="38"/>
  <c r="AN42" i="38"/>
  <c r="AO42" i="38"/>
  <c r="AP42" i="38"/>
  <c r="AQ42" i="38"/>
  <c r="AR42" i="38"/>
  <c r="AS42" i="38"/>
  <c r="AT42" i="38"/>
  <c r="AU42" i="38"/>
  <c r="AV42" i="38"/>
  <c r="AW42" i="38"/>
  <c r="AX42" i="38"/>
  <c r="AY42" i="38"/>
  <c r="AZ42" i="38"/>
  <c r="Y13" i="38"/>
  <c r="Z13" i="38"/>
  <c r="AA13" i="38"/>
  <c r="AB13" i="38"/>
  <c r="AC13" i="38"/>
  <c r="AD13" i="38"/>
  <c r="AE13" i="38"/>
  <c r="AF13" i="38"/>
  <c r="AG13" i="38"/>
  <c r="AH13" i="38"/>
  <c r="AI13" i="38"/>
  <c r="AJ13" i="38"/>
  <c r="AK13" i="38"/>
  <c r="Y14" i="38"/>
  <c r="Z14" i="38"/>
  <c r="AA14" i="38"/>
  <c r="AB14" i="38"/>
  <c r="AC14" i="38"/>
  <c r="AD14" i="38"/>
  <c r="AE14" i="38"/>
  <c r="AF14" i="38"/>
  <c r="AG14" i="38"/>
  <c r="AH14" i="38"/>
  <c r="AI14" i="38"/>
  <c r="AJ14" i="38"/>
  <c r="AK14" i="38"/>
  <c r="Y15" i="38"/>
  <c r="Z15" i="38"/>
  <c r="AA15" i="38"/>
  <c r="AB15" i="38"/>
  <c r="AC15" i="38"/>
  <c r="AD15" i="38"/>
  <c r="AE15" i="38"/>
  <c r="AF15" i="38"/>
  <c r="AG15" i="38"/>
  <c r="AH15" i="38"/>
  <c r="AI15" i="38"/>
  <c r="AJ15" i="38"/>
  <c r="AK15" i="38"/>
  <c r="Y16" i="38"/>
  <c r="Z16" i="38"/>
  <c r="AA16" i="38"/>
  <c r="AB16" i="38"/>
  <c r="AC16" i="38"/>
  <c r="AD16" i="38"/>
  <c r="AE16" i="38"/>
  <c r="AF16" i="38"/>
  <c r="AG16" i="38"/>
  <c r="AH16" i="38"/>
  <c r="AI16" i="38"/>
  <c r="AJ16" i="38"/>
  <c r="AK16" i="38"/>
  <c r="Y17" i="38"/>
  <c r="Z17" i="38"/>
  <c r="AA17" i="38"/>
  <c r="AB17" i="38"/>
  <c r="AC17" i="38"/>
  <c r="AD17" i="38"/>
  <c r="AE17" i="38"/>
  <c r="AF17" i="38"/>
  <c r="AG17" i="38"/>
  <c r="AH17" i="38"/>
  <c r="AI17" i="38"/>
  <c r="AJ17" i="38"/>
  <c r="AK17" i="38"/>
  <c r="Y18" i="38"/>
  <c r="Z18" i="38"/>
  <c r="AA18" i="38"/>
  <c r="AB18" i="38"/>
  <c r="AC18" i="38"/>
  <c r="AD18" i="38"/>
  <c r="AE18" i="38"/>
  <c r="AF18" i="38"/>
  <c r="AG18" i="38"/>
  <c r="AH18" i="38"/>
  <c r="AI18" i="38"/>
  <c r="AJ18" i="38"/>
  <c r="AK18" i="38"/>
  <c r="Y19" i="38"/>
  <c r="Z19" i="38"/>
  <c r="AA19" i="38"/>
  <c r="AB19" i="38"/>
  <c r="AC19" i="38"/>
  <c r="AD19" i="38"/>
  <c r="AE19" i="38"/>
  <c r="AF19" i="38"/>
  <c r="AG19" i="38"/>
  <c r="AH19" i="38"/>
  <c r="AI19" i="38"/>
  <c r="AJ19" i="38"/>
  <c r="AK19" i="38"/>
  <c r="Y20" i="38"/>
  <c r="Z20" i="38"/>
  <c r="AA20" i="38"/>
  <c r="AB20" i="38"/>
  <c r="AC20" i="38"/>
  <c r="AD20" i="38"/>
  <c r="AE20" i="38"/>
  <c r="AF20" i="38"/>
  <c r="AG20" i="38"/>
  <c r="AH20" i="38"/>
  <c r="AI20" i="38"/>
  <c r="AJ20" i="38"/>
  <c r="AK20" i="38"/>
  <c r="Y21" i="38"/>
  <c r="Z21" i="38"/>
  <c r="AA21" i="38"/>
  <c r="AB21" i="38"/>
  <c r="AC21" i="38"/>
  <c r="AD21" i="38"/>
  <c r="AE21" i="38"/>
  <c r="AF21" i="38"/>
  <c r="AG21" i="38"/>
  <c r="AH21" i="38"/>
  <c r="AI21" i="38"/>
  <c r="AJ21" i="38"/>
  <c r="AK21" i="38"/>
  <c r="Y22" i="38"/>
  <c r="Z22" i="38"/>
  <c r="AA22" i="38"/>
  <c r="AB22" i="38"/>
  <c r="AC22" i="38"/>
  <c r="AD22" i="38"/>
  <c r="AE22" i="38"/>
  <c r="AF22" i="38"/>
  <c r="AG22" i="38"/>
  <c r="AH22" i="38"/>
  <c r="AI22" i="38"/>
  <c r="AJ22" i="38"/>
  <c r="AK22" i="38"/>
  <c r="Y23" i="38"/>
  <c r="Z23" i="38"/>
  <c r="AA23" i="38"/>
  <c r="AB23" i="38"/>
  <c r="AC23" i="38"/>
  <c r="AD23" i="38"/>
  <c r="AE23" i="38"/>
  <c r="AF23" i="38"/>
  <c r="AG23" i="38"/>
  <c r="AH23" i="38"/>
  <c r="AI23" i="38"/>
  <c r="AJ23" i="38"/>
  <c r="AK23" i="38"/>
  <c r="Y24" i="38"/>
  <c r="Z24" i="38"/>
  <c r="AA24" i="38"/>
  <c r="AB24" i="38"/>
  <c r="AC24" i="38"/>
  <c r="AD24" i="38"/>
  <c r="AE24" i="38"/>
  <c r="AF24" i="38"/>
  <c r="AG24" i="38"/>
  <c r="AH24" i="38"/>
  <c r="AI24" i="38"/>
  <c r="AJ24" i="38"/>
  <c r="AK24" i="38"/>
  <c r="Y25" i="38"/>
  <c r="Z25" i="38"/>
  <c r="AA25" i="38"/>
  <c r="AB25" i="38"/>
  <c r="AC25" i="38"/>
  <c r="AD25" i="38"/>
  <c r="AE25" i="38"/>
  <c r="AF25" i="38"/>
  <c r="AG25" i="38"/>
  <c r="AH25" i="38"/>
  <c r="AI25" i="38"/>
  <c r="AJ25" i="38"/>
  <c r="AK25" i="38"/>
  <c r="Y26" i="38"/>
  <c r="Z26" i="38"/>
  <c r="AA26" i="38"/>
  <c r="AB26" i="38"/>
  <c r="AC26" i="38"/>
  <c r="AD26" i="38"/>
  <c r="AE26" i="38"/>
  <c r="AF26" i="38"/>
  <c r="AG26" i="38"/>
  <c r="AH26" i="38"/>
  <c r="AI26" i="38"/>
  <c r="AJ26" i="38"/>
  <c r="AK26" i="38"/>
  <c r="Y27" i="38"/>
  <c r="Z27" i="38"/>
  <c r="AA27" i="38"/>
  <c r="AB27" i="38"/>
  <c r="AC27" i="38"/>
  <c r="AD27" i="38"/>
  <c r="AE27" i="38"/>
  <c r="AF27" i="38"/>
  <c r="AG27" i="38"/>
  <c r="AH27" i="38"/>
  <c r="AI27" i="38"/>
  <c r="AJ27" i="38"/>
  <c r="AK27" i="38"/>
  <c r="Y28" i="38"/>
  <c r="Z28" i="38"/>
  <c r="AA28" i="38"/>
  <c r="AB28" i="38"/>
  <c r="AC28" i="38"/>
  <c r="AD28" i="38"/>
  <c r="AE28" i="38"/>
  <c r="AF28" i="38"/>
  <c r="AG28" i="38"/>
  <c r="AH28" i="38"/>
  <c r="AI28" i="38"/>
  <c r="AJ28" i="38"/>
  <c r="AK28" i="38"/>
  <c r="Y29" i="38"/>
  <c r="Z29" i="38"/>
  <c r="AA29" i="38"/>
  <c r="AB29" i="38"/>
  <c r="AC29" i="38"/>
  <c r="AD29" i="38"/>
  <c r="AE29" i="38"/>
  <c r="AF29" i="38"/>
  <c r="AG29" i="38"/>
  <c r="AH29" i="38"/>
  <c r="AI29" i="38"/>
  <c r="AJ29" i="38"/>
  <c r="AK29" i="38"/>
  <c r="Y30" i="38"/>
  <c r="Z30" i="38"/>
  <c r="AA30" i="38"/>
  <c r="AB30" i="38"/>
  <c r="AC30" i="38"/>
  <c r="AD30" i="38"/>
  <c r="AE30" i="38"/>
  <c r="AF30" i="38"/>
  <c r="AG30" i="38"/>
  <c r="AH30" i="38"/>
  <c r="AI30" i="38"/>
  <c r="AJ30" i="38"/>
  <c r="AK30" i="38"/>
  <c r="Y31" i="38"/>
  <c r="Z31" i="38"/>
  <c r="AA31" i="38"/>
  <c r="AB31" i="38"/>
  <c r="AC31" i="38"/>
  <c r="AD31" i="38"/>
  <c r="AE31" i="38"/>
  <c r="AF31" i="38"/>
  <c r="AG31" i="38"/>
  <c r="AH31" i="38"/>
  <c r="AI31" i="38"/>
  <c r="AJ31" i="38"/>
  <c r="AK31" i="38"/>
  <c r="Y32" i="38"/>
  <c r="Z32" i="38"/>
  <c r="AA32" i="38"/>
  <c r="AB32" i="38"/>
  <c r="AC32" i="38"/>
  <c r="AD32" i="38"/>
  <c r="AE32" i="38"/>
  <c r="AF32" i="38"/>
  <c r="AG32" i="38"/>
  <c r="AH32" i="38"/>
  <c r="AI32" i="38"/>
  <c r="AJ32" i="38"/>
  <c r="AK32" i="38"/>
  <c r="Y33" i="38"/>
  <c r="Z33" i="38"/>
  <c r="AA33" i="38"/>
  <c r="AB33" i="38"/>
  <c r="AC33" i="38"/>
  <c r="AD33" i="38"/>
  <c r="AE33" i="38"/>
  <c r="AF33" i="38"/>
  <c r="AG33" i="38"/>
  <c r="AH33" i="38"/>
  <c r="AI33" i="38"/>
  <c r="AJ33" i="38"/>
  <c r="AK33" i="38"/>
  <c r="Y34" i="38"/>
  <c r="Z34" i="38"/>
  <c r="AA34" i="38"/>
  <c r="AB34" i="38"/>
  <c r="AC34" i="38"/>
  <c r="AD34" i="38"/>
  <c r="AE34" i="38"/>
  <c r="AF34" i="38"/>
  <c r="AG34" i="38"/>
  <c r="AH34" i="38"/>
  <c r="AI34" i="38"/>
  <c r="AJ34" i="38"/>
  <c r="AK34" i="38"/>
  <c r="Y35" i="38"/>
  <c r="Z35" i="38"/>
  <c r="AA35" i="38"/>
  <c r="AB35" i="38"/>
  <c r="AC35" i="38"/>
  <c r="AD35" i="38"/>
  <c r="AE35" i="38"/>
  <c r="AF35" i="38"/>
  <c r="AG35" i="38"/>
  <c r="AH35" i="38"/>
  <c r="AI35" i="38"/>
  <c r="AJ35" i="38"/>
  <c r="AK35" i="38"/>
  <c r="Y36" i="38"/>
  <c r="Z36" i="38"/>
  <c r="AA36" i="38"/>
  <c r="AB36" i="38"/>
  <c r="AC36" i="38"/>
  <c r="AD36" i="38"/>
  <c r="AE36" i="38"/>
  <c r="AF36" i="38"/>
  <c r="AG36" i="38"/>
  <c r="AH36" i="38"/>
  <c r="AI36" i="38"/>
  <c r="AJ36" i="38"/>
  <c r="AK36" i="38"/>
  <c r="Y37" i="38"/>
  <c r="Z37" i="38"/>
  <c r="AA37" i="38"/>
  <c r="AB37" i="38"/>
  <c r="AC37" i="38"/>
  <c r="AD37" i="38"/>
  <c r="AE37" i="38"/>
  <c r="AF37" i="38"/>
  <c r="AG37" i="38"/>
  <c r="AH37" i="38"/>
  <c r="AI37" i="38"/>
  <c r="AJ37" i="38"/>
  <c r="AK37" i="38"/>
  <c r="Y38" i="38"/>
  <c r="Z38" i="38"/>
  <c r="AA38" i="38"/>
  <c r="AB38" i="38"/>
  <c r="AC38" i="38"/>
  <c r="AD38" i="38"/>
  <c r="AE38" i="38"/>
  <c r="AF38" i="38"/>
  <c r="AG38" i="38"/>
  <c r="AH38" i="38"/>
  <c r="AI38" i="38"/>
  <c r="AJ38" i="38"/>
  <c r="AK38" i="38"/>
  <c r="Y39" i="38"/>
  <c r="Z39" i="38"/>
  <c r="AA39" i="38"/>
  <c r="AB39" i="38"/>
  <c r="AC39" i="38"/>
  <c r="AD39" i="38"/>
  <c r="AE39" i="38"/>
  <c r="AF39" i="38"/>
  <c r="AG39" i="38"/>
  <c r="AH39" i="38"/>
  <c r="AI39" i="38"/>
  <c r="AJ39" i="38"/>
  <c r="AK39" i="38"/>
  <c r="Y40" i="38"/>
  <c r="Z40" i="38"/>
  <c r="AA40" i="38"/>
  <c r="AB40" i="38"/>
  <c r="AC40" i="38"/>
  <c r="AD40" i="38"/>
  <c r="AE40" i="38"/>
  <c r="AF40" i="38"/>
  <c r="AG40" i="38"/>
  <c r="AH40" i="38"/>
  <c r="AI40" i="38"/>
  <c r="AJ40" i="38"/>
  <c r="AK40" i="38"/>
  <c r="Y41" i="38"/>
  <c r="Z41" i="38"/>
  <c r="AA41" i="38"/>
  <c r="AB41" i="38"/>
  <c r="AC41" i="38"/>
  <c r="AD41" i="38"/>
  <c r="AE41" i="38"/>
  <c r="AF41" i="38"/>
  <c r="AG41" i="38"/>
  <c r="AH41" i="38"/>
  <c r="AI41" i="38"/>
  <c r="AJ41" i="38"/>
  <c r="AK41" i="38"/>
  <c r="Y42" i="38"/>
  <c r="Z42" i="38"/>
  <c r="AA42" i="38"/>
  <c r="AB42" i="38"/>
  <c r="AC42" i="38"/>
  <c r="AD42" i="38"/>
  <c r="AE42" i="38"/>
  <c r="AF42" i="38"/>
  <c r="AG42" i="38"/>
  <c r="AH42" i="38"/>
  <c r="AI42" i="38"/>
  <c r="AJ42" i="38"/>
  <c r="AK42" i="38"/>
  <c r="X13" i="38"/>
  <c r="X14" i="38"/>
  <c r="X15" i="38"/>
  <c r="X16" i="38"/>
  <c r="X17" i="38"/>
  <c r="X18" i="38"/>
  <c r="X19" i="38"/>
  <c r="X20" i="38"/>
  <c r="X21" i="38"/>
  <c r="X22" i="38"/>
  <c r="X23" i="38"/>
  <c r="X24" i="38"/>
  <c r="X25" i="38"/>
  <c r="X26" i="38"/>
  <c r="X27" i="38"/>
  <c r="X28" i="38"/>
  <c r="X29" i="38"/>
  <c r="X30" i="38"/>
  <c r="X31" i="38"/>
  <c r="X32" i="38"/>
  <c r="X33" i="38"/>
  <c r="X34" i="38"/>
  <c r="X35" i="38"/>
  <c r="X36" i="38"/>
  <c r="X37" i="38"/>
  <c r="X38" i="38"/>
  <c r="X39" i="38"/>
  <c r="X40" i="38"/>
  <c r="X41" i="38"/>
  <c r="X42" i="38"/>
  <c r="Y6" i="27" l="1"/>
  <c r="Z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AM6" i="27"/>
  <c r="AN6" i="27"/>
  <c r="AO6" i="27"/>
  <c r="AP6" i="27"/>
  <c r="AQ6" i="27"/>
  <c r="AR6" i="27"/>
  <c r="AS6" i="27"/>
  <c r="AT6" i="27"/>
  <c r="AU6" i="27"/>
  <c r="AV6" i="27"/>
  <c r="AW6" i="27"/>
  <c r="AX6" i="27"/>
  <c r="AY6" i="27"/>
  <c r="AZ6" i="27"/>
  <c r="X6" i="27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X6" i="23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X6" i="22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X6" i="24"/>
  <c r="AW32" i="46"/>
  <c r="AX32" i="46"/>
  <c r="AY32" i="46"/>
  <c r="AZ32" i="46" s="1"/>
  <c r="AV32" i="46"/>
  <c r="AM32" i="46"/>
  <c r="AN32" i="46"/>
  <c r="AO32" i="46" s="1"/>
  <c r="AP32" i="46" s="1"/>
  <c r="AQ32" i="46" s="1"/>
  <c r="AR32" i="46" s="1"/>
  <c r="AS32" i="46" s="1"/>
  <c r="AT32" i="46" s="1"/>
  <c r="AU32" i="46" s="1"/>
  <c r="AL32" i="46"/>
  <c r="Y38" i="46"/>
  <c r="Z38" i="46"/>
  <c r="AA38" i="46"/>
  <c r="AB38" i="46" s="1"/>
  <c r="AC38" i="46" s="1"/>
  <c r="AD38" i="46" s="1"/>
  <c r="AE38" i="46" s="1"/>
  <c r="AF38" i="46" s="1"/>
  <c r="AG38" i="46" s="1"/>
  <c r="AH38" i="46" s="1"/>
  <c r="AI38" i="46" s="1"/>
  <c r="AJ38" i="46" s="1"/>
  <c r="AK38" i="46" s="1"/>
  <c r="AL38" i="46" s="1"/>
  <c r="AM38" i="46" s="1"/>
  <c r="AN38" i="46" s="1"/>
  <c r="AO38" i="46" s="1"/>
  <c r="AP38" i="46" s="1"/>
  <c r="AQ38" i="46" s="1"/>
  <c r="AR38" i="46" s="1"/>
  <c r="AS38" i="46" s="1"/>
  <c r="AT38" i="46" s="1"/>
  <c r="AU38" i="46" s="1"/>
  <c r="AV38" i="46" s="1"/>
  <c r="AW38" i="46" s="1"/>
  <c r="AX38" i="46" s="1"/>
  <c r="AY38" i="46" s="1"/>
  <c r="AZ38" i="46" s="1"/>
  <c r="Y6" i="26"/>
  <c r="Y44" i="46"/>
  <c r="AH32" i="46"/>
  <c r="AI32" i="46"/>
  <c r="AJ32" i="46" s="1"/>
  <c r="AK32" i="46" s="1"/>
  <c r="AG32" i="46"/>
  <c r="AB32" i="46"/>
  <c r="AC32" i="46" s="1"/>
  <c r="AD32" i="46" s="1"/>
  <c r="AE32" i="46" s="1"/>
  <c r="AF32" i="46" s="1"/>
  <c r="AA32" i="46"/>
  <c r="Z32" i="46"/>
  <c r="Y32" i="46"/>
  <c r="AH21" i="46"/>
  <c r="AI21" i="46"/>
  <c r="AJ21" i="46"/>
  <c r="AK21" i="46"/>
  <c r="AL21" i="46"/>
  <c r="AM21" i="46"/>
  <c r="AN21" i="46"/>
  <c r="AO21" i="46"/>
  <c r="AP21" i="46" s="1"/>
  <c r="AQ21" i="46" s="1"/>
  <c r="AR21" i="46" s="1"/>
  <c r="AS21" i="46" s="1"/>
  <c r="AT21" i="46" s="1"/>
  <c r="AZ21" i="46" s="1"/>
  <c r="AG21" i="46"/>
  <c r="AF21" i="46"/>
  <c r="AE21" i="46"/>
  <c r="AD21" i="46"/>
  <c r="AC21" i="46"/>
  <c r="AB21" i="46"/>
  <c r="AA21" i="46"/>
  <c r="Z21" i="46"/>
  <c r="Y21" i="46"/>
  <c r="AZ15" i="46"/>
  <c r="AY15" i="46"/>
  <c r="AX15" i="46"/>
  <c r="AW15" i="46"/>
  <c r="AV15" i="46"/>
  <c r="AU15" i="46"/>
  <c r="AT15" i="46"/>
  <c r="AS15" i="46"/>
  <c r="AR15" i="46"/>
  <c r="AQ15" i="46"/>
  <c r="Y5" i="25"/>
  <c r="X5" i="25"/>
  <c r="X6" i="26"/>
  <c r="Y6" i="37"/>
  <c r="Z6" i="37"/>
  <c r="AA6" i="37"/>
  <c r="AB6" i="37"/>
  <c r="AC6" i="37"/>
  <c r="AD6" i="37"/>
  <c r="AE6" i="37"/>
  <c r="AF6" i="37"/>
  <c r="AG6" i="37"/>
  <c r="AH6" i="37"/>
  <c r="AI6" i="37"/>
  <c r="AJ6" i="37"/>
  <c r="AK6" i="37"/>
  <c r="AL6" i="37"/>
  <c r="AM6" i="37"/>
  <c r="AN6" i="37"/>
  <c r="AO6" i="37"/>
  <c r="AP6" i="37"/>
  <c r="AQ6" i="37"/>
  <c r="AR6" i="37"/>
  <c r="AS6" i="37"/>
  <c r="AT6" i="37"/>
  <c r="AU6" i="37"/>
  <c r="AV6" i="37"/>
  <c r="AW6" i="37"/>
  <c r="AX6" i="37"/>
  <c r="AY6" i="37"/>
  <c r="AZ6" i="37"/>
  <c r="X6" i="37"/>
  <c r="X57" i="46"/>
  <c r="W57" i="46"/>
  <c r="V57" i="46"/>
  <c r="U57" i="46"/>
  <c r="T57" i="46"/>
  <c r="S57" i="46"/>
  <c r="R57" i="46"/>
  <c r="Q57" i="46"/>
  <c r="P57" i="46"/>
  <c r="O57" i="46"/>
  <c r="N57" i="46"/>
  <c r="M57" i="46"/>
  <c r="AP56" i="46"/>
  <c r="AO56" i="46"/>
  <c r="AN56" i="46"/>
  <c r="AM56" i="46"/>
  <c r="AL56" i="46"/>
  <c r="AK56" i="46"/>
  <c r="X45" i="46"/>
  <c r="W45" i="46"/>
  <c r="V45" i="46"/>
  <c r="U45" i="46"/>
  <c r="T45" i="46"/>
  <c r="S45" i="46"/>
  <c r="R45" i="46"/>
  <c r="Q45" i="46"/>
  <c r="P45" i="46"/>
  <c r="O45" i="46"/>
  <c r="N45" i="46"/>
  <c r="M45" i="46"/>
  <c r="Z44" i="46"/>
  <c r="X44" i="46"/>
  <c r="X59" i="46" s="1"/>
  <c r="W44" i="46"/>
  <c r="W59" i="46" s="1"/>
  <c r="V44" i="46"/>
  <c r="V59" i="46" s="1"/>
  <c r="U44" i="46"/>
  <c r="U59" i="46" s="1"/>
  <c r="T44" i="46"/>
  <c r="T59" i="46" s="1"/>
  <c r="S44" i="46"/>
  <c r="S59" i="46" s="1"/>
  <c r="R44" i="46"/>
  <c r="R59" i="46" s="1"/>
  <c r="Q44" i="46"/>
  <c r="Q59" i="46" s="1"/>
  <c r="P44" i="46"/>
  <c r="P59" i="46" s="1"/>
  <c r="O44" i="46"/>
  <c r="O59" i="46" s="1"/>
  <c r="N44" i="46"/>
  <c r="N59" i="46" s="1"/>
  <c r="M44" i="46"/>
  <c r="M59" i="46" s="1"/>
  <c r="L43" i="46"/>
  <c r="K43" i="46"/>
  <c r="J43" i="46" s="1"/>
  <c r="I43" i="46" s="1"/>
  <c r="H43" i="46" s="1"/>
  <c r="G43" i="46" s="1"/>
  <c r="F43" i="46" s="1"/>
  <c r="E43" i="46" s="1"/>
  <c r="D43" i="46"/>
  <c r="C43" i="46" s="1"/>
  <c r="B43" i="46" s="1"/>
  <c r="L42" i="46"/>
  <c r="L45" i="46" s="1"/>
  <c r="X39" i="46"/>
  <c r="W39" i="46"/>
  <c r="V39" i="46"/>
  <c r="U39" i="46"/>
  <c r="T39" i="46"/>
  <c r="S39" i="46"/>
  <c r="R39" i="46"/>
  <c r="Q39" i="46"/>
  <c r="P39" i="46"/>
  <c r="O39" i="46"/>
  <c r="N39" i="46"/>
  <c r="M39" i="46"/>
  <c r="X38" i="46"/>
  <c r="X58" i="46" s="1"/>
  <c r="W38" i="46"/>
  <c r="W58" i="46" s="1"/>
  <c r="V38" i="46"/>
  <c r="V58" i="46" s="1"/>
  <c r="U38" i="46"/>
  <c r="U58" i="46" s="1"/>
  <c r="T38" i="46"/>
  <c r="T58" i="46" s="1"/>
  <c r="S38" i="46"/>
  <c r="S58" i="46" s="1"/>
  <c r="R38" i="46"/>
  <c r="R58" i="46" s="1"/>
  <c r="Q38" i="46"/>
  <c r="Q58" i="46" s="1"/>
  <c r="P38" i="46"/>
  <c r="P58" i="46" s="1"/>
  <c r="O38" i="46"/>
  <c r="O58" i="46" s="1"/>
  <c r="N38" i="46"/>
  <c r="N58" i="46" s="1"/>
  <c r="M38" i="46"/>
  <c r="M58" i="46" s="1"/>
  <c r="L37" i="46"/>
  <c r="K37" i="46" s="1"/>
  <c r="J37" i="46" s="1"/>
  <c r="I37" i="46" s="1"/>
  <c r="H37" i="46" s="1"/>
  <c r="G37" i="46" s="1"/>
  <c r="F37" i="46" s="1"/>
  <c r="E37" i="46" s="1"/>
  <c r="D37" i="46" s="1"/>
  <c r="C37" i="46" s="1"/>
  <c r="B37" i="46" s="1"/>
  <c r="L36" i="46"/>
  <c r="Y57" i="46"/>
  <c r="L31" i="46"/>
  <c r="K31" i="46" s="1"/>
  <c r="X28" i="46"/>
  <c r="W28" i="46"/>
  <c r="V28" i="46"/>
  <c r="U28" i="46"/>
  <c r="T28" i="46"/>
  <c r="S28" i="46"/>
  <c r="R28" i="46"/>
  <c r="Q28" i="46"/>
  <c r="P28" i="46"/>
  <c r="O28" i="46"/>
  <c r="N28" i="46"/>
  <c r="M28" i="46"/>
  <c r="AQ27" i="46"/>
  <c r="AR27" i="46" s="1"/>
  <c r="AR56" i="46" s="1"/>
  <c r="Z27" i="46"/>
  <c r="Y27" i="46"/>
  <c r="Y56" i="46" s="1"/>
  <c r="X27" i="46"/>
  <c r="X56" i="46" s="1"/>
  <c r="W27" i="46"/>
  <c r="W56" i="46" s="1"/>
  <c r="V27" i="46"/>
  <c r="V56" i="46" s="1"/>
  <c r="U27" i="46"/>
  <c r="U56" i="46" s="1"/>
  <c r="T27" i="46"/>
  <c r="T56" i="46" s="1"/>
  <c r="S27" i="46"/>
  <c r="S56" i="46" s="1"/>
  <c r="R27" i="46"/>
  <c r="R56" i="46" s="1"/>
  <c r="Q27" i="46"/>
  <c r="Q56" i="46" s="1"/>
  <c r="P27" i="46"/>
  <c r="P56" i="46" s="1"/>
  <c r="O27" i="46"/>
  <c r="O56" i="46" s="1"/>
  <c r="N27" i="46"/>
  <c r="N56" i="46" s="1"/>
  <c r="M27" i="46"/>
  <c r="M56" i="46" s="1"/>
  <c r="L26" i="46"/>
  <c r="K26" i="46"/>
  <c r="J26" i="46"/>
  <c r="I26" i="46" s="1"/>
  <c r="H26" i="46" s="1"/>
  <c r="G26" i="46" s="1"/>
  <c r="F26" i="46" s="1"/>
  <c r="E26" i="46" s="1"/>
  <c r="D26" i="46" s="1"/>
  <c r="C26" i="46" s="1"/>
  <c r="B26" i="46" s="1"/>
  <c r="L25" i="46"/>
  <c r="K25" i="46"/>
  <c r="K28" i="46" s="1"/>
  <c r="X22" i="46"/>
  <c r="W22" i="46"/>
  <c r="V22" i="46"/>
  <c r="U22" i="46"/>
  <c r="T22" i="46"/>
  <c r="S22" i="46"/>
  <c r="R22" i="46"/>
  <c r="Q22" i="46"/>
  <c r="P22" i="46"/>
  <c r="O22" i="46"/>
  <c r="N22" i="46"/>
  <c r="M22" i="46"/>
  <c r="Z55" i="46"/>
  <c r="Y55" i="46"/>
  <c r="X21" i="46"/>
  <c r="X55" i="46" s="1"/>
  <c r="W21" i="46"/>
  <c r="W55" i="46" s="1"/>
  <c r="V21" i="46"/>
  <c r="V55" i="46" s="1"/>
  <c r="U21" i="46"/>
  <c r="U55" i="46" s="1"/>
  <c r="T21" i="46"/>
  <c r="T55" i="46" s="1"/>
  <c r="S21" i="46"/>
  <c r="S55" i="46" s="1"/>
  <c r="R21" i="46"/>
  <c r="R55" i="46" s="1"/>
  <c r="Q21" i="46"/>
  <c r="Q55" i="46" s="1"/>
  <c r="P21" i="46"/>
  <c r="P55" i="46" s="1"/>
  <c r="O21" i="46"/>
  <c r="O55" i="46" s="1"/>
  <c r="N21" i="46"/>
  <c r="N55" i="46" s="1"/>
  <c r="M21" i="46"/>
  <c r="M55" i="46" s="1"/>
  <c r="L20" i="46"/>
  <c r="K20" i="46" s="1"/>
  <c r="J20" i="46" s="1"/>
  <c r="I20" i="46" s="1"/>
  <c r="H20" i="46" s="1"/>
  <c r="G20" i="46" s="1"/>
  <c r="F20" i="46" s="1"/>
  <c r="E20" i="46" s="1"/>
  <c r="D20" i="46" s="1"/>
  <c r="C20" i="46" s="1"/>
  <c r="B20" i="46" s="1"/>
  <c r="L19" i="46"/>
  <c r="L21" i="46" s="1"/>
  <c r="L55" i="46" s="1"/>
  <c r="K19" i="46"/>
  <c r="J19" i="46" s="1"/>
  <c r="X16" i="46"/>
  <c r="W16" i="46"/>
  <c r="V16" i="46"/>
  <c r="U16" i="46"/>
  <c r="T16" i="46"/>
  <c r="S16" i="46"/>
  <c r="R16" i="46"/>
  <c r="Q16" i="46"/>
  <c r="P16" i="46"/>
  <c r="O16" i="46"/>
  <c r="N16" i="46"/>
  <c r="M16" i="46"/>
  <c r="Z15" i="46"/>
  <c r="Z54" i="46" s="1"/>
  <c r="Y15" i="46"/>
  <c r="Y54" i="46" s="1"/>
  <c r="X15" i="46"/>
  <c r="X54" i="46" s="1"/>
  <c r="W15" i="46"/>
  <c r="W54" i="46" s="1"/>
  <c r="V15" i="46"/>
  <c r="V54" i="46" s="1"/>
  <c r="U15" i="46"/>
  <c r="U54" i="46" s="1"/>
  <c r="T15" i="46"/>
  <c r="T54" i="46" s="1"/>
  <c r="S15" i="46"/>
  <c r="S54" i="46" s="1"/>
  <c r="R15" i="46"/>
  <c r="R54" i="46" s="1"/>
  <c r="Q15" i="46"/>
  <c r="Q54" i="46" s="1"/>
  <c r="P15" i="46"/>
  <c r="P54" i="46" s="1"/>
  <c r="O15" i="46"/>
  <c r="O54" i="46" s="1"/>
  <c r="N15" i="46"/>
  <c r="N54" i="46" s="1"/>
  <c r="M15" i="46"/>
  <c r="M54" i="46" s="1"/>
  <c r="L14" i="46"/>
  <c r="K14" i="46"/>
  <c r="J14" i="46" s="1"/>
  <c r="I14" i="46" s="1"/>
  <c r="H14" i="46" s="1"/>
  <c r="G14" i="46" s="1"/>
  <c r="F14" i="46" s="1"/>
  <c r="E14" i="46" s="1"/>
  <c r="D14" i="46" s="1"/>
  <c r="C14" i="46" s="1"/>
  <c r="B14" i="46" s="1"/>
  <c r="L13" i="46"/>
  <c r="L15" i="46" s="1"/>
  <c r="L54" i="46" s="1"/>
  <c r="K13" i="46"/>
  <c r="J13" i="46" s="1"/>
  <c r="X10" i="46"/>
  <c r="W10" i="46"/>
  <c r="V10" i="46"/>
  <c r="U10" i="46"/>
  <c r="T10" i="46"/>
  <c r="S10" i="46"/>
  <c r="R10" i="46"/>
  <c r="Q10" i="46"/>
  <c r="P10" i="46"/>
  <c r="O10" i="46"/>
  <c r="N10" i="46"/>
  <c r="M10" i="46"/>
  <c r="Y9" i="46"/>
  <c r="Y53" i="46" s="1"/>
  <c r="X9" i="46"/>
  <c r="X53" i="46" s="1"/>
  <c r="W9" i="46"/>
  <c r="W53" i="46" s="1"/>
  <c r="W60" i="46" s="1"/>
  <c r="V9" i="46"/>
  <c r="V53" i="46" s="1"/>
  <c r="V60" i="46" s="1"/>
  <c r="U9" i="46"/>
  <c r="U53" i="46" s="1"/>
  <c r="U60" i="46" s="1"/>
  <c r="T9" i="46"/>
  <c r="T53" i="46" s="1"/>
  <c r="S9" i="46"/>
  <c r="S53" i="46" s="1"/>
  <c r="R9" i="46"/>
  <c r="R53" i="46" s="1"/>
  <c r="Q9" i="46"/>
  <c r="Q53" i="46" s="1"/>
  <c r="P9" i="46"/>
  <c r="P53" i="46" s="1"/>
  <c r="O9" i="46"/>
  <c r="O53" i="46" s="1"/>
  <c r="O60" i="46" s="1"/>
  <c r="N9" i="46"/>
  <c r="N53" i="46" s="1"/>
  <c r="N60" i="46" s="1"/>
  <c r="M9" i="46"/>
  <c r="M53" i="46" s="1"/>
  <c r="M60" i="46" s="1"/>
  <c r="L8" i="46"/>
  <c r="K8" i="46" s="1"/>
  <c r="J8" i="46" s="1"/>
  <c r="I8" i="46" s="1"/>
  <c r="H8" i="46" s="1"/>
  <c r="G8" i="46" s="1"/>
  <c r="F8" i="46" s="1"/>
  <c r="E8" i="46" s="1"/>
  <c r="D8" i="46" s="1"/>
  <c r="C8" i="46" s="1"/>
  <c r="B8" i="46" s="1"/>
  <c r="L7" i="46"/>
  <c r="L9" i="46" s="1"/>
  <c r="L53" i="46" s="1"/>
  <c r="K7" i="46"/>
  <c r="J7" i="46" s="1"/>
  <c r="X4" i="39"/>
  <c r="X5" i="39"/>
  <c r="X6" i="39"/>
  <c r="X7" i="39"/>
  <c r="X8" i="39"/>
  <c r="X9" i="39"/>
  <c r="X10" i="39"/>
  <c r="X11" i="39"/>
  <c r="X12" i="39"/>
  <c r="X13" i="39"/>
  <c r="X14" i="39"/>
  <c r="X15" i="39"/>
  <c r="X16" i="39"/>
  <c r="X17" i="39"/>
  <c r="X18" i="39"/>
  <c r="X19" i="39"/>
  <c r="X20" i="39"/>
  <c r="X21" i="39"/>
  <c r="X22" i="39"/>
  <c r="X23" i="39"/>
  <c r="X24" i="39"/>
  <c r="X25" i="39"/>
  <c r="X26" i="39"/>
  <c r="X27" i="39"/>
  <c r="X28" i="39"/>
  <c r="X29" i="39"/>
  <c r="X30" i="39"/>
  <c r="X31" i="39"/>
  <c r="X32" i="39"/>
  <c r="X33" i="39"/>
  <c r="B34" i="39"/>
  <c r="C34" i="39"/>
  <c r="D34" i="39"/>
  <c r="E34" i="39"/>
  <c r="F34" i="39"/>
  <c r="G34" i="39"/>
  <c r="H34" i="39"/>
  <c r="I34" i="39"/>
  <c r="J34" i="39"/>
  <c r="K34" i="39"/>
  <c r="L34" i="39"/>
  <c r="X14" i="10" l="1"/>
  <c r="X29" i="10"/>
  <c r="X21" i="10"/>
  <c r="X13" i="10"/>
  <c r="X5" i="10"/>
  <c r="X6" i="10"/>
  <c r="X12" i="10"/>
  <c r="X4" i="10"/>
  <c r="X27" i="10"/>
  <c r="X28" i="10"/>
  <c r="X19" i="10"/>
  <c r="X26" i="10"/>
  <c r="X18" i="10"/>
  <c r="X10" i="10"/>
  <c r="X22" i="10"/>
  <c r="X20" i="10"/>
  <c r="X11" i="10"/>
  <c r="X33" i="10"/>
  <c r="X25" i="10"/>
  <c r="X17" i="10"/>
  <c r="X9" i="10"/>
  <c r="X32" i="10"/>
  <c r="X16" i="10"/>
  <c r="X8" i="10"/>
  <c r="X30" i="10"/>
  <c r="X24" i="10"/>
  <c r="X31" i="10"/>
  <c r="X23" i="10"/>
  <c r="X15" i="10"/>
  <c r="X7" i="10"/>
  <c r="Z57" i="46"/>
  <c r="Z5" i="25"/>
  <c r="I13" i="46"/>
  <c r="J15" i="46"/>
  <c r="J54" i="46" s="1"/>
  <c r="J16" i="46"/>
  <c r="K33" i="46"/>
  <c r="J31" i="46"/>
  <c r="K32" i="46"/>
  <c r="K57" i="46" s="1"/>
  <c r="J10" i="46"/>
  <c r="I7" i="46"/>
  <c r="J9" i="46"/>
  <c r="J53" i="46" s="1"/>
  <c r="I19" i="46"/>
  <c r="J21" i="46"/>
  <c r="J55" i="46" s="1"/>
  <c r="J22" i="46"/>
  <c r="K10" i="46"/>
  <c r="K16" i="46"/>
  <c r="L28" i="46"/>
  <c r="L27" i="46"/>
  <c r="L56" i="46" s="1"/>
  <c r="AA44" i="46"/>
  <c r="Z59" i="46"/>
  <c r="L10" i="46"/>
  <c r="L16" i="46"/>
  <c r="P60" i="46"/>
  <c r="X60" i="46"/>
  <c r="Q60" i="46"/>
  <c r="K22" i="46"/>
  <c r="L39" i="46"/>
  <c r="R60" i="46"/>
  <c r="Z9" i="46"/>
  <c r="L22" i="46"/>
  <c r="AS27" i="46"/>
  <c r="L33" i="46"/>
  <c r="L32" i="46"/>
  <c r="L57" i="46" s="1"/>
  <c r="J25" i="46"/>
  <c r="K27" i="46"/>
  <c r="K56" i="46" s="1"/>
  <c r="K9" i="46"/>
  <c r="K53" i="46" s="1"/>
  <c r="S60" i="46"/>
  <c r="K15" i="46"/>
  <c r="K54" i="46" s="1"/>
  <c r="AA15" i="46"/>
  <c r="K21" i="46"/>
  <c r="K55" i="46" s="1"/>
  <c r="T60" i="46"/>
  <c r="Z56" i="46"/>
  <c r="AA27" i="46"/>
  <c r="Y58" i="46"/>
  <c r="Z6" i="26"/>
  <c r="L38" i="46"/>
  <c r="L58" i="46" s="1"/>
  <c r="L44" i="46"/>
  <c r="L59" i="46" s="1"/>
  <c r="L60" i="46" s="1"/>
  <c r="K36" i="46"/>
  <c r="K42" i="46"/>
  <c r="Y59" i="46"/>
  <c r="AQ56" i="46"/>
  <c r="AA5" i="25"/>
  <c r="X27" i="27" l="1"/>
  <c r="X27" i="23"/>
  <c r="X27" i="24"/>
  <c r="X26" i="25"/>
  <c r="X27" i="22"/>
  <c r="X27" i="37"/>
  <c r="X27" i="26"/>
  <c r="X35" i="27"/>
  <c r="X35" i="23"/>
  <c r="X35" i="24"/>
  <c r="X35" i="22"/>
  <c r="X34" i="25"/>
  <c r="X35" i="26"/>
  <c r="X35" i="37"/>
  <c r="X12" i="27"/>
  <c r="X11" i="25"/>
  <c r="X12" i="23"/>
  <c r="X12" i="22"/>
  <c r="X12" i="24"/>
  <c r="X12" i="26"/>
  <c r="X12" i="37"/>
  <c r="X38" i="23"/>
  <c r="X38" i="22"/>
  <c r="X38" i="27"/>
  <c r="X38" i="24"/>
  <c r="X37" i="25"/>
  <c r="X38" i="26"/>
  <c r="X38" i="37"/>
  <c r="X26" i="27"/>
  <c r="X26" i="23"/>
  <c r="X26" i="22"/>
  <c r="X26" i="24"/>
  <c r="X25" i="25"/>
  <c r="X26" i="37"/>
  <c r="X26" i="26"/>
  <c r="X16" i="27"/>
  <c r="X16" i="23"/>
  <c r="X16" i="24"/>
  <c r="X16" i="22"/>
  <c r="X15" i="25"/>
  <c r="X16" i="37"/>
  <c r="X16" i="26"/>
  <c r="X36" i="27"/>
  <c r="X36" i="23"/>
  <c r="X36" i="22"/>
  <c r="X36" i="24"/>
  <c r="X35" i="25"/>
  <c r="X36" i="26"/>
  <c r="X36" i="37"/>
  <c r="X28" i="27"/>
  <c r="X28" i="23"/>
  <c r="X28" i="22"/>
  <c r="X27" i="25"/>
  <c r="X28" i="24"/>
  <c r="X28" i="37"/>
  <c r="X28" i="26"/>
  <c r="X22" i="23"/>
  <c r="X22" i="22"/>
  <c r="X22" i="27"/>
  <c r="X22" i="24"/>
  <c r="X21" i="25"/>
  <c r="X22" i="26"/>
  <c r="X22" i="37"/>
  <c r="X40" i="27"/>
  <c r="X40" i="23"/>
  <c r="X40" i="22"/>
  <c r="X40" i="24"/>
  <c r="X39" i="25"/>
  <c r="X40" i="37"/>
  <c r="X40" i="26"/>
  <c r="X31" i="23"/>
  <c r="X31" i="27"/>
  <c r="X31" i="22"/>
  <c r="X31" i="24"/>
  <c r="X30" i="25"/>
  <c r="X31" i="26"/>
  <c r="X31" i="37"/>
  <c r="X30" i="23"/>
  <c r="X30" i="27"/>
  <c r="X30" i="22"/>
  <c r="X30" i="24"/>
  <c r="X29" i="25"/>
  <c r="X30" i="26"/>
  <c r="X30" i="37"/>
  <c r="X18" i="27"/>
  <c r="X18" i="23"/>
  <c r="X18" i="22"/>
  <c r="X18" i="24"/>
  <c r="X17" i="25"/>
  <c r="X18" i="26"/>
  <c r="X18" i="37"/>
  <c r="X33" i="27"/>
  <c r="X33" i="23"/>
  <c r="X33" i="22"/>
  <c r="X32" i="25"/>
  <c r="X33" i="24"/>
  <c r="X33" i="26"/>
  <c r="X33" i="37"/>
  <c r="X34" i="27"/>
  <c r="X34" i="23"/>
  <c r="X34" i="22"/>
  <c r="X34" i="24"/>
  <c r="X33" i="25"/>
  <c r="X34" i="26"/>
  <c r="X34" i="37"/>
  <c r="X20" i="27"/>
  <c r="X20" i="23"/>
  <c r="X19" i="25"/>
  <c r="X20" i="22"/>
  <c r="X20" i="24"/>
  <c r="X20" i="26"/>
  <c r="X20" i="37"/>
  <c r="X21" i="23"/>
  <c r="X21" i="27"/>
  <c r="X21" i="22"/>
  <c r="X20" i="25"/>
  <c r="X21" i="24"/>
  <c r="X21" i="26"/>
  <c r="X21" i="37"/>
  <c r="X32" i="27"/>
  <c r="X32" i="23"/>
  <c r="X32" i="22"/>
  <c r="X32" i="24"/>
  <c r="X31" i="25"/>
  <c r="X32" i="26"/>
  <c r="X32" i="37"/>
  <c r="X23" i="23"/>
  <c r="X23" i="27"/>
  <c r="X23" i="22"/>
  <c r="X23" i="24"/>
  <c r="X22" i="25"/>
  <c r="X23" i="37"/>
  <c r="X23" i="26"/>
  <c r="X19" i="23"/>
  <c r="X19" i="27"/>
  <c r="X19" i="24"/>
  <c r="X19" i="22"/>
  <c r="X18" i="25"/>
  <c r="X19" i="26"/>
  <c r="X19" i="37"/>
  <c r="X29" i="23"/>
  <c r="X29" i="27"/>
  <c r="X29" i="22"/>
  <c r="X29" i="24"/>
  <c r="X28" i="25"/>
  <c r="X29" i="26"/>
  <c r="X29" i="37"/>
  <c r="X39" i="23"/>
  <c r="X39" i="22"/>
  <c r="X39" i="27"/>
  <c r="X39" i="24"/>
  <c r="X38" i="25"/>
  <c r="X39" i="37"/>
  <c r="X39" i="26"/>
  <c r="X17" i="27"/>
  <c r="X17" i="23"/>
  <c r="X17" i="22"/>
  <c r="X17" i="24"/>
  <c r="X16" i="25"/>
  <c r="X17" i="26"/>
  <c r="X17" i="37"/>
  <c r="X13" i="23"/>
  <c r="X13" i="27"/>
  <c r="X13" i="22"/>
  <c r="X13" i="24"/>
  <c r="X12" i="25"/>
  <c r="X13" i="26"/>
  <c r="X13" i="37"/>
  <c r="X15" i="23"/>
  <c r="X15" i="22"/>
  <c r="X15" i="27"/>
  <c r="X15" i="24"/>
  <c r="X14" i="25"/>
  <c r="X15" i="37"/>
  <c r="X15" i="26"/>
  <c r="X11" i="27"/>
  <c r="X11" i="24"/>
  <c r="X11" i="22"/>
  <c r="X11" i="23"/>
  <c r="X10" i="25"/>
  <c r="X11" i="26"/>
  <c r="X11" i="37"/>
  <c r="X25" i="27"/>
  <c r="X25" i="23"/>
  <c r="X25" i="22"/>
  <c r="X25" i="24"/>
  <c r="X24" i="25"/>
  <c r="X25" i="26"/>
  <c r="X25" i="37"/>
  <c r="X24" i="27"/>
  <c r="X24" i="23"/>
  <c r="X24" i="24"/>
  <c r="X24" i="22"/>
  <c r="X23" i="25"/>
  <c r="X24" i="37"/>
  <c r="X24" i="26"/>
  <c r="X37" i="23"/>
  <c r="X37" i="27"/>
  <c r="X37" i="22"/>
  <c r="X37" i="24"/>
  <c r="X36" i="25"/>
  <c r="X37" i="26"/>
  <c r="X37" i="37"/>
  <c r="X14" i="23"/>
  <c r="X14" i="22"/>
  <c r="X14" i="27"/>
  <c r="X14" i="24"/>
  <c r="X13" i="25"/>
  <c r="X14" i="26"/>
  <c r="X14" i="37"/>
  <c r="Y60" i="46"/>
  <c r="I10" i="46"/>
  <c r="H7" i="46"/>
  <c r="I9" i="46"/>
  <c r="I53" i="46" s="1"/>
  <c r="AA54" i="46"/>
  <c r="AB15" i="46"/>
  <c r="AS56" i="46"/>
  <c r="AT27" i="46"/>
  <c r="Z58" i="46"/>
  <c r="AA6" i="26"/>
  <c r="AA57" i="46"/>
  <c r="AB5" i="25"/>
  <c r="Z53" i="46"/>
  <c r="AA9" i="46"/>
  <c r="J32" i="46"/>
  <c r="J57" i="46" s="1"/>
  <c r="I31" i="46"/>
  <c r="J33" i="46"/>
  <c r="AA56" i="46"/>
  <c r="AB27" i="46"/>
  <c r="I22" i="46"/>
  <c r="H19" i="46"/>
  <c r="I21" i="46"/>
  <c r="I55" i="46" s="1"/>
  <c r="K44" i="46"/>
  <c r="K59" i="46" s="1"/>
  <c r="K45" i="46"/>
  <c r="J42" i="46"/>
  <c r="I25" i="46"/>
  <c r="J28" i="46"/>
  <c r="J27" i="46"/>
  <c r="J56" i="46" s="1"/>
  <c r="AA59" i="46"/>
  <c r="AB44" i="46"/>
  <c r="K38" i="46"/>
  <c r="K58" i="46" s="1"/>
  <c r="K60" i="46" s="1"/>
  <c r="K39" i="46"/>
  <c r="J36" i="46"/>
  <c r="AA55" i="46"/>
  <c r="I16" i="46"/>
  <c r="H13" i="46"/>
  <c r="I15" i="46"/>
  <c r="I54" i="46" s="1"/>
  <c r="Z60" i="46" l="1"/>
  <c r="H31" i="46"/>
  <c r="I32" i="46"/>
  <c r="I57" i="46" s="1"/>
  <c r="I33" i="46"/>
  <c r="AU27" i="46"/>
  <c r="AT56" i="46"/>
  <c r="H16" i="46"/>
  <c r="G13" i="46"/>
  <c r="H15" i="46"/>
  <c r="H54" i="46" s="1"/>
  <c r="AB59" i="46"/>
  <c r="AC44" i="46"/>
  <c r="H22" i="46"/>
  <c r="G19" i="46"/>
  <c r="H21" i="46"/>
  <c r="H55" i="46" s="1"/>
  <c r="AA53" i="46"/>
  <c r="AB9" i="46"/>
  <c r="AB54" i="46"/>
  <c r="AC15" i="46"/>
  <c r="AB55" i="46"/>
  <c r="AB57" i="46"/>
  <c r="AC5" i="25"/>
  <c r="I28" i="46"/>
  <c r="H25" i="46"/>
  <c r="I27" i="46"/>
  <c r="I56" i="46" s="1"/>
  <c r="AB56" i="46"/>
  <c r="AC27" i="46"/>
  <c r="H10" i="46"/>
  <c r="G7" i="46"/>
  <c r="H9" i="46"/>
  <c r="H53" i="46" s="1"/>
  <c r="I36" i="46"/>
  <c r="J38" i="46"/>
  <c r="J58" i="46" s="1"/>
  <c r="J60" i="46" s="1"/>
  <c r="J39" i="46"/>
  <c r="I42" i="46"/>
  <c r="J44" i="46"/>
  <c r="J59" i="46" s="1"/>
  <c r="J45" i="46"/>
  <c r="AA58" i="46"/>
  <c r="AB6" i="26"/>
  <c r="AA60" i="46" l="1"/>
  <c r="I60" i="46"/>
  <c r="H36" i="46"/>
  <c r="I39" i="46"/>
  <c r="I38" i="46"/>
  <c r="I58" i="46" s="1"/>
  <c r="H28" i="46"/>
  <c r="H27" i="46"/>
  <c r="H56" i="46" s="1"/>
  <c r="G25" i="46"/>
  <c r="AB53" i="46"/>
  <c r="AC9" i="46"/>
  <c r="G16" i="46"/>
  <c r="F13" i="46"/>
  <c r="G15" i="46"/>
  <c r="G54" i="46" s="1"/>
  <c r="AB58" i="46"/>
  <c r="AC6" i="26"/>
  <c r="AC57" i="46"/>
  <c r="AD5" i="25"/>
  <c r="H33" i="46"/>
  <c r="G31" i="46"/>
  <c r="H32" i="46"/>
  <c r="H57" i="46" s="1"/>
  <c r="G10" i="46"/>
  <c r="F7" i="46"/>
  <c r="G9" i="46"/>
  <c r="G53" i="46" s="1"/>
  <c r="F19" i="46"/>
  <c r="G22" i="46"/>
  <c r="G21" i="46"/>
  <c r="G55" i="46" s="1"/>
  <c r="AC55" i="46"/>
  <c r="AC54" i="46"/>
  <c r="AD15" i="46"/>
  <c r="AU56" i="46"/>
  <c r="AV27" i="46"/>
  <c r="H42" i="46"/>
  <c r="I45" i="46"/>
  <c r="I44" i="46"/>
  <c r="I59" i="46" s="1"/>
  <c r="AC56" i="46"/>
  <c r="AD27" i="46"/>
  <c r="AC59" i="46"/>
  <c r="AD44" i="46"/>
  <c r="H39" i="46" l="1"/>
  <c r="G36" i="46"/>
  <c r="H38" i="46"/>
  <c r="H58" i="46" s="1"/>
  <c r="H60" i="46" s="1"/>
  <c r="H45" i="46"/>
  <c r="G42" i="46"/>
  <c r="H44" i="46"/>
  <c r="H59" i="46" s="1"/>
  <c r="AD57" i="46"/>
  <c r="AE5" i="25"/>
  <c r="AC53" i="46"/>
  <c r="AD9" i="46"/>
  <c r="AV56" i="46"/>
  <c r="AW27" i="46"/>
  <c r="E19" i="46"/>
  <c r="F22" i="46"/>
  <c r="F21" i="46"/>
  <c r="F55" i="46" s="1"/>
  <c r="AB60" i="46"/>
  <c r="AD59" i="46"/>
  <c r="AE44" i="46"/>
  <c r="G28" i="46"/>
  <c r="G27" i="46"/>
  <c r="G56" i="46" s="1"/>
  <c r="F25" i="46"/>
  <c r="AD54" i="46"/>
  <c r="AE15" i="46"/>
  <c r="F10" i="46"/>
  <c r="E7" i="46"/>
  <c r="F9" i="46"/>
  <c r="F53" i="46" s="1"/>
  <c r="AC58" i="46"/>
  <c r="AD6" i="26"/>
  <c r="AD56" i="46"/>
  <c r="AE27" i="46"/>
  <c r="AD55" i="46"/>
  <c r="G32" i="46"/>
  <c r="G57" i="46" s="1"/>
  <c r="G33" i="46"/>
  <c r="F31" i="46"/>
  <c r="F16" i="46"/>
  <c r="E13" i="46"/>
  <c r="F15" i="46"/>
  <c r="F54" i="46" s="1"/>
  <c r="AC60" i="46" l="1"/>
  <c r="AE54" i="46"/>
  <c r="AF15" i="46"/>
  <c r="AE57" i="46"/>
  <c r="AF5" i="25"/>
  <c r="AE56" i="46"/>
  <c r="AF27" i="46"/>
  <c r="E15" i="46"/>
  <c r="E54" i="46" s="1"/>
  <c r="E16" i="46"/>
  <c r="D13" i="46"/>
  <c r="F28" i="46"/>
  <c r="F27" i="46"/>
  <c r="F56" i="46" s="1"/>
  <c r="E25" i="46"/>
  <c r="AD58" i="46"/>
  <c r="AE6" i="26"/>
  <c r="E22" i="46"/>
  <c r="E21" i="46"/>
  <c r="E55" i="46" s="1"/>
  <c r="D19" i="46"/>
  <c r="G45" i="46"/>
  <c r="G44" i="46"/>
  <c r="G59" i="46" s="1"/>
  <c r="F42" i="46"/>
  <c r="E31" i="46"/>
  <c r="F32" i="46"/>
  <c r="F57" i="46" s="1"/>
  <c r="F33" i="46"/>
  <c r="AX27" i="46"/>
  <c r="AW56" i="46"/>
  <c r="E10" i="46"/>
  <c r="D7" i="46"/>
  <c r="E9" i="46"/>
  <c r="E53" i="46" s="1"/>
  <c r="AE59" i="46"/>
  <c r="AF44" i="46"/>
  <c r="AD53" i="46"/>
  <c r="AE9" i="46"/>
  <c r="G39" i="46"/>
  <c r="G38" i="46"/>
  <c r="G58" i="46" s="1"/>
  <c r="G60" i="46" s="1"/>
  <c r="F36" i="46"/>
  <c r="AE55" i="46"/>
  <c r="AG44" i="46" l="1"/>
  <c r="AF59" i="46"/>
  <c r="AF55" i="46"/>
  <c r="AE58" i="46"/>
  <c r="AF6" i="26"/>
  <c r="AF56" i="46"/>
  <c r="AG27" i="46"/>
  <c r="E32" i="46"/>
  <c r="E57" i="46" s="1"/>
  <c r="E33" i="46"/>
  <c r="D31" i="46"/>
  <c r="E36" i="46"/>
  <c r="F38" i="46"/>
  <c r="F58" i="46" s="1"/>
  <c r="F60" i="46" s="1"/>
  <c r="F39" i="46"/>
  <c r="F45" i="46"/>
  <c r="E42" i="46"/>
  <c r="F44" i="46"/>
  <c r="F59" i="46" s="1"/>
  <c r="E27" i="46"/>
  <c r="E56" i="46" s="1"/>
  <c r="D25" i="46"/>
  <c r="E28" i="46"/>
  <c r="AF57" i="46"/>
  <c r="AG5" i="25"/>
  <c r="D9" i="46"/>
  <c r="D53" i="46" s="1"/>
  <c r="C7" i="46"/>
  <c r="D10" i="46"/>
  <c r="AF54" i="46"/>
  <c r="AG15" i="46"/>
  <c r="AE53" i="46"/>
  <c r="AF9" i="46"/>
  <c r="D22" i="46"/>
  <c r="D21" i="46"/>
  <c r="D55" i="46" s="1"/>
  <c r="C19" i="46"/>
  <c r="D15" i="46"/>
  <c r="D54" i="46" s="1"/>
  <c r="C13" i="46"/>
  <c r="D16" i="46"/>
  <c r="AD60" i="46"/>
  <c r="AY27" i="46"/>
  <c r="AX56" i="46"/>
  <c r="B13" i="46" l="1"/>
  <c r="C15" i="46"/>
  <c r="C54" i="46" s="1"/>
  <c r="C16" i="46"/>
  <c r="AG57" i="46"/>
  <c r="AH5" i="25"/>
  <c r="AF58" i="46"/>
  <c r="AG6" i="26"/>
  <c r="AF53" i="46"/>
  <c r="AG9" i="46"/>
  <c r="D36" i="46"/>
  <c r="E38" i="46"/>
  <c r="E58" i="46" s="1"/>
  <c r="E60" i="46" s="1"/>
  <c r="E39" i="46"/>
  <c r="AE60" i="46"/>
  <c r="AG55" i="46"/>
  <c r="AG54" i="46"/>
  <c r="AH15" i="46"/>
  <c r="D28" i="46"/>
  <c r="D27" i="46"/>
  <c r="D56" i="46" s="1"/>
  <c r="C25" i="46"/>
  <c r="D32" i="46"/>
  <c r="D57" i="46" s="1"/>
  <c r="D33" i="46"/>
  <c r="C31" i="46"/>
  <c r="AZ27" i="46"/>
  <c r="AZ56" i="46" s="1"/>
  <c r="AY56" i="46"/>
  <c r="AH44" i="46"/>
  <c r="AG59" i="46"/>
  <c r="B19" i="46"/>
  <c r="C22" i="46"/>
  <c r="C21" i="46"/>
  <c r="C55" i="46" s="1"/>
  <c r="B7" i="46"/>
  <c r="C9" i="46"/>
  <c r="C53" i="46" s="1"/>
  <c r="C10" i="46"/>
  <c r="E45" i="46"/>
  <c r="D42" i="46"/>
  <c r="E44" i="46"/>
  <c r="E59" i="46" s="1"/>
  <c r="AG56" i="46"/>
  <c r="AH27" i="46"/>
  <c r="B9" i="46" l="1"/>
  <c r="B53" i="46" s="1"/>
  <c r="B10" i="46"/>
  <c r="C33" i="46"/>
  <c r="B31" i="46"/>
  <c r="C32" i="46"/>
  <c r="C57" i="46" s="1"/>
  <c r="AH55" i="46"/>
  <c r="AG58" i="46"/>
  <c r="AH6" i="26"/>
  <c r="AH56" i="46"/>
  <c r="AI27" i="46"/>
  <c r="AH57" i="46"/>
  <c r="AI5" i="25"/>
  <c r="B22" i="46"/>
  <c r="B21" i="46"/>
  <c r="B55" i="46" s="1"/>
  <c r="B25" i="46"/>
  <c r="C27" i="46"/>
  <c r="C56" i="46" s="1"/>
  <c r="C28" i="46"/>
  <c r="AI44" i="46"/>
  <c r="AH59" i="46"/>
  <c r="B15" i="46"/>
  <c r="B54" i="46" s="1"/>
  <c r="B16" i="46"/>
  <c r="D45" i="46"/>
  <c r="C42" i="46"/>
  <c r="D44" i="46"/>
  <c r="D59" i="46" s="1"/>
  <c r="D39" i="46"/>
  <c r="C36" i="46"/>
  <c r="D38" i="46"/>
  <c r="D58" i="46" s="1"/>
  <c r="D60" i="46" s="1"/>
  <c r="AH54" i="46"/>
  <c r="AI15" i="46"/>
  <c r="AG53" i="46"/>
  <c r="AH9" i="46"/>
  <c r="AF60" i="46"/>
  <c r="AG60" i="46" l="1"/>
  <c r="AI55" i="46"/>
  <c r="AI54" i="46"/>
  <c r="AJ15" i="46"/>
  <c r="B32" i="46"/>
  <c r="B57" i="46" s="1"/>
  <c r="B33" i="46"/>
  <c r="AI56" i="46"/>
  <c r="AJ27" i="46"/>
  <c r="AJ56" i="46" s="1"/>
  <c r="AI57" i="46"/>
  <c r="AJ5" i="25"/>
  <c r="C38" i="46"/>
  <c r="C58" i="46" s="1"/>
  <c r="C60" i="46" s="1"/>
  <c r="C39" i="46"/>
  <c r="B36" i="46"/>
  <c r="AI59" i="46"/>
  <c r="AJ44" i="46"/>
  <c r="AH58" i="46"/>
  <c r="AI6" i="26"/>
  <c r="AH53" i="46"/>
  <c r="AI9" i="46"/>
  <c r="C44" i="46"/>
  <c r="C59" i="46" s="1"/>
  <c r="C45" i="46"/>
  <c r="B42" i="46"/>
  <c r="B27" i="46"/>
  <c r="B56" i="46" s="1"/>
  <c r="B28" i="46"/>
  <c r="AH60" i="46" l="1"/>
  <c r="B38" i="46"/>
  <c r="B58" i="46" s="1"/>
  <c r="B60" i="46" s="1"/>
  <c r="B39" i="46"/>
  <c r="B44" i="46"/>
  <c r="B59" i="46" s="1"/>
  <c r="B45" i="46"/>
  <c r="AJ55" i="46"/>
  <c r="AI58" i="46"/>
  <c r="AJ6" i="26"/>
  <c r="AI53" i="46"/>
  <c r="AJ9" i="46"/>
  <c r="AJ54" i="46"/>
  <c r="AK15" i="46"/>
  <c r="AJ57" i="46"/>
  <c r="AK5" i="25"/>
  <c r="AJ59" i="46"/>
  <c r="AK44" i="46"/>
  <c r="AK57" i="46" l="1"/>
  <c r="AL5" i="25"/>
  <c r="AK54" i="46"/>
  <c r="AL15" i="46"/>
  <c r="AK55" i="46"/>
  <c r="AJ53" i="46"/>
  <c r="AK9" i="46"/>
  <c r="AI60" i="46"/>
  <c r="AK59" i="46"/>
  <c r="AL44" i="46"/>
  <c r="AJ58" i="46"/>
  <c r="AK6" i="26"/>
  <c r="AJ60" i="46" l="1"/>
  <c r="AK53" i="46"/>
  <c r="AL9" i="46"/>
  <c r="AL55" i="46"/>
  <c r="AL54" i="46"/>
  <c r="AM15" i="46"/>
  <c r="AL59" i="46"/>
  <c r="AM44" i="46"/>
  <c r="AL57" i="46"/>
  <c r="AM5" i="25"/>
  <c r="AK58" i="46"/>
  <c r="AL6" i="26"/>
  <c r="AM59" i="46" l="1"/>
  <c r="AN44" i="46"/>
  <c r="AM54" i="46"/>
  <c r="AN15" i="46"/>
  <c r="AL58" i="46"/>
  <c r="AM6" i="26"/>
  <c r="AM57" i="46"/>
  <c r="AN5" i="25"/>
  <c r="AL53" i="46"/>
  <c r="AM9" i="46"/>
  <c r="AM55" i="46"/>
  <c r="AK60" i="46"/>
  <c r="AN57" i="46" l="1"/>
  <c r="AO5" i="25"/>
  <c r="AM58" i="46"/>
  <c r="AN6" i="26"/>
  <c r="AN54" i="46"/>
  <c r="AO15" i="46"/>
  <c r="AM53" i="46"/>
  <c r="AN9" i="46"/>
  <c r="AO44" i="46"/>
  <c r="AN59" i="46"/>
  <c r="AN55" i="46"/>
  <c r="AL60" i="46"/>
  <c r="AM60" i="46" l="1"/>
  <c r="AN53" i="46"/>
  <c r="AO9" i="46"/>
  <c r="AO54" i="46"/>
  <c r="AP15" i="46"/>
  <c r="AO57" i="46"/>
  <c r="AP5" i="25"/>
  <c r="AO55" i="46"/>
  <c r="AN58" i="46"/>
  <c r="AO6" i="26"/>
  <c r="AP44" i="46"/>
  <c r="AO59" i="46"/>
  <c r="AP55" i="46" l="1"/>
  <c r="AP57" i="46"/>
  <c r="AQ5" i="25"/>
  <c r="AO53" i="46"/>
  <c r="AP9" i="46"/>
  <c r="AP54" i="46"/>
  <c r="AQ44" i="46"/>
  <c r="AP59" i="46"/>
  <c r="AO58" i="46"/>
  <c r="AP6" i="26"/>
  <c r="AN60" i="46"/>
  <c r="AO60" i="46" l="1"/>
  <c r="AP53" i="46"/>
  <c r="AQ9" i="46"/>
  <c r="AQ55" i="46"/>
  <c r="AQ54" i="46"/>
  <c r="AP58" i="46"/>
  <c r="AQ6" i="26"/>
  <c r="AQ57" i="46"/>
  <c r="AR5" i="25"/>
  <c r="AQ59" i="46"/>
  <c r="AR44" i="46"/>
  <c r="AQ58" i="46" l="1"/>
  <c r="AR6" i="26"/>
  <c r="AQ53" i="46"/>
  <c r="AR9" i="46"/>
  <c r="AR54" i="46"/>
  <c r="AR59" i="46"/>
  <c r="AS44" i="46"/>
  <c r="AR55" i="46"/>
  <c r="AR57" i="46"/>
  <c r="AS5" i="25"/>
  <c r="AP60" i="46"/>
  <c r="AQ60" i="46" l="1"/>
  <c r="AS59" i="46"/>
  <c r="AT44" i="46"/>
  <c r="AS57" i="46"/>
  <c r="AT5" i="25"/>
  <c r="AS55" i="46"/>
  <c r="AS54" i="46"/>
  <c r="AR53" i="46"/>
  <c r="AS9" i="46"/>
  <c r="AR58" i="46"/>
  <c r="AS6" i="26"/>
  <c r="AT54" i="46" l="1"/>
  <c r="AT55" i="46"/>
  <c r="AS58" i="46"/>
  <c r="AT6" i="26"/>
  <c r="AT57" i="46"/>
  <c r="AU5" i="25"/>
  <c r="AS53" i="46"/>
  <c r="AT9" i="46"/>
  <c r="AT59" i="46"/>
  <c r="AU44" i="46"/>
  <c r="AR60" i="46"/>
  <c r="AT58" i="46" l="1"/>
  <c r="AU6" i="26"/>
  <c r="AU59" i="46"/>
  <c r="AV44" i="46"/>
  <c r="AU54" i="46"/>
  <c r="AU57" i="46"/>
  <c r="AV5" i="25"/>
  <c r="AU55" i="46"/>
  <c r="AT53" i="46"/>
  <c r="AU9" i="46"/>
  <c r="AS60" i="46"/>
  <c r="AT60" i="46" l="1"/>
  <c r="AV57" i="46"/>
  <c r="AW5" i="25"/>
  <c r="AU53" i="46"/>
  <c r="AV9" i="46"/>
  <c r="AV55" i="46"/>
  <c r="AV54" i="46"/>
  <c r="AW44" i="46"/>
  <c r="AV59" i="46"/>
  <c r="AU58" i="46"/>
  <c r="AV6" i="26"/>
  <c r="AW54" i="46" l="1"/>
  <c r="AW55" i="46"/>
  <c r="AV53" i="46"/>
  <c r="AW9" i="46"/>
  <c r="AV58" i="46"/>
  <c r="AW6" i="26"/>
  <c r="AU60" i="46"/>
  <c r="AW57" i="46"/>
  <c r="AX5" i="25"/>
  <c r="AX44" i="46"/>
  <c r="AW59" i="46"/>
  <c r="AW53" i="46" l="1"/>
  <c r="AX9" i="46"/>
  <c r="AY44" i="46"/>
  <c r="AX59" i="46"/>
  <c r="AW58" i="46"/>
  <c r="AX6" i="26"/>
  <c r="AV60" i="46"/>
  <c r="AX55" i="46"/>
  <c r="AX57" i="46"/>
  <c r="AY5" i="25"/>
  <c r="AX54" i="46"/>
  <c r="AY54" i="46" l="1"/>
  <c r="AZ54" i="46"/>
  <c r="AX53" i="46"/>
  <c r="AY9" i="46"/>
  <c r="AX58" i="46"/>
  <c r="AY6" i="26"/>
  <c r="AY57" i="46"/>
  <c r="AY59" i="46"/>
  <c r="AZ44" i="46"/>
  <c r="AZ59" i="46" s="1"/>
  <c r="AY55" i="46"/>
  <c r="AZ55" i="46"/>
  <c r="AW60" i="46"/>
  <c r="AZ57" i="46" l="1"/>
  <c r="AZ5" i="25"/>
  <c r="AY58" i="46"/>
  <c r="AY53" i="46"/>
  <c r="AZ9" i="46"/>
  <c r="AZ53" i="46" s="1"/>
  <c r="AX60" i="46"/>
  <c r="AY60" i="46" l="1"/>
  <c r="AZ58" i="46"/>
  <c r="AZ60" i="46" s="1"/>
  <c r="AZ6" i="26"/>
  <c r="W42" i="45" l="1"/>
  <c r="V42" i="45"/>
  <c r="U42" i="45"/>
  <c r="T42" i="45"/>
  <c r="S42" i="45"/>
  <c r="R42" i="45"/>
  <c r="Q42" i="45"/>
  <c r="P42" i="45"/>
  <c r="O42" i="45"/>
  <c r="N42" i="45"/>
  <c r="M42" i="45"/>
  <c r="L42" i="45" s="1"/>
  <c r="K42" i="45" s="1"/>
  <c r="J42" i="45" s="1"/>
  <c r="I42" i="45" s="1"/>
  <c r="H42" i="45" s="1"/>
  <c r="G42" i="45" s="1"/>
  <c r="F42" i="45" s="1"/>
  <c r="E42" i="45" s="1"/>
  <c r="D42" i="45" s="1"/>
  <c r="C42" i="45" s="1"/>
  <c r="B42" i="45" s="1"/>
  <c r="W41" i="45"/>
  <c r="V41" i="45"/>
  <c r="U41" i="45"/>
  <c r="T41" i="45"/>
  <c r="S41" i="45"/>
  <c r="R41" i="45"/>
  <c r="Q41" i="45"/>
  <c r="P41" i="45"/>
  <c r="O41" i="45"/>
  <c r="N41" i="45"/>
  <c r="M41" i="45"/>
  <c r="L41" i="45" s="1"/>
  <c r="K41" i="45" s="1"/>
  <c r="J41" i="45" s="1"/>
  <c r="I41" i="45" s="1"/>
  <c r="H41" i="45" s="1"/>
  <c r="G41" i="45" s="1"/>
  <c r="F41" i="45" s="1"/>
  <c r="E41" i="45" s="1"/>
  <c r="D41" i="45" s="1"/>
  <c r="C41" i="45" s="1"/>
  <c r="B41" i="45" s="1"/>
  <c r="W40" i="45"/>
  <c r="V40" i="45"/>
  <c r="U40" i="45"/>
  <c r="T40" i="45"/>
  <c r="S40" i="45"/>
  <c r="R40" i="45"/>
  <c r="Q40" i="45"/>
  <c r="P40" i="45"/>
  <c r="O40" i="45"/>
  <c r="N40" i="45"/>
  <c r="M40" i="45"/>
  <c r="L40" i="45" s="1"/>
  <c r="K40" i="45" s="1"/>
  <c r="J40" i="45" s="1"/>
  <c r="I40" i="45" s="1"/>
  <c r="H40" i="45" s="1"/>
  <c r="G40" i="45" s="1"/>
  <c r="F40" i="45" s="1"/>
  <c r="E40" i="45" s="1"/>
  <c r="D40" i="45" s="1"/>
  <c r="C40" i="45" s="1"/>
  <c r="B40" i="45" s="1"/>
  <c r="W39" i="45"/>
  <c r="V39" i="45"/>
  <c r="U39" i="45"/>
  <c r="T39" i="45"/>
  <c r="S39" i="45"/>
  <c r="R39" i="45"/>
  <c r="Q39" i="45"/>
  <c r="P39" i="45"/>
  <c r="O39" i="45"/>
  <c r="N39" i="45"/>
  <c r="M39" i="45"/>
  <c r="L39" i="45"/>
  <c r="K39" i="45" s="1"/>
  <c r="J39" i="45" s="1"/>
  <c r="I39" i="45" s="1"/>
  <c r="H39" i="45" s="1"/>
  <c r="G39" i="45" s="1"/>
  <c r="F39" i="45" s="1"/>
  <c r="E39" i="45" s="1"/>
  <c r="D39" i="45" s="1"/>
  <c r="C39" i="45" s="1"/>
  <c r="B39" i="45" s="1"/>
  <c r="W38" i="45"/>
  <c r="V38" i="45"/>
  <c r="U38" i="45"/>
  <c r="T38" i="45"/>
  <c r="S38" i="45"/>
  <c r="R38" i="45"/>
  <c r="Q38" i="45"/>
  <c r="P38" i="45"/>
  <c r="O38" i="45"/>
  <c r="N38" i="45"/>
  <c r="M38" i="45"/>
  <c r="L38" i="45" s="1"/>
  <c r="K38" i="45" s="1"/>
  <c r="J38" i="45" s="1"/>
  <c r="I38" i="45" s="1"/>
  <c r="H38" i="45" s="1"/>
  <c r="G38" i="45" s="1"/>
  <c r="F38" i="45" s="1"/>
  <c r="E38" i="45" s="1"/>
  <c r="D38" i="45" s="1"/>
  <c r="C38" i="45" s="1"/>
  <c r="B38" i="45" s="1"/>
  <c r="W37" i="45"/>
  <c r="V37" i="45"/>
  <c r="U37" i="45"/>
  <c r="T37" i="45"/>
  <c r="S37" i="45"/>
  <c r="R37" i="45"/>
  <c r="Q37" i="45"/>
  <c r="P37" i="45"/>
  <c r="O37" i="45"/>
  <c r="N37" i="45"/>
  <c r="M37" i="45"/>
  <c r="L37" i="45" s="1"/>
  <c r="K37" i="45" s="1"/>
  <c r="J37" i="45" s="1"/>
  <c r="I37" i="45" s="1"/>
  <c r="H37" i="45" s="1"/>
  <c r="G37" i="45" s="1"/>
  <c r="F37" i="45" s="1"/>
  <c r="E37" i="45" s="1"/>
  <c r="D37" i="45" s="1"/>
  <c r="C37" i="45" s="1"/>
  <c r="B37" i="45" s="1"/>
  <c r="W36" i="45"/>
  <c r="V36" i="45"/>
  <c r="U36" i="45"/>
  <c r="T36" i="45"/>
  <c r="S36" i="45"/>
  <c r="R36" i="45"/>
  <c r="Q36" i="45"/>
  <c r="P36" i="45"/>
  <c r="O36" i="45"/>
  <c r="N36" i="45"/>
  <c r="M36" i="45"/>
  <c r="L36" i="45" s="1"/>
  <c r="K36" i="45" s="1"/>
  <c r="J36" i="45" s="1"/>
  <c r="I36" i="45" s="1"/>
  <c r="H36" i="45" s="1"/>
  <c r="G36" i="45" s="1"/>
  <c r="F36" i="45" s="1"/>
  <c r="E36" i="45" s="1"/>
  <c r="D36" i="45" s="1"/>
  <c r="C36" i="45" s="1"/>
  <c r="B36" i="45" s="1"/>
  <c r="W35" i="45"/>
  <c r="V35" i="45"/>
  <c r="U35" i="45"/>
  <c r="T35" i="45"/>
  <c r="S35" i="45"/>
  <c r="R35" i="45"/>
  <c r="Q35" i="45"/>
  <c r="P35" i="45"/>
  <c r="O35" i="45"/>
  <c r="N35" i="45"/>
  <c r="M35" i="45"/>
  <c r="L35" i="45"/>
  <c r="K35" i="45" s="1"/>
  <c r="J35" i="45" s="1"/>
  <c r="I35" i="45" s="1"/>
  <c r="H35" i="45" s="1"/>
  <c r="G35" i="45" s="1"/>
  <c r="F35" i="45" s="1"/>
  <c r="E35" i="45" s="1"/>
  <c r="D35" i="45" s="1"/>
  <c r="C35" i="45" s="1"/>
  <c r="B35" i="45" s="1"/>
  <c r="W34" i="45"/>
  <c r="V34" i="45"/>
  <c r="U34" i="45"/>
  <c r="T34" i="45"/>
  <c r="S34" i="45"/>
  <c r="R34" i="45"/>
  <c r="Q34" i="45"/>
  <c r="P34" i="45"/>
  <c r="O34" i="45"/>
  <c r="N34" i="45"/>
  <c r="M34" i="45"/>
  <c r="L34" i="45" s="1"/>
  <c r="K34" i="45" s="1"/>
  <c r="J34" i="45" s="1"/>
  <c r="I34" i="45" s="1"/>
  <c r="H34" i="45" s="1"/>
  <c r="G34" i="45" s="1"/>
  <c r="F34" i="45" s="1"/>
  <c r="E34" i="45" s="1"/>
  <c r="D34" i="45" s="1"/>
  <c r="C34" i="45" s="1"/>
  <c r="B34" i="45" s="1"/>
  <c r="W33" i="45"/>
  <c r="V33" i="45"/>
  <c r="U33" i="45"/>
  <c r="T33" i="45"/>
  <c r="S33" i="45"/>
  <c r="R33" i="45"/>
  <c r="Q33" i="45"/>
  <c r="P33" i="45"/>
  <c r="O33" i="45"/>
  <c r="N33" i="45"/>
  <c r="M33" i="45"/>
  <c r="L33" i="45" s="1"/>
  <c r="K33" i="45" s="1"/>
  <c r="J33" i="45" s="1"/>
  <c r="I33" i="45" s="1"/>
  <c r="H33" i="45" s="1"/>
  <c r="G33" i="45" s="1"/>
  <c r="F33" i="45" s="1"/>
  <c r="E33" i="45" s="1"/>
  <c r="D33" i="45" s="1"/>
  <c r="C33" i="45" s="1"/>
  <c r="B33" i="45" s="1"/>
  <c r="W32" i="45"/>
  <c r="V32" i="45"/>
  <c r="U32" i="45"/>
  <c r="T32" i="45"/>
  <c r="S32" i="45"/>
  <c r="R32" i="45"/>
  <c r="Q32" i="45"/>
  <c r="P32" i="45"/>
  <c r="O32" i="45"/>
  <c r="N32" i="45"/>
  <c r="M32" i="45"/>
  <c r="L32" i="45" s="1"/>
  <c r="K32" i="45" s="1"/>
  <c r="J32" i="45" s="1"/>
  <c r="I32" i="45" s="1"/>
  <c r="H32" i="45" s="1"/>
  <c r="G32" i="45" s="1"/>
  <c r="F32" i="45" s="1"/>
  <c r="E32" i="45" s="1"/>
  <c r="D32" i="45" s="1"/>
  <c r="C32" i="45" s="1"/>
  <c r="B32" i="45" s="1"/>
  <c r="W31" i="45"/>
  <c r="V31" i="45"/>
  <c r="U31" i="45"/>
  <c r="T31" i="45"/>
  <c r="S31" i="45"/>
  <c r="R31" i="45"/>
  <c r="Q31" i="45"/>
  <c r="P31" i="45"/>
  <c r="O31" i="45"/>
  <c r="N31" i="45"/>
  <c r="M31" i="45"/>
  <c r="L31" i="45"/>
  <c r="K31" i="45" s="1"/>
  <c r="J31" i="45" s="1"/>
  <c r="I31" i="45" s="1"/>
  <c r="H31" i="45" s="1"/>
  <c r="G31" i="45" s="1"/>
  <c r="F31" i="45" s="1"/>
  <c r="E31" i="45" s="1"/>
  <c r="D31" i="45" s="1"/>
  <c r="C31" i="45" s="1"/>
  <c r="B31" i="45" s="1"/>
  <c r="W30" i="45"/>
  <c r="V30" i="45"/>
  <c r="U30" i="45"/>
  <c r="T30" i="45"/>
  <c r="S30" i="45"/>
  <c r="R30" i="45"/>
  <c r="Q30" i="45"/>
  <c r="P30" i="45"/>
  <c r="O30" i="45"/>
  <c r="N30" i="45"/>
  <c r="M30" i="45"/>
  <c r="L30" i="45" s="1"/>
  <c r="K30" i="45" s="1"/>
  <c r="J30" i="45" s="1"/>
  <c r="I30" i="45" s="1"/>
  <c r="H30" i="45" s="1"/>
  <c r="G30" i="45" s="1"/>
  <c r="F30" i="45" s="1"/>
  <c r="E30" i="45" s="1"/>
  <c r="D30" i="45" s="1"/>
  <c r="C30" i="45" s="1"/>
  <c r="B30" i="45" s="1"/>
  <c r="W29" i="45"/>
  <c r="V29" i="45"/>
  <c r="U29" i="45"/>
  <c r="T29" i="45"/>
  <c r="S29" i="45"/>
  <c r="R29" i="45"/>
  <c r="Q29" i="45"/>
  <c r="P29" i="45"/>
  <c r="O29" i="45"/>
  <c r="N29" i="45"/>
  <c r="M29" i="45"/>
  <c r="L29" i="45" s="1"/>
  <c r="K29" i="45" s="1"/>
  <c r="J29" i="45"/>
  <c r="I29" i="45" s="1"/>
  <c r="H29" i="45" s="1"/>
  <c r="G29" i="45" s="1"/>
  <c r="F29" i="45"/>
  <c r="E29" i="45" s="1"/>
  <c r="D29" i="45" s="1"/>
  <c r="C29" i="45" s="1"/>
  <c r="B29" i="45" s="1"/>
  <c r="W28" i="45"/>
  <c r="V28" i="45"/>
  <c r="U28" i="45"/>
  <c r="T28" i="45"/>
  <c r="S28" i="45"/>
  <c r="R28" i="45"/>
  <c r="Q28" i="45"/>
  <c r="P28" i="45"/>
  <c r="O28" i="45"/>
  <c r="N28" i="45"/>
  <c r="M28" i="45"/>
  <c r="L28" i="45" s="1"/>
  <c r="K28" i="45" s="1"/>
  <c r="J28" i="45" s="1"/>
  <c r="I28" i="45" s="1"/>
  <c r="H28" i="45" s="1"/>
  <c r="G28" i="45" s="1"/>
  <c r="F28" i="45" s="1"/>
  <c r="E28" i="45" s="1"/>
  <c r="D28" i="45" s="1"/>
  <c r="C28" i="45" s="1"/>
  <c r="B28" i="45" s="1"/>
  <c r="W27" i="45"/>
  <c r="V27" i="45"/>
  <c r="U27" i="45"/>
  <c r="T27" i="45"/>
  <c r="S27" i="45"/>
  <c r="R27" i="45"/>
  <c r="Q27" i="45"/>
  <c r="P27" i="45"/>
  <c r="O27" i="45"/>
  <c r="N27" i="45"/>
  <c r="M27" i="45"/>
  <c r="L27" i="45" s="1"/>
  <c r="K27" i="45" s="1"/>
  <c r="J27" i="45" s="1"/>
  <c r="I27" i="45" s="1"/>
  <c r="H27" i="45" s="1"/>
  <c r="G27" i="45" s="1"/>
  <c r="F27" i="45" s="1"/>
  <c r="E27" i="45" s="1"/>
  <c r="D27" i="45" s="1"/>
  <c r="C27" i="45" s="1"/>
  <c r="B27" i="45" s="1"/>
  <c r="W26" i="45"/>
  <c r="V26" i="45"/>
  <c r="U26" i="45"/>
  <c r="T26" i="45"/>
  <c r="S26" i="45"/>
  <c r="R26" i="45"/>
  <c r="Q26" i="45"/>
  <c r="P26" i="45"/>
  <c r="O26" i="45"/>
  <c r="N26" i="45"/>
  <c r="M26" i="45"/>
  <c r="L26" i="45" s="1"/>
  <c r="K26" i="45" s="1"/>
  <c r="J26" i="45" s="1"/>
  <c r="I26" i="45" s="1"/>
  <c r="H26" i="45" s="1"/>
  <c r="G26" i="45" s="1"/>
  <c r="F26" i="45" s="1"/>
  <c r="E26" i="45" s="1"/>
  <c r="D26" i="45" s="1"/>
  <c r="C26" i="45" s="1"/>
  <c r="B26" i="45" s="1"/>
  <c r="W25" i="45"/>
  <c r="V25" i="45"/>
  <c r="U25" i="45"/>
  <c r="T25" i="45"/>
  <c r="S25" i="45"/>
  <c r="R25" i="45"/>
  <c r="Q25" i="45"/>
  <c r="P25" i="45"/>
  <c r="O25" i="45"/>
  <c r="N25" i="45"/>
  <c r="M25" i="45"/>
  <c r="L25" i="45"/>
  <c r="K25" i="45" s="1"/>
  <c r="J25" i="45" s="1"/>
  <c r="I25" i="45" s="1"/>
  <c r="H25" i="45" s="1"/>
  <c r="G25" i="45" s="1"/>
  <c r="F25" i="45" s="1"/>
  <c r="E25" i="45" s="1"/>
  <c r="D25" i="45"/>
  <c r="C25" i="45" s="1"/>
  <c r="B25" i="45" s="1"/>
  <c r="W24" i="45"/>
  <c r="V24" i="45"/>
  <c r="U24" i="45"/>
  <c r="T24" i="45"/>
  <c r="S24" i="45"/>
  <c r="R24" i="45"/>
  <c r="Q24" i="45"/>
  <c r="P24" i="45"/>
  <c r="O24" i="45"/>
  <c r="N24" i="45"/>
  <c r="M24" i="45"/>
  <c r="L24" i="45" s="1"/>
  <c r="K24" i="45" s="1"/>
  <c r="J24" i="45" s="1"/>
  <c r="I24" i="45" s="1"/>
  <c r="H24" i="45" s="1"/>
  <c r="G24" i="45" s="1"/>
  <c r="F24" i="45" s="1"/>
  <c r="E24" i="45" s="1"/>
  <c r="D24" i="45" s="1"/>
  <c r="C24" i="45" s="1"/>
  <c r="B24" i="45" s="1"/>
  <c r="W23" i="45"/>
  <c r="V23" i="45"/>
  <c r="U23" i="45"/>
  <c r="T23" i="45"/>
  <c r="S23" i="45"/>
  <c r="R23" i="45"/>
  <c r="Q23" i="45"/>
  <c r="P23" i="45"/>
  <c r="O23" i="45"/>
  <c r="N23" i="45"/>
  <c r="M23" i="45"/>
  <c r="L23" i="45" s="1"/>
  <c r="K23" i="45" s="1"/>
  <c r="J23" i="45" s="1"/>
  <c r="I23" i="45" s="1"/>
  <c r="H23" i="45" s="1"/>
  <c r="G23" i="45" s="1"/>
  <c r="F23" i="45" s="1"/>
  <c r="E23" i="45" s="1"/>
  <c r="D23" i="45" s="1"/>
  <c r="C23" i="45" s="1"/>
  <c r="B23" i="45" s="1"/>
  <c r="W22" i="45"/>
  <c r="V22" i="45"/>
  <c r="U22" i="45"/>
  <c r="T22" i="45"/>
  <c r="S22" i="45"/>
  <c r="R22" i="45"/>
  <c r="Q22" i="45"/>
  <c r="P22" i="45"/>
  <c r="O22" i="45"/>
  <c r="N22" i="45"/>
  <c r="M22" i="45"/>
  <c r="L22" i="45" s="1"/>
  <c r="K22" i="45" s="1"/>
  <c r="J22" i="45" s="1"/>
  <c r="I22" i="45" s="1"/>
  <c r="H22" i="45" s="1"/>
  <c r="G22" i="45" s="1"/>
  <c r="F22" i="45" s="1"/>
  <c r="E22" i="45" s="1"/>
  <c r="D22" i="45" s="1"/>
  <c r="C22" i="45" s="1"/>
  <c r="B22" i="45" s="1"/>
  <c r="W21" i="45"/>
  <c r="V21" i="45"/>
  <c r="U21" i="45"/>
  <c r="T21" i="45"/>
  <c r="S21" i="45"/>
  <c r="R21" i="45"/>
  <c r="Q21" i="45"/>
  <c r="P21" i="45"/>
  <c r="O21" i="45"/>
  <c r="N21" i="45"/>
  <c r="M21" i="45"/>
  <c r="L21" i="45" s="1"/>
  <c r="K21" i="45" s="1"/>
  <c r="J21" i="45" s="1"/>
  <c r="I21" i="45" s="1"/>
  <c r="H21" i="45"/>
  <c r="G21" i="45" s="1"/>
  <c r="F21" i="45" s="1"/>
  <c r="E21" i="45" s="1"/>
  <c r="D21" i="45" s="1"/>
  <c r="C21" i="45" s="1"/>
  <c r="B21" i="45" s="1"/>
  <c r="W20" i="45"/>
  <c r="V20" i="45"/>
  <c r="U20" i="45"/>
  <c r="T20" i="45"/>
  <c r="S20" i="45"/>
  <c r="R20" i="45"/>
  <c r="Q20" i="45"/>
  <c r="P20" i="45"/>
  <c r="O20" i="45"/>
  <c r="N20" i="45"/>
  <c r="M20" i="45"/>
  <c r="L20" i="45"/>
  <c r="K20" i="45"/>
  <c r="J20" i="45" s="1"/>
  <c r="I20" i="45" s="1"/>
  <c r="H20" i="45" s="1"/>
  <c r="G20" i="45" s="1"/>
  <c r="F20" i="45" s="1"/>
  <c r="E20" i="45" s="1"/>
  <c r="D20" i="45" s="1"/>
  <c r="C20" i="45" s="1"/>
  <c r="B20" i="45" s="1"/>
  <c r="W19" i="45"/>
  <c r="V19" i="45"/>
  <c r="U19" i="45"/>
  <c r="T19" i="45"/>
  <c r="S19" i="45"/>
  <c r="R19" i="45"/>
  <c r="Q19" i="45"/>
  <c r="P19" i="45"/>
  <c r="O19" i="45"/>
  <c r="N19" i="45"/>
  <c r="M19" i="45"/>
  <c r="L19" i="45" s="1"/>
  <c r="K19" i="45" s="1"/>
  <c r="J19" i="45" s="1"/>
  <c r="I19" i="45" s="1"/>
  <c r="H19" i="45" s="1"/>
  <c r="G19" i="45" s="1"/>
  <c r="F19" i="45" s="1"/>
  <c r="E19" i="45" s="1"/>
  <c r="D19" i="45" s="1"/>
  <c r="C19" i="45" s="1"/>
  <c r="B19" i="45" s="1"/>
  <c r="W18" i="45"/>
  <c r="V18" i="45"/>
  <c r="U18" i="45"/>
  <c r="T18" i="45"/>
  <c r="S18" i="45"/>
  <c r="R18" i="45"/>
  <c r="Q18" i="45"/>
  <c r="P18" i="45"/>
  <c r="O18" i="45"/>
  <c r="N18" i="45"/>
  <c r="M18" i="45"/>
  <c r="L18" i="45"/>
  <c r="K18" i="45" s="1"/>
  <c r="J18" i="45" s="1"/>
  <c r="I18" i="45" s="1"/>
  <c r="H18" i="45" s="1"/>
  <c r="G18" i="45" s="1"/>
  <c r="F18" i="45" s="1"/>
  <c r="E18" i="45" s="1"/>
  <c r="D18" i="45" s="1"/>
  <c r="C18" i="45" s="1"/>
  <c r="B18" i="45" s="1"/>
  <c r="W17" i="45"/>
  <c r="V17" i="45"/>
  <c r="U17" i="45"/>
  <c r="T17" i="45"/>
  <c r="S17" i="45"/>
  <c r="R17" i="45"/>
  <c r="Q17" i="45"/>
  <c r="P17" i="45"/>
  <c r="O17" i="45"/>
  <c r="N17" i="45"/>
  <c r="M17" i="45"/>
  <c r="L17" i="45" s="1"/>
  <c r="K17" i="45" s="1"/>
  <c r="J17" i="45" s="1"/>
  <c r="I17" i="45" s="1"/>
  <c r="H17" i="45" s="1"/>
  <c r="G17" i="45" s="1"/>
  <c r="F17" i="45" s="1"/>
  <c r="E17" i="45" s="1"/>
  <c r="D17" i="45" s="1"/>
  <c r="C17" i="45" s="1"/>
  <c r="B17" i="45" s="1"/>
  <c r="W16" i="45"/>
  <c r="V16" i="45"/>
  <c r="U16" i="45"/>
  <c r="T16" i="45"/>
  <c r="S16" i="45"/>
  <c r="R16" i="45"/>
  <c r="Q16" i="45"/>
  <c r="P16" i="45"/>
  <c r="O16" i="45"/>
  <c r="N16" i="45"/>
  <c r="M16" i="45"/>
  <c r="L16" i="45" s="1"/>
  <c r="K16" i="45" s="1"/>
  <c r="J16" i="45" s="1"/>
  <c r="I16" i="45" s="1"/>
  <c r="H16" i="45" s="1"/>
  <c r="G16" i="45" s="1"/>
  <c r="F16" i="45" s="1"/>
  <c r="E16" i="45" s="1"/>
  <c r="D16" i="45" s="1"/>
  <c r="C16" i="45" s="1"/>
  <c r="B16" i="45" s="1"/>
  <c r="W15" i="45"/>
  <c r="V15" i="45"/>
  <c r="U15" i="45"/>
  <c r="T15" i="45"/>
  <c r="S15" i="45"/>
  <c r="R15" i="45"/>
  <c r="Q15" i="45"/>
  <c r="P15" i="45"/>
  <c r="O15" i="45"/>
  <c r="N15" i="45"/>
  <c r="M15" i="45"/>
  <c r="L15" i="45" s="1"/>
  <c r="K15" i="45" s="1"/>
  <c r="J15" i="45" s="1"/>
  <c r="I15" i="45" s="1"/>
  <c r="H15" i="45" s="1"/>
  <c r="G15" i="45" s="1"/>
  <c r="F15" i="45" s="1"/>
  <c r="E15" i="45" s="1"/>
  <c r="D15" i="45" s="1"/>
  <c r="C15" i="45" s="1"/>
  <c r="B15" i="45" s="1"/>
  <c r="W14" i="45"/>
  <c r="V14" i="45"/>
  <c r="U14" i="45"/>
  <c r="T14" i="45"/>
  <c r="S14" i="45"/>
  <c r="R14" i="45"/>
  <c r="Q14" i="45"/>
  <c r="P14" i="45"/>
  <c r="O14" i="45"/>
  <c r="N14" i="45"/>
  <c r="M14" i="45"/>
  <c r="L14" i="45" s="1"/>
  <c r="K14" i="45" s="1"/>
  <c r="J14" i="45" s="1"/>
  <c r="I14" i="45" s="1"/>
  <c r="H14" i="45" s="1"/>
  <c r="G14" i="45"/>
  <c r="F14" i="45" s="1"/>
  <c r="E14" i="45" s="1"/>
  <c r="D14" i="45" s="1"/>
  <c r="C14" i="45" s="1"/>
  <c r="B14" i="45" s="1"/>
  <c r="W13" i="45"/>
  <c r="V13" i="45"/>
  <c r="U13" i="45"/>
  <c r="T13" i="45"/>
  <c r="S13" i="45"/>
  <c r="R13" i="45"/>
  <c r="Q13" i="45"/>
  <c r="P13" i="45"/>
  <c r="O13" i="45"/>
  <c r="N13" i="45"/>
  <c r="M13" i="45"/>
  <c r="L13" i="45" s="1"/>
  <c r="K13" i="45" s="1"/>
  <c r="J13" i="45" s="1"/>
  <c r="I13" i="45" s="1"/>
  <c r="H13" i="45" s="1"/>
  <c r="G13" i="45" s="1"/>
  <c r="F13" i="45" s="1"/>
  <c r="E13" i="45" s="1"/>
  <c r="D13" i="45" s="1"/>
  <c r="C13" i="45" s="1"/>
  <c r="B13" i="45" s="1"/>
  <c r="W12" i="45"/>
  <c r="V12" i="45"/>
  <c r="U12" i="45"/>
  <c r="T12" i="45"/>
  <c r="S12" i="45"/>
  <c r="R12" i="45"/>
  <c r="Q12" i="45"/>
  <c r="P12" i="45"/>
  <c r="O12" i="45"/>
  <c r="N12" i="45"/>
  <c r="M12" i="45"/>
  <c r="W42" i="44"/>
  <c r="V42" i="44"/>
  <c r="U42" i="44"/>
  <c r="T42" i="44"/>
  <c r="S42" i="44"/>
  <c r="R42" i="44"/>
  <c r="Q42" i="44"/>
  <c r="P42" i="44"/>
  <c r="O42" i="44"/>
  <c r="N42" i="44"/>
  <c r="M42" i="44"/>
  <c r="L42" i="44"/>
  <c r="K42" i="44" s="1"/>
  <c r="J42" i="44" s="1"/>
  <c r="I42" i="44" s="1"/>
  <c r="H42" i="44"/>
  <c r="G42" i="44" s="1"/>
  <c r="F42" i="44" s="1"/>
  <c r="E42" i="44" s="1"/>
  <c r="D42" i="44" s="1"/>
  <c r="C42" i="44" s="1"/>
  <c r="B42" i="44" s="1"/>
  <c r="W41" i="44"/>
  <c r="V41" i="44"/>
  <c r="U41" i="44"/>
  <c r="T41" i="44"/>
  <c r="S41" i="44"/>
  <c r="R41" i="44"/>
  <c r="Q41" i="44"/>
  <c r="P41" i="44"/>
  <c r="O41" i="44"/>
  <c r="N41" i="44"/>
  <c r="M41" i="44"/>
  <c r="L41" i="44" s="1"/>
  <c r="K41" i="44" s="1"/>
  <c r="J41" i="44" s="1"/>
  <c r="I41" i="44" s="1"/>
  <c r="H41" i="44" s="1"/>
  <c r="G41" i="44" s="1"/>
  <c r="F41" i="44" s="1"/>
  <c r="E41" i="44" s="1"/>
  <c r="D41" i="44" s="1"/>
  <c r="C41" i="44" s="1"/>
  <c r="B41" i="44" s="1"/>
  <c r="W40" i="44"/>
  <c r="V40" i="44"/>
  <c r="U40" i="44"/>
  <c r="T40" i="44"/>
  <c r="S40" i="44"/>
  <c r="R40" i="44"/>
  <c r="Q40" i="44"/>
  <c r="P40" i="44"/>
  <c r="O40" i="44"/>
  <c r="N40" i="44"/>
  <c r="M40" i="44"/>
  <c r="L40" i="44"/>
  <c r="K40" i="44" s="1"/>
  <c r="J40" i="44" s="1"/>
  <c r="I40" i="44" s="1"/>
  <c r="H40" i="44" s="1"/>
  <c r="G40" i="44" s="1"/>
  <c r="F40" i="44" s="1"/>
  <c r="E40" i="44" s="1"/>
  <c r="D40" i="44" s="1"/>
  <c r="C40" i="44" s="1"/>
  <c r="B40" i="44" s="1"/>
  <c r="W39" i="44"/>
  <c r="V39" i="44"/>
  <c r="U39" i="44"/>
  <c r="T39" i="44"/>
  <c r="S39" i="44"/>
  <c r="R39" i="44"/>
  <c r="Q39" i="44"/>
  <c r="P39" i="44"/>
  <c r="O39" i="44"/>
  <c r="N39" i="44"/>
  <c r="M39" i="44"/>
  <c r="L39" i="44" s="1"/>
  <c r="K39" i="44" s="1"/>
  <c r="J39" i="44" s="1"/>
  <c r="I39" i="44" s="1"/>
  <c r="H39" i="44" s="1"/>
  <c r="G39" i="44" s="1"/>
  <c r="F39" i="44" s="1"/>
  <c r="E39" i="44" s="1"/>
  <c r="D39" i="44" s="1"/>
  <c r="C39" i="44" s="1"/>
  <c r="B39" i="44" s="1"/>
  <c r="W38" i="44"/>
  <c r="V38" i="44"/>
  <c r="U38" i="44"/>
  <c r="T38" i="44"/>
  <c r="S38" i="44"/>
  <c r="R38" i="44"/>
  <c r="Q38" i="44"/>
  <c r="P38" i="44"/>
  <c r="O38" i="44"/>
  <c r="N38" i="44"/>
  <c r="M38" i="44"/>
  <c r="L38" i="44"/>
  <c r="K38" i="44"/>
  <c r="J38" i="44" s="1"/>
  <c r="I38" i="44" s="1"/>
  <c r="H38" i="44" s="1"/>
  <c r="G38" i="44" s="1"/>
  <c r="F38" i="44" s="1"/>
  <c r="E38" i="44" s="1"/>
  <c r="D38" i="44" s="1"/>
  <c r="C38" i="44" s="1"/>
  <c r="B38" i="44" s="1"/>
  <c r="W37" i="44"/>
  <c r="V37" i="44"/>
  <c r="U37" i="44"/>
  <c r="T37" i="44"/>
  <c r="S37" i="44"/>
  <c r="R37" i="44"/>
  <c r="Q37" i="44"/>
  <c r="P37" i="44"/>
  <c r="O37" i="44"/>
  <c r="N37" i="44"/>
  <c r="M37" i="44"/>
  <c r="L37" i="44" s="1"/>
  <c r="K37" i="44" s="1"/>
  <c r="J37" i="44" s="1"/>
  <c r="I37" i="44" s="1"/>
  <c r="H37" i="44" s="1"/>
  <c r="G37" i="44" s="1"/>
  <c r="F37" i="44" s="1"/>
  <c r="E37" i="44" s="1"/>
  <c r="D37" i="44" s="1"/>
  <c r="C37" i="44" s="1"/>
  <c r="B37" i="44" s="1"/>
  <c r="W36" i="44"/>
  <c r="V36" i="44"/>
  <c r="U36" i="44"/>
  <c r="T36" i="44"/>
  <c r="S36" i="44"/>
  <c r="R36" i="44"/>
  <c r="Q36" i="44"/>
  <c r="P36" i="44"/>
  <c r="O36" i="44"/>
  <c r="N36" i="44"/>
  <c r="M36" i="44"/>
  <c r="L36" i="44" s="1"/>
  <c r="K36" i="44"/>
  <c r="J36" i="44" s="1"/>
  <c r="I36" i="44" s="1"/>
  <c r="H36" i="44" s="1"/>
  <c r="G36" i="44" s="1"/>
  <c r="F36" i="44"/>
  <c r="E36" i="44" s="1"/>
  <c r="D36" i="44" s="1"/>
  <c r="C36" i="44" s="1"/>
  <c r="B36" i="44" s="1"/>
  <c r="W35" i="44"/>
  <c r="V35" i="44"/>
  <c r="U35" i="44"/>
  <c r="T35" i="44"/>
  <c r="S35" i="44"/>
  <c r="R35" i="44"/>
  <c r="Q35" i="44"/>
  <c r="P35" i="44"/>
  <c r="O35" i="44"/>
  <c r="N35" i="44"/>
  <c r="M35" i="44"/>
  <c r="L35" i="44"/>
  <c r="K35" i="44" s="1"/>
  <c r="J35" i="44" s="1"/>
  <c r="I35" i="44" s="1"/>
  <c r="H35" i="44" s="1"/>
  <c r="G35" i="44" s="1"/>
  <c r="F35" i="44" s="1"/>
  <c r="E35" i="44" s="1"/>
  <c r="D35" i="44" s="1"/>
  <c r="C35" i="44" s="1"/>
  <c r="B35" i="44" s="1"/>
  <c r="W34" i="44"/>
  <c r="V34" i="44"/>
  <c r="U34" i="44"/>
  <c r="T34" i="44"/>
  <c r="S34" i="44"/>
  <c r="R34" i="44"/>
  <c r="Q34" i="44"/>
  <c r="P34" i="44"/>
  <c r="O34" i="44"/>
  <c r="N34" i="44"/>
  <c r="M34" i="44"/>
  <c r="L34" i="44" s="1"/>
  <c r="K34" i="44" s="1"/>
  <c r="J34" i="44" s="1"/>
  <c r="I34" i="44" s="1"/>
  <c r="H34" i="44" s="1"/>
  <c r="G34" i="44" s="1"/>
  <c r="F34" i="44" s="1"/>
  <c r="E34" i="44" s="1"/>
  <c r="D34" i="44" s="1"/>
  <c r="C34" i="44" s="1"/>
  <c r="B34" i="44" s="1"/>
  <c r="W33" i="44"/>
  <c r="V33" i="44"/>
  <c r="U33" i="44"/>
  <c r="T33" i="44"/>
  <c r="S33" i="44"/>
  <c r="R33" i="44"/>
  <c r="Q33" i="44"/>
  <c r="P33" i="44"/>
  <c r="O33" i="44"/>
  <c r="N33" i="44"/>
  <c r="M33" i="44"/>
  <c r="L33" i="44" s="1"/>
  <c r="K33" i="44" s="1"/>
  <c r="J33" i="44" s="1"/>
  <c r="I33" i="44" s="1"/>
  <c r="H33" i="44" s="1"/>
  <c r="G33" i="44" s="1"/>
  <c r="F33" i="44" s="1"/>
  <c r="E33" i="44" s="1"/>
  <c r="D33" i="44" s="1"/>
  <c r="C33" i="44" s="1"/>
  <c r="B33" i="44" s="1"/>
  <c r="W32" i="44"/>
  <c r="V32" i="44"/>
  <c r="U32" i="44"/>
  <c r="T32" i="44"/>
  <c r="S32" i="44"/>
  <c r="R32" i="44"/>
  <c r="Q32" i="44"/>
  <c r="P32" i="44"/>
  <c r="O32" i="44"/>
  <c r="N32" i="44"/>
  <c r="M32" i="44"/>
  <c r="L32" i="44" s="1"/>
  <c r="K32" i="44" s="1"/>
  <c r="J32" i="44" s="1"/>
  <c r="I32" i="44" s="1"/>
  <c r="H32" i="44" s="1"/>
  <c r="G32" i="44" s="1"/>
  <c r="F32" i="44" s="1"/>
  <c r="E32" i="44" s="1"/>
  <c r="D32" i="44" s="1"/>
  <c r="C32" i="44" s="1"/>
  <c r="B32" i="44" s="1"/>
  <c r="W31" i="44"/>
  <c r="V31" i="44"/>
  <c r="U31" i="44"/>
  <c r="T31" i="44"/>
  <c r="S31" i="44"/>
  <c r="R31" i="44"/>
  <c r="Q31" i="44"/>
  <c r="P31" i="44"/>
  <c r="O31" i="44"/>
  <c r="N31" i="44"/>
  <c r="M31" i="44"/>
  <c r="L31" i="44" s="1"/>
  <c r="K31" i="44" s="1"/>
  <c r="J31" i="44" s="1"/>
  <c r="I31" i="44" s="1"/>
  <c r="H31" i="44" s="1"/>
  <c r="G31" i="44" s="1"/>
  <c r="F31" i="44" s="1"/>
  <c r="E31" i="44" s="1"/>
  <c r="D31" i="44" s="1"/>
  <c r="C31" i="44" s="1"/>
  <c r="B31" i="44" s="1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 s="1"/>
  <c r="J30" i="44" s="1"/>
  <c r="I30" i="44" s="1"/>
  <c r="H30" i="44" s="1"/>
  <c r="G30" i="44" s="1"/>
  <c r="F30" i="44" s="1"/>
  <c r="E30" i="44" s="1"/>
  <c r="D30" i="44" s="1"/>
  <c r="C30" i="44" s="1"/>
  <c r="B30" i="44" s="1"/>
  <c r="W29" i="44"/>
  <c r="V29" i="44"/>
  <c r="U29" i="44"/>
  <c r="T29" i="44"/>
  <c r="S29" i="44"/>
  <c r="R29" i="44"/>
  <c r="Q29" i="44"/>
  <c r="P29" i="44"/>
  <c r="O29" i="44"/>
  <c r="N29" i="44"/>
  <c r="M29" i="44"/>
  <c r="L29" i="44" s="1"/>
  <c r="K29" i="44" s="1"/>
  <c r="J29" i="44" s="1"/>
  <c r="I29" i="44" s="1"/>
  <c r="H29" i="44"/>
  <c r="G29" i="44" s="1"/>
  <c r="F29" i="44" s="1"/>
  <c r="E29" i="44" s="1"/>
  <c r="D29" i="44" s="1"/>
  <c r="C29" i="44" s="1"/>
  <c r="B29" i="44" s="1"/>
  <c r="W28" i="44"/>
  <c r="V28" i="44"/>
  <c r="U28" i="44"/>
  <c r="T28" i="44"/>
  <c r="S28" i="44"/>
  <c r="R28" i="44"/>
  <c r="Q28" i="44"/>
  <c r="P28" i="44"/>
  <c r="O28" i="44"/>
  <c r="N28" i="44"/>
  <c r="M28" i="44"/>
  <c r="L28" i="44" s="1"/>
  <c r="K28" i="44" s="1"/>
  <c r="J28" i="44" s="1"/>
  <c r="I28" i="44" s="1"/>
  <c r="H28" i="44"/>
  <c r="G28" i="44" s="1"/>
  <c r="F28" i="44" s="1"/>
  <c r="E28" i="44" s="1"/>
  <c r="D28" i="44" s="1"/>
  <c r="C28" i="44" s="1"/>
  <c r="B28" i="44" s="1"/>
  <c r="W27" i="44"/>
  <c r="V27" i="44"/>
  <c r="U27" i="44"/>
  <c r="T27" i="44"/>
  <c r="S27" i="44"/>
  <c r="R27" i="44"/>
  <c r="Q27" i="44"/>
  <c r="P27" i="44"/>
  <c r="O27" i="44"/>
  <c r="N27" i="44"/>
  <c r="M27" i="44"/>
  <c r="L27" i="44" s="1"/>
  <c r="K27" i="44" s="1"/>
  <c r="J27" i="44" s="1"/>
  <c r="I27" i="44" s="1"/>
  <c r="H27" i="44" s="1"/>
  <c r="G27" i="44" s="1"/>
  <c r="F27" i="44" s="1"/>
  <c r="E27" i="44" s="1"/>
  <c r="D27" i="44" s="1"/>
  <c r="C27" i="44" s="1"/>
  <c r="B27" i="44" s="1"/>
  <c r="W26" i="44"/>
  <c r="V26" i="44"/>
  <c r="U26" i="44"/>
  <c r="T26" i="44"/>
  <c r="S26" i="44"/>
  <c r="R26" i="44"/>
  <c r="Q26" i="44"/>
  <c r="P26" i="44"/>
  <c r="O26" i="44"/>
  <c r="N26" i="44"/>
  <c r="M26" i="44"/>
  <c r="L26" i="44" s="1"/>
  <c r="K26" i="44" s="1"/>
  <c r="J26" i="44" s="1"/>
  <c r="I26" i="44" s="1"/>
  <c r="H26" i="44" s="1"/>
  <c r="G26" i="44" s="1"/>
  <c r="F26" i="44" s="1"/>
  <c r="E26" i="44" s="1"/>
  <c r="D26" i="44" s="1"/>
  <c r="C26" i="44" s="1"/>
  <c r="B26" i="44" s="1"/>
  <c r="W25" i="44"/>
  <c r="V25" i="44"/>
  <c r="U25" i="44"/>
  <c r="T25" i="44"/>
  <c r="S25" i="44"/>
  <c r="R25" i="44"/>
  <c r="Q25" i="44"/>
  <c r="P25" i="44"/>
  <c r="O25" i="44"/>
  <c r="N25" i="44"/>
  <c r="M25" i="44"/>
  <c r="L25" i="44" s="1"/>
  <c r="K25" i="44" s="1"/>
  <c r="J25" i="44" s="1"/>
  <c r="I25" i="44" s="1"/>
  <c r="H25" i="44" s="1"/>
  <c r="G25" i="44" s="1"/>
  <c r="F25" i="44"/>
  <c r="E25" i="44" s="1"/>
  <c r="D25" i="44" s="1"/>
  <c r="C25" i="44" s="1"/>
  <c r="B25" i="44" s="1"/>
  <c r="W24" i="44"/>
  <c r="V24" i="44"/>
  <c r="U24" i="44"/>
  <c r="T24" i="44"/>
  <c r="S24" i="44"/>
  <c r="R24" i="44"/>
  <c r="Q24" i="44"/>
  <c r="P24" i="44"/>
  <c r="O24" i="44"/>
  <c r="N24" i="44"/>
  <c r="M24" i="44"/>
  <c r="L24" i="44" s="1"/>
  <c r="K24" i="44" s="1"/>
  <c r="J24" i="44" s="1"/>
  <c r="I24" i="44" s="1"/>
  <c r="H24" i="44" s="1"/>
  <c r="G24" i="44" s="1"/>
  <c r="F24" i="44" s="1"/>
  <c r="E24" i="44" s="1"/>
  <c r="D24" i="44" s="1"/>
  <c r="C24" i="44" s="1"/>
  <c r="B24" i="44" s="1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 s="1"/>
  <c r="I23" i="44" s="1"/>
  <c r="H23" i="44" s="1"/>
  <c r="G23" i="44" s="1"/>
  <c r="F23" i="44" s="1"/>
  <c r="E23" i="44" s="1"/>
  <c r="D23" i="44" s="1"/>
  <c r="C23" i="44" s="1"/>
  <c r="B23" i="44" s="1"/>
  <c r="W22" i="44"/>
  <c r="V22" i="44"/>
  <c r="U22" i="44"/>
  <c r="T22" i="44"/>
  <c r="S22" i="44"/>
  <c r="R22" i="44"/>
  <c r="Q22" i="44"/>
  <c r="P22" i="44"/>
  <c r="O22" i="44"/>
  <c r="N22" i="44"/>
  <c r="M22" i="44"/>
  <c r="L22" i="44" s="1"/>
  <c r="K22" i="44" s="1"/>
  <c r="J22" i="44" s="1"/>
  <c r="I22" i="44" s="1"/>
  <c r="H22" i="44" s="1"/>
  <c r="G22" i="44" s="1"/>
  <c r="F22" i="44" s="1"/>
  <c r="E22" i="44" s="1"/>
  <c r="D22" i="44" s="1"/>
  <c r="C22" i="44" s="1"/>
  <c r="B22" i="44" s="1"/>
  <c r="W21" i="44"/>
  <c r="V21" i="44"/>
  <c r="U21" i="44"/>
  <c r="T21" i="44"/>
  <c r="S21" i="44"/>
  <c r="R21" i="44"/>
  <c r="Q21" i="44"/>
  <c r="P21" i="44"/>
  <c r="O21" i="44"/>
  <c r="N21" i="44"/>
  <c r="M21" i="44"/>
  <c r="L21" i="44" s="1"/>
  <c r="K21" i="44" s="1"/>
  <c r="J21" i="44" s="1"/>
  <c r="I21" i="44" s="1"/>
  <c r="H21" i="44" s="1"/>
  <c r="G21" i="44" s="1"/>
  <c r="F21" i="44" s="1"/>
  <c r="E21" i="44" s="1"/>
  <c r="D21" i="44" s="1"/>
  <c r="C21" i="44" s="1"/>
  <c r="B21" i="44" s="1"/>
  <c r="W20" i="44"/>
  <c r="V20" i="44"/>
  <c r="U20" i="44"/>
  <c r="T20" i="44"/>
  <c r="S20" i="44"/>
  <c r="R20" i="44"/>
  <c r="Q20" i="44"/>
  <c r="P20" i="44"/>
  <c r="O20" i="44"/>
  <c r="N20" i="44"/>
  <c r="M20" i="44"/>
  <c r="L20" i="44" s="1"/>
  <c r="K20" i="44" s="1"/>
  <c r="J20" i="44" s="1"/>
  <c r="I20" i="44" s="1"/>
  <c r="H20" i="44" s="1"/>
  <c r="G20" i="44" s="1"/>
  <c r="F20" i="44" s="1"/>
  <c r="E20" i="44" s="1"/>
  <c r="D20" i="44" s="1"/>
  <c r="C20" i="44" s="1"/>
  <c r="B20" i="44" s="1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 s="1"/>
  <c r="J19" i="44" s="1"/>
  <c r="I19" i="44" s="1"/>
  <c r="H19" i="44" s="1"/>
  <c r="G19" i="44" s="1"/>
  <c r="F19" i="44" s="1"/>
  <c r="E19" i="44" s="1"/>
  <c r="D19" i="44" s="1"/>
  <c r="C19" i="44" s="1"/>
  <c r="B19" i="44" s="1"/>
  <c r="W18" i="44"/>
  <c r="V18" i="44"/>
  <c r="U18" i="44"/>
  <c r="T18" i="44"/>
  <c r="S18" i="44"/>
  <c r="R18" i="44"/>
  <c r="Q18" i="44"/>
  <c r="P18" i="44"/>
  <c r="O18" i="44"/>
  <c r="N18" i="44"/>
  <c r="M18" i="44"/>
  <c r="L18" i="44" s="1"/>
  <c r="K18" i="44" s="1"/>
  <c r="J18" i="44" s="1"/>
  <c r="I18" i="44" s="1"/>
  <c r="H18" i="44" s="1"/>
  <c r="G18" i="44" s="1"/>
  <c r="F18" i="44" s="1"/>
  <c r="E18" i="44" s="1"/>
  <c r="D18" i="44" s="1"/>
  <c r="C18" i="44" s="1"/>
  <c r="B18" i="44" s="1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 s="1"/>
  <c r="J17" i="44" s="1"/>
  <c r="I17" i="44" s="1"/>
  <c r="H17" i="44" s="1"/>
  <c r="G17" i="44" s="1"/>
  <c r="F17" i="44" s="1"/>
  <c r="E17" i="44" s="1"/>
  <c r="D17" i="44" s="1"/>
  <c r="C17" i="44" s="1"/>
  <c r="B17" i="44" s="1"/>
  <c r="W16" i="44"/>
  <c r="V16" i="44"/>
  <c r="U16" i="44"/>
  <c r="T16" i="44"/>
  <c r="S16" i="44"/>
  <c r="R16" i="44"/>
  <c r="Q16" i="44"/>
  <c r="P16" i="44"/>
  <c r="O16" i="44"/>
  <c r="N16" i="44"/>
  <c r="M16" i="44"/>
  <c r="L16" i="44" s="1"/>
  <c r="K16" i="44" s="1"/>
  <c r="J16" i="44" s="1"/>
  <c r="I16" i="44" s="1"/>
  <c r="H16" i="44" s="1"/>
  <c r="G16" i="44" s="1"/>
  <c r="F16" i="44" s="1"/>
  <c r="E16" i="44" s="1"/>
  <c r="D16" i="44" s="1"/>
  <c r="C16" i="44" s="1"/>
  <c r="B16" i="44" s="1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 s="1"/>
  <c r="H15" i="44" s="1"/>
  <c r="G15" i="44" s="1"/>
  <c r="F15" i="44" s="1"/>
  <c r="E15" i="44" s="1"/>
  <c r="D15" i="44" s="1"/>
  <c r="C15" i="44" s="1"/>
  <c r="B15" i="44" s="1"/>
  <c r="W14" i="44"/>
  <c r="V14" i="44"/>
  <c r="U14" i="44"/>
  <c r="T14" i="44"/>
  <c r="S14" i="44"/>
  <c r="R14" i="44"/>
  <c r="Q14" i="44"/>
  <c r="P14" i="44"/>
  <c r="O14" i="44"/>
  <c r="N14" i="44"/>
  <c r="M14" i="44"/>
  <c r="L14" i="44" s="1"/>
  <c r="K14" i="44" s="1"/>
  <c r="J14" i="44" s="1"/>
  <c r="I14" i="44" s="1"/>
  <c r="H14" i="44" s="1"/>
  <c r="G14" i="44" s="1"/>
  <c r="F14" i="44"/>
  <c r="E14" i="44" s="1"/>
  <c r="D14" i="44" s="1"/>
  <c r="C14" i="44" s="1"/>
  <c r="B14" i="44" s="1"/>
  <c r="W13" i="44"/>
  <c r="V13" i="44"/>
  <c r="U13" i="44"/>
  <c r="T13" i="44"/>
  <c r="S13" i="44"/>
  <c r="R13" i="44"/>
  <c r="Q13" i="44"/>
  <c r="P13" i="44"/>
  <c r="O13" i="44"/>
  <c r="N13" i="44"/>
  <c r="M13" i="44"/>
  <c r="L13" i="44" s="1"/>
  <c r="K13" i="44" s="1"/>
  <c r="J13" i="44" s="1"/>
  <c r="I13" i="44" s="1"/>
  <c r="H13" i="44" s="1"/>
  <c r="G13" i="44" s="1"/>
  <c r="F13" i="44" s="1"/>
  <c r="E13" i="44" s="1"/>
  <c r="D13" i="44" s="1"/>
  <c r="C13" i="44" s="1"/>
  <c r="B13" i="44" s="1"/>
  <c r="W12" i="44"/>
  <c r="V12" i="44"/>
  <c r="U12" i="44"/>
  <c r="T12" i="44"/>
  <c r="S12" i="44"/>
  <c r="R12" i="44"/>
  <c r="Q12" i="44"/>
  <c r="P12" i="44"/>
  <c r="O12" i="44"/>
  <c r="N12" i="44"/>
  <c r="M12" i="44"/>
  <c r="L12" i="44" s="1"/>
  <c r="K12" i="44" s="1"/>
  <c r="W42" i="43"/>
  <c r="V42" i="43"/>
  <c r="U42" i="43"/>
  <c r="T42" i="43"/>
  <c r="S42" i="43"/>
  <c r="R42" i="43"/>
  <c r="Q42" i="43"/>
  <c r="P42" i="43"/>
  <c r="O42" i="43"/>
  <c r="N42" i="43"/>
  <c r="M42" i="43"/>
  <c r="L42" i="43"/>
  <c r="K42" i="43"/>
  <c r="J42" i="43" s="1"/>
  <c r="I42" i="43" s="1"/>
  <c r="H42" i="43" s="1"/>
  <c r="G42" i="43" s="1"/>
  <c r="F42" i="43" s="1"/>
  <c r="E42" i="43" s="1"/>
  <c r="D42" i="43" s="1"/>
  <c r="C42" i="43" s="1"/>
  <c r="B42" i="43" s="1"/>
  <c r="W41" i="43"/>
  <c r="V41" i="43"/>
  <c r="U41" i="43"/>
  <c r="T41" i="43"/>
  <c r="S41" i="43"/>
  <c r="R41" i="43"/>
  <c r="Q41" i="43"/>
  <c r="P41" i="43"/>
  <c r="O41" i="43"/>
  <c r="N41" i="43"/>
  <c r="M41" i="43"/>
  <c r="L41" i="43" s="1"/>
  <c r="K41" i="43" s="1"/>
  <c r="J41" i="43" s="1"/>
  <c r="I41" i="43" s="1"/>
  <c r="H41" i="43" s="1"/>
  <c r="G41" i="43" s="1"/>
  <c r="F41" i="43" s="1"/>
  <c r="E41" i="43" s="1"/>
  <c r="D41" i="43" s="1"/>
  <c r="C41" i="43" s="1"/>
  <c r="B41" i="43" s="1"/>
  <c r="W40" i="43"/>
  <c r="V40" i="43"/>
  <c r="U40" i="43"/>
  <c r="T40" i="43"/>
  <c r="S40" i="43"/>
  <c r="R40" i="43"/>
  <c r="Q40" i="43"/>
  <c r="P40" i="43"/>
  <c r="O40" i="43"/>
  <c r="N40" i="43"/>
  <c r="M40" i="43"/>
  <c r="L40" i="43" s="1"/>
  <c r="K40" i="43" s="1"/>
  <c r="J40" i="43" s="1"/>
  <c r="I40" i="43" s="1"/>
  <c r="H40" i="43" s="1"/>
  <c r="G40" i="43" s="1"/>
  <c r="F40" i="43" s="1"/>
  <c r="E40" i="43" s="1"/>
  <c r="D40" i="43" s="1"/>
  <c r="C40" i="43" s="1"/>
  <c r="B40" i="43" s="1"/>
  <c r="W39" i="43"/>
  <c r="V39" i="43"/>
  <c r="U39" i="43"/>
  <c r="T39" i="43"/>
  <c r="S39" i="43"/>
  <c r="R39" i="43"/>
  <c r="Q39" i="43"/>
  <c r="P39" i="43"/>
  <c r="O39" i="43"/>
  <c r="N39" i="43"/>
  <c r="M39" i="43"/>
  <c r="L39" i="43"/>
  <c r="K39" i="43" s="1"/>
  <c r="J39" i="43" s="1"/>
  <c r="I39" i="43" s="1"/>
  <c r="H39" i="43" s="1"/>
  <c r="G39" i="43" s="1"/>
  <c r="F39" i="43" s="1"/>
  <c r="E39" i="43" s="1"/>
  <c r="D39" i="43" s="1"/>
  <c r="C39" i="43" s="1"/>
  <c r="B39" i="43" s="1"/>
  <c r="W38" i="43"/>
  <c r="V38" i="43"/>
  <c r="U38" i="43"/>
  <c r="T38" i="43"/>
  <c r="S38" i="43"/>
  <c r="R38" i="43"/>
  <c r="Q38" i="43"/>
  <c r="P38" i="43"/>
  <c r="O38" i="43"/>
  <c r="N38" i="43"/>
  <c r="M38" i="43"/>
  <c r="L38" i="43" s="1"/>
  <c r="K38" i="43" s="1"/>
  <c r="J38" i="43" s="1"/>
  <c r="I38" i="43" s="1"/>
  <c r="H38" i="43" s="1"/>
  <c r="G38" i="43" s="1"/>
  <c r="F38" i="43" s="1"/>
  <c r="E38" i="43" s="1"/>
  <c r="D38" i="43" s="1"/>
  <c r="C38" i="43" s="1"/>
  <c r="B38" i="43" s="1"/>
  <c r="W37" i="43"/>
  <c r="V37" i="43"/>
  <c r="U37" i="43"/>
  <c r="T37" i="43"/>
  <c r="S37" i="43"/>
  <c r="R37" i="43"/>
  <c r="Q37" i="43"/>
  <c r="P37" i="43"/>
  <c r="O37" i="43"/>
  <c r="N37" i="43"/>
  <c r="M37" i="43"/>
  <c r="L37" i="43"/>
  <c r="K37" i="43" s="1"/>
  <c r="J37" i="43" s="1"/>
  <c r="I37" i="43" s="1"/>
  <c r="H37" i="43" s="1"/>
  <c r="G37" i="43" s="1"/>
  <c r="F37" i="43" s="1"/>
  <c r="E37" i="43" s="1"/>
  <c r="D37" i="43" s="1"/>
  <c r="C37" i="43" s="1"/>
  <c r="B37" i="43" s="1"/>
  <c r="W36" i="43"/>
  <c r="V36" i="43"/>
  <c r="U36" i="43"/>
  <c r="T36" i="43"/>
  <c r="S36" i="43"/>
  <c r="R36" i="43"/>
  <c r="Q36" i="43"/>
  <c r="P36" i="43"/>
  <c r="O36" i="43"/>
  <c r="N36" i="43"/>
  <c r="M36" i="43"/>
  <c r="L36" i="43"/>
  <c r="K36" i="43" s="1"/>
  <c r="J36" i="43"/>
  <c r="I36" i="43" s="1"/>
  <c r="H36" i="43" s="1"/>
  <c r="G36" i="43" s="1"/>
  <c r="F36" i="43" s="1"/>
  <c r="E36" i="43" s="1"/>
  <c r="D36" i="43" s="1"/>
  <c r="C36" i="43" s="1"/>
  <c r="B36" i="43" s="1"/>
  <c r="W35" i="43"/>
  <c r="V35" i="43"/>
  <c r="U35" i="43"/>
  <c r="T35" i="43"/>
  <c r="S35" i="43"/>
  <c r="R35" i="43"/>
  <c r="Q35" i="43"/>
  <c r="P35" i="43"/>
  <c r="O35" i="43"/>
  <c r="N35" i="43"/>
  <c r="M35" i="43"/>
  <c r="L35" i="43" s="1"/>
  <c r="K35" i="43" s="1"/>
  <c r="J35" i="43" s="1"/>
  <c r="I35" i="43" s="1"/>
  <c r="H35" i="43" s="1"/>
  <c r="G35" i="43" s="1"/>
  <c r="F35" i="43" s="1"/>
  <c r="E35" i="43" s="1"/>
  <c r="D35" i="43" s="1"/>
  <c r="C35" i="43" s="1"/>
  <c r="B35" i="43" s="1"/>
  <c r="W34" i="43"/>
  <c r="V34" i="43"/>
  <c r="U34" i="43"/>
  <c r="T34" i="43"/>
  <c r="S34" i="43"/>
  <c r="R34" i="43"/>
  <c r="Q34" i="43"/>
  <c r="P34" i="43"/>
  <c r="O34" i="43"/>
  <c r="N34" i="43"/>
  <c r="M34" i="43"/>
  <c r="L34" i="43" s="1"/>
  <c r="K34" i="43" s="1"/>
  <c r="J34" i="43" s="1"/>
  <c r="I34" i="43" s="1"/>
  <c r="H34" i="43" s="1"/>
  <c r="G34" i="43" s="1"/>
  <c r="F34" i="43" s="1"/>
  <c r="E34" i="43" s="1"/>
  <c r="D34" i="43" s="1"/>
  <c r="C34" i="43" s="1"/>
  <c r="B34" i="43" s="1"/>
  <c r="W33" i="43"/>
  <c r="V33" i="43"/>
  <c r="U33" i="43"/>
  <c r="T33" i="43"/>
  <c r="S33" i="43"/>
  <c r="R33" i="43"/>
  <c r="Q33" i="43"/>
  <c r="P33" i="43"/>
  <c r="O33" i="43"/>
  <c r="N33" i="43"/>
  <c r="M33" i="43"/>
  <c r="L33" i="43"/>
  <c r="K33" i="43" s="1"/>
  <c r="J33" i="43" s="1"/>
  <c r="I33" i="43" s="1"/>
  <c r="H33" i="43" s="1"/>
  <c r="G33" i="43" s="1"/>
  <c r="F33" i="43" s="1"/>
  <c r="E33" i="43" s="1"/>
  <c r="D33" i="43" s="1"/>
  <c r="C33" i="43" s="1"/>
  <c r="B33" i="43" s="1"/>
  <c r="W32" i="43"/>
  <c r="V32" i="43"/>
  <c r="U32" i="43"/>
  <c r="T32" i="43"/>
  <c r="S32" i="43"/>
  <c r="R32" i="43"/>
  <c r="Q32" i="43"/>
  <c r="P32" i="43"/>
  <c r="O32" i="43"/>
  <c r="N32" i="43"/>
  <c r="M32" i="43"/>
  <c r="L32" i="43"/>
  <c r="K32" i="43" s="1"/>
  <c r="J32" i="43" s="1"/>
  <c r="I32" i="43" s="1"/>
  <c r="H32" i="43" s="1"/>
  <c r="G32" i="43" s="1"/>
  <c r="F32" i="43" s="1"/>
  <c r="E32" i="43" s="1"/>
  <c r="D32" i="43" s="1"/>
  <c r="C32" i="43" s="1"/>
  <c r="B32" i="43" s="1"/>
  <c r="W31" i="43"/>
  <c r="V31" i="43"/>
  <c r="U31" i="43"/>
  <c r="T31" i="43"/>
  <c r="S31" i="43"/>
  <c r="R31" i="43"/>
  <c r="Q31" i="43"/>
  <c r="P31" i="43"/>
  <c r="O31" i="43"/>
  <c r="N31" i="43"/>
  <c r="M31" i="43"/>
  <c r="L31" i="43" s="1"/>
  <c r="K31" i="43" s="1"/>
  <c r="J31" i="43" s="1"/>
  <c r="I31" i="43" s="1"/>
  <c r="H31" i="43" s="1"/>
  <c r="G31" i="43" s="1"/>
  <c r="F31" i="43" s="1"/>
  <c r="E31" i="43" s="1"/>
  <c r="D31" i="43" s="1"/>
  <c r="C31" i="43" s="1"/>
  <c r="B31" i="43" s="1"/>
  <c r="W30" i="43"/>
  <c r="V30" i="43"/>
  <c r="U30" i="43"/>
  <c r="T30" i="43"/>
  <c r="S30" i="43"/>
  <c r="R30" i="43"/>
  <c r="Q30" i="43"/>
  <c r="P30" i="43"/>
  <c r="O30" i="43"/>
  <c r="N30" i="43"/>
  <c r="M30" i="43"/>
  <c r="L30" i="43" s="1"/>
  <c r="K30" i="43" s="1"/>
  <c r="J30" i="43" s="1"/>
  <c r="I30" i="43" s="1"/>
  <c r="H30" i="43" s="1"/>
  <c r="G30" i="43" s="1"/>
  <c r="F30" i="43" s="1"/>
  <c r="E30" i="43" s="1"/>
  <c r="D30" i="43" s="1"/>
  <c r="C30" i="43" s="1"/>
  <c r="B30" i="43" s="1"/>
  <c r="W29" i="43"/>
  <c r="V29" i="43"/>
  <c r="U29" i="43"/>
  <c r="T29" i="43"/>
  <c r="S29" i="43"/>
  <c r="R29" i="43"/>
  <c r="Q29" i="43"/>
  <c r="P29" i="43"/>
  <c r="O29" i="43"/>
  <c r="N29" i="43"/>
  <c r="M29" i="43"/>
  <c r="L29" i="43" s="1"/>
  <c r="K29" i="43" s="1"/>
  <c r="J29" i="43" s="1"/>
  <c r="I29" i="43" s="1"/>
  <c r="H29" i="43" s="1"/>
  <c r="G29" i="43" s="1"/>
  <c r="F29" i="43" s="1"/>
  <c r="E29" i="43" s="1"/>
  <c r="D29" i="43" s="1"/>
  <c r="C29" i="43" s="1"/>
  <c r="B29" i="43" s="1"/>
  <c r="W28" i="43"/>
  <c r="V28" i="43"/>
  <c r="U28" i="43"/>
  <c r="T28" i="43"/>
  <c r="S28" i="43"/>
  <c r="R28" i="43"/>
  <c r="Q28" i="43"/>
  <c r="P28" i="43"/>
  <c r="O28" i="43"/>
  <c r="N28" i="43"/>
  <c r="M28" i="43"/>
  <c r="L28" i="43"/>
  <c r="K28" i="43" s="1"/>
  <c r="J28" i="43"/>
  <c r="I28" i="43" s="1"/>
  <c r="H28" i="43" s="1"/>
  <c r="G28" i="43" s="1"/>
  <c r="F28" i="43" s="1"/>
  <c r="E28" i="43" s="1"/>
  <c r="D28" i="43" s="1"/>
  <c r="C28" i="43" s="1"/>
  <c r="B28" i="43" s="1"/>
  <c r="W27" i="43"/>
  <c r="V27" i="43"/>
  <c r="U27" i="43"/>
  <c r="T27" i="43"/>
  <c r="S27" i="43"/>
  <c r="R27" i="43"/>
  <c r="Q27" i="43"/>
  <c r="P27" i="43"/>
  <c r="O27" i="43"/>
  <c r="N27" i="43"/>
  <c r="M27" i="43"/>
  <c r="L27" i="43" s="1"/>
  <c r="K27" i="43" s="1"/>
  <c r="J27" i="43" s="1"/>
  <c r="I27" i="43" s="1"/>
  <c r="H27" i="43" s="1"/>
  <c r="G27" i="43" s="1"/>
  <c r="F27" i="43" s="1"/>
  <c r="E27" i="43" s="1"/>
  <c r="D27" i="43" s="1"/>
  <c r="C27" i="43" s="1"/>
  <c r="B27" i="43" s="1"/>
  <c r="W26" i="43"/>
  <c r="V26" i="43"/>
  <c r="U26" i="43"/>
  <c r="T26" i="43"/>
  <c r="S26" i="43"/>
  <c r="R26" i="43"/>
  <c r="Q26" i="43"/>
  <c r="P26" i="43"/>
  <c r="O26" i="43"/>
  <c r="N26" i="43"/>
  <c r="M26" i="43"/>
  <c r="L26" i="43" s="1"/>
  <c r="K26" i="43" s="1"/>
  <c r="J26" i="43" s="1"/>
  <c r="I26" i="43" s="1"/>
  <c r="H26" i="43" s="1"/>
  <c r="G26" i="43" s="1"/>
  <c r="F26" i="43" s="1"/>
  <c r="E26" i="43" s="1"/>
  <c r="D26" i="43" s="1"/>
  <c r="C26" i="43" s="1"/>
  <c r="B26" i="43" s="1"/>
  <c r="W25" i="43"/>
  <c r="V25" i="43"/>
  <c r="U25" i="43"/>
  <c r="T25" i="43"/>
  <c r="S25" i="43"/>
  <c r="R25" i="43"/>
  <c r="Q25" i="43"/>
  <c r="P25" i="43"/>
  <c r="O25" i="43"/>
  <c r="N25" i="43"/>
  <c r="M25" i="43"/>
  <c r="L25" i="43"/>
  <c r="K25" i="43"/>
  <c r="J25" i="43" s="1"/>
  <c r="I25" i="43" s="1"/>
  <c r="H25" i="43" s="1"/>
  <c r="G25" i="43" s="1"/>
  <c r="F25" i="43" s="1"/>
  <c r="E25" i="43" s="1"/>
  <c r="D25" i="43" s="1"/>
  <c r="C25" i="43" s="1"/>
  <c r="B25" i="43" s="1"/>
  <c r="W24" i="43"/>
  <c r="V24" i="43"/>
  <c r="U24" i="43"/>
  <c r="T24" i="43"/>
  <c r="S24" i="43"/>
  <c r="R24" i="43"/>
  <c r="Q24" i="43"/>
  <c r="P24" i="43"/>
  <c r="O24" i="43"/>
  <c r="N24" i="43"/>
  <c r="M24" i="43"/>
  <c r="L24" i="43" s="1"/>
  <c r="K24" i="43" s="1"/>
  <c r="J24" i="43" s="1"/>
  <c r="I24" i="43" s="1"/>
  <c r="H24" i="43" s="1"/>
  <c r="G24" i="43" s="1"/>
  <c r="F24" i="43" s="1"/>
  <c r="E24" i="43" s="1"/>
  <c r="D24" i="43" s="1"/>
  <c r="C24" i="43" s="1"/>
  <c r="B24" i="43" s="1"/>
  <c r="W23" i="43"/>
  <c r="V23" i="43"/>
  <c r="U23" i="43"/>
  <c r="T23" i="43"/>
  <c r="S23" i="43"/>
  <c r="R23" i="43"/>
  <c r="Q23" i="43"/>
  <c r="P23" i="43"/>
  <c r="O23" i="43"/>
  <c r="N23" i="43"/>
  <c r="M23" i="43"/>
  <c r="L23" i="43" s="1"/>
  <c r="K23" i="43" s="1"/>
  <c r="J23" i="43" s="1"/>
  <c r="I23" i="43" s="1"/>
  <c r="H23" i="43" s="1"/>
  <c r="G23" i="43" s="1"/>
  <c r="F23" i="43" s="1"/>
  <c r="E23" i="43" s="1"/>
  <c r="D23" i="43" s="1"/>
  <c r="C23" i="43" s="1"/>
  <c r="B23" i="43" s="1"/>
  <c r="W22" i="43"/>
  <c r="V22" i="43"/>
  <c r="U22" i="43"/>
  <c r="T22" i="43"/>
  <c r="S22" i="43"/>
  <c r="R22" i="43"/>
  <c r="Q22" i="43"/>
  <c r="P22" i="43"/>
  <c r="O22" i="43"/>
  <c r="N22" i="43"/>
  <c r="M22" i="43"/>
  <c r="L22" i="43" s="1"/>
  <c r="K22" i="43" s="1"/>
  <c r="J22" i="43" s="1"/>
  <c r="I22" i="43" s="1"/>
  <c r="H22" i="43" s="1"/>
  <c r="G22" i="43" s="1"/>
  <c r="F22" i="43" s="1"/>
  <c r="E22" i="43" s="1"/>
  <c r="D22" i="43" s="1"/>
  <c r="C22" i="43" s="1"/>
  <c r="B22" i="43" s="1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 s="1"/>
  <c r="I21" i="43" s="1"/>
  <c r="H21" i="43" s="1"/>
  <c r="G21" i="43" s="1"/>
  <c r="F21" i="43" s="1"/>
  <c r="E21" i="43" s="1"/>
  <c r="D21" i="43" s="1"/>
  <c r="C21" i="43" s="1"/>
  <c r="B21" i="43" s="1"/>
  <c r="W20" i="43"/>
  <c r="V20" i="43"/>
  <c r="U20" i="43"/>
  <c r="T20" i="43"/>
  <c r="S20" i="43"/>
  <c r="R20" i="43"/>
  <c r="Q20" i="43"/>
  <c r="P20" i="43"/>
  <c r="O20" i="43"/>
  <c r="N20" i="43"/>
  <c r="M20" i="43"/>
  <c r="L20" i="43" s="1"/>
  <c r="K20" i="43" s="1"/>
  <c r="J20" i="43" s="1"/>
  <c r="I20" i="43" s="1"/>
  <c r="H20" i="43" s="1"/>
  <c r="G20" i="43" s="1"/>
  <c r="F20" i="43" s="1"/>
  <c r="E20" i="43" s="1"/>
  <c r="D20" i="43" s="1"/>
  <c r="C20" i="43" s="1"/>
  <c r="B20" i="43" s="1"/>
  <c r="W19" i="43"/>
  <c r="V19" i="43"/>
  <c r="U19" i="43"/>
  <c r="T19" i="43"/>
  <c r="S19" i="43"/>
  <c r="R19" i="43"/>
  <c r="Q19" i="43"/>
  <c r="P19" i="43"/>
  <c r="O19" i="43"/>
  <c r="N19" i="43"/>
  <c r="M19" i="43"/>
  <c r="L19" i="43" s="1"/>
  <c r="K19" i="43" s="1"/>
  <c r="J19" i="43" s="1"/>
  <c r="I19" i="43" s="1"/>
  <c r="H19" i="43" s="1"/>
  <c r="G19" i="43" s="1"/>
  <c r="F19" i="43" s="1"/>
  <c r="E19" i="43" s="1"/>
  <c r="D19" i="43" s="1"/>
  <c r="C19" i="43" s="1"/>
  <c r="B19" i="43" s="1"/>
  <c r="W18" i="43"/>
  <c r="V18" i="43"/>
  <c r="U18" i="43"/>
  <c r="T18" i="43"/>
  <c r="S18" i="43"/>
  <c r="R18" i="43"/>
  <c r="Q18" i="43"/>
  <c r="P18" i="43"/>
  <c r="O18" i="43"/>
  <c r="N18" i="43"/>
  <c r="M18" i="43"/>
  <c r="L18" i="43" s="1"/>
  <c r="K18" i="43" s="1"/>
  <c r="J18" i="43" s="1"/>
  <c r="I18" i="43" s="1"/>
  <c r="H18" i="43" s="1"/>
  <c r="G18" i="43" s="1"/>
  <c r="F18" i="43" s="1"/>
  <c r="E18" i="43" s="1"/>
  <c r="D18" i="43" s="1"/>
  <c r="C18" i="43" s="1"/>
  <c r="B18" i="43" s="1"/>
  <c r="W17" i="43"/>
  <c r="V17" i="43"/>
  <c r="U17" i="43"/>
  <c r="T17" i="43"/>
  <c r="S17" i="43"/>
  <c r="R17" i="43"/>
  <c r="Q17" i="43"/>
  <c r="P17" i="43"/>
  <c r="O17" i="43"/>
  <c r="N17" i="43"/>
  <c r="M17" i="43"/>
  <c r="L17" i="43" s="1"/>
  <c r="K17" i="43" s="1"/>
  <c r="J17" i="43" s="1"/>
  <c r="I17" i="43" s="1"/>
  <c r="H17" i="43" s="1"/>
  <c r="G17" i="43" s="1"/>
  <c r="F17" i="43" s="1"/>
  <c r="E17" i="43" s="1"/>
  <c r="D17" i="43" s="1"/>
  <c r="C17" i="43" s="1"/>
  <c r="B17" i="43" s="1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 s="1"/>
  <c r="J16" i="43"/>
  <c r="I16" i="43" s="1"/>
  <c r="H16" i="43" s="1"/>
  <c r="G16" i="43" s="1"/>
  <c r="F16" i="43" s="1"/>
  <c r="E16" i="43" s="1"/>
  <c r="D16" i="43" s="1"/>
  <c r="C16" i="43" s="1"/>
  <c r="B16" i="43" s="1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 s="1"/>
  <c r="J15" i="43" s="1"/>
  <c r="I15" i="43" s="1"/>
  <c r="H15" i="43" s="1"/>
  <c r="G15" i="43" s="1"/>
  <c r="F15" i="43" s="1"/>
  <c r="E15" i="43" s="1"/>
  <c r="D15" i="43" s="1"/>
  <c r="C15" i="43" s="1"/>
  <c r="B15" i="43" s="1"/>
  <c r="W14" i="43"/>
  <c r="V14" i="43"/>
  <c r="U14" i="43"/>
  <c r="T14" i="43"/>
  <c r="S14" i="43"/>
  <c r="R14" i="43"/>
  <c r="Q14" i="43"/>
  <c r="P14" i="43"/>
  <c r="O14" i="43"/>
  <c r="N14" i="43"/>
  <c r="M14" i="43"/>
  <c r="L14" i="43" s="1"/>
  <c r="K14" i="43" s="1"/>
  <c r="J14" i="43" s="1"/>
  <c r="I14" i="43" s="1"/>
  <c r="H14" i="43" s="1"/>
  <c r="G14" i="43" s="1"/>
  <c r="F14" i="43" s="1"/>
  <c r="E14" i="43" s="1"/>
  <c r="D14" i="43" s="1"/>
  <c r="C14" i="43" s="1"/>
  <c r="B14" i="43" s="1"/>
  <c r="W13" i="43"/>
  <c r="V13" i="43"/>
  <c r="U13" i="43"/>
  <c r="T13" i="43"/>
  <c r="S13" i="43"/>
  <c r="S43" i="43" s="1"/>
  <c r="R13" i="43"/>
  <c r="Q13" i="43"/>
  <c r="P13" i="43"/>
  <c r="O13" i="43"/>
  <c r="N13" i="43"/>
  <c r="M13" i="43"/>
  <c r="L13" i="43"/>
  <c r="K13" i="43"/>
  <c r="J13" i="43" s="1"/>
  <c r="I13" i="43" s="1"/>
  <c r="H13" i="43" s="1"/>
  <c r="G13" i="43" s="1"/>
  <c r="F13" i="43" s="1"/>
  <c r="E13" i="43" s="1"/>
  <c r="D13" i="43" s="1"/>
  <c r="C13" i="43" s="1"/>
  <c r="B13" i="43" s="1"/>
  <c r="W12" i="43"/>
  <c r="V12" i="43"/>
  <c r="U12" i="43"/>
  <c r="T12" i="43"/>
  <c r="S12" i="43"/>
  <c r="R12" i="43"/>
  <c r="Q12" i="43"/>
  <c r="P12" i="43"/>
  <c r="O12" i="43"/>
  <c r="N12" i="43"/>
  <c r="M12" i="43"/>
  <c r="L12" i="43"/>
  <c r="W42" i="42"/>
  <c r="V42" i="42"/>
  <c r="U42" i="42"/>
  <c r="T42" i="42"/>
  <c r="S42" i="42"/>
  <c r="R42" i="42"/>
  <c r="Q42" i="42"/>
  <c r="P42" i="42"/>
  <c r="O42" i="42"/>
  <c r="N42" i="42"/>
  <c r="M42" i="42"/>
  <c r="L42" i="42" s="1"/>
  <c r="K42" i="42" s="1"/>
  <c r="J42" i="42" s="1"/>
  <c r="I42" i="42" s="1"/>
  <c r="H42" i="42" s="1"/>
  <c r="G42" i="42" s="1"/>
  <c r="F42" i="42" s="1"/>
  <c r="E42" i="42" s="1"/>
  <c r="D42" i="42" s="1"/>
  <c r="C42" i="42" s="1"/>
  <c r="B42" i="42" s="1"/>
  <c r="W41" i="42"/>
  <c r="V41" i="42"/>
  <c r="U41" i="42"/>
  <c r="T41" i="42"/>
  <c r="S41" i="42"/>
  <c r="R41" i="42"/>
  <c r="Q41" i="42"/>
  <c r="P41" i="42"/>
  <c r="O41" i="42"/>
  <c r="N41" i="42"/>
  <c r="M41" i="42"/>
  <c r="L41" i="42" s="1"/>
  <c r="K41" i="42" s="1"/>
  <c r="J41" i="42" s="1"/>
  <c r="I41" i="42" s="1"/>
  <c r="H41" i="42" s="1"/>
  <c r="G41" i="42" s="1"/>
  <c r="F41" i="42" s="1"/>
  <c r="E41" i="42" s="1"/>
  <c r="D41" i="42" s="1"/>
  <c r="C41" i="42" s="1"/>
  <c r="B41" i="42" s="1"/>
  <c r="W40" i="42"/>
  <c r="V40" i="42"/>
  <c r="U40" i="42"/>
  <c r="T40" i="42"/>
  <c r="S40" i="42"/>
  <c r="R40" i="42"/>
  <c r="Q40" i="42"/>
  <c r="P40" i="42"/>
  <c r="O40" i="42"/>
  <c r="N40" i="42"/>
  <c r="M40" i="42"/>
  <c r="L40" i="42" s="1"/>
  <c r="K40" i="42" s="1"/>
  <c r="J40" i="42" s="1"/>
  <c r="I40" i="42" s="1"/>
  <c r="H40" i="42" s="1"/>
  <c r="G40" i="42" s="1"/>
  <c r="F40" i="42" s="1"/>
  <c r="E40" i="42" s="1"/>
  <c r="D40" i="42" s="1"/>
  <c r="C40" i="42" s="1"/>
  <c r="B40" i="42" s="1"/>
  <c r="W39" i="42"/>
  <c r="V39" i="42"/>
  <c r="U39" i="42"/>
  <c r="T39" i="42"/>
  <c r="S39" i="42"/>
  <c r="R39" i="42"/>
  <c r="Q39" i="42"/>
  <c r="P39" i="42"/>
  <c r="O39" i="42"/>
  <c r="N39" i="42"/>
  <c r="M39" i="42"/>
  <c r="L39" i="42"/>
  <c r="K39" i="42" s="1"/>
  <c r="J39" i="42" s="1"/>
  <c r="I39" i="42"/>
  <c r="H39" i="42" s="1"/>
  <c r="G39" i="42" s="1"/>
  <c r="F39" i="42" s="1"/>
  <c r="E39" i="42" s="1"/>
  <c r="D39" i="42" s="1"/>
  <c r="C39" i="42" s="1"/>
  <c r="B39" i="42" s="1"/>
  <c r="W38" i="42"/>
  <c r="V38" i="42"/>
  <c r="U38" i="42"/>
  <c r="T38" i="42"/>
  <c r="S38" i="42"/>
  <c r="R38" i="42"/>
  <c r="Q38" i="42"/>
  <c r="P38" i="42"/>
  <c r="O38" i="42"/>
  <c r="N38" i="42"/>
  <c r="M38" i="42"/>
  <c r="L38" i="42"/>
  <c r="K38" i="42" s="1"/>
  <c r="J38" i="42" s="1"/>
  <c r="I38" i="42" s="1"/>
  <c r="H38" i="42" s="1"/>
  <c r="G38" i="42" s="1"/>
  <c r="F38" i="42" s="1"/>
  <c r="E38" i="42" s="1"/>
  <c r="D38" i="42" s="1"/>
  <c r="C38" i="42" s="1"/>
  <c r="B38" i="42" s="1"/>
  <c r="W37" i="42"/>
  <c r="V37" i="42"/>
  <c r="U37" i="42"/>
  <c r="T37" i="42"/>
  <c r="S37" i="42"/>
  <c r="R37" i="42"/>
  <c r="Q37" i="42"/>
  <c r="P37" i="42"/>
  <c r="O37" i="42"/>
  <c r="N37" i="42"/>
  <c r="M37" i="42"/>
  <c r="L37" i="42"/>
  <c r="K37" i="42" s="1"/>
  <c r="J37" i="42" s="1"/>
  <c r="I37" i="42" s="1"/>
  <c r="H37" i="42" s="1"/>
  <c r="G37" i="42" s="1"/>
  <c r="F37" i="42" s="1"/>
  <c r="E37" i="42" s="1"/>
  <c r="D37" i="42" s="1"/>
  <c r="C37" i="42" s="1"/>
  <c r="B37" i="42" s="1"/>
  <c r="W36" i="42"/>
  <c r="V36" i="42"/>
  <c r="U36" i="42"/>
  <c r="T36" i="42"/>
  <c r="S36" i="42"/>
  <c r="R36" i="42"/>
  <c r="Q36" i="42"/>
  <c r="P36" i="42"/>
  <c r="O36" i="42"/>
  <c r="N36" i="42"/>
  <c r="M36" i="42"/>
  <c r="L36" i="42" s="1"/>
  <c r="K36" i="42" s="1"/>
  <c r="J36" i="42" s="1"/>
  <c r="I36" i="42" s="1"/>
  <c r="H36" i="42" s="1"/>
  <c r="G36" i="42" s="1"/>
  <c r="F36" i="42" s="1"/>
  <c r="E36" i="42" s="1"/>
  <c r="D36" i="42" s="1"/>
  <c r="C36" i="42" s="1"/>
  <c r="B36" i="42" s="1"/>
  <c r="W35" i="42"/>
  <c r="V35" i="42"/>
  <c r="U35" i="42"/>
  <c r="T35" i="42"/>
  <c r="S35" i="42"/>
  <c r="R35" i="42"/>
  <c r="Q35" i="42"/>
  <c r="P35" i="42"/>
  <c r="O35" i="42"/>
  <c r="N35" i="42"/>
  <c r="M35" i="42"/>
  <c r="L35" i="42" s="1"/>
  <c r="K35" i="42" s="1"/>
  <c r="J35" i="42" s="1"/>
  <c r="I35" i="42" s="1"/>
  <c r="H35" i="42" s="1"/>
  <c r="G35" i="42" s="1"/>
  <c r="F35" i="42" s="1"/>
  <c r="E35" i="42" s="1"/>
  <c r="D35" i="42" s="1"/>
  <c r="C35" i="42" s="1"/>
  <c r="B35" i="42" s="1"/>
  <c r="W34" i="42"/>
  <c r="V34" i="42"/>
  <c r="U34" i="42"/>
  <c r="T34" i="42"/>
  <c r="S34" i="42"/>
  <c r="R34" i="42"/>
  <c r="Q34" i="42"/>
  <c r="P34" i="42"/>
  <c r="O34" i="42"/>
  <c r="N34" i="42"/>
  <c r="M34" i="42"/>
  <c r="L34" i="42" s="1"/>
  <c r="K34" i="42" s="1"/>
  <c r="J34" i="42" s="1"/>
  <c r="I34" i="42" s="1"/>
  <c r="H34" i="42" s="1"/>
  <c r="G34" i="42" s="1"/>
  <c r="F34" i="42" s="1"/>
  <c r="E34" i="42"/>
  <c r="D34" i="42" s="1"/>
  <c r="C34" i="42" s="1"/>
  <c r="B34" i="42" s="1"/>
  <c r="W33" i="42"/>
  <c r="V33" i="42"/>
  <c r="U33" i="42"/>
  <c r="T33" i="42"/>
  <c r="S33" i="42"/>
  <c r="R33" i="42"/>
  <c r="Q33" i="42"/>
  <c r="P33" i="42"/>
  <c r="O33" i="42"/>
  <c r="N33" i="42"/>
  <c r="M33" i="42"/>
  <c r="L33" i="42" s="1"/>
  <c r="K33" i="42" s="1"/>
  <c r="J33" i="42" s="1"/>
  <c r="I33" i="42" s="1"/>
  <c r="H33" i="42" s="1"/>
  <c r="G33" i="42" s="1"/>
  <c r="F33" i="42" s="1"/>
  <c r="E33" i="42" s="1"/>
  <c r="D33" i="42" s="1"/>
  <c r="C33" i="42" s="1"/>
  <c r="B33" i="42" s="1"/>
  <c r="W32" i="42"/>
  <c r="V32" i="42"/>
  <c r="U32" i="42"/>
  <c r="T32" i="42"/>
  <c r="S32" i="42"/>
  <c r="R32" i="42"/>
  <c r="Q32" i="42"/>
  <c r="P32" i="42"/>
  <c r="O32" i="42"/>
  <c r="N32" i="42"/>
  <c r="M32" i="42"/>
  <c r="L32" i="42" s="1"/>
  <c r="K32" i="42" s="1"/>
  <c r="J32" i="42" s="1"/>
  <c r="I32" i="42" s="1"/>
  <c r="H32" i="42" s="1"/>
  <c r="G32" i="42" s="1"/>
  <c r="F32" i="42" s="1"/>
  <c r="E32" i="42" s="1"/>
  <c r="D32" i="42" s="1"/>
  <c r="C32" i="42" s="1"/>
  <c r="B32" i="42" s="1"/>
  <c r="W31" i="42"/>
  <c r="V31" i="42"/>
  <c r="U31" i="42"/>
  <c r="T31" i="42"/>
  <c r="S31" i="42"/>
  <c r="R31" i="42"/>
  <c r="Q31" i="42"/>
  <c r="P31" i="42"/>
  <c r="O31" i="42"/>
  <c r="N31" i="42"/>
  <c r="M31" i="42"/>
  <c r="L31" i="42" s="1"/>
  <c r="K31" i="42" s="1"/>
  <c r="J31" i="42" s="1"/>
  <c r="I31" i="42" s="1"/>
  <c r="H31" i="42" s="1"/>
  <c r="G31" i="42" s="1"/>
  <c r="F31" i="42" s="1"/>
  <c r="E31" i="42" s="1"/>
  <c r="D31" i="42" s="1"/>
  <c r="C31" i="42" s="1"/>
  <c r="B31" i="42" s="1"/>
  <c r="W30" i="42"/>
  <c r="V30" i="42"/>
  <c r="U30" i="42"/>
  <c r="T30" i="42"/>
  <c r="S30" i="42"/>
  <c r="R30" i="42"/>
  <c r="Q30" i="42"/>
  <c r="P30" i="42"/>
  <c r="O30" i="42"/>
  <c r="N30" i="42"/>
  <c r="M30" i="42"/>
  <c r="L30" i="42"/>
  <c r="K30" i="42" s="1"/>
  <c r="J30" i="42" s="1"/>
  <c r="I30" i="42" s="1"/>
  <c r="H30" i="42" s="1"/>
  <c r="G30" i="42"/>
  <c r="F30" i="42" s="1"/>
  <c r="E30" i="42" s="1"/>
  <c r="D30" i="42" s="1"/>
  <c r="C30" i="42" s="1"/>
  <c r="B30" i="42" s="1"/>
  <c r="W29" i="42"/>
  <c r="V29" i="42"/>
  <c r="U29" i="42"/>
  <c r="T29" i="42"/>
  <c r="S29" i="42"/>
  <c r="R29" i="42"/>
  <c r="Q29" i="42"/>
  <c r="P29" i="42"/>
  <c r="O29" i="42"/>
  <c r="N29" i="42"/>
  <c r="M29" i="42"/>
  <c r="L29" i="42" s="1"/>
  <c r="K29" i="42"/>
  <c r="J29" i="42" s="1"/>
  <c r="I29" i="42" s="1"/>
  <c r="H29" i="42" s="1"/>
  <c r="G29" i="42" s="1"/>
  <c r="F29" i="42" s="1"/>
  <c r="E29" i="42" s="1"/>
  <c r="D29" i="42" s="1"/>
  <c r="C29" i="42" s="1"/>
  <c r="B29" i="42" s="1"/>
  <c r="W28" i="42"/>
  <c r="V28" i="42"/>
  <c r="U28" i="42"/>
  <c r="T28" i="42"/>
  <c r="S28" i="42"/>
  <c r="R28" i="42"/>
  <c r="Q28" i="42"/>
  <c r="P28" i="42"/>
  <c r="O28" i="42"/>
  <c r="N28" i="42"/>
  <c r="M28" i="42"/>
  <c r="L28" i="42"/>
  <c r="K28" i="42" s="1"/>
  <c r="J28" i="42" s="1"/>
  <c r="I28" i="42" s="1"/>
  <c r="H28" i="42" s="1"/>
  <c r="G28" i="42" s="1"/>
  <c r="F28" i="42" s="1"/>
  <c r="E28" i="42" s="1"/>
  <c r="D28" i="42" s="1"/>
  <c r="C28" i="42" s="1"/>
  <c r="B28" i="42" s="1"/>
  <c r="W27" i="42"/>
  <c r="V27" i="42"/>
  <c r="U27" i="42"/>
  <c r="T27" i="42"/>
  <c r="S27" i="42"/>
  <c r="R27" i="42"/>
  <c r="Q27" i="42"/>
  <c r="P27" i="42"/>
  <c r="O27" i="42"/>
  <c r="N27" i="42"/>
  <c r="M27" i="42"/>
  <c r="L27" i="42" s="1"/>
  <c r="K27" i="42" s="1"/>
  <c r="J27" i="42"/>
  <c r="I27" i="42" s="1"/>
  <c r="H27" i="42" s="1"/>
  <c r="G27" i="42"/>
  <c r="F27" i="42" s="1"/>
  <c r="E27" i="42" s="1"/>
  <c r="D27" i="42" s="1"/>
  <c r="C27" i="42" s="1"/>
  <c r="B27" i="42" s="1"/>
  <c r="W26" i="42"/>
  <c r="V26" i="42"/>
  <c r="U26" i="42"/>
  <c r="T26" i="42"/>
  <c r="S26" i="42"/>
  <c r="R26" i="42"/>
  <c r="Q26" i="42"/>
  <c r="P26" i="42"/>
  <c r="O26" i="42"/>
  <c r="N26" i="42"/>
  <c r="M26" i="42"/>
  <c r="L26" i="42" s="1"/>
  <c r="K26" i="42" s="1"/>
  <c r="J26" i="42" s="1"/>
  <c r="I26" i="42" s="1"/>
  <c r="H26" i="42" s="1"/>
  <c r="G26" i="42" s="1"/>
  <c r="F26" i="42" s="1"/>
  <c r="E26" i="42" s="1"/>
  <c r="D26" i="42" s="1"/>
  <c r="C26" i="42" s="1"/>
  <c r="B26" i="42" s="1"/>
  <c r="W25" i="42"/>
  <c r="V25" i="42"/>
  <c r="U25" i="42"/>
  <c r="T25" i="42"/>
  <c r="S25" i="42"/>
  <c r="R25" i="42"/>
  <c r="Q25" i="42"/>
  <c r="P25" i="42"/>
  <c r="O25" i="42"/>
  <c r="N25" i="42"/>
  <c r="M25" i="42"/>
  <c r="L25" i="42" s="1"/>
  <c r="K25" i="42" s="1"/>
  <c r="J25" i="42" s="1"/>
  <c r="I25" i="42" s="1"/>
  <c r="H25" i="42"/>
  <c r="G25" i="42" s="1"/>
  <c r="F25" i="42" s="1"/>
  <c r="E25" i="42" s="1"/>
  <c r="D25" i="42" s="1"/>
  <c r="C25" i="42" s="1"/>
  <c r="B25" i="42" s="1"/>
  <c r="W24" i="42"/>
  <c r="V24" i="42"/>
  <c r="U24" i="42"/>
  <c r="T24" i="42"/>
  <c r="S24" i="42"/>
  <c r="R24" i="42"/>
  <c r="Q24" i="42"/>
  <c r="P24" i="42"/>
  <c r="O24" i="42"/>
  <c r="N24" i="42"/>
  <c r="M24" i="42"/>
  <c r="L24" i="42"/>
  <c r="K24" i="42"/>
  <c r="J24" i="42" s="1"/>
  <c r="I24" i="42" s="1"/>
  <c r="H24" i="42" s="1"/>
  <c r="G24" i="42" s="1"/>
  <c r="F24" i="42" s="1"/>
  <c r="E24" i="42" s="1"/>
  <c r="D24" i="42" s="1"/>
  <c r="C24" i="42" s="1"/>
  <c r="B24" i="42" s="1"/>
  <c r="W23" i="42"/>
  <c r="V23" i="42"/>
  <c r="U23" i="42"/>
  <c r="T23" i="42"/>
  <c r="S23" i="42"/>
  <c r="R23" i="42"/>
  <c r="Q23" i="42"/>
  <c r="P23" i="42"/>
  <c r="O23" i="42"/>
  <c r="N23" i="42"/>
  <c r="M23" i="42"/>
  <c r="L23" i="42" s="1"/>
  <c r="K23" i="42" s="1"/>
  <c r="J23" i="42" s="1"/>
  <c r="I23" i="42" s="1"/>
  <c r="H23" i="42" s="1"/>
  <c r="G23" i="42" s="1"/>
  <c r="F23" i="42" s="1"/>
  <c r="E23" i="42" s="1"/>
  <c r="D23" i="42" s="1"/>
  <c r="C23" i="42" s="1"/>
  <c r="B23" i="42" s="1"/>
  <c r="W22" i="42"/>
  <c r="V22" i="42"/>
  <c r="U22" i="42"/>
  <c r="T22" i="42"/>
  <c r="S22" i="42"/>
  <c r="R22" i="42"/>
  <c r="Q22" i="42"/>
  <c r="P22" i="42"/>
  <c r="O22" i="42"/>
  <c r="N22" i="42"/>
  <c r="M22" i="42"/>
  <c r="L22" i="42"/>
  <c r="K22" i="42" s="1"/>
  <c r="J22" i="42" s="1"/>
  <c r="I22" i="42" s="1"/>
  <c r="H22" i="42" s="1"/>
  <c r="G22" i="42" s="1"/>
  <c r="F22" i="42" s="1"/>
  <c r="E22" i="42" s="1"/>
  <c r="D22" i="42" s="1"/>
  <c r="C22" i="42" s="1"/>
  <c r="B22" i="42" s="1"/>
  <c r="W21" i="42"/>
  <c r="V21" i="42"/>
  <c r="U21" i="42"/>
  <c r="T21" i="42"/>
  <c r="S21" i="42"/>
  <c r="R21" i="42"/>
  <c r="Q21" i="42"/>
  <c r="P21" i="42"/>
  <c r="O21" i="42"/>
  <c r="N21" i="42"/>
  <c r="M21" i="42"/>
  <c r="L21" i="42" s="1"/>
  <c r="K21" i="42" s="1"/>
  <c r="J21" i="42" s="1"/>
  <c r="I21" i="42" s="1"/>
  <c r="H21" i="42" s="1"/>
  <c r="G21" i="42" s="1"/>
  <c r="F21" i="42" s="1"/>
  <c r="E21" i="42" s="1"/>
  <c r="D21" i="42" s="1"/>
  <c r="C21" i="42" s="1"/>
  <c r="B21" i="42" s="1"/>
  <c r="W20" i="42"/>
  <c r="V20" i="42"/>
  <c r="U20" i="42"/>
  <c r="T20" i="42"/>
  <c r="S20" i="42"/>
  <c r="R20" i="42"/>
  <c r="Q20" i="42"/>
  <c r="P20" i="42"/>
  <c r="O20" i="42"/>
  <c r="N20" i="42"/>
  <c r="M20" i="42"/>
  <c r="L20" i="42"/>
  <c r="K20" i="42" s="1"/>
  <c r="J20" i="42" s="1"/>
  <c r="I20" i="42" s="1"/>
  <c r="H20" i="42" s="1"/>
  <c r="G20" i="42" s="1"/>
  <c r="F20" i="42" s="1"/>
  <c r="E20" i="42" s="1"/>
  <c r="D20" i="42" s="1"/>
  <c r="C20" i="42" s="1"/>
  <c r="B20" i="42" s="1"/>
  <c r="W19" i="42"/>
  <c r="V19" i="42"/>
  <c r="U19" i="42"/>
  <c r="T19" i="42"/>
  <c r="S19" i="42"/>
  <c r="R19" i="42"/>
  <c r="Q19" i="42"/>
  <c r="P19" i="42"/>
  <c r="O19" i="42"/>
  <c r="N19" i="42"/>
  <c r="M19" i="42"/>
  <c r="L19" i="42" s="1"/>
  <c r="K19" i="42" s="1"/>
  <c r="J19" i="42" s="1"/>
  <c r="I19" i="42" s="1"/>
  <c r="H19" i="42" s="1"/>
  <c r="G19" i="42" s="1"/>
  <c r="F19" i="42" s="1"/>
  <c r="E19" i="42" s="1"/>
  <c r="D19" i="42" s="1"/>
  <c r="C19" i="42" s="1"/>
  <c r="B19" i="42" s="1"/>
  <c r="W18" i="42"/>
  <c r="V18" i="42"/>
  <c r="U18" i="42"/>
  <c r="T18" i="42"/>
  <c r="S18" i="42"/>
  <c r="R18" i="42"/>
  <c r="Q18" i="42"/>
  <c r="P18" i="42"/>
  <c r="O18" i="42"/>
  <c r="N18" i="42"/>
  <c r="M18" i="42"/>
  <c r="L18" i="42" s="1"/>
  <c r="K18" i="42" s="1"/>
  <c r="J18" i="42" s="1"/>
  <c r="I18" i="42" s="1"/>
  <c r="H18" i="42" s="1"/>
  <c r="G18" i="42" s="1"/>
  <c r="F18" i="42" s="1"/>
  <c r="E18" i="42" s="1"/>
  <c r="D18" i="42" s="1"/>
  <c r="C18" i="42" s="1"/>
  <c r="B18" i="42" s="1"/>
  <c r="W17" i="42"/>
  <c r="V17" i="42"/>
  <c r="U17" i="42"/>
  <c r="T17" i="42"/>
  <c r="S17" i="42"/>
  <c r="R17" i="42"/>
  <c r="Q17" i="42"/>
  <c r="P17" i="42"/>
  <c r="O17" i="42"/>
  <c r="N17" i="42"/>
  <c r="M17" i="42"/>
  <c r="L17" i="42" s="1"/>
  <c r="K17" i="42" s="1"/>
  <c r="J17" i="42" s="1"/>
  <c r="I17" i="42" s="1"/>
  <c r="H17" i="42" s="1"/>
  <c r="G17" i="42" s="1"/>
  <c r="F17" i="42" s="1"/>
  <c r="E17" i="42" s="1"/>
  <c r="D17" i="42" s="1"/>
  <c r="C17" i="42" s="1"/>
  <c r="B17" i="42" s="1"/>
  <c r="W16" i="42"/>
  <c r="V16" i="42"/>
  <c r="U16" i="42"/>
  <c r="T16" i="42"/>
  <c r="S16" i="42"/>
  <c r="R16" i="42"/>
  <c r="Q16" i="42"/>
  <c r="P16" i="42"/>
  <c r="O16" i="42"/>
  <c r="N16" i="42"/>
  <c r="M16" i="42"/>
  <c r="L16" i="42"/>
  <c r="K16" i="42" s="1"/>
  <c r="J16" i="42" s="1"/>
  <c r="I16" i="42" s="1"/>
  <c r="H16" i="42" s="1"/>
  <c r="G16" i="42" s="1"/>
  <c r="F16" i="42" s="1"/>
  <c r="E16" i="42" s="1"/>
  <c r="D16" i="42" s="1"/>
  <c r="C16" i="42" s="1"/>
  <c r="B16" i="42" s="1"/>
  <c r="W15" i="42"/>
  <c r="V15" i="42"/>
  <c r="U15" i="42"/>
  <c r="T15" i="42"/>
  <c r="S15" i="42"/>
  <c r="R15" i="42"/>
  <c r="Q15" i="42"/>
  <c r="P15" i="42"/>
  <c r="O15" i="42"/>
  <c r="N15" i="42"/>
  <c r="M15" i="42"/>
  <c r="L15" i="42" s="1"/>
  <c r="K15" i="42" s="1"/>
  <c r="J15" i="42" s="1"/>
  <c r="I15" i="42" s="1"/>
  <c r="H15" i="42" s="1"/>
  <c r="G15" i="42" s="1"/>
  <c r="F15" i="42" s="1"/>
  <c r="E15" i="42" s="1"/>
  <c r="D15" i="42" s="1"/>
  <c r="C15" i="42" s="1"/>
  <c r="B15" i="42" s="1"/>
  <c r="W14" i="42"/>
  <c r="V14" i="42"/>
  <c r="U14" i="42"/>
  <c r="T14" i="42"/>
  <c r="S14" i="42"/>
  <c r="R14" i="42"/>
  <c r="Q14" i="42"/>
  <c r="P14" i="42"/>
  <c r="O14" i="42"/>
  <c r="N14" i="42"/>
  <c r="M14" i="42"/>
  <c r="L14" i="42" s="1"/>
  <c r="K14" i="42" s="1"/>
  <c r="J14" i="42" s="1"/>
  <c r="I14" i="42" s="1"/>
  <c r="H14" i="42" s="1"/>
  <c r="G14" i="42" s="1"/>
  <c r="F14" i="42" s="1"/>
  <c r="E14" i="42" s="1"/>
  <c r="D14" i="42" s="1"/>
  <c r="C14" i="42" s="1"/>
  <c r="B14" i="42" s="1"/>
  <c r="W13" i="42"/>
  <c r="V13" i="42"/>
  <c r="U13" i="42"/>
  <c r="T13" i="42"/>
  <c r="S13" i="42"/>
  <c r="R13" i="42"/>
  <c r="Q13" i="42"/>
  <c r="P13" i="42"/>
  <c r="O13" i="42"/>
  <c r="N13" i="42"/>
  <c r="M13" i="42"/>
  <c r="L13" i="42" s="1"/>
  <c r="K13" i="42" s="1"/>
  <c r="J13" i="42" s="1"/>
  <c r="I13" i="42" s="1"/>
  <c r="H13" i="42" s="1"/>
  <c r="G13" i="42" s="1"/>
  <c r="F13" i="42" s="1"/>
  <c r="E13" i="42" s="1"/>
  <c r="D13" i="42" s="1"/>
  <c r="C13" i="42" s="1"/>
  <c r="B13" i="42" s="1"/>
  <c r="W12" i="42"/>
  <c r="V12" i="42"/>
  <c r="U12" i="42"/>
  <c r="T12" i="42"/>
  <c r="S12" i="42"/>
  <c r="R12" i="42"/>
  <c r="Q12" i="42"/>
  <c r="P12" i="42"/>
  <c r="O12" i="42"/>
  <c r="N12" i="42"/>
  <c r="M12" i="42"/>
  <c r="W42" i="41"/>
  <c r="V42" i="41"/>
  <c r="U42" i="41"/>
  <c r="T42" i="41"/>
  <c r="S42" i="41"/>
  <c r="R42" i="41"/>
  <c r="Q42" i="41"/>
  <c r="P42" i="41"/>
  <c r="O42" i="41"/>
  <c r="N42" i="41"/>
  <c r="M42" i="41"/>
  <c r="L42" i="41" s="1"/>
  <c r="K42" i="41" s="1"/>
  <c r="J42" i="41" s="1"/>
  <c r="I42" i="41" s="1"/>
  <c r="H42" i="41" s="1"/>
  <c r="G42" i="41" s="1"/>
  <c r="F42" i="41" s="1"/>
  <c r="E42" i="41" s="1"/>
  <c r="D42" i="41" s="1"/>
  <c r="C42" i="41" s="1"/>
  <c r="B42" i="41" s="1"/>
  <c r="W41" i="41"/>
  <c r="V41" i="41"/>
  <c r="U41" i="41"/>
  <c r="T41" i="41"/>
  <c r="S41" i="41"/>
  <c r="R41" i="41"/>
  <c r="Q41" i="41"/>
  <c r="P41" i="41"/>
  <c r="O41" i="41"/>
  <c r="N41" i="41"/>
  <c r="M41" i="41"/>
  <c r="L41" i="41" s="1"/>
  <c r="K41" i="41" s="1"/>
  <c r="J41" i="41" s="1"/>
  <c r="I41" i="41" s="1"/>
  <c r="H41" i="41" s="1"/>
  <c r="G41" i="41" s="1"/>
  <c r="F41" i="41" s="1"/>
  <c r="E41" i="41" s="1"/>
  <c r="D41" i="41" s="1"/>
  <c r="C41" i="41" s="1"/>
  <c r="B41" i="41" s="1"/>
  <c r="W40" i="41"/>
  <c r="V40" i="41"/>
  <c r="U40" i="41"/>
  <c r="T40" i="41"/>
  <c r="S40" i="41"/>
  <c r="R40" i="41"/>
  <c r="Q40" i="41"/>
  <c r="P40" i="41"/>
  <c r="O40" i="41"/>
  <c r="N40" i="41"/>
  <c r="M40" i="41"/>
  <c r="L40" i="41" s="1"/>
  <c r="K40" i="41" s="1"/>
  <c r="J40" i="41" s="1"/>
  <c r="I40" i="41" s="1"/>
  <c r="H40" i="41" s="1"/>
  <c r="G40" i="41" s="1"/>
  <c r="F40" i="41" s="1"/>
  <c r="E40" i="41" s="1"/>
  <c r="D40" i="41" s="1"/>
  <c r="C40" i="41" s="1"/>
  <c r="B40" i="41" s="1"/>
  <c r="W39" i="41"/>
  <c r="V39" i="41"/>
  <c r="U39" i="41"/>
  <c r="T39" i="41"/>
  <c r="S39" i="41"/>
  <c r="R39" i="41"/>
  <c r="Q39" i="41"/>
  <c r="P39" i="41"/>
  <c r="O39" i="41"/>
  <c r="N39" i="41"/>
  <c r="M39" i="41"/>
  <c r="L39" i="41" s="1"/>
  <c r="K39" i="41" s="1"/>
  <c r="J39" i="41" s="1"/>
  <c r="I39" i="41" s="1"/>
  <c r="H39" i="41" s="1"/>
  <c r="G39" i="41" s="1"/>
  <c r="F39" i="41" s="1"/>
  <c r="E39" i="41" s="1"/>
  <c r="D39" i="41" s="1"/>
  <c r="C39" i="41" s="1"/>
  <c r="B39" i="41" s="1"/>
  <c r="W38" i="41"/>
  <c r="V38" i="41"/>
  <c r="U38" i="41"/>
  <c r="T38" i="41"/>
  <c r="S38" i="41"/>
  <c r="R38" i="41"/>
  <c r="Q38" i="41"/>
  <c r="P38" i="41"/>
  <c r="O38" i="41"/>
  <c r="N38" i="41"/>
  <c r="M38" i="41"/>
  <c r="L38" i="41"/>
  <c r="K38" i="41" s="1"/>
  <c r="J38" i="41" s="1"/>
  <c r="I38" i="41" s="1"/>
  <c r="H38" i="41" s="1"/>
  <c r="G38" i="41" s="1"/>
  <c r="F38" i="41" s="1"/>
  <c r="E38" i="41" s="1"/>
  <c r="D38" i="41" s="1"/>
  <c r="C38" i="41" s="1"/>
  <c r="B38" i="41" s="1"/>
  <c r="W37" i="41"/>
  <c r="V37" i="41"/>
  <c r="U37" i="41"/>
  <c r="T37" i="41"/>
  <c r="S37" i="41"/>
  <c r="R37" i="41"/>
  <c r="Q37" i="41"/>
  <c r="P37" i="41"/>
  <c r="O37" i="41"/>
  <c r="N37" i="41"/>
  <c r="M37" i="41"/>
  <c r="L37" i="41" s="1"/>
  <c r="K37" i="41" s="1"/>
  <c r="J37" i="41" s="1"/>
  <c r="I37" i="41" s="1"/>
  <c r="H37" i="41" s="1"/>
  <c r="G37" i="41" s="1"/>
  <c r="F37" i="41" s="1"/>
  <c r="E37" i="41" s="1"/>
  <c r="D37" i="41" s="1"/>
  <c r="C37" i="41" s="1"/>
  <c r="B37" i="41" s="1"/>
  <c r="W36" i="41"/>
  <c r="V36" i="41"/>
  <c r="U36" i="41"/>
  <c r="T36" i="41"/>
  <c r="S36" i="41"/>
  <c r="R36" i="41"/>
  <c r="Q36" i="41"/>
  <c r="P36" i="41"/>
  <c r="O36" i="41"/>
  <c r="N36" i="41"/>
  <c r="M36" i="41"/>
  <c r="L36" i="41"/>
  <c r="K36" i="41" s="1"/>
  <c r="J36" i="41"/>
  <c r="I36" i="41" s="1"/>
  <c r="H36" i="41" s="1"/>
  <c r="G36" i="41" s="1"/>
  <c r="F36" i="41" s="1"/>
  <c r="E36" i="41" s="1"/>
  <c r="D36" i="41" s="1"/>
  <c r="C36" i="41" s="1"/>
  <c r="B36" i="41" s="1"/>
  <c r="W35" i="41"/>
  <c r="V35" i="41"/>
  <c r="U35" i="41"/>
  <c r="T35" i="41"/>
  <c r="S35" i="41"/>
  <c r="R35" i="41"/>
  <c r="Q35" i="41"/>
  <c r="P35" i="41"/>
  <c r="O35" i="41"/>
  <c r="N35" i="41"/>
  <c r="M35" i="41"/>
  <c r="L35" i="41"/>
  <c r="K35" i="41" s="1"/>
  <c r="J35" i="41" s="1"/>
  <c r="I35" i="41" s="1"/>
  <c r="H35" i="41" s="1"/>
  <c r="G35" i="41" s="1"/>
  <c r="F35" i="41" s="1"/>
  <c r="E35" i="41" s="1"/>
  <c r="D35" i="41" s="1"/>
  <c r="C35" i="41" s="1"/>
  <c r="B35" i="41" s="1"/>
  <c r="W34" i="41"/>
  <c r="V34" i="41"/>
  <c r="U34" i="41"/>
  <c r="T34" i="41"/>
  <c r="S34" i="41"/>
  <c r="R34" i="41"/>
  <c r="Q34" i="41"/>
  <c r="P34" i="41"/>
  <c r="O34" i="41"/>
  <c r="N34" i="41"/>
  <c r="M34" i="41"/>
  <c r="L34" i="41" s="1"/>
  <c r="K34" i="41" s="1"/>
  <c r="J34" i="41" s="1"/>
  <c r="I34" i="41" s="1"/>
  <c r="H34" i="41" s="1"/>
  <c r="G34" i="41" s="1"/>
  <c r="F34" i="41" s="1"/>
  <c r="E34" i="41" s="1"/>
  <c r="D34" i="41" s="1"/>
  <c r="C34" i="41" s="1"/>
  <c r="B34" i="41" s="1"/>
  <c r="W33" i="41"/>
  <c r="V33" i="41"/>
  <c r="U33" i="41"/>
  <c r="T33" i="41"/>
  <c r="S33" i="41"/>
  <c r="R33" i="41"/>
  <c r="Q33" i="41"/>
  <c r="P33" i="41"/>
  <c r="O33" i="41"/>
  <c r="N33" i="41"/>
  <c r="M33" i="41"/>
  <c r="L33" i="41" s="1"/>
  <c r="K33" i="41" s="1"/>
  <c r="J33" i="41" s="1"/>
  <c r="I33" i="41" s="1"/>
  <c r="H33" i="41"/>
  <c r="G33" i="41" s="1"/>
  <c r="F33" i="41" s="1"/>
  <c r="E33" i="41" s="1"/>
  <c r="D33" i="41" s="1"/>
  <c r="C33" i="41" s="1"/>
  <c r="B33" i="41" s="1"/>
  <c r="W32" i="41"/>
  <c r="V32" i="41"/>
  <c r="U32" i="41"/>
  <c r="T32" i="41"/>
  <c r="S32" i="41"/>
  <c r="R32" i="41"/>
  <c r="Q32" i="41"/>
  <c r="P32" i="41"/>
  <c r="O32" i="41"/>
  <c r="N32" i="41"/>
  <c r="M32" i="41"/>
  <c r="L32" i="41" s="1"/>
  <c r="K32" i="41" s="1"/>
  <c r="J32" i="41" s="1"/>
  <c r="I32" i="41" s="1"/>
  <c r="H32" i="41" s="1"/>
  <c r="G32" i="41" s="1"/>
  <c r="F32" i="41" s="1"/>
  <c r="E32" i="41" s="1"/>
  <c r="D32" i="41" s="1"/>
  <c r="C32" i="41" s="1"/>
  <c r="B32" i="41" s="1"/>
  <c r="W31" i="41"/>
  <c r="V31" i="41"/>
  <c r="U31" i="41"/>
  <c r="T31" i="41"/>
  <c r="S31" i="41"/>
  <c r="R31" i="41"/>
  <c r="Q31" i="41"/>
  <c r="P31" i="41"/>
  <c r="O31" i="41"/>
  <c r="N31" i="41"/>
  <c r="M31" i="41"/>
  <c r="L31" i="41" s="1"/>
  <c r="K31" i="41" s="1"/>
  <c r="J31" i="41" s="1"/>
  <c r="I31" i="41" s="1"/>
  <c r="H31" i="41" s="1"/>
  <c r="G31" i="41" s="1"/>
  <c r="F31" i="41" s="1"/>
  <c r="E31" i="41" s="1"/>
  <c r="D31" i="41" s="1"/>
  <c r="C31" i="41" s="1"/>
  <c r="B31" i="41" s="1"/>
  <c r="W30" i="41"/>
  <c r="V30" i="41"/>
  <c r="U30" i="41"/>
  <c r="T30" i="41"/>
  <c r="S30" i="41"/>
  <c r="R30" i="41"/>
  <c r="Q30" i="41"/>
  <c r="P30" i="41"/>
  <c r="O30" i="41"/>
  <c r="N30" i="41"/>
  <c r="M30" i="41"/>
  <c r="L30" i="41"/>
  <c r="K30" i="41" s="1"/>
  <c r="J30" i="41" s="1"/>
  <c r="I30" i="41" s="1"/>
  <c r="H30" i="41" s="1"/>
  <c r="G30" i="41" s="1"/>
  <c r="F30" i="41" s="1"/>
  <c r="E30" i="41" s="1"/>
  <c r="D30" i="41" s="1"/>
  <c r="C30" i="41" s="1"/>
  <c r="B30" i="41" s="1"/>
  <c r="W29" i="41"/>
  <c r="V29" i="41"/>
  <c r="U29" i="41"/>
  <c r="T29" i="41"/>
  <c r="S29" i="41"/>
  <c r="R29" i="41"/>
  <c r="Q29" i="41"/>
  <c r="P29" i="41"/>
  <c r="O29" i="41"/>
  <c r="N29" i="41"/>
  <c r="M29" i="41"/>
  <c r="L29" i="41" s="1"/>
  <c r="K29" i="41" s="1"/>
  <c r="J29" i="41" s="1"/>
  <c r="I29" i="41" s="1"/>
  <c r="H29" i="41" s="1"/>
  <c r="G29" i="41" s="1"/>
  <c r="F29" i="41" s="1"/>
  <c r="E29" i="41" s="1"/>
  <c r="D29" i="41" s="1"/>
  <c r="C29" i="41" s="1"/>
  <c r="B29" i="41" s="1"/>
  <c r="W28" i="41"/>
  <c r="V28" i="41"/>
  <c r="U28" i="41"/>
  <c r="T28" i="41"/>
  <c r="S28" i="41"/>
  <c r="R28" i="41"/>
  <c r="Q28" i="41"/>
  <c r="P28" i="41"/>
  <c r="O28" i="41"/>
  <c r="N28" i="41"/>
  <c r="M28" i="41"/>
  <c r="L28" i="41"/>
  <c r="K28" i="41" s="1"/>
  <c r="J28" i="41" s="1"/>
  <c r="I28" i="41" s="1"/>
  <c r="H28" i="41" s="1"/>
  <c r="G28" i="41" s="1"/>
  <c r="F28" i="41" s="1"/>
  <c r="E28" i="41" s="1"/>
  <c r="D28" i="41" s="1"/>
  <c r="C28" i="41" s="1"/>
  <c r="B28" i="41" s="1"/>
  <c r="W27" i="41"/>
  <c r="V27" i="41"/>
  <c r="U27" i="41"/>
  <c r="T27" i="41"/>
  <c r="S27" i="41"/>
  <c r="R27" i="41"/>
  <c r="Q27" i="41"/>
  <c r="P27" i="41"/>
  <c r="O27" i="41"/>
  <c r="N27" i="41"/>
  <c r="M27" i="41"/>
  <c r="L27" i="41" s="1"/>
  <c r="K27" i="41" s="1"/>
  <c r="J27" i="41"/>
  <c r="I27" i="41" s="1"/>
  <c r="H27" i="41" s="1"/>
  <c r="G27" i="41" s="1"/>
  <c r="F27" i="41" s="1"/>
  <c r="E27" i="41" s="1"/>
  <c r="D27" i="41" s="1"/>
  <c r="C27" i="41" s="1"/>
  <c r="B27" i="41" s="1"/>
  <c r="W26" i="41"/>
  <c r="V26" i="41"/>
  <c r="U26" i="41"/>
  <c r="T26" i="41"/>
  <c r="S26" i="41"/>
  <c r="R26" i="41"/>
  <c r="Q26" i="41"/>
  <c r="P26" i="41"/>
  <c r="O26" i="41"/>
  <c r="N26" i="41"/>
  <c r="M26" i="41"/>
  <c r="L26" i="41" s="1"/>
  <c r="K26" i="41" s="1"/>
  <c r="J26" i="41" s="1"/>
  <c r="I26" i="41" s="1"/>
  <c r="H26" i="41" s="1"/>
  <c r="G26" i="41" s="1"/>
  <c r="F26" i="41" s="1"/>
  <c r="E26" i="41" s="1"/>
  <c r="D26" i="41" s="1"/>
  <c r="C26" i="41" s="1"/>
  <c r="B26" i="41" s="1"/>
  <c r="W25" i="41"/>
  <c r="V25" i="41"/>
  <c r="U25" i="41"/>
  <c r="T25" i="41"/>
  <c r="S25" i="41"/>
  <c r="R25" i="41"/>
  <c r="Q25" i="41"/>
  <c r="P25" i="41"/>
  <c r="O25" i="41"/>
  <c r="N25" i="41"/>
  <c r="M25" i="41"/>
  <c r="L25" i="41" s="1"/>
  <c r="K25" i="41" s="1"/>
  <c r="J25" i="41" s="1"/>
  <c r="I25" i="41" s="1"/>
  <c r="H25" i="41" s="1"/>
  <c r="G25" i="41" s="1"/>
  <c r="F25" i="41" s="1"/>
  <c r="E25" i="41" s="1"/>
  <c r="D25" i="41" s="1"/>
  <c r="C25" i="41" s="1"/>
  <c r="B25" i="41" s="1"/>
  <c r="W24" i="41"/>
  <c r="V24" i="41"/>
  <c r="U24" i="41"/>
  <c r="T24" i="41"/>
  <c r="S24" i="41"/>
  <c r="R24" i="41"/>
  <c r="Q24" i="41"/>
  <c r="P24" i="41"/>
  <c r="O24" i="41"/>
  <c r="N24" i="41"/>
  <c r="M24" i="41"/>
  <c r="L24" i="41"/>
  <c r="K24" i="41" s="1"/>
  <c r="J24" i="41" s="1"/>
  <c r="I24" i="41" s="1"/>
  <c r="H24" i="41" s="1"/>
  <c r="G24" i="41" s="1"/>
  <c r="F24" i="41" s="1"/>
  <c r="E24" i="41" s="1"/>
  <c r="D24" i="41" s="1"/>
  <c r="C24" i="41" s="1"/>
  <c r="B24" i="41" s="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 s="1"/>
  <c r="I23" i="41" s="1"/>
  <c r="H23" i="41" s="1"/>
  <c r="G23" i="41" s="1"/>
  <c r="F23" i="41" s="1"/>
  <c r="E23" i="41" s="1"/>
  <c r="D23" i="41" s="1"/>
  <c r="C23" i="41" s="1"/>
  <c r="B23" i="41" s="1"/>
  <c r="W22" i="41"/>
  <c r="V22" i="41"/>
  <c r="U22" i="41"/>
  <c r="T22" i="41"/>
  <c r="S22" i="41"/>
  <c r="R22" i="41"/>
  <c r="Q22" i="41"/>
  <c r="P22" i="41"/>
  <c r="O22" i="41"/>
  <c r="N22" i="41"/>
  <c r="M22" i="41"/>
  <c r="L22" i="41"/>
  <c r="K22" i="41" s="1"/>
  <c r="J22" i="41" s="1"/>
  <c r="I22" i="41"/>
  <c r="H22" i="41" s="1"/>
  <c r="G22" i="41" s="1"/>
  <c r="F22" i="41" s="1"/>
  <c r="E22" i="41" s="1"/>
  <c r="D22" i="41" s="1"/>
  <c r="C22" i="41" s="1"/>
  <c r="B22" i="41" s="1"/>
  <c r="W21" i="41"/>
  <c r="V21" i="41"/>
  <c r="U21" i="41"/>
  <c r="T21" i="41"/>
  <c r="S21" i="41"/>
  <c r="R21" i="41"/>
  <c r="Q21" i="41"/>
  <c r="P21" i="41"/>
  <c r="O21" i="41"/>
  <c r="N21" i="41"/>
  <c r="M21" i="41"/>
  <c r="L21" i="41"/>
  <c r="K21" i="41" s="1"/>
  <c r="J21" i="41" s="1"/>
  <c r="I21" i="41" s="1"/>
  <c r="H21" i="41" s="1"/>
  <c r="G21" i="41" s="1"/>
  <c r="F21" i="41" s="1"/>
  <c r="E21" i="41" s="1"/>
  <c r="D21" i="41" s="1"/>
  <c r="C21" i="41" s="1"/>
  <c r="B21" i="41" s="1"/>
  <c r="W20" i="41"/>
  <c r="V20" i="41"/>
  <c r="U20" i="41"/>
  <c r="T20" i="41"/>
  <c r="S20" i="41"/>
  <c r="R20" i="41"/>
  <c r="Q20" i="41"/>
  <c r="P20" i="41"/>
  <c r="O20" i="41"/>
  <c r="N20" i="41"/>
  <c r="M20" i="41"/>
  <c r="L20" i="41" s="1"/>
  <c r="K20" i="41" s="1"/>
  <c r="J20" i="41" s="1"/>
  <c r="I20" i="41" s="1"/>
  <c r="H20" i="41" s="1"/>
  <c r="G20" i="41" s="1"/>
  <c r="F20" i="41" s="1"/>
  <c r="E20" i="41" s="1"/>
  <c r="D20" i="41" s="1"/>
  <c r="C20" i="41" s="1"/>
  <c r="B20" i="41" s="1"/>
  <c r="W19" i="41"/>
  <c r="V19" i="41"/>
  <c r="U19" i="41"/>
  <c r="T19" i="41"/>
  <c r="S19" i="41"/>
  <c r="R19" i="41"/>
  <c r="Q19" i="41"/>
  <c r="P19" i="41"/>
  <c r="O19" i="41"/>
  <c r="N19" i="41"/>
  <c r="M19" i="41"/>
  <c r="L19" i="41" s="1"/>
  <c r="K19" i="41" s="1"/>
  <c r="J19" i="41"/>
  <c r="I19" i="41" s="1"/>
  <c r="H19" i="41" s="1"/>
  <c r="G19" i="41" s="1"/>
  <c r="F19" i="41" s="1"/>
  <c r="E19" i="41" s="1"/>
  <c r="D19" i="41" s="1"/>
  <c r="C19" i="41" s="1"/>
  <c r="B19" i="41" s="1"/>
  <c r="W18" i="41"/>
  <c r="V18" i="41"/>
  <c r="U18" i="41"/>
  <c r="T18" i="41"/>
  <c r="S18" i="41"/>
  <c r="R18" i="41"/>
  <c r="Q18" i="41"/>
  <c r="P18" i="41"/>
  <c r="O18" i="41"/>
  <c r="N18" i="41"/>
  <c r="M18" i="41"/>
  <c r="L18" i="41" s="1"/>
  <c r="K18" i="41" s="1"/>
  <c r="J18" i="41" s="1"/>
  <c r="I18" i="41" s="1"/>
  <c r="H18" i="41" s="1"/>
  <c r="G18" i="41" s="1"/>
  <c r="F18" i="41" s="1"/>
  <c r="E18" i="41" s="1"/>
  <c r="D18" i="41" s="1"/>
  <c r="C18" i="41" s="1"/>
  <c r="B18" i="41" s="1"/>
  <c r="W17" i="41"/>
  <c r="V17" i="41"/>
  <c r="U17" i="41"/>
  <c r="T17" i="41"/>
  <c r="S17" i="41"/>
  <c r="R17" i="41"/>
  <c r="Q17" i="41"/>
  <c r="P17" i="41"/>
  <c r="O17" i="41"/>
  <c r="N17" i="41"/>
  <c r="M17" i="41"/>
  <c r="L17" i="41" s="1"/>
  <c r="K17" i="41" s="1"/>
  <c r="J17" i="41" s="1"/>
  <c r="I17" i="41" s="1"/>
  <c r="H17" i="41" s="1"/>
  <c r="G17" i="41" s="1"/>
  <c r="F17" i="41" s="1"/>
  <c r="E17" i="41" s="1"/>
  <c r="D17" i="41" s="1"/>
  <c r="C17" i="41" s="1"/>
  <c r="B17" i="41" s="1"/>
  <c r="W16" i="41"/>
  <c r="V16" i="41"/>
  <c r="U16" i="41"/>
  <c r="T16" i="41"/>
  <c r="S16" i="41"/>
  <c r="R16" i="41"/>
  <c r="Q16" i="41"/>
  <c r="P16" i="41"/>
  <c r="O16" i="41"/>
  <c r="N16" i="41"/>
  <c r="M16" i="41"/>
  <c r="L16" i="41" s="1"/>
  <c r="K16" i="41" s="1"/>
  <c r="J16" i="41" s="1"/>
  <c r="I16" i="41" s="1"/>
  <c r="H16" i="41" s="1"/>
  <c r="G16" i="41" s="1"/>
  <c r="F16" i="41" s="1"/>
  <c r="E16" i="41" s="1"/>
  <c r="D16" i="41" s="1"/>
  <c r="C16" i="41" s="1"/>
  <c r="B16" i="41" s="1"/>
  <c r="W15" i="41"/>
  <c r="V15" i="41"/>
  <c r="U15" i="41"/>
  <c r="T15" i="41"/>
  <c r="S15" i="41"/>
  <c r="R15" i="41"/>
  <c r="Q15" i="41"/>
  <c r="P15" i="41"/>
  <c r="O15" i="41"/>
  <c r="N15" i="41"/>
  <c r="M15" i="41"/>
  <c r="L15" i="41" s="1"/>
  <c r="K15" i="41" s="1"/>
  <c r="J15" i="41" s="1"/>
  <c r="I15" i="41" s="1"/>
  <c r="H15" i="41" s="1"/>
  <c r="G15" i="41" s="1"/>
  <c r="F15" i="41" s="1"/>
  <c r="E15" i="41" s="1"/>
  <c r="D15" i="41" s="1"/>
  <c r="C15" i="41" s="1"/>
  <c r="B15" i="41" s="1"/>
  <c r="W14" i="41"/>
  <c r="V14" i="41"/>
  <c r="U14" i="41"/>
  <c r="T14" i="41"/>
  <c r="S14" i="41"/>
  <c r="R14" i="41"/>
  <c r="Q14" i="41"/>
  <c r="P14" i="41"/>
  <c r="O14" i="41"/>
  <c r="N14" i="41"/>
  <c r="M14" i="41"/>
  <c r="L14" i="41" s="1"/>
  <c r="K14" i="41" s="1"/>
  <c r="J14" i="41" s="1"/>
  <c r="I14" i="41" s="1"/>
  <c r="H14" i="41" s="1"/>
  <c r="G14" i="41" s="1"/>
  <c r="F14" i="41" s="1"/>
  <c r="E14" i="41" s="1"/>
  <c r="D14" i="41" s="1"/>
  <c r="C14" i="41" s="1"/>
  <c r="B14" i="41" s="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 s="1"/>
  <c r="J13" i="41"/>
  <c r="I13" i="41" s="1"/>
  <c r="H13" i="41" s="1"/>
  <c r="G13" i="41" s="1"/>
  <c r="F13" i="41" s="1"/>
  <c r="E13" i="41" s="1"/>
  <c r="D13" i="41" s="1"/>
  <c r="C13" i="41" s="1"/>
  <c r="B13" i="41" s="1"/>
  <c r="W12" i="41"/>
  <c r="V12" i="41"/>
  <c r="U12" i="41"/>
  <c r="T12" i="41"/>
  <c r="S12" i="41"/>
  <c r="R12" i="41"/>
  <c r="Q12" i="41"/>
  <c r="P12" i="41"/>
  <c r="O12" i="41"/>
  <c r="N12" i="41"/>
  <c r="M12" i="41"/>
  <c r="L12" i="41" s="1"/>
  <c r="W42" i="40"/>
  <c r="V42" i="40"/>
  <c r="U42" i="40"/>
  <c r="T42" i="40"/>
  <c r="S42" i="40"/>
  <c r="R42" i="40"/>
  <c r="Q42" i="40"/>
  <c r="P42" i="40"/>
  <c r="O42" i="40"/>
  <c r="N42" i="40"/>
  <c r="M42" i="40"/>
  <c r="L42" i="40" s="1"/>
  <c r="K42" i="40" s="1"/>
  <c r="J42" i="40" s="1"/>
  <c r="I42" i="40" s="1"/>
  <c r="H42" i="40" s="1"/>
  <c r="G42" i="40" s="1"/>
  <c r="F42" i="40" s="1"/>
  <c r="E42" i="40" s="1"/>
  <c r="D42" i="40" s="1"/>
  <c r="C42" i="40" s="1"/>
  <c r="B42" i="40" s="1"/>
  <c r="W41" i="40"/>
  <c r="V41" i="40"/>
  <c r="U41" i="40"/>
  <c r="T41" i="40"/>
  <c r="S41" i="40"/>
  <c r="R41" i="40"/>
  <c r="Q41" i="40"/>
  <c r="P41" i="40"/>
  <c r="O41" i="40"/>
  <c r="N41" i="40"/>
  <c r="M41" i="40"/>
  <c r="L41" i="40"/>
  <c r="K41" i="40" s="1"/>
  <c r="J41" i="40" s="1"/>
  <c r="I41" i="40" s="1"/>
  <c r="H41" i="40" s="1"/>
  <c r="G41" i="40" s="1"/>
  <c r="F41" i="40" s="1"/>
  <c r="E41" i="40" s="1"/>
  <c r="D41" i="40" s="1"/>
  <c r="C41" i="40" s="1"/>
  <c r="B41" i="40" s="1"/>
  <c r="W40" i="40"/>
  <c r="V40" i="40"/>
  <c r="U40" i="40"/>
  <c r="T40" i="40"/>
  <c r="S40" i="40"/>
  <c r="R40" i="40"/>
  <c r="Q40" i="40"/>
  <c r="P40" i="40"/>
  <c r="O40" i="40"/>
  <c r="N40" i="40"/>
  <c r="M40" i="40"/>
  <c r="L40" i="40" s="1"/>
  <c r="K40" i="40" s="1"/>
  <c r="J40" i="40" s="1"/>
  <c r="I40" i="40" s="1"/>
  <c r="H40" i="40" s="1"/>
  <c r="G40" i="40" s="1"/>
  <c r="F40" i="40" s="1"/>
  <c r="E40" i="40" s="1"/>
  <c r="D40" i="40" s="1"/>
  <c r="C40" i="40" s="1"/>
  <c r="B40" i="40" s="1"/>
  <c r="W39" i="40"/>
  <c r="V39" i="40"/>
  <c r="U39" i="40"/>
  <c r="T39" i="40"/>
  <c r="S39" i="40"/>
  <c r="R39" i="40"/>
  <c r="Q39" i="40"/>
  <c r="P39" i="40"/>
  <c r="O39" i="40"/>
  <c r="N39" i="40"/>
  <c r="M39" i="40"/>
  <c r="L39" i="40" s="1"/>
  <c r="K39" i="40" s="1"/>
  <c r="J39" i="40" s="1"/>
  <c r="I39" i="40" s="1"/>
  <c r="H39" i="40" s="1"/>
  <c r="G39" i="40" s="1"/>
  <c r="F39" i="40" s="1"/>
  <c r="E39" i="40" s="1"/>
  <c r="D39" i="40" s="1"/>
  <c r="C39" i="40" s="1"/>
  <c r="B39" i="40" s="1"/>
  <c r="W38" i="40"/>
  <c r="V38" i="40"/>
  <c r="U38" i="40"/>
  <c r="T38" i="40"/>
  <c r="S38" i="40"/>
  <c r="R38" i="40"/>
  <c r="Q38" i="40"/>
  <c r="P38" i="40"/>
  <c r="O38" i="40"/>
  <c r="N38" i="40"/>
  <c r="M38" i="40"/>
  <c r="L38" i="40" s="1"/>
  <c r="K38" i="40" s="1"/>
  <c r="J38" i="40" s="1"/>
  <c r="I38" i="40" s="1"/>
  <c r="H38" i="40" s="1"/>
  <c r="G38" i="40" s="1"/>
  <c r="F38" i="40" s="1"/>
  <c r="E38" i="40" s="1"/>
  <c r="D38" i="40" s="1"/>
  <c r="C38" i="40" s="1"/>
  <c r="B38" i="40" s="1"/>
  <c r="W37" i="40"/>
  <c r="V37" i="40"/>
  <c r="U37" i="40"/>
  <c r="T37" i="40"/>
  <c r="S37" i="40"/>
  <c r="R37" i="40"/>
  <c r="Q37" i="40"/>
  <c r="P37" i="40"/>
  <c r="O37" i="40"/>
  <c r="N37" i="40"/>
  <c r="M37" i="40"/>
  <c r="L37" i="40"/>
  <c r="K37" i="40" s="1"/>
  <c r="J37" i="40" s="1"/>
  <c r="I37" i="40" s="1"/>
  <c r="H37" i="40" s="1"/>
  <c r="G37" i="40"/>
  <c r="F37" i="40" s="1"/>
  <c r="E37" i="40" s="1"/>
  <c r="D37" i="40" s="1"/>
  <c r="C37" i="40" s="1"/>
  <c r="B37" i="40" s="1"/>
  <c r="W36" i="40"/>
  <c r="V36" i="40"/>
  <c r="U36" i="40"/>
  <c r="T36" i="40"/>
  <c r="S36" i="40"/>
  <c r="R36" i="40"/>
  <c r="Q36" i="40"/>
  <c r="P36" i="40"/>
  <c r="O36" i="40"/>
  <c r="N36" i="40"/>
  <c r="M36" i="40"/>
  <c r="L36" i="40" s="1"/>
  <c r="K36" i="40" s="1"/>
  <c r="J36" i="40" s="1"/>
  <c r="I36" i="40" s="1"/>
  <c r="H36" i="40" s="1"/>
  <c r="G36" i="40" s="1"/>
  <c r="F36" i="40" s="1"/>
  <c r="E36" i="40" s="1"/>
  <c r="D36" i="40" s="1"/>
  <c r="C36" i="40" s="1"/>
  <c r="B36" i="40" s="1"/>
  <c r="W35" i="40"/>
  <c r="V35" i="40"/>
  <c r="U35" i="40"/>
  <c r="T35" i="40"/>
  <c r="S35" i="40"/>
  <c r="R35" i="40"/>
  <c r="Q35" i="40"/>
  <c r="P35" i="40"/>
  <c r="O35" i="40"/>
  <c r="N35" i="40"/>
  <c r="M35" i="40"/>
  <c r="L35" i="40" s="1"/>
  <c r="K35" i="40" s="1"/>
  <c r="J35" i="40" s="1"/>
  <c r="I35" i="40" s="1"/>
  <c r="H35" i="40" s="1"/>
  <c r="G35" i="40" s="1"/>
  <c r="F35" i="40" s="1"/>
  <c r="E35" i="40" s="1"/>
  <c r="D35" i="40" s="1"/>
  <c r="C35" i="40" s="1"/>
  <c r="B35" i="40" s="1"/>
  <c r="W34" i="40"/>
  <c r="V34" i="40"/>
  <c r="U34" i="40"/>
  <c r="T34" i="40"/>
  <c r="S34" i="40"/>
  <c r="R34" i="40"/>
  <c r="Q34" i="40"/>
  <c r="P34" i="40"/>
  <c r="O34" i="40"/>
  <c r="N34" i="40"/>
  <c r="M34" i="40"/>
  <c r="L34" i="40" s="1"/>
  <c r="K34" i="40" s="1"/>
  <c r="J34" i="40" s="1"/>
  <c r="I34" i="40" s="1"/>
  <c r="H34" i="40" s="1"/>
  <c r="G34" i="40" s="1"/>
  <c r="F34" i="40" s="1"/>
  <c r="E34" i="40" s="1"/>
  <c r="D34" i="40" s="1"/>
  <c r="C34" i="40" s="1"/>
  <c r="B34" i="40" s="1"/>
  <c r="W33" i="40"/>
  <c r="V33" i="40"/>
  <c r="U33" i="40"/>
  <c r="T33" i="40"/>
  <c r="S33" i="40"/>
  <c r="R33" i="40"/>
  <c r="Q33" i="40"/>
  <c r="P33" i="40"/>
  <c r="O33" i="40"/>
  <c r="N33" i="40"/>
  <c r="M33" i="40"/>
  <c r="L33" i="40" s="1"/>
  <c r="K33" i="40" s="1"/>
  <c r="J33" i="40" s="1"/>
  <c r="I33" i="40" s="1"/>
  <c r="H33" i="40" s="1"/>
  <c r="G33" i="40" s="1"/>
  <c r="F33" i="40" s="1"/>
  <c r="E33" i="40" s="1"/>
  <c r="D33" i="40" s="1"/>
  <c r="C33" i="40" s="1"/>
  <c r="B33" i="40" s="1"/>
  <c r="W32" i="40"/>
  <c r="V32" i="40"/>
  <c r="U32" i="40"/>
  <c r="T32" i="40"/>
  <c r="S32" i="40"/>
  <c r="R32" i="40"/>
  <c r="Q32" i="40"/>
  <c r="P32" i="40"/>
  <c r="O32" i="40"/>
  <c r="N32" i="40"/>
  <c r="M32" i="40"/>
  <c r="L32" i="40" s="1"/>
  <c r="K32" i="40" s="1"/>
  <c r="J32" i="40" s="1"/>
  <c r="I32" i="40" s="1"/>
  <c r="H32" i="40" s="1"/>
  <c r="G32" i="40" s="1"/>
  <c r="F32" i="40" s="1"/>
  <c r="E32" i="40" s="1"/>
  <c r="D32" i="40" s="1"/>
  <c r="C32" i="40" s="1"/>
  <c r="B32" i="40" s="1"/>
  <c r="W31" i="40"/>
  <c r="V31" i="40"/>
  <c r="U31" i="40"/>
  <c r="T31" i="40"/>
  <c r="S31" i="40"/>
  <c r="R31" i="40"/>
  <c r="Q31" i="40"/>
  <c r="P31" i="40"/>
  <c r="O31" i="40"/>
  <c r="N31" i="40"/>
  <c r="M31" i="40"/>
  <c r="L31" i="40" s="1"/>
  <c r="K31" i="40" s="1"/>
  <c r="J31" i="40" s="1"/>
  <c r="I31" i="40" s="1"/>
  <c r="H31" i="40" s="1"/>
  <c r="G31" i="40" s="1"/>
  <c r="F31" i="40" s="1"/>
  <c r="E31" i="40" s="1"/>
  <c r="D31" i="40" s="1"/>
  <c r="C31" i="40" s="1"/>
  <c r="B31" i="40" s="1"/>
  <c r="W30" i="40"/>
  <c r="V30" i="40"/>
  <c r="U30" i="40"/>
  <c r="T30" i="40"/>
  <c r="S30" i="40"/>
  <c r="R30" i="40"/>
  <c r="Q30" i="40"/>
  <c r="P30" i="40"/>
  <c r="O30" i="40"/>
  <c r="N30" i="40"/>
  <c r="M30" i="40"/>
  <c r="L30" i="40" s="1"/>
  <c r="K30" i="40" s="1"/>
  <c r="J30" i="40" s="1"/>
  <c r="I30" i="40" s="1"/>
  <c r="H30" i="40" s="1"/>
  <c r="G30" i="40" s="1"/>
  <c r="F30" i="40" s="1"/>
  <c r="E30" i="40" s="1"/>
  <c r="D30" i="40" s="1"/>
  <c r="C30" i="40" s="1"/>
  <c r="B30" i="40" s="1"/>
  <c r="W29" i="40"/>
  <c r="V29" i="40"/>
  <c r="U29" i="40"/>
  <c r="T29" i="40"/>
  <c r="S29" i="40"/>
  <c r="R29" i="40"/>
  <c r="Q29" i="40"/>
  <c r="P29" i="40"/>
  <c r="O29" i="40"/>
  <c r="N29" i="40"/>
  <c r="M29" i="40"/>
  <c r="L29" i="40" s="1"/>
  <c r="K29" i="40" s="1"/>
  <c r="J29" i="40" s="1"/>
  <c r="I29" i="40" s="1"/>
  <c r="H29" i="40" s="1"/>
  <c r="G29" i="40" s="1"/>
  <c r="F29" i="40" s="1"/>
  <c r="E29" i="40" s="1"/>
  <c r="D29" i="40" s="1"/>
  <c r="C29" i="40" s="1"/>
  <c r="B29" i="40" s="1"/>
  <c r="W28" i="40"/>
  <c r="V28" i="40"/>
  <c r="U28" i="40"/>
  <c r="T28" i="40"/>
  <c r="S28" i="40"/>
  <c r="R28" i="40"/>
  <c r="Q28" i="40"/>
  <c r="P28" i="40"/>
  <c r="O28" i="40"/>
  <c r="N28" i="40"/>
  <c r="M28" i="40"/>
  <c r="L28" i="40" s="1"/>
  <c r="K28" i="40" s="1"/>
  <c r="J28" i="40" s="1"/>
  <c r="I28" i="40" s="1"/>
  <c r="H28" i="40" s="1"/>
  <c r="G28" i="40" s="1"/>
  <c r="F28" i="40" s="1"/>
  <c r="E28" i="40" s="1"/>
  <c r="D28" i="40" s="1"/>
  <c r="C28" i="40" s="1"/>
  <c r="B28" i="40" s="1"/>
  <c r="W27" i="40"/>
  <c r="V27" i="40"/>
  <c r="U27" i="40"/>
  <c r="T27" i="40"/>
  <c r="S27" i="40"/>
  <c r="R27" i="40"/>
  <c r="Q27" i="40"/>
  <c r="P27" i="40"/>
  <c r="O27" i="40"/>
  <c r="N27" i="40"/>
  <c r="M27" i="40"/>
  <c r="L27" i="40"/>
  <c r="K27" i="40" s="1"/>
  <c r="J27" i="40" s="1"/>
  <c r="I27" i="40" s="1"/>
  <c r="H27" i="40" s="1"/>
  <c r="G27" i="40" s="1"/>
  <c r="F27" i="40" s="1"/>
  <c r="E27" i="40" s="1"/>
  <c r="D27" i="40" s="1"/>
  <c r="C27" i="40" s="1"/>
  <c r="B27" i="40" s="1"/>
  <c r="W26" i="40"/>
  <c r="V26" i="40"/>
  <c r="U26" i="40"/>
  <c r="T26" i="40"/>
  <c r="S26" i="40"/>
  <c r="R26" i="40"/>
  <c r="Q26" i="40"/>
  <c r="P26" i="40"/>
  <c r="O26" i="40"/>
  <c r="N26" i="40"/>
  <c r="M26" i="40"/>
  <c r="L26" i="40" s="1"/>
  <c r="K26" i="40" s="1"/>
  <c r="J26" i="40" s="1"/>
  <c r="I26" i="40" s="1"/>
  <c r="H26" i="40" s="1"/>
  <c r="G26" i="40" s="1"/>
  <c r="F26" i="40" s="1"/>
  <c r="E26" i="40" s="1"/>
  <c r="D26" i="40" s="1"/>
  <c r="C26" i="40" s="1"/>
  <c r="B26" i="40" s="1"/>
  <c r="W25" i="40"/>
  <c r="V25" i="40"/>
  <c r="U25" i="40"/>
  <c r="T25" i="40"/>
  <c r="S25" i="40"/>
  <c r="R25" i="40"/>
  <c r="Q25" i="40"/>
  <c r="P25" i="40"/>
  <c r="O25" i="40"/>
  <c r="N25" i="40"/>
  <c r="M25" i="40"/>
  <c r="L25" i="40"/>
  <c r="K25" i="40" s="1"/>
  <c r="J25" i="40" s="1"/>
  <c r="I25" i="40" s="1"/>
  <c r="H25" i="40" s="1"/>
  <c r="G25" i="40" s="1"/>
  <c r="F25" i="40" s="1"/>
  <c r="E25" i="40" s="1"/>
  <c r="D25" i="40" s="1"/>
  <c r="C25" i="40" s="1"/>
  <c r="B25" i="40" s="1"/>
  <c r="W24" i="40"/>
  <c r="V24" i="40"/>
  <c r="U24" i="40"/>
  <c r="T24" i="40"/>
  <c r="S24" i="40"/>
  <c r="R24" i="40"/>
  <c r="Q24" i="40"/>
  <c r="P24" i="40"/>
  <c r="O24" i="40"/>
  <c r="N24" i="40"/>
  <c r="M24" i="40"/>
  <c r="L24" i="40" s="1"/>
  <c r="K24" i="40" s="1"/>
  <c r="J24" i="40" s="1"/>
  <c r="I24" i="40" s="1"/>
  <c r="H24" i="40" s="1"/>
  <c r="G24" i="40" s="1"/>
  <c r="F24" i="40" s="1"/>
  <c r="E24" i="40" s="1"/>
  <c r="D24" i="40" s="1"/>
  <c r="C24" i="40" s="1"/>
  <c r="B24" i="40" s="1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 s="1"/>
  <c r="J23" i="40" s="1"/>
  <c r="I23" i="40" s="1"/>
  <c r="H23" i="40" s="1"/>
  <c r="G23" i="40" s="1"/>
  <c r="F23" i="40" s="1"/>
  <c r="E23" i="40" s="1"/>
  <c r="D23" i="40" s="1"/>
  <c r="C23" i="40" s="1"/>
  <c r="B23" i="40" s="1"/>
  <c r="W22" i="40"/>
  <c r="V22" i="40"/>
  <c r="U22" i="40"/>
  <c r="T22" i="40"/>
  <c r="S22" i="40"/>
  <c r="R22" i="40"/>
  <c r="Q22" i="40"/>
  <c r="P22" i="40"/>
  <c r="O22" i="40"/>
  <c r="N22" i="40"/>
  <c r="M22" i="40"/>
  <c r="L22" i="40" s="1"/>
  <c r="K22" i="40" s="1"/>
  <c r="J22" i="40" s="1"/>
  <c r="I22" i="40" s="1"/>
  <c r="H22" i="40" s="1"/>
  <c r="G22" i="40" s="1"/>
  <c r="F22" i="40" s="1"/>
  <c r="E22" i="40" s="1"/>
  <c r="D22" i="40" s="1"/>
  <c r="C22" i="40" s="1"/>
  <c r="B22" i="40" s="1"/>
  <c r="W21" i="40"/>
  <c r="V21" i="40"/>
  <c r="U21" i="40"/>
  <c r="T21" i="40"/>
  <c r="S21" i="40"/>
  <c r="R21" i="40"/>
  <c r="Q21" i="40"/>
  <c r="P21" i="40"/>
  <c r="O21" i="40"/>
  <c r="N21" i="40"/>
  <c r="M21" i="40"/>
  <c r="L21" i="40"/>
  <c r="K21" i="40" s="1"/>
  <c r="J21" i="40" s="1"/>
  <c r="I21" i="40" s="1"/>
  <c r="H21" i="40" s="1"/>
  <c r="G21" i="40" s="1"/>
  <c r="F21" i="40" s="1"/>
  <c r="E21" i="40" s="1"/>
  <c r="D21" i="40" s="1"/>
  <c r="C21" i="40" s="1"/>
  <c r="B21" i="40" s="1"/>
  <c r="W20" i="40"/>
  <c r="V20" i="40"/>
  <c r="U20" i="40"/>
  <c r="T20" i="40"/>
  <c r="S20" i="40"/>
  <c r="R20" i="40"/>
  <c r="Q20" i="40"/>
  <c r="P20" i="40"/>
  <c r="O20" i="40"/>
  <c r="N20" i="40"/>
  <c r="M20" i="40"/>
  <c r="L20" i="40" s="1"/>
  <c r="K20" i="40"/>
  <c r="J20" i="40" s="1"/>
  <c r="I20" i="40" s="1"/>
  <c r="H20" i="40" s="1"/>
  <c r="G20" i="40" s="1"/>
  <c r="F20" i="40" s="1"/>
  <c r="E20" i="40" s="1"/>
  <c r="D20" i="40" s="1"/>
  <c r="C20" i="40" s="1"/>
  <c r="B20" i="40" s="1"/>
  <c r="W19" i="40"/>
  <c r="V19" i="40"/>
  <c r="U19" i="40"/>
  <c r="T19" i="40"/>
  <c r="S19" i="40"/>
  <c r="R19" i="40"/>
  <c r="Q19" i="40"/>
  <c r="P19" i="40"/>
  <c r="O19" i="40"/>
  <c r="N19" i="40"/>
  <c r="M19" i="40"/>
  <c r="L19" i="40" s="1"/>
  <c r="K19" i="40" s="1"/>
  <c r="J19" i="40" s="1"/>
  <c r="I19" i="40" s="1"/>
  <c r="H19" i="40" s="1"/>
  <c r="G19" i="40" s="1"/>
  <c r="F19" i="40" s="1"/>
  <c r="E19" i="40" s="1"/>
  <c r="D19" i="40" s="1"/>
  <c r="C19" i="40" s="1"/>
  <c r="B19" i="40" s="1"/>
  <c r="W18" i="40"/>
  <c r="V18" i="40"/>
  <c r="U18" i="40"/>
  <c r="T18" i="40"/>
  <c r="S18" i="40"/>
  <c r="R18" i="40"/>
  <c r="Q18" i="40"/>
  <c r="P18" i="40"/>
  <c r="O18" i="40"/>
  <c r="N18" i="40"/>
  <c r="M18" i="40"/>
  <c r="L18" i="40" s="1"/>
  <c r="K18" i="40" s="1"/>
  <c r="J18" i="40" s="1"/>
  <c r="I18" i="40" s="1"/>
  <c r="H18" i="40" s="1"/>
  <c r="G18" i="40" s="1"/>
  <c r="F18" i="40" s="1"/>
  <c r="E18" i="40" s="1"/>
  <c r="D18" i="40" s="1"/>
  <c r="C18" i="40" s="1"/>
  <c r="B18" i="40" s="1"/>
  <c r="W17" i="40"/>
  <c r="V17" i="40"/>
  <c r="U17" i="40"/>
  <c r="T17" i="40"/>
  <c r="S17" i="40"/>
  <c r="R17" i="40"/>
  <c r="Q17" i="40"/>
  <c r="P17" i="40"/>
  <c r="O17" i="40"/>
  <c r="N17" i="40"/>
  <c r="M17" i="40"/>
  <c r="L17" i="40" s="1"/>
  <c r="K17" i="40" s="1"/>
  <c r="J17" i="40" s="1"/>
  <c r="I17" i="40" s="1"/>
  <c r="H17" i="40" s="1"/>
  <c r="G17" i="40" s="1"/>
  <c r="F17" i="40" s="1"/>
  <c r="E17" i="40" s="1"/>
  <c r="D17" i="40" s="1"/>
  <c r="C17" i="40" s="1"/>
  <c r="B17" i="40" s="1"/>
  <c r="W16" i="40"/>
  <c r="V16" i="40"/>
  <c r="U16" i="40"/>
  <c r="T16" i="40"/>
  <c r="S16" i="40"/>
  <c r="R16" i="40"/>
  <c r="Q16" i="40"/>
  <c r="P16" i="40"/>
  <c r="O16" i="40"/>
  <c r="N16" i="40"/>
  <c r="M16" i="40"/>
  <c r="L16" i="40" s="1"/>
  <c r="K16" i="40" s="1"/>
  <c r="J16" i="40" s="1"/>
  <c r="I16" i="40" s="1"/>
  <c r="H16" i="40" s="1"/>
  <c r="G16" i="40" s="1"/>
  <c r="F16" i="40" s="1"/>
  <c r="E16" i="40" s="1"/>
  <c r="D16" i="40" s="1"/>
  <c r="C16" i="40" s="1"/>
  <c r="B16" i="40" s="1"/>
  <c r="W15" i="40"/>
  <c r="V15" i="40"/>
  <c r="U15" i="40"/>
  <c r="T15" i="40"/>
  <c r="S15" i="40"/>
  <c r="R15" i="40"/>
  <c r="Q15" i="40"/>
  <c r="P15" i="40"/>
  <c r="O15" i="40"/>
  <c r="N15" i="40"/>
  <c r="M15" i="40"/>
  <c r="L15" i="40"/>
  <c r="K15" i="40" s="1"/>
  <c r="J15" i="40" s="1"/>
  <c r="I15" i="40" s="1"/>
  <c r="H15" i="40" s="1"/>
  <c r="G15" i="40" s="1"/>
  <c r="F15" i="40" s="1"/>
  <c r="E15" i="40" s="1"/>
  <c r="D15" i="40" s="1"/>
  <c r="C15" i="40" s="1"/>
  <c r="B15" i="40" s="1"/>
  <c r="W14" i="40"/>
  <c r="V14" i="40"/>
  <c r="U14" i="40"/>
  <c r="T14" i="40"/>
  <c r="S14" i="40"/>
  <c r="R14" i="40"/>
  <c r="Q14" i="40"/>
  <c r="P14" i="40"/>
  <c r="O14" i="40"/>
  <c r="N14" i="40"/>
  <c r="M14" i="40"/>
  <c r="L14" i="40" s="1"/>
  <c r="K14" i="40" s="1"/>
  <c r="J14" i="40" s="1"/>
  <c r="I14" i="40" s="1"/>
  <c r="H14" i="40" s="1"/>
  <c r="G14" i="40" s="1"/>
  <c r="F14" i="40" s="1"/>
  <c r="E14" i="40" s="1"/>
  <c r="D14" i="40" s="1"/>
  <c r="C14" i="40" s="1"/>
  <c r="B14" i="40" s="1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 s="1"/>
  <c r="J13" i="40" s="1"/>
  <c r="I13" i="40" s="1"/>
  <c r="H13" i="40" s="1"/>
  <c r="G13" i="40" s="1"/>
  <c r="F13" i="40" s="1"/>
  <c r="E13" i="40" s="1"/>
  <c r="D13" i="40" s="1"/>
  <c r="C13" i="40" s="1"/>
  <c r="B13" i="40" s="1"/>
  <c r="W12" i="40"/>
  <c r="V12" i="40"/>
  <c r="U12" i="40"/>
  <c r="T12" i="40"/>
  <c r="S12" i="40"/>
  <c r="R12" i="40"/>
  <c r="Q12" i="40"/>
  <c r="P12" i="40"/>
  <c r="O12" i="40"/>
  <c r="N12" i="40"/>
  <c r="M12" i="40"/>
  <c r="L12" i="40" s="1"/>
  <c r="O43" i="40" l="1"/>
  <c r="R43" i="43"/>
  <c r="N43" i="45"/>
  <c r="V43" i="45"/>
  <c r="S43" i="41"/>
  <c r="S44" i="41" s="1"/>
  <c r="S43" i="40"/>
  <c r="R43" i="42"/>
  <c r="L43" i="41"/>
  <c r="S43" i="44"/>
  <c r="U43" i="42"/>
  <c r="T43" i="44"/>
  <c r="L43" i="40"/>
  <c r="K12" i="40"/>
  <c r="T43" i="40"/>
  <c r="U43" i="40"/>
  <c r="U44" i="40" s="1"/>
  <c r="M43" i="40"/>
  <c r="N43" i="40"/>
  <c r="N44" i="40" s="1"/>
  <c r="V43" i="40"/>
  <c r="W43" i="40"/>
  <c r="P43" i="40"/>
  <c r="Q43" i="40"/>
  <c r="K12" i="41"/>
  <c r="R43" i="40"/>
  <c r="R44" i="40" s="1"/>
  <c r="T43" i="41"/>
  <c r="M43" i="41"/>
  <c r="U43" i="41"/>
  <c r="O43" i="41"/>
  <c r="W43" i="41"/>
  <c r="R43" i="41"/>
  <c r="R44" i="41" s="1"/>
  <c r="M43" i="42"/>
  <c r="L12" i="42"/>
  <c r="K12" i="42" s="1"/>
  <c r="J12" i="42" s="1"/>
  <c r="I12" i="42" s="1"/>
  <c r="H12" i="42" s="1"/>
  <c r="G12" i="42" s="1"/>
  <c r="F12" i="42" s="1"/>
  <c r="E12" i="42" s="1"/>
  <c r="D12" i="42" s="1"/>
  <c r="C12" i="42" s="1"/>
  <c r="B12" i="42" s="1"/>
  <c r="N43" i="41"/>
  <c r="N44" i="41" s="1"/>
  <c r="V43" i="41"/>
  <c r="V44" i="41" s="1"/>
  <c r="P43" i="41"/>
  <c r="P44" i="41" s="1"/>
  <c r="Q43" i="41"/>
  <c r="N43" i="42"/>
  <c r="V43" i="42"/>
  <c r="U44" i="42" s="1"/>
  <c r="O43" i="42"/>
  <c r="W43" i="42"/>
  <c r="R44" i="43"/>
  <c r="P43" i="42"/>
  <c r="P44" i="42" s="1"/>
  <c r="Q43" i="42"/>
  <c r="L43" i="43"/>
  <c r="T43" i="43"/>
  <c r="T43" i="42"/>
  <c r="T44" i="42" s="1"/>
  <c r="M43" i="43"/>
  <c r="U43" i="43"/>
  <c r="N43" i="43"/>
  <c r="N44" i="43" s="1"/>
  <c r="V43" i="43"/>
  <c r="V44" i="43" s="1"/>
  <c r="O43" i="43"/>
  <c r="W43" i="43"/>
  <c r="K43" i="44"/>
  <c r="J12" i="44"/>
  <c r="P43" i="43"/>
  <c r="L43" i="44"/>
  <c r="L44" i="44" s="1"/>
  <c r="T44" i="44"/>
  <c r="Q43" i="43"/>
  <c r="Q44" i="43" s="1"/>
  <c r="S43" i="42"/>
  <c r="R44" i="42" s="1"/>
  <c r="K12" i="43"/>
  <c r="M43" i="44"/>
  <c r="U43" i="44"/>
  <c r="O43" i="44"/>
  <c r="W43" i="44"/>
  <c r="P43" i="44"/>
  <c r="P44" i="44" s="1"/>
  <c r="X43" i="44"/>
  <c r="Q43" i="44"/>
  <c r="R43" i="44"/>
  <c r="R44" i="44" s="1"/>
  <c r="N43" i="44"/>
  <c r="V43" i="44"/>
  <c r="M43" i="45"/>
  <c r="M44" i="45" s="1"/>
  <c r="L12" i="45"/>
  <c r="U43" i="45"/>
  <c r="U44" i="45" s="1"/>
  <c r="O43" i="45"/>
  <c r="W43" i="45"/>
  <c r="P43" i="45"/>
  <c r="P44" i="45" s="1"/>
  <c r="Q43" i="45"/>
  <c r="R43" i="45"/>
  <c r="S43" i="45"/>
  <c r="T43" i="45"/>
  <c r="S44" i="44" l="1"/>
  <c r="T44" i="40"/>
  <c r="R44" i="45"/>
  <c r="V44" i="44"/>
  <c r="B48" i="45"/>
  <c r="Q44" i="45"/>
  <c r="L43" i="45"/>
  <c r="L44" i="45" s="1"/>
  <c r="K12" i="45"/>
  <c r="X43" i="41"/>
  <c r="W44" i="41" s="1"/>
  <c r="K43" i="41"/>
  <c r="K44" i="41" s="1"/>
  <c r="J12" i="41"/>
  <c r="M44" i="40"/>
  <c r="W44" i="44"/>
  <c r="U44" i="43"/>
  <c r="B48" i="40"/>
  <c r="Q44" i="40"/>
  <c r="O44" i="44"/>
  <c r="P44" i="43"/>
  <c r="M44" i="43"/>
  <c r="O44" i="41"/>
  <c r="X43" i="42"/>
  <c r="W44" i="42" s="1"/>
  <c r="N44" i="44"/>
  <c r="U44" i="44"/>
  <c r="J43" i="44"/>
  <c r="J44" i="44" s="1"/>
  <c r="I12" i="44"/>
  <c r="O44" i="42"/>
  <c r="U44" i="41"/>
  <c r="X43" i="40"/>
  <c r="W44" i="40" s="1"/>
  <c r="S44" i="40"/>
  <c r="O44" i="45"/>
  <c r="M44" i="44"/>
  <c r="K44" i="44"/>
  <c r="T44" i="43"/>
  <c r="V44" i="42"/>
  <c r="L43" i="42"/>
  <c r="M44" i="42"/>
  <c r="M44" i="41"/>
  <c r="P44" i="40"/>
  <c r="O44" i="40"/>
  <c r="T44" i="45"/>
  <c r="V44" i="45"/>
  <c r="K43" i="43"/>
  <c r="K44" i="43" s="1"/>
  <c r="J12" i="43"/>
  <c r="L44" i="43"/>
  <c r="N44" i="42"/>
  <c r="S44" i="43"/>
  <c r="T44" i="41"/>
  <c r="K43" i="40"/>
  <c r="K44" i="40" s="1"/>
  <c r="J12" i="40"/>
  <c r="S44" i="45"/>
  <c r="N44" i="45"/>
  <c r="B48" i="44"/>
  <c r="Q44" i="44"/>
  <c r="S44" i="42"/>
  <c r="O44" i="43"/>
  <c r="Q44" i="42"/>
  <c r="B48" i="42"/>
  <c r="Q44" i="41"/>
  <c r="B48" i="41"/>
  <c r="L44" i="41"/>
  <c r="V44" i="40"/>
  <c r="L44" i="40"/>
  <c r="Y43" i="44" l="1"/>
  <c r="X44" i="44" s="1"/>
  <c r="L44" i="42"/>
  <c r="K43" i="42"/>
  <c r="I43" i="44"/>
  <c r="I44" i="44" s="1"/>
  <c r="H12" i="44"/>
  <c r="K43" i="45"/>
  <c r="K44" i="45" s="1"/>
  <c r="J12" i="45"/>
  <c r="Y43" i="42"/>
  <c r="X44" i="42" s="1"/>
  <c r="I12" i="43"/>
  <c r="J43" i="43"/>
  <c r="J44" i="43" s="1"/>
  <c r="Y43" i="41"/>
  <c r="J43" i="40"/>
  <c r="J44" i="40" s="1"/>
  <c r="I12" i="40"/>
  <c r="Y43" i="40"/>
  <c r="I12" i="41"/>
  <c r="J43" i="41"/>
  <c r="J44" i="41" s="1"/>
  <c r="Z43" i="44" l="1"/>
  <c r="Y44" i="44" s="1"/>
  <c r="J43" i="45"/>
  <c r="J44" i="45" s="1"/>
  <c r="I12" i="45"/>
  <c r="I43" i="40"/>
  <c r="I44" i="40" s="1"/>
  <c r="H12" i="40"/>
  <c r="K44" i="42"/>
  <c r="J43" i="42"/>
  <c r="X44" i="40"/>
  <c r="Z43" i="42"/>
  <c r="Y44" i="42" s="1"/>
  <c r="H43" i="44"/>
  <c r="H44" i="44" s="1"/>
  <c r="G12" i="44"/>
  <c r="I43" i="41"/>
  <c r="I44" i="41" s="1"/>
  <c r="H12" i="41"/>
  <c r="I43" i="43"/>
  <c r="I44" i="43" s="1"/>
  <c r="H12" i="43"/>
  <c r="Z43" i="41"/>
  <c r="Y44" i="41" s="1"/>
  <c r="Z43" i="40"/>
  <c r="Y44" i="40" s="1"/>
  <c r="X44" i="41"/>
  <c r="AA43" i="44" l="1"/>
  <c r="Z44" i="44" s="1"/>
  <c r="H43" i="40"/>
  <c r="H44" i="40" s="1"/>
  <c r="G12" i="40"/>
  <c r="J44" i="42"/>
  <c r="I43" i="42"/>
  <c r="AA43" i="41"/>
  <c r="Z44" i="41" s="1"/>
  <c r="G43" i="44"/>
  <c r="G44" i="44" s="1"/>
  <c r="F12" i="44"/>
  <c r="AA43" i="42"/>
  <c r="H43" i="41"/>
  <c r="H44" i="41" s="1"/>
  <c r="G12" i="41"/>
  <c r="I43" i="45"/>
  <c r="I44" i="45" s="1"/>
  <c r="H12" i="45"/>
  <c r="G12" i="43"/>
  <c r="H43" i="43"/>
  <c r="H44" i="43" s="1"/>
  <c r="AA43" i="40"/>
  <c r="Z44" i="40" s="1"/>
  <c r="AB43" i="44" l="1"/>
  <c r="AA44" i="44" s="1"/>
  <c r="AC43" i="44"/>
  <c r="F12" i="41"/>
  <c r="G43" i="41"/>
  <c r="G44" i="41" s="1"/>
  <c r="F43" i="44"/>
  <c r="F44" i="44" s="1"/>
  <c r="E12" i="44"/>
  <c r="H43" i="45"/>
  <c r="H44" i="45" s="1"/>
  <c r="G12" i="45"/>
  <c r="AB43" i="41"/>
  <c r="I44" i="42"/>
  <c r="H43" i="42"/>
  <c r="G43" i="40"/>
  <c r="G44" i="40" s="1"/>
  <c r="F12" i="40"/>
  <c r="G43" i="43"/>
  <c r="G44" i="43" s="1"/>
  <c r="F12" i="43"/>
  <c r="AB43" i="42"/>
  <c r="AA44" i="42" s="1"/>
  <c r="AB43" i="40"/>
  <c r="AA44" i="40" s="1"/>
  <c r="Z44" i="42"/>
  <c r="AB44" i="44" l="1"/>
  <c r="G43" i="45"/>
  <c r="G44" i="45" s="1"/>
  <c r="F12" i="45"/>
  <c r="AA44" i="41"/>
  <c r="E43" i="44"/>
  <c r="E44" i="44" s="1"/>
  <c r="D12" i="44"/>
  <c r="G43" i="42"/>
  <c r="H44" i="42"/>
  <c r="F43" i="43"/>
  <c r="F44" i="43" s="1"/>
  <c r="E12" i="43"/>
  <c r="AC43" i="40"/>
  <c r="AB44" i="40" s="1"/>
  <c r="AC43" i="42"/>
  <c r="AB44" i="42" s="1"/>
  <c r="F43" i="40"/>
  <c r="F44" i="40" s="1"/>
  <c r="E12" i="40"/>
  <c r="AC43" i="41"/>
  <c r="AB44" i="41" s="1"/>
  <c r="F43" i="41"/>
  <c r="F44" i="41" s="1"/>
  <c r="E12" i="41"/>
  <c r="AD43" i="44" l="1"/>
  <c r="F43" i="42"/>
  <c r="G44" i="42"/>
  <c r="E43" i="41"/>
  <c r="E44" i="41" s="1"/>
  <c r="D12" i="41"/>
  <c r="AD43" i="42"/>
  <c r="AC44" i="42" s="1"/>
  <c r="D43" i="44"/>
  <c r="D44" i="44" s="1"/>
  <c r="C12" i="44"/>
  <c r="F43" i="45"/>
  <c r="F44" i="45" s="1"/>
  <c r="E12" i="45"/>
  <c r="AD43" i="41"/>
  <c r="AD43" i="40"/>
  <c r="AC44" i="40" s="1"/>
  <c r="AC44" i="44"/>
  <c r="E43" i="40"/>
  <c r="E44" i="40" s="1"/>
  <c r="D12" i="40"/>
  <c r="E43" i="43"/>
  <c r="E44" i="43" s="1"/>
  <c r="D12" i="43"/>
  <c r="AE43" i="44" l="1"/>
  <c r="AD44" i="44" s="1"/>
  <c r="AE43" i="42"/>
  <c r="AD44" i="42" s="1"/>
  <c r="D43" i="41"/>
  <c r="D44" i="41" s="1"/>
  <c r="C12" i="41"/>
  <c r="E43" i="45"/>
  <c r="E44" i="45" s="1"/>
  <c r="D12" i="45"/>
  <c r="AC44" i="41"/>
  <c r="AE43" i="41"/>
  <c r="D43" i="43"/>
  <c r="D44" i="43" s="1"/>
  <c r="C12" i="43"/>
  <c r="C43" i="44"/>
  <c r="C44" i="44" s="1"/>
  <c r="B12" i="44"/>
  <c r="B43" i="44" s="1"/>
  <c r="B44" i="44" s="1"/>
  <c r="C12" i="40"/>
  <c r="D43" i="40"/>
  <c r="D44" i="40" s="1"/>
  <c r="AE43" i="40"/>
  <c r="AD44" i="40" s="1"/>
  <c r="E43" i="42"/>
  <c r="F44" i="42"/>
  <c r="AF43" i="44" l="1"/>
  <c r="C43" i="40"/>
  <c r="C44" i="40" s="1"/>
  <c r="B12" i="40"/>
  <c r="B43" i="40" s="1"/>
  <c r="D43" i="45"/>
  <c r="D44" i="45" s="1"/>
  <c r="C12" i="45"/>
  <c r="AF43" i="41"/>
  <c r="AE44" i="41" s="1"/>
  <c r="D43" i="42"/>
  <c r="E44" i="42"/>
  <c r="AD44" i="41"/>
  <c r="C43" i="41"/>
  <c r="C44" i="41" s="1"/>
  <c r="B12" i="41"/>
  <c r="B43" i="41" s="1"/>
  <c r="AF43" i="42"/>
  <c r="C43" i="43"/>
  <c r="C44" i="43" s="1"/>
  <c r="B12" i="43"/>
  <c r="B43" i="43" s="1"/>
  <c r="B44" i="43" s="1"/>
  <c r="AF43" i="40"/>
  <c r="AE44" i="40" s="1"/>
  <c r="AE44" i="44"/>
  <c r="B44" i="41" l="1"/>
  <c r="AG43" i="44"/>
  <c r="AF44" i="44" s="1"/>
  <c r="B44" i="40"/>
  <c r="AG43" i="41"/>
  <c r="AF44" i="41" s="1"/>
  <c r="C43" i="45"/>
  <c r="C44" i="45" s="1"/>
  <c r="B12" i="45"/>
  <c r="B43" i="45" s="1"/>
  <c r="AG43" i="40"/>
  <c r="AF44" i="40"/>
  <c r="AG43" i="42"/>
  <c r="AE44" i="42"/>
  <c r="D44" i="42"/>
  <c r="C43" i="42"/>
  <c r="AH43" i="44" l="1"/>
  <c r="B44" i="45"/>
  <c r="AH43" i="40"/>
  <c r="AG44" i="40" s="1"/>
  <c r="AH43" i="42"/>
  <c r="AF44" i="42"/>
  <c r="C44" i="42"/>
  <c r="B43" i="42"/>
  <c r="B44" i="42" s="1"/>
  <c r="AH43" i="41"/>
  <c r="AG44" i="41" s="1"/>
  <c r="AG44" i="44"/>
  <c r="AI43" i="44" l="1"/>
  <c r="AH44" i="44" s="1"/>
  <c r="AI43" i="42"/>
  <c r="AH44" i="42" s="1"/>
  <c r="AI43" i="41"/>
  <c r="AG44" i="42"/>
  <c r="AI43" i="40"/>
  <c r="AJ43" i="44" l="1"/>
  <c r="AI44" i="44" s="1"/>
  <c r="AJ43" i="41"/>
  <c r="AJ43" i="40"/>
  <c r="AH44" i="41"/>
  <c r="AJ43" i="42"/>
  <c r="AH44" i="40"/>
  <c r="AK43" i="44" l="1"/>
  <c r="AK43" i="42"/>
  <c r="AJ44" i="42" s="1"/>
  <c r="AI44" i="40"/>
  <c r="AJ44" i="44"/>
  <c r="AI44" i="42"/>
  <c r="AK43" i="40"/>
  <c r="AJ44" i="40" s="1"/>
  <c r="AK43" i="41"/>
  <c r="AJ44" i="41" s="1"/>
  <c r="AI44" i="41"/>
  <c r="AL43" i="44" l="1"/>
  <c r="AK44" i="44" s="1"/>
  <c r="AL43" i="41"/>
  <c r="AK44" i="41" s="1"/>
  <c r="AL43" i="40"/>
  <c r="AK44" i="40" s="1"/>
  <c r="AL43" i="42"/>
  <c r="AM43" i="44" l="1"/>
  <c r="AM43" i="40"/>
  <c r="AL44" i="40" s="1"/>
  <c r="AL44" i="44"/>
  <c r="AM43" i="41"/>
  <c r="AK44" i="42"/>
  <c r="AM43" i="42"/>
  <c r="AN43" i="44" l="1"/>
  <c r="AM44" i="44" s="1"/>
  <c r="AL44" i="41"/>
  <c r="AL44" i="42"/>
  <c r="AN43" i="40"/>
  <c r="AN43" i="41"/>
  <c r="AN43" i="42"/>
  <c r="AO43" i="44" l="1"/>
  <c r="AN44" i="44" s="1"/>
  <c r="AO43" i="41"/>
  <c r="AN44" i="41" s="1"/>
  <c r="AO43" i="42"/>
  <c r="AN44" i="42" s="1"/>
  <c r="AO43" i="40"/>
  <c r="AM44" i="41"/>
  <c r="AM44" i="42"/>
  <c r="AM44" i="40"/>
  <c r="AP43" i="44" l="1"/>
  <c r="AO44" i="44" s="1"/>
  <c r="AP43" i="42"/>
  <c r="AO44" i="42" s="1"/>
  <c r="AP43" i="41"/>
  <c r="AP43" i="40"/>
  <c r="AO44" i="40" s="1"/>
  <c r="AN44" i="40"/>
  <c r="AQ43" i="44" l="1"/>
  <c r="AP44" i="44"/>
  <c r="AQ43" i="40"/>
  <c r="AP44" i="40" s="1"/>
  <c r="AQ43" i="41"/>
  <c r="AQ43" i="42"/>
  <c r="AO44" i="41"/>
  <c r="AP44" i="42"/>
  <c r="AR43" i="44" l="1"/>
  <c r="AQ44" i="44" s="1"/>
  <c r="AR43" i="41"/>
  <c r="AQ44" i="41" s="1"/>
  <c r="AR43" i="40"/>
  <c r="AQ44" i="40" s="1"/>
  <c r="AR43" i="42"/>
  <c r="AP44" i="41"/>
  <c r="AS43" i="44" l="1"/>
  <c r="AR44" i="44"/>
  <c r="AS43" i="40"/>
  <c r="AR44" i="40" s="1"/>
  <c r="AR44" i="42"/>
  <c r="AS43" i="41"/>
  <c r="AR44" i="41" s="1"/>
  <c r="AS43" i="42"/>
  <c r="AQ44" i="42"/>
  <c r="AT43" i="44" l="1"/>
  <c r="AT43" i="42"/>
  <c r="AS44" i="42" s="1"/>
  <c r="AT43" i="41"/>
  <c r="AT43" i="40"/>
  <c r="AS44" i="40" s="1"/>
  <c r="AS44" i="44"/>
  <c r="AU43" i="44" l="1"/>
  <c r="AT44" i="44" s="1"/>
  <c r="AU43" i="42"/>
  <c r="AT44" i="42" s="1"/>
  <c r="AS44" i="41"/>
  <c r="AU43" i="40"/>
  <c r="AT44" i="40" s="1"/>
  <c r="AU43" i="41"/>
  <c r="AV43" i="44" l="1"/>
  <c r="AW43" i="44"/>
  <c r="AV43" i="41"/>
  <c r="AV43" i="40"/>
  <c r="AU44" i="40"/>
  <c r="AV43" i="42"/>
  <c r="AU44" i="42" s="1"/>
  <c r="AT44" i="41"/>
  <c r="AU44" i="44"/>
  <c r="AW43" i="40" l="1"/>
  <c r="AV44" i="40" s="1"/>
  <c r="AW43" i="41"/>
  <c r="AV44" i="41"/>
  <c r="AV44" i="44"/>
  <c r="AW43" i="42"/>
  <c r="AV44" i="42" s="1"/>
  <c r="AU44" i="41"/>
  <c r="AX43" i="44" l="1"/>
  <c r="AW44" i="44" s="1"/>
  <c r="AX43" i="42"/>
  <c r="AW44" i="42" s="1"/>
  <c r="AX43" i="40"/>
  <c r="AX43" i="41"/>
  <c r="AY43" i="44" l="1"/>
  <c r="AX44" i="44" s="1"/>
  <c r="AZ43" i="44"/>
  <c r="AY44" i="44" s="1"/>
  <c r="AY43" i="41"/>
  <c r="AW44" i="41"/>
  <c r="AY43" i="42"/>
  <c r="AX44" i="42" s="1"/>
  <c r="AW44" i="40"/>
  <c r="AY43" i="40"/>
  <c r="AZ43" i="42" l="1"/>
  <c r="AZ44" i="42" s="1"/>
  <c r="AZ43" i="41"/>
  <c r="AY44" i="41" s="1"/>
  <c r="AZ43" i="40"/>
  <c r="AZ44" i="40" s="1"/>
  <c r="AY44" i="40"/>
  <c r="AX44" i="40"/>
  <c r="AX44" i="41"/>
  <c r="AY44" i="42" l="1"/>
  <c r="O3" i="36"/>
  <c r="P3" i="36"/>
  <c r="Q3" i="36"/>
  <c r="R3" i="36"/>
  <c r="S3" i="36"/>
  <c r="T3" i="36"/>
  <c r="U3" i="36"/>
  <c r="V3" i="36"/>
  <c r="W3" i="36"/>
  <c r="O4" i="36"/>
  <c r="P4" i="36"/>
  <c r="Q4" i="36"/>
  <c r="R4" i="36"/>
  <c r="S4" i="36"/>
  <c r="T4" i="36"/>
  <c r="U4" i="36"/>
  <c r="V4" i="36"/>
  <c r="W4" i="36"/>
  <c r="O5" i="36"/>
  <c r="P5" i="36"/>
  <c r="Q5" i="36"/>
  <c r="R5" i="36"/>
  <c r="S5" i="36"/>
  <c r="T5" i="36"/>
  <c r="U5" i="36"/>
  <c r="V5" i="36"/>
  <c r="W5" i="36"/>
  <c r="O6" i="36"/>
  <c r="P6" i="36"/>
  <c r="Q6" i="36"/>
  <c r="R6" i="36"/>
  <c r="S6" i="36"/>
  <c r="T6" i="36"/>
  <c r="U6" i="36"/>
  <c r="V6" i="36"/>
  <c r="W6" i="36"/>
  <c r="O7" i="36"/>
  <c r="P7" i="36"/>
  <c r="Q7" i="36"/>
  <c r="R7" i="36"/>
  <c r="S7" i="36"/>
  <c r="T7" i="36"/>
  <c r="U7" i="36"/>
  <c r="V7" i="36"/>
  <c r="W7" i="36"/>
  <c r="O8" i="36"/>
  <c r="P8" i="36"/>
  <c r="Q8" i="36"/>
  <c r="R8" i="36"/>
  <c r="S8" i="36"/>
  <c r="T8" i="36"/>
  <c r="U8" i="36"/>
  <c r="V8" i="36"/>
  <c r="W8" i="36"/>
  <c r="O9" i="36"/>
  <c r="P9" i="36"/>
  <c r="Q9" i="36"/>
  <c r="R9" i="36"/>
  <c r="S9" i="36"/>
  <c r="T9" i="36"/>
  <c r="U9" i="36"/>
  <c r="V9" i="36"/>
  <c r="W9" i="36"/>
  <c r="O10" i="36"/>
  <c r="P10" i="36"/>
  <c r="Q10" i="36"/>
  <c r="R10" i="36"/>
  <c r="S10" i="36"/>
  <c r="T10" i="36"/>
  <c r="U10" i="36"/>
  <c r="V10" i="36"/>
  <c r="W10" i="36"/>
  <c r="O11" i="36"/>
  <c r="P11" i="36"/>
  <c r="Q11" i="36"/>
  <c r="R11" i="36"/>
  <c r="S11" i="36"/>
  <c r="T11" i="36"/>
  <c r="U11" i="36"/>
  <c r="V11" i="36"/>
  <c r="W11" i="36"/>
  <c r="O12" i="36"/>
  <c r="P12" i="36"/>
  <c r="Q12" i="36"/>
  <c r="R12" i="36"/>
  <c r="S12" i="36"/>
  <c r="T12" i="36"/>
  <c r="U12" i="36"/>
  <c r="V12" i="36"/>
  <c r="W12" i="36"/>
  <c r="O13" i="36"/>
  <c r="P13" i="36"/>
  <c r="Q13" i="36"/>
  <c r="R13" i="36"/>
  <c r="S13" i="36"/>
  <c r="T13" i="36"/>
  <c r="U13" i="36"/>
  <c r="V13" i="36"/>
  <c r="W13" i="36"/>
  <c r="O14" i="36"/>
  <c r="P14" i="36"/>
  <c r="Q14" i="36"/>
  <c r="R14" i="36"/>
  <c r="S14" i="36"/>
  <c r="T14" i="36"/>
  <c r="U14" i="36"/>
  <c r="V14" i="36"/>
  <c r="W14" i="36"/>
  <c r="O15" i="36"/>
  <c r="P15" i="36"/>
  <c r="Q15" i="36"/>
  <c r="R15" i="36"/>
  <c r="S15" i="36"/>
  <c r="T15" i="36"/>
  <c r="U15" i="36"/>
  <c r="V15" i="36"/>
  <c r="W15" i="36"/>
  <c r="O16" i="36"/>
  <c r="P16" i="36"/>
  <c r="Q16" i="36"/>
  <c r="R16" i="36"/>
  <c r="S16" i="36"/>
  <c r="T16" i="36"/>
  <c r="U16" i="36"/>
  <c r="V16" i="36"/>
  <c r="W16" i="36"/>
  <c r="O17" i="36"/>
  <c r="P17" i="36"/>
  <c r="Q17" i="36"/>
  <c r="R17" i="36"/>
  <c r="S17" i="36"/>
  <c r="T17" i="36"/>
  <c r="U17" i="36"/>
  <c r="V17" i="36"/>
  <c r="W17" i="36"/>
  <c r="O18" i="36"/>
  <c r="P18" i="36"/>
  <c r="Q18" i="36"/>
  <c r="R18" i="36"/>
  <c r="S18" i="36"/>
  <c r="T18" i="36"/>
  <c r="U18" i="36"/>
  <c r="V18" i="36"/>
  <c r="W18" i="36"/>
  <c r="O19" i="36"/>
  <c r="P19" i="36"/>
  <c r="Q19" i="36"/>
  <c r="R19" i="36"/>
  <c r="S19" i="36"/>
  <c r="T19" i="36"/>
  <c r="U19" i="36"/>
  <c r="V19" i="36"/>
  <c r="W19" i="36"/>
  <c r="O20" i="36"/>
  <c r="P20" i="36"/>
  <c r="Q20" i="36"/>
  <c r="R20" i="36"/>
  <c r="S20" i="36"/>
  <c r="T20" i="36"/>
  <c r="U20" i="36"/>
  <c r="V20" i="36"/>
  <c r="W20" i="36"/>
  <c r="O21" i="36"/>
  <c r="P21" i="36"/>
  <c r="Q21" i="36"/>
  <c r="R21" i="36"/>
  <c r="S21" i="36"/>
  <c r="T21" i="36"/>
  <c r="U21" i="36"/>
  <c r="V21" i="36"/>
  <c r="W21" i="36"/>
  <c r="O22" i="36"/>
  <c r="P22" i="36"/>
  <c r="Q22" i="36"/>
  <c r="R22" i="36"/>
  <c r="S22" i="36"/>
  <c r="T22" i="36"/>
  <c r="U22" i="36"/>
  <c r="V22" i="36"/>
  <c r="W22" i="36"/>
  <c r="O23" i="36"/>
  <c r="P23" i="36"/>
  <c r="Q23" i="36"/>
  <c r="R23" i="36"/>
  <c r="S23" i="36"/>
  <c r="T23" i="36"/>
  <c r="U23" i="36"/>
  <c r="V23" i="36"/>
  <c r="W23" i="36"/>
  <c r="O24" i="36"/>
  <c r="P24" i="36"/>
  <c r="Q24" i="36"/>
  <c r="R24" i="36"/>
  <c r="S24" i="36"/>
  <c r="T24" i="36"/>
  <c r="U24" i="36"/>
  <c r="V24" i="36"/>
  <c r="W24" i="36"/>
  <c r="O25" i="36"/>
  <c r="P25" i="36"/>
  <c r="Q25" i="36"/>
  <c r="R25" i="36"/>
  <c r="S25" i="36"/>
  <c r="T25" i="36"/>
  <c r="U25" i="36"/>
  <c r="V25" i="36"/>
  <c r="W25" i="36"/>
  <c r="O26" i="36"/>
  <c r="P26" i="36"/>
  <c r="Q26" i="36"/>
  <c r="R26" i="36"/>
  <c r="S26" i="36"/>
  <c r="T26" i="36"/>
  <c r="U26" i="36"/>
  <c r="V26" i="36"/>
  <c r="W26" i="36"/>
  <c r="O27" i="36"/>
  <c r="P27" i="36"/>
  <c r="Q27" i="36"/>
  <c r="R27" i="36"/>
  <c r="S27" i="36"/>
  <c r="T27" i="36"/>
  <c r="U27" i="36"/>
  <c r="V27" i="36"/>
  <c r="W27" i="36"/>
  <c r="O28" i="36"/>
  <c r="P28" i="36"/>
  <c r="Q28" i="36"/>
  <c r="R28" i="36"/>
  <c r="S28" i="36"/>
  <c r="T28" i="36"/>
  <c r="U28" i="36"/>
  <c r="V28" i="36"/>
  <c r="W28" i="36"/>
  <c r="O29" i="36"/>
  <c r="P29" i="36"/>
  <c r="Q29" i="36"/>
  <c r="R29" i="36"/>
  <c r="S29" i="36"/>
  <c r="T29" i="36"/>
  <c r="U29" i="36"/>
  <c r="V29" i="36"/>
  <c r="W29" i="36"/>
  <c r="O30" i="36"/>
  <c r="P30" i="36"/>
  <c r="Q30" i="36"/>
  <c r="R30" i="36"/>
  <c r="S30" i="36"/>
  <c r="T30" i="36"/>
  <c r="U30" i="36"/>
  <c r="V30" i="36"/>
  <c r="W30" i="36"/>
  <c r="O31" i="36"/>
  <c r="P31" i="36"/>
  <c r="Q31" i="36"/>
  <c r="R31" i="36"/>
  <c r="S31" i="36"/>
  <c r="T31" i="36"/>
  <c r="U31" i="36"/>
  <c r="V31" i="36"/>
  <c r="W31" i="36"/>
  <c r="O32" i="36"/>
  <c r="P32" i="36"/>
  <c r="Q32" i="36"/>
  <c r="R32" i="36"/>
  <c r="S32" i="36"/>
  <c r="T32" i="36"/>
  <c r="U32" i="36"/>
  <c r="V32" i="36"/>
  <c r="W32" i="36"/>
  <c r="O33" i="36"/>
  <c r="P33" i="36"/>
  <c r="Q33" i="36"/>
  <c r="R33" i="36"/>
  <c r="S33" i="36"/>
  <c r="T33" i="36"/>
  <c r="U33" i="36"/>
  <c r="V33" i="36"/>
  <c r="W33" i="36"/>
  <c r="O34" i="36"/>
  <c r="U34" i="36"/>
  <c r="V34" i="36"/>
  <c r="W34" i="36"/>
  <c r="W34" i="39"/>
  <c r="V34" i="39"/>
  <c r="U34" i="39"/>
  <c r="T34" i="39"/>
  <c r="S34" i="39"/>
  <c r="R34" i="39"/>
  <c r="T34" i="36" s="1"/>
  <c r="Q34" i="39"/>
  <c r="S34" i="36" s="1"/>
  <c r="P34" i="39"/>
  <c r="R34" i="36" s="1"/>
  <c r="O34" i="39"/>
  <c r="Q34" i="36" s="1"/>
  <c r="N34" i="39"/>
  <c r="P34" i="36" s="1"/>
  <c r="M34" i="39"/>
  <c r="M34" i="36"/>
  <c r="L33" i="39"/>
  <c r="N33" i="36" s="1"/>
  <c r="K33" i="39"/>
  <c r="J33" i="39"/>
  <c r="I33" i="39"/>
  <c r="H33" i="39"/>
  <c r="G33" i="39"/>
  <c r="F33" i="39"/>
  <c r="E33" i="39"/>
  <c r="D33" i="39"/>
  <c r="C33" i="39"/>
  <c r="B33" i="39"/>
  <c r="L32" i="39"/>
  <c r="N32" i="36" s="1"/>
  <c r="K32" i="39"/>
  <c r="J32" i="39"/>
  <c r="I32" i="39"/>
  <c r="H32" i="39"/>
  <c r="G32" i="39"/>
  <c r="F32" i="39"/>
  <c r="E32" i="39"/>
  <c r="D32" i="39"/>
  <c r="C32" i="39"/>
  <c r="B32" i="39"/>
  <c r="L31" i="39"/>
  <c r="N31" i="36" s="1"/>
  <c r="K31" i="39"/>
  <c r="M31" i="36" s="1"/>
  <c r="J31" i="39"/>
  <c r="I31" i="39"/>
  <c r="H31" i="39"/>
  <c r="G31" i="39"/>
  <c r="F31" i="39"/>
  <c r="E31" i="39"/>
  <c r="D31" i="39"/>
  <c r="C31" i="39"/>
  <c r="B31" i="39"/>
  <c r="L30" i="39"/>
  <c r="N30" i="36" s="1"/>
  <c r="K30" i="39"/>
  <c r="J30" i="39"/>
  <c r="I30" i="39"/>
  <c r="H30" i="39"/>
  <c r="G30" i="39"/>
  <c r="F30" i="39"/>
  <c r="E30" i="39"/>
  <c r="D30" i="39"/>
  <c r="C30" i="39"/>
  <c r="B30" i="39"/>
  <c r="L29" i="39"/>
  <c r="N29" i="36" s="1"/>
  <c r="K29" i="39"/>
  <c r="M29" i="36" s="1"/>
  <c r="J29" i="39"/>
  <c r="I29" i="39"/>
  <c r="H29" i="39"/>
  <c r="G29" i="39"/>
  <c r="F29" i="39"/>
  <c r="E29" i="39"/>
  <c r="D29" i="39"/>
  <c r="C29" i="39"/>
  <c r="B29" i="39"/>
  <c r="L28" i="39"/>
  <c r="N28" i="36" s="1"/>
  <c r="K28" i="39"/>
  <c r="J28" i="39"/>
  <c r="I28" i="39"/>
  <c r="H28" i="39"/>
  <c r="G28" i="39"/>
  <c r="F28" i="39"/>
  <c r="E28" i="39"/>
  <c r="D28" i="39"/>
  <c r="C28" i="39"/>
  <c r="B28" i="39"/>
  <c r="L27" i="39"/>
  <c r="N27" i="36" s="1"/>
  <c r="K27" i="39"/>
  <c r="M27" i="36" s="1"/>
  <c r="J27" i="39"/>
  <c r="I27" i="39"/>
  <c r="H27" i="39"/>
  <c r="G27" i="39"/>
  <c r="F27" i="39"/>
  <c r="E27" i="39"/>
  <c r="D27" i="39"/>
  <c r="C27" i="39"/>
  <c r="B27" i="39"/>
  <c r="L26" i="39"/>
  <c r="M26" i="36" s="1"/>
  <c r="K26" i="39"/>
  <c r="J26" i="39"/>
  <c r="I26" i="39"/>
  <c r="H26" i="39"/>
  <c r="G26" i="39"/>
  <c r="F26" i="39"/>
  <c r="E26" i="39"/>
  <c r="D26" i="39"/>
  <c r="C26" i="39"/>
  <c r="B26" i="39"/>
  <c r="L25" i="39"/>
  <c r="N25" i="36" s="1"/>
  <c r="K25" i="39"/>
  <c r="J25" i="39"/>
  <c r="I25" i="39"/>
  <c r="H25" i="39"/>
  <c r="G25" i="39"/>
  <c r="F25" i="39"/>
  <c r="E25" i="39"/>
  <c r="D25" i="39"/>
  <c r="C25" i="39"/>
  <c r="B25" i="39"/>
  <c r="L24" i="39"/>
  <c r="N24" i="36" s="1"/>
  <c r="K24" i="39"/>
  <c r="J24" i="39"/>
  <c r="I24" i="39"/>
  <c r="H24" i="39"/>
  <c r="G24" i="39"/>
  <c r="F24" i="39"/>
  <c r="E24" i="39"/>
  <c r="D24" i="39"/>
  <c r="C24" i="39"/>
  <c r="B24" i="39"/>
  <c r="L23" i="39"/>
  <c r="N23" i="36" s="1"/>
  <c r="K23" i="39"/>
  <c r="M23" i="36" s="1"/>
  <c r="J23" i="39"/>
  <c r="I23" i="39"/>
  <c r="H23" i="39"/>
  <c r="G23" i="39"/>
  <c r="F23" i="39"/>
  <c r="E23" i="39"/>
  <c r="D23" i="39"/>
  <c r="C23" i="39"/>
  <c r="B23" i="39"/>
  <c r="L22" i="39"/>
  <c r="N22" i="36" s="1"/>
  <c r="K22" i="39"/>
  <c r="M22" i="36" s="1"/>
  <c r="J22" i="39"/>
  <c r="I22" i="39"/>
  <c r="H22" i="39"/>
  <c r="G22" i="39"/>
  <c r="F22" i="39"/>
  <c r="E22" i="39"/>
  <c r="D22" i="39"/>
  <c r="C22" i="39"/>
  <c r="B22" i="39"/>
  <c r="L21" i="39"/>
  <c r="N21" i="36" s="1"/>
  <c r="K21" i="39"/>
  <c r="M21" i="36" s="1"/>
  <c r="J21" i="39"/>
  <c r="I21" i="39"/>
  <c r="H21" i="39"/>
  <c r="G21" i="39"/>
  <c r="F21" i="39"/>
  <c r="E21" i="39"/>
  <c r="D21" i="39"/>
  <c r="C21" i="39"/>
  <c r="B21" i="39"/>
  <c r="L20" i="39"/>
  <c r="N20" i="36" s="1"/>
  <c r="K20" i="39"/>
  <c r="J20" i="39"/>
  <c r="I20" i="39"/>
  <c r="H20" i="39"/>
  <c r="G20" i="39"/>
  <c r="F20" i="39"/>
  <c r="E20" i="39"/>
  <c r="D20" i="39"/>
  <c r="C20" i="39"/>
  <c r="B20" i="39"/>
  <c r="L19" i="39"/>
  <c r="N19" i="36" s="1"/>
  <c r="K19" i="39"/>
  <c r="M19" i="36" s="1"/>
  <c r="J19" i="39"/>
  <c r="I19" i="39"/>
  <c r="H19" i="39"/>
  <c r="G19" i="39"/>
  <c r="F19" i="39"/>
  <c r="E19" i="39"/>
  <c r="D19" i="39"/>
  <c r="C19" i="39"/>
  <c r="B19" i="39"/>
  <c r="L18" i="39"/>
  <c r="N18" i="36" s="1"/>
  <c r="K18" i="39"/>
  <c r="J18" i="39"/>
  <c r="I18" i="39"/>
  <c r="H18" i="39"/>
  <c r="G18" i="39"/>
  <c r="F18" i="39"/>
  <c r="E18" i="39"/>
  <c r="D18" i="39"/>
  <c r="C18" i="39"/>
  <c r="B18" i="39"/>
  <c r="L17" i="39"/>
  <c r="N17" i="36" s="1"/>
  <c r="K17" i="39"/>
  <c r="J17" i="39"/>
  <c r="I17" i="39"/>
  <c r="H17" i="39"/>
  <c r="G17" i="39"/>
  <c r="F17" i="39"/>
  <c r="E17" i="39"/>
  <c r="D17" i="39"/>
  <c r="C17" i="39"/>
  <c r="B17" i="39"/>
  <c r="L16" i="39"/>
  <c r="N16" i="36" s="1"/>
  <c r="K16" i="39"/>
  <c r="J16" i="39"/>
  <c r="I16" i="39"/>
  <c r="H16" i="39"/>
  <c r="G16" i="39"/>
  <c r="F16" i="39"/>
  <c r="E16" i="39"/>
  <c r="D16" i="39"/>
  <c r="C16" i="39"/>
  <c r="B16" i="39"/>
  <c r="L15" i="39"/>
  <c r="N15" i="36" s="1"/>
  <c r="K15" i="39"/>
  <c r="M15" i="36" s="1"/>
  <c r="J15" i="39"/>
  <c r="I15" i="39"/>
  <c r="H15" i="39"/>
  <c r="G15" i="39"/>
  <c r="F15" i="39"/>
  <c r="E15" i="39"/>
  <c r="D15" i="39"/>
  <c r="C15" i="39"/>
  <c r="B15" i="39"/>
  <c r="L14" i="39"/>
  <c r="N14" i="36" s="1"/>
  <c r="K14" i="39"/>
  <c r="M14" i="36" s="1"/>
  <c r="J14" i="39"/>
  <c r="I14" i="39"/>
  <c r="H14" i="39"/>
  <c r="G14" i="39"/>
  <c r="F14" i="39"/>
  <c r="E14" i="39"/>
  <c r="D14" i="39"/>
  <c r="C14" i="39"/>
  <c r="B14" i="39"/>
  <c r="L13" i="39"/>
  <c r="N13" i="36" s="1"/>
  <c r="K13" i="39"/>
  <c r="M13" i="36" s="1"/>
  <c r="J13" i="39"/>
  <c r="I13" i="39"/>
  <c r="H13" i="39"/>
  <c r="G13" i="39"/>
  <c r="F13" i="39"/>
  <c r="E13" i="39"/>
  <c r="D13" i="39"/>
  <c r="C13" i="39"/>
  <c r="B13" i="39"/>
  <c r="L12" i="39"/>
  <c r="N12" i="36" s="1"/>
  <c r="K12" i="39"/>
  <c r="J12" i="39"/>
  <c r="I12" i="39"/>
  <c r="H12" i="39"/>
  <c r="G12" i="39"/>
  <c r="F12" i="39"/>
  <c r="E12" i="39"/>
  <c r="D12" i="39"/>
  <c r="C12" i="39"/>
  <c r="B12" i="39"/>
  <c r="L11" i="39"/>
  <c r="N11" i="36" s="1"/>
  <c r="K11" i="39"/>
  <c r="M11" i="36" s="1"/>
  <c r="J11" i="39"/>
  <c r="I11" i="39"/>
  <c r="H11" i="39"/>
  <c r="G11" i="39"/>
  <c r="F11" i="39"/>
  <c r="E11" i="39"/>
  <c r="D11" i="39"/>
  <c r="C11" i="39"/>
  <c r="B11" i="39"/>
  <c r="L10" i="39"/>
  <c r="N10" i="36" s="1"/>
  <c r="K10" i="39"/>
  <c r="J10" i="39"/>
  <c r="I10" i="39"/>
  <c r="H10" i="39"/>
  <c r="G10" i="39"/>
  <c r="F10" i="39"/>
  <c r="E10" i="39"/>
  <c r="D10" i="39"/>
  <c r="C10" i="39"/>
  <c r="B10" i="39"/>
  <c r="L9" i="39"/>
  <c r="N9" i="36" s="1"/>
  <c r="K9" i="39"/>
  <c r="J9" i="39"/>
  <c r="I9" i="39"/>
  <c r="H9" i="39"/>
  <c r="G9" i="39"/>
  <c r="F9" i="39"/>
  <c r="E9" i="39"/>
  <c r="D9" i="39"/>
  <c r="C9" i="39"/>
  <c r="B9" i="39"/>
  <c r="L8" i="39"/>
  <c r="N8" i="36" s="1"/>
  <c r="K8" i="39"/>
  <c r="J8" i="39"/>
  <c r="I8" i="39"/>
  <c r="H8" i="39"/>
  <c r="G8" i="39"/>
  <c r="F8" i="39"/>
  <c r="E8" i="39"/>
  <c r="D8" i="39"/>
  <c r="C8" i="39"/>
  <c r="B8" i="39"/>
  <c r="L7" i="39"/>
  <c r="N7" i="36" s="1"/>
  <c r="K7" i="39"/>
  <c r="M7" i="36" s="1"/>
  <c r="J7" i="39"/>
  <c r="I7" i="39"/>
  <c r="H7" i="39"/>
  <c r="G7" i="39"/>
  <c r="F7" i="39"/>
  <c r="E7" i="39"/>
  <c r="D7" i="39"/>
  <c r="C7" i="39"/>
  <c r="B7" i="39"/>
  <c r="L6" i="39"/>
  <c r="N6" i="36" s="1"/>
  <c r="K6" i="39"/>
  <c r="M6" i="36" s="1"/>
  <c r="J6" i="39"/>
  <c r="I6" i="39"/>
  <c r="H6" i="39"/>
  <c r="G6" i="39"/>
  <c r="F6" i="39"/>
  <c r="E6" i="39"/>
  <c r="D6" i="39"/>
  <c r="C6" i="39"/>
  <c r="B6" i="39"/>
  <c r="L5" i="39"/>
  <c r="N5" i="36" s="1"/>
  <c r="K5" i="39"/>
  <c r="M5" i="36" s="1"/>
  <c r="J5" i="39"/>
  <c r="I5" i="39"/>
  <c r="H5" i="39"/>
  <c r="G5" i="39"/>
  <c r="F5" i="39"/>
  <c r="E5" i="39"/>
  <c r="D5" i="39"/>
  <c r="C5" i="39"/>
  <c r="B5" i="39"/>
  <c r="L4" i="39"/>
  <c r="N4" i="36" s="1"/>
  <c r="K4" i="39"/>
  <c r="J4" i="39"/>
  <c r="I4" i="39"/>
  <c r="H4" i="39"/>
  <c r="G4" i="39"/>
  <c r="F4" i="39"/>
  <c r="E4" i="39"/>
  <c r="D4" i="39"/>
  <c r="C4" i="39"/>
  <c r="B4" i="39"/>
  <c r="L3" i="39"/>
  <c r="N3" i="36" s="1"/>
  <c r="K3" i="39"/>
  <c r="M3" i="36" s="1"/>
  <c r="J3" i="39"/>
  <c r="I3" i="39"/>
  <c r="H3" i="39"/>
  <c r="G3" i="39"/>
  <c r="F3" i="39"/>
  <c r="E3" i="39"/>
  <c r="D3" i="39"/>
  <c r="C3" i="39"/>
  <c r="B3" i="39"/>
  <c r="M8" i="36" l="1"/>
  <c r="M16" i="36"/>
  <c r="M24" i="36"/>
  <c r="M32" i="36"/>
  <c r="M18" i="36"/>
  <c r="M30" i="36"/>
  <c r="M9" i="36"/>
  <c r="N26" i="36"/>
  <c r="M17" i="36"/>
  <c r="M25" i="36"/>
  <c r="M33" i="36"/>
  <c r="N34" i="36"/>
  <c r="M4" i="36"/>
  <c r="M12" i="36"/>
  <c r="M20" i="36"/>
  <c r="M28" i="36"/>
  <c r="M10" i="36"/>
  <c r="W10" i="37"/>
  <c r="W11" i="37"/>
  <c r="W12" i="37"/>
  <c r="W13" i="37"/>
  <c r="W14" i="37"/>
  <c r="W15" i="37"/>
  <c r="W16" i="37"/>
  <c r="W17" i="37"/>
  <c r="W18" i="37"/>
  <c r="W19" i="37"/>
  <c r="W20" i="37"/>
  <c r="W21" i="37"/>
  <c r="W22" i="37"/>
  <c r="W23" i="37"/>
  <c r="W24" i="37"/>
  <c r="W25" i="37"/>
  <c r="W26" i="37"/>
  <c r="W27" i="37"/>
  <c r="W28" i="37"/>
  <c r="W29" i="37"/>
  <c r="W30" i="37"/>
  <c r="W31" i="37"/>
  <c r="W32" i="37"/>
  <c r="W33" i="37"/>
  <c r="W34" i="37"/>
  <c r="W35" i="37"/>
  <c r="W36" i="37"/>
  <c r="W37" i="37"/>
  <c r="W38" i="37"/>
  <c r="W39" i="37"/>
  <c r="W40" i="37"/>
  <c r="W42" i="38"/>
  <c r="V42" i="38"/>
  <c r="U42" i="38"/>
  <c r="T42" i="38"/>
  <c r="S42" i="38"/>
  <c r="R42" i="38"/>
  <c r="Q42" i="38"/>
  <c r="P42" i="38"/>
  <c r="O42" i="38"/>
  <c r="N42" i="38"/>
  <c r="M42" i="38"/>
  <c r="L42" i="38" s="1"/>
  <c r="K42" i="38" s="1"/>
  <c r="J42" i="38" s="1"/>
  <c r="I42" i="38" s="1"/>
  <c r="H42" i="38" s="1"/>
  <c r="G42" i="38" s="1"/>
  <c r="F42" i="38" s="1"/>
  <c r="E42" i="38" s="1"/>
  <c r="D42" i="38" s="1"/>
  <c r="C42" i="38" s="1"/>
  <c r="B42" i="38" s="1"/>
  <c r="W41" i="38"/>
  <c r="V41" i="38"/>
  <c r="U41" i="38"/>
  <c r="T41" i="38"/>
  <c r="S41" i="38"/>
  <c r="R41" i="38"/>
  <c r="Q41" i="38"/>
  <c r="P41" i="38"/>
  <c r="O41" i="38"/>
  <c r="N41" i="38"/>
  <c r="M41" i="38"/>
  <c r="L41" i="38" s="1"/>
  <c r="K41" i="38" s="1"/>
  <c r="J41" i="38" s="1"/>
  <c r="I41" i="38" s="1"/>
  <c r="H41" i="38" s="1"/>
  <c r="G41" i="38" s="1"/>
  <c r="F41" i="38" s="1"/>
  <c r="E41" i="38" s="1"/>
  <c r="D41" i="38" s="1"/>
  <c r="C41" i="38" s="1"/>
  <c r="B41" i="38" s="1"/>
  <c r="W40" i="38"/>
  <c r="V40" i="38"/>
  <c r="U40" i="38"/>
  <c r="T40" i="38"/>
  <c r="S40" i="38"/>
  <c r="R40" i="38"/>
  <c r="Q40" i="38"/>
  <c r="P40" i="38"/>
  <c r="O40" i="38"/>
  <c r="N40" i="38"/>
  <c r="M40" i="38"/>
  <c r="L40" i="38" s="1"/>
  <c r="K40" i="38" s="1"/>
  <c r="J40" i="38" s="1"/>
  <c r="I40" i="38" s="1"/>
  <c r="H40" i="38" s="1"/>
  <c r="G40" i="38" s="1"/>
  <c r="F40" i="38" s="1"/>
  <c r="E40" i="38" s="1"/>
  <c r="D40" i="38" s="1"/>
  <c r="C40" i="38" s="1"/>
  <c r="B40" i="38" s="1"/>
  <c r="W39" i="38"/>
  <c r="V39" i="38"/>
  <c r="U39" i="38"/>
  <c r="T39" i="38"/>
  <c r="S39" i="38"/>
  <c r="R39" i="38"/>
  <c r="Q39" i="38"/>
  <c r="P39" i="38"/>
  <c r="O39" i="38"/>
  <c r="N39" i="38"/>
  <c r="M39" i="38"/>
  <c r="L39" i="38" s="1"/>
  <c r="K39" i="38" s="1"/>
  <c r="J39" i="38" s="1"/>
  <c r="I39" i="38" s="1"/>
  <c r="H39" i="38" s="1"/>
  <c r="G39" i="38" s="1"/>
  <c r="F39" i="38" s="1"/>
  <c r="E39" i="38" s="1"/>
  <c r="D39" i="38" s="1"/>
  <c r="C39" i="38" s="1"/>
  <c r="B39" i="38" s="1"/>
  <c r="W38" i="38"/>
  <c r="V38" i="38"/>
  <c r="U38" i="38"/>
  <c r="T38" i="38"/>
  <c r="S38" i="38"/>
  <c r="R38" i="38"/>
  <c r="Q38" i="38"/>
  <c r="P38" i="38"/>
  <c r="O38" i="38"/>
  <c r="N38" i="38"/>
  <c r="M38" i="38"/>
  <c r="L38" i="38" s="1"/>
  <c r="K38" i="38" s="1"/>
  <c r="J38" i="38" s="1"/>
  <c r="I38" i="38" s="1"/>
  <c r="H38" i="38" s="1"/>
  <c r="G38" i="38" s="1"/>
  <c r="F38" i="38" s="1"/>
  <c r="E38" i="38" s="1"/>
  <c r="D38" i="38" s="1"/>
  <c r="C38" i="38" s="1"/>
  <c r="B38" i="38" s="1"/>
  <c r="W37" i="38"/>
  <c r="V37" i="38"/>
  <c r="U37" i="38"/>
  <c r="T37" i="38"/>
  <c r="S37" i="38"/>
  <c r="R37" i="38"/>
  <c r="Q37" i="38"/>
  <c r="P37" i="38"/>
  <c r="O37" i="38"/>
  <c r="N37" i="38"/>
  <c r="M37" i="38"/>
  <c r="L37" i="38" s="1"/>
  <c r="K37" i="38" s="1"/>
  <c r="J37" i="38" s="1"/>
  <c r="I37" i="38" s="1"/>
  <c r="H37" i="38" s="1"/>
  <c r="G37" i="38" s="1"/>
  <c r="F37" i="38" s="1"/>
  <c r="E37" i="38" s="1"/>
  <c r="D37" i="38" s="1"/>
  <c r="C37" i="38" s="1"/>
  <c r="B37" i="38" s="1"/>
  <c r="W36" i="38"/>
  <c r="V36" i="38"/>
  <c r="U36" i="38"/>
  <c r="T36" i="38"/>
  <c r="S36" i="38"/>
  <c r="R36" i="38"/>
  <c r="Q36" i="38"/>
  <c r="P36" i="38"/>
  <c r="O36" i="38"/>
  <c r="N36" i="38"/>
  <c r="M36" i="38"/>
  <c r="L36" i="38" s="1"/>
  <c r="K36" i="38" s="1"/>
  <c r="J36" i="38" s="1"/>
  <c r="I36" i="38" s="1"/>
  <c r="H36" i="38" s="1"/>
  <c r="G36" i="38" s="1"/>
  <c r="F36" i="38" s="1"/>
  <c r="E36" i="38" s="1"/>
  <c r="D36" i="38" s="1"/>
  <c r="C36" i="38" s="1"/>
  <c r="B36" i="38" s="1"/>
  <c r="W35" i="38"/>
  <c r="V35" i="38"/>
  <c r="U35" i="38"/>
  <c r="T35" i="38"/>
  <c r="S35" i="38"/>
  <c r="R35" i="38"/>
  <c r="Q35" i="38"/>
  <c r="P35" i="38"/>
  <c r="O35" i="38"/>
  <c r="N35" i="38"/>
  <c r="M35" i="38"/>
  <c r="L35" i="38" s="1"/>
  <c r="K35" i="38" s="1"/>
  <c r="J35" i="38" s="1"/>
  <c r="I35" i="38" s="1"/>
  <c r="H35" i="38" s="1"/>
  <c r="G35" i="38" s="1"/>
  <c r="F35" i="38" s="1"/>
  <c r="E35" i="38" s="1"/>
  <c r="D35" i="38" s="1"/>
  <c r="C35" i="38" s="1"/>
  <c r="B35" i="38" s="1"/>
  <c r="W34" i="38"/>
  <c r="V34" i="38"/>
  <c r="U34" i="38"/>
  <c r="T34" i="38"/>
  <c r="S34" i="38"/>
  <c r="R34" i="38"/>
  <c r="Q34" i="38"/>
  <c r="P34" i="38"/>
  <c r="O34" i="38"/>
  <c r="N34" i="38"/>
  <c r="M34" i="38"/>
  <c r="L34" i="38" s="1"/>
  <c r="K34" i="38" s="1"/>
  <c r="J34" i="38" s="1"/>
  <c r="I34" i="38" s="1"/>
  <c r="H34" i="38" s="1"/>
  <c r="G34" i="38" s="1"/>
  <c r="F34" i="38" s="1"/>
  <c r="E34" i="38" s="1"/>
  <c r="D34" i="38" s="1"/>
  <c r="C34" i="38" s="1"/>
  <c r="B34" i="38" s="1"/>
  <c r="W33" i="38"/>
  <c r="V33" i="38"/>
  <c r="U33" i="38"/>
  <c r="T33" i="38"/>
  <c r="S33" i="38"/>
  <c r="R33" i="38"/>
  <c r="Q33" i="38"/>
  <c r="P33" i="38"/>
  <c r="O33" i="38"/>
  <c r="N33" i="38"/>
  <c r="M33" i="38"/>
  <c r="L33" i="38" s="1"/>
  <c r="K33" i="38" s="1"/>
  <c r="J33" i="38" s="1"/>
  <c r="I33" i="38" s="1"/>
  <c r="H33" i="38" s="1"/>
  <c r="G33" i="38" s="1"/>
  <c r="F33" i="38" s="1"/>
  <c r="E33" i="38" s="1"/>
  <c r="D33" i="38" s="1"/>
  <c r="C33" i="38" s="1"/>
  <c r="B33" i="38" s="1"/>
  <c r="W32" i="38"/>
  <c r="V32" i="38"/>
  <c r="U32" i="38"/>
  <c r="T32" i="38"/>
  <c r="S32" i="38"/>
  <c r="R32" i="38"/>
  <c r="Q32" i="38"/>
  <c r="P32" i="38"/>
  <c r="O32" i="38"/>
  <c r="N32" i="38"/>
  <c r="M32" i="38"/>
  <c r="L32" i="38" s="1"/>
  <c r="K32" i="38" s="1"/>
  <c r="J32" i="38" s="1"/>
  <c r="I32" i="38" s="1"/>
  <c r="H32" i="38" s="1"/>
  <c r="G32" i="38" s="1"/>
  <c r="F32" i="38" s="1"/>
  <c r="E32" i="38" s="1"/>
  <c r="D32" i="38" s="1"/>
  <c r="C32" i="38" s="1"/>
  <c r="B32" i="38" s="1"/>
  <c r="W31" i="38"/>
  <c r="V31" i="38"/>
  <c r="U31" i="38"/>
  <c r="T31" i="38"/>
  <c r="S31" i="38"/>
  <c r="R31" i="38"/>
  <c r="Q31" i="38"/>
  <c r="P31" i="38"/>
  <c r="O31" i="38"/>
  <c r="N31" i="38"/>
  <c r="M31" i="38"/>
  <c r="L31" i="38" s="1"/>
  <c r="K31" i="38" s="1"/>
  <c r="J31" i="38" s="1"/>
  <c r="I31" i="38" s="1"/>
  <c r="H31" i="38" s="1"/>
  <c r="G31" i="38" s="1"/>
  <c r="F31" i="38" s="1"/>
  <c r="E31" i="38" s="1"/>
  <c r="D31" i="38" s="1"/>
  <c r="C31" i="38" s="1"/>
  <c r="B31" i="38" s="1"/>
  <c r="W30" i="38"/>
  <c r="V30" i="38"/>
  <c r="U30" i="38"/>
  <c r="T30" i="38"/>
  <c r="S30" i="38"/>
  <c r="R30" i="38"/>
  <c r="Q30" i="38"/>
  <c r="P30" i="38"/>
  <c r="O30" i="38"/>
  <c r="N30" i="38"/>
  <c r="M30" i="38"/>
  <c r="L30" i="38" s="1"/>
  <c r="K30" i="38" s="1"/>
  <c r="J30" i="38" s="1"/>
  <c r="I30" i="38" s="1"/>
  <c r="H30" i="38" s="1"/>
  <c r="G30" i="38" s="1"/>
  <c r="F30" i="38" s="1"/>
  <c r="E30" i="38" s="1"/>
  <c r="D30" i="38" s="1"/>
  <c r="C30" i="38" s="1"/>
  <c r="B30" i="38" s="1"/>
  <c r="W29" i="38"/>
  <c r="V29" i="38"/>
  <c r="U29" i="38"/>
  <c r="T29" i="38"/>
  <c r="S29" i="38"/>
  <c r="R29" i="38"/>
  <c r="Q29" i="38"/>
  <c r="P29" i="38"/>
  <c r="O29" i="38"/>
  <c r="N29" i="38"/>
  <c r="M29" i="38"/>
  <c r="L29" i="38" s="1"/>
  <c r="K29" i="38" s="1"/>
  <c r="J29" i="38" s="1"/>
  <c r="I29" i="38" s="1"/>
  <c r="H29" i="38" s="1"/>
  <c r="G29" i="38" s="1"/>
  <c r="F29" i="38" s="1"/>
  <c r="E29" i="38" s="1"/>
  <c r="D29" i="38" s="1"/>
  <c r="C29" i="38" s="1"/>
  <c r="B29" i="38" s="1"/>
  <c r="W28" i="38"/>
  <c r="V28" i="38"/>
  <c r="U28" i="38"/>
  <c r="T28" i="38"/>
  <c r="S28" i="38"/>
  <c r="R28" i="38"/>
  <c r="Q28" i="38"/>
  <c r="P28" i="38"/>
  <c r="O28" i="38"/>
  <c r="N28" i="38"/>
  <c r="M28" i="38"/>
  <c r="L28" i="38" s="1"/>
  <c r="K28" i="38" s="1"/>
  <c r="J28" i="38" s="1"/>
  <c r="I28" i="38" s="1"/>
  <c r="H28" i="38" s="1"/>
  <c r="G28" i="38" s="1"/>
  <c r="F28" i="38" s="1"/>
  <c r="E28" i="38" s="1"/>
  <c r="D28" i="38" s="1"/>
  <c r="C28" i="38" s="1"/>
  <c r="B28" i="38" s="1"/>
  <c r="W27" i="38"/>
  <c r="V27" i="38"/>
  <c r="U27" i="38"/>
  <c r="T27" i="38"/>
  <c r="S27" i="38"/>
  <c r="R27" i="38"/>
  <c r="Q27" i="38"/>
  <c r="P27" i="38"/>
  <c r="O27" i="38"/>
  <c r="N27" i="38"/>
  <c r="M27" i="38"/>
  <c r="L27" i="38" s="1"/>
  <c r="K27" i="38" s="1"/>
  <c r="J27" i="38" s="1"/>
  <c r="I27" i="38" s="1"/>
  <c r="H27" i="38" s="1"/>
  <c r="G27" i="38" s="1"/>
  <c r="F27" i="38" s="1"/>
  <c r="E27" i="38" s="1"/>
  <c r="D27" i="38" s="1"/>
  <c r="C27" i="38" s="1"/>
  <c r="B27" i="38" s="1"/>
  <c r="W26" i="38"/>
  <c r="V26" i="38"/>
  <c r="U26" i="38"/>
  <c r="T26" i="38"/>
  <c r="S26" i="38"/>
  <c r="R26" i="38"/>
  <c r="Q26" i="38"/>
  <c r="P26" i="38"/>
  <c r="O26" i="38"/>
  <c r="N26" i="38"/>
  <c r="M26" i="38"/>
  <c r="L26" i="38" s="1"/>
  <c r="K26" i="38" s="1"/>
  <c r="J26" i="38" s="1"/>
  <c r="I26" i="38" s="1"/>
  <c r="H26" i="38" s="1"/>
  <c r="G26" i="38" s="1"/>
  <c r="F26" i="38" s="1"/>
  <c r="E26" i="38" s="1"/>
  <c r="D26" i="38" s="1"/>
  <c r="C26" i="38" s="1"/>
  <c r="B26" i="38" s="1"/>
  <c r="W25" i="38"/>
  <c r="V25" i="38"/>
  <c r="U25" i="38"/>
  <c r="T25" i="38"/>
  <c r="S25" i="38"/>
  <c r="R25" i="38"/>
  <c r="Q25" i="38"/>
  <c r="P25" i="38"/>
  <c r="O25" i="38"/>
  <c r="N25" i="38"/>
  <c r="M25" i="38"/>
  <c r="L25" i="38" s="1"/>
  <c r="K25" i="38" s="1"/>
  <c r="J25" i="38" s="1"/>
  <c r="I25" i="38" s="1"/>
  <c r="H25" i="38" s="1"/>
  <c r="G25" i="38" s="1"/>
  <c r="F25" i="38" s="1"/>
  <c r="E25" i="38" s="1"/>
  <c r="D25" i="38" s="1"/>
  <c r="C25" i="38" s="1"/>
  <c r="B25" i="38" s="1"/>
  <c r="W24" i="38"/>
  <c r="V24" i="38"/>
  <c r="U24" i="38"/>
  <c r="T24" i="38"/>
  <c r="S24" i="38"/>
  <c r="R24" i="38"/>
  <c r="Q24" i="38"/>
  <c r="P24" i="38"/>
  <c r="O24" i="38"/>
  <c r="N24" i="38"/>
  <c r="M24" i="38"/>
  <c r="L24" i="38" s="1"/>
  <c r="K24" i="38" s="1"/>
  <c r="J24" i="38" s="1"/>
  <c r="I24" i="38" s="1"/>
  <c r="H24" i="38" s="1"/>
  <c r="G24" i="38" s="1"/>
  <c r="F24" i="38" s="1"/>
  <c r="E24" i="38" s="1"/>
  <c r="D24" i="38" s="1"/>
  <c r="C24" i="38" s="1"/>
  <c r="B24" i="38" s="1"/>
  <c r="W23" i="38"/>
  <c r="V23" i="38"/>
  <c r="U23" i="38"/>
  <c r="T23" i="38"/>
  <c r="S23" i="38"/>
  <c r="R23" i="38"/>
  <c r="Q23" i="38"/>
  <c r="P23" i="38"/>
  <c r="O23" i="38"/>
  <c r="N23" i="38"/>
  <c r="M23" i="38"/>
  <c r="L23" i="38" s="1"/>
  <c r="K23" i="38" s="1"/>
  <c r="J23" i="38" s="1"/>
  <c r="I23" i="38" s="1"/>
  <c r="H23" i="38" s="1"/>
  <c r="G23" i="38" s="1"/>
  <c r="F23" i="38" s="1"/>
  <c r="E23" i="38" s="1"/>
  <c r="D23" i="38" s="1"/>
  <c r="C23" i="38" s="1"/>
  <c r="B23" i="38" s="1"/>
  <c r="W22" i="38"/>
  <c r="V22" i="38"/>
  <c r="U22" i="38"/>
  <c r="T22" i="38"/>
  <c r="S22" i="38"/>
  <c r="R22" i="38"/>
  <c r="Q22" i="38"/>
  <c r="P22" i="38"/>
  <c r="O22" i="38"/>
  <c r="N22" i="38"/>
  <c r="M22" i="38"/>
  <c r="L22" i="38" s="1"/>
  <c r="K22" i="38" s="1"/>
  <c r="J22" i="38" s="1"/>
  <c r="I22" i="38" s="1"/>
  <c r="H22" i="38" s="1"/>
  <c r="G22" i="38" s="1"/>
  <c r="F22" i="38" s="1"/>
  <c r="E22" i="38" s="1"/>
  <c r="D22" i="38" s="1"/>
  <c r="C22" i="38" s="1"/>
  <c r="B22" i="38" s="1"/>
  <c r="W21" i="38"/>
  <c r="V21" i="38"/>
  <c r="U21" i="38"/>
  <c r="T21" i="38"/>
  <c r="S21" i="38"/>
  <c r="R21" i="38"/>
  <c r="Q21" i="38"/>
  <c r="P21" i="38"/>
  <c r="O21" i="38"/>
  <c r="N21" i="38"/>
  <c r="M21" i="38"/>
  <c r="L21" i="38" s="1"/>
  <c r="K21" i="38" s="1"/>
  <c r="J21" i="38" s="1"/>
  <c r="I21" i="38" s="1"/>
  <c r="H21" i="38" s="1"/>
  <c r="G21" i="38" s="1"/>
  <c r="F21" i="38" s="1"/>
  <c r="E21" i="38" s="1"/>
  <c r="D21" i="38" s="1"/>
  <c r="C21" i="38" s="1"/>
  <c r="B21" i="38" s="1"/>
  <c r="W20" i="38"/>
  <c r="V20" i="38"/>
  <c r="U20" i="38"/>
  <c r="T20" i="38"/>
  <c r="S20" i="38"/>
  <c r="R20" i="38"/>
  <c r="Q20" i="38"/>
  <c r="P20" i="38"/>
  <c r="O20" i="38"/>
  <c r="N20" i="38"/>
  <c r="M20" i="38"/>
  <c r="L20" i="38" s="1"/>
  <c r="K20" i="38" s="1"/>
  <c r="J20" i="38" s="1"/>
  <c r="I20" i="38" s="1"/>
  <c r="H20" i="38" s="1"/>
  <c r="G20" i="38" s="1"/>
  <c r="F20" i="38" s="1"/>
  <c r="E20" i="38" s="1"/>
  <c r="D20" i="38" s="1"/>
  <c r="C20" i="38" s="1"/>
  <c r="B20" i="38" s="1"/>
  <c r="W19" i="38"/>
  <c r="V19" i="38"/>
  <c r="U19" i="38"/>
  <c r="T19" i="38"/>
  <c r="S19" i="38"/>
  <c r="R19" i="38"/>
  <c r="Q19" i="38"/>
  <c r="P19" i="38"/>
  <c r="O19" i="38"/>
  <c r="N19" i="38"/>
  <c r="M19" i="38"/>
  <c r="L19" i="38" s="1"/>
  <c r="K19" i="38" s="1"/>
  <c r="J19" i="38" s="1"/>
  <c r="I19" i="38" s="1"/>
  <c r="H19" i="38" s="1"/>
  <c r="G19" i="38" s="1"/>
  <c r="F19" i="38" s="1"/>
  <c r="E19" i="38" s="1"/>
  <c r="D19" i="38" s="1"/>
  <c r="C19" i="38" s="1"/>
  <c r="B19" i="38" s="1"/>
  <c r="W18" i="38"/>
  <c r="V18" i="38"/>
  <c r="U18" i="38"/>
  <c r="T18" i="38"/>
  <c r="S18" i="38"/>
  <c r="R18" i="38"/>
  <c r="Q18" i="38"/>
  <c r="P18" i="38"/>
  <c r="O18" i="38"/>
  <c r="N18" i="38"/>
  <c r="M18" i="38"/>
  <c r="L18" i="38" s="1"/>
  <c r="K18" i="38" s="1"/>
  <c r="J18" i="38" s="1"/>
  <c r="I18" i="38" s="1"/>
  <c r="H18" i="38" s="1"/>
  <c r="G18" i="38" s="1"/>
  <c r="F18" i="38" s="1"/>
  <c r="E18" i="38" s="1"/>
  <c r="D18" i="38" s="1"/>
  <c r="C18" i="38" s="1"/>
  <c r="B18" i="38" s="1"/>
  <c r="W17" i="38"/>
  <c r="V17" i="38"/>
  <c r="U17" i="38"/>
  <c r="T17" i="38"/>
  <c r="S17" i="38"/>
  <c r="R17" i="38"/>
  <c r="Q17" i="38"/>
  <c r="P17" i="38"/>
  <c r="O17" i="38"/>
  <c r="N17" i="38"/>
  <c r="M17" i="38"/>
  <c r="L17" i="38" s="1"/>
  <c r="K17" i="38" s="1"/>
  <c r="J17" i="38" s="1"/>
  <c r="I17" i="38" s="1"/>
  <c r="H17" i="38" s="1"/>
  <c r="G17" i="38" s="1"/>
  <c r="F17" i="38" s="1"/>
  <c r="E17" i="38" s="1"/>
  <c r="D17" i="38" s="1"/>
  <c r="C17" i="38" s="1"/>
  <c r="B17" i="38" s="1"/>
  <c r="W16" i="38"/>
  <c r="V16" i="38"/>
  <c r="U16" i="38"/>
  <c r="T16" i="38"/>
  <c r="S16" i="38"/>
  <c r="R16" i="38"/>
  <c r="Q16" i="38"/>
  <c r="P16" i="38"/>
  <c r="O16" i="38"/>
  <c r="N16" i="38"/>
  <c r="M16" i="38"/>
  <c r="L16" i="38" s="1"/>
  <c r="K16" i="38" s="1"/>
  <c r="J16" i="38" s="1"/>
  <c r="I16" i="38" s="1"/>
  <c r="H16" i="38" s="1"/>
  <c r="G16" i="38" s="1"/>
  <c r="F16" i="38" s="1"/>
  <c r="E16" i="38" s="1"/>
  <c r="D16" i="38" s="1"/>
  <c r="C16" i="38" s="1"/>
  <c r="B16" i="38" s="1"/>
  <c r="W15" i="38"/>
  <c r="V15" i="38"/>
  <c r="U15" i="38"/>
  <c r="T15" i="38"/>
  <c r="S15" i="38"/>
  <c r="R15" i="38"/>
  <c r="Q15" i="38"/>
  <c r="P15" i="38"/>
  <c r="O15" i="38"/>
  <c r="N15" i="38"/>
  <c r="M15" i="38"/>
  <c r="L15" i="38" s="1"/>
  <c r="K15" i="38" s="1"/>
  <c r="J15" i="38" s="1"/>
  <c r="I15" i="38" s="1"/>
  <c r="H15" i="38" s="1"/>
  <c r="G15" i="38" s="1"/>
  <c r="F15" i="38" s="1"/>
  <c r="E15" i="38" s="1"/>
  <c r="D15" i="38" s="1"/>
  <c r="C15" i="38" s="1"/>
  <c r="B15" i="38" s="1"/>
  <c r="W14" i="38"/>
  <c r="V14" i="38"/>
  <c r="U14" i="38"/>
  <c r="T14" i="38"/>
  <c r="S14" i="38"/>
  <c r="R14" i="38"/>
  <c r="Q14" i="38"/>
  <c r="P14" i="38"/>
  <c r="O14" i="38"/>
  <c r="N14" i="38"/>
  <c r="M14" i="38"/>
  <c r="L14" i="38" s="1"/>
  <c r="K14" i="38" s="1"/>
  <c r="J14" i="38" s="1"/>
  <c r="I14" i="38" s="1"/>
  <c r="H14" i="38" s="1"/>
  <c r="G14" i="38" s="1"/>
  <c r="F14" i="38" s="1"/>
  <c r="E14" i="38" s="1"/>
  <c r="D14" i="38" s="1"/>
  <c r="C14" i="38" s="1"/>
  <c r="B14" i="38" s="1"/>
  <c r="W13" i="38"/>
  <c r="V13" i="38"/>
  <c r="U13" i="38"/>
  <c r="T13" i="38"/>
  <c r="S13" i="38"/>
  <c r="R13" i="38"/>
  <c r="Q13" i="38"/>
  <c r="P13" i="38"/>
  <c r="O13" i="38"/>
  <c r="N13" i="38"/>
  <c r="M13" i="38"/>
  <c r="L13" i="38" s="1"/>
  <c r="K13" i="38" s="1"/>
  <c r="J13" i="38" s="1"/>
  <c r="I13" i="38" s="1"/>
  <c r="H13" i="38" s="1"/>
  <c r="G13" i="38" s="1"/>
  <c r="F13" i="38" s="1"/>
  <c r="E13" i="38" s="1"/>
  <c r="D13" i="38" s="1"/>
  <c r="C13" i="38" s="1"/>
  <c r="B13" i="38" s="1"/>
  <c r="W12" i="38"/>
  <c r="V12" i="38"/>
  <c r="U12" i="38"/>
  <c r="T12" i="38"/>
  <c r="S12" i="38"/>
  <c r="R12" i="38"/>
  <c r="Q12" i="38"/>
  <c r="P12" i="38"/>
  <c r="O12" i="38"/>
  <c r="N12" i="38"/>
  <c r="M12" i="38"/>
  <c r="L12" i="38" s="1"/>
  <c r="K12" i="38" s="1"/>
  <c r="J12" i="38" s="1"/>
  <c r="I12" i="38" s="1"/>
  <c r="H12" i="38" s="1"/>
  <c r="G12" i="38" s="1"/>
  <c r="F12" i="38" s="1"/>
  <c r="E12" i="38" s="1"/>
  <c r="D12" i="38" s="1"/>
  <c r="C12" i="38" s="1"/>
  <c r="B12" i="38" s="1"/>
  <c r="Y28" i="39" l="1"/>
  <c r="Y23" i="39"/>
  <c r="Y26" i="39"/>
  <c r="Y4" i="39"/>
  <c r="Y10" i="39"/>
  <c r="Y5" i="39"/>
  <c r="Y13" i="39"/>
  <c r="Y21" i="39"/>
  <c r="Y29" i="39"/>
  <c r="Y24" i="39"/>
  <c r="Y32" i="39"/>
  <c r="Y12" i="39"/>
  <c r="Y18" i="39"/>
  <c r="Y11" i="39"/>
  <c r="Y19" i="39"/>
  <c r="Y27" i="39"/>
  <c r="Y15" i="39"/>
  <c r="Y8" i="39"/>
  <c r="Y6" i="39"/>
  <c r="Y14" i="39"/>
  <c r="Y22" i="39"/>
  <c r="Y30" i="39"/>
  <c r="Y20" i="39"/>
  <c r="Y7" i="39"/>
  <c r="Y16" i="39"/>
  <c r="Y9" i="39"/>
  <c r="Y17" i="39"/>
  <c r="Y25" i="39"/>
  <c r="Y33" i="39"/>
  <c r="Q43" i="38"/>
  <c r="W41" i="37"/>
  <c r="S43" i="38"/>
  <c r="T43" i="38"/>
  <c r="R43" i="38"/>
  <c r="M43" i="38"/>
  <c r="V43" i="38"/>
  <c r="O43" i="38"/>
  <c r="U43" i="38"/>
  <c r="U44" i="38" s="1"/>
  <c r="N43" i="38"/>
  <c r="W43" i="38"/>
  <c r="P43" i="38"/>
  <c r="Y19" i="10" l="1"/>
  <c r="Y32" i="10"/>
  <c r="Y13" i="10"/>
  <c r="Y26" i="10"/>
  <c r="Z17" i="39"/>
  <c r="Z17" i="10" s="1"/>
  <c r="Z20" i="39"/>
  <c r="Z6" i="39"/>
  <c r="Z6" i="10" s="1"/>
  <c r="Z19" i="39"/>
  <c r="Z32" i="39"/>
  <c r="Z13" i="39"/>
  <c r="Z26" i="39"/>
  <c r="Z26" i="10" s="1"/>
  <c r="Y17" i="10"/>
  <c r="Y9" i="10"/>
  <c r="Y8" i="10"/>
  <c r="Y24" i="10"/>
  <c r="Y5" i="10"/>
  <c r="Z9" i="39"/>
  <c r="Z9" i="10" s="1"/>
  <c r="Z30" i="39"/>
  <c r="Z8" i="39"/>
  <c r="Z8" i="10" s="1"/>
  <c r="Z11" i="39"/>
  <c r="Z24" i="39"/>
  <c r="Z5" i="39"/>
  <c r="Y30" i="10"/>
  <c r="Y22" i="10"/>
  <c r="Y18" i="10"/>
  <c r="Y23" i="10"/>
  <c r="Y20" i="10"/>
  <c r="Y11" i="10"/>
  <c r="Y33" i="10"/>
  <c r="Y16" i="10"/>
  <c r="Y15" i="10"/>
  <c r="Y29" i="10"/>
  <c r="Y10" i="10"/>
  <c r="Z33" i="39"/>
  <c r="Z33" i="10" s="1"/>
  <c r="Z16" i="39"/>
  <c r="Z22" i="39"/>
  <c r="Z22" i="10" s="1"/>
  <c r="Z15" i="39"/>
  <c r="Z15" i="10" s="1"/>
  <c r="Z18" i="39"/>
  <c r="Z18" i="10" s="1"/>
  <c r="Z29" i="39"/>
  <c r="Z29" i="10" s="1"/>
  <c r="Z10" i="39"/>
  <c r="Z10" i="10" s="1"/>
  <c r="Z23" i="39"/>
  <c r="Z23" i="10" s="1"/>
  <c r="Y6" i="10"/>
  <c r="Y25" i="10"/>
  <c r="Y7" i="10"/>
  <c r="Y14" i="10"/>
  <c r="Y27" i="10"/>
  <c r="Y12" i="10"/>
  <c r="Y21" i="10"/>
  <c r="Y4" i="10"/>
  <c r="Y28" i="10"/>
  <c r="Z25" i="39"/>
  <c r="Z7" i="39"/>
  <c r="Z7" i="10" s="1"/>
  <c r="Z14" i="39"/>
  <c r="Z27" i="39"/>
  <c r="Z12" i="39"/>
  <c r="Z21" i="39"/>
  <c r="Z21" i="10" s="1"/>
  <c r="Z4" i="39"/>
  <c r="Z28" i="39"/>
  <c r="N44" i="38"/>
  <c r="B48" i="38"/>
  <c r="T44" i="38"/>
  <c r="Q44" i="38"/>
  <c r="P44" i="38"/>
  <c r="O44" i="38"/>
  <c r="V44" i="38"/>
  <c r="M44" i="38"/>
  <c r="L43" i="38"/>
  <c r="X43" i="38"/>
  <c r="W44" i="38" s="1"/>
  <c r="R44" i="38"/>
  <c r="S44" i="38"/>
  <c r="Z14" i="27" l="1"/>
  <c r="Z14" i="23"/>
  <c r="Z14" i="22"/>
  <c r="Z14" i="24"/>
  <c r="Z13" i="25"/>
  <c r="Z14" i="26"/>
  <c r="Z14" i="37"/>
  <c r="Z15" i="27"/>
  <c r="Z15" i="22"/>
  <c r="Z15" i="23"/>
  <c r="Z15" i="24"/>
  <c r="Z14" i="25"/>
  <c r="Z15" i="26"/>
  <c r="Z15" i="37"/>
  <c r="Z33" i="27"/>
  <c r="Z33" i="22"/>
  <c r="Z33" i="24"/>
  <c r="Z32" i="25"/>
  <c r="Z33" i="23"/>
  <c r="Z33" i="37"/>
  <c r="Z33" i="26"/>
  <c r="Z30" i="27"/>
  <c r="Z30" i="22"/>
  <c r="Z30" i="23"/>
  <c r="Z29" i="25"/>
  <c r="Z30" i="24"/>
  <c r="Z30" i="26"/>
  <c r="Z30" i="37"/>
  <c r="Z16" i="27"/>
  <c r="Z16" i="23"/>
  <c r="Z16" i="22"/>
  <c r="Z16" i="24"/>
  <c r="Z15" i="25"/>
  <c r="Z16" i="26"/>
  <c r="Z16" i="37"/>
  <c r="AA10" i="39"/>
  <c r="Y20" i="23"/>
  <c r="Y20" i="27"/>
  <c r="Y20" i="22"/>
  <c r="Y20" i="24"/>
  <c r="Y19" i="25"/>
  <c r="Y20" i="26"/>
  <c r="Y20" i="37"/>
  <c r="AA12" i="39"/>
  <c r="AA25" i="39"/>
  <c r="Y28" i="27"/>
  <c r="Y28" i="23"/>
  <c r="Y28" i="22"/>
  <c r="Y28" i="24"/>
  <c r="Y27" i="25"/>
  <c r="Y28" i="26"/>
  <c r="Y28" i="37"/>
  <c r="Z14" i="10"/>
  <c r="Y36" i="27"/>
  <c r="Y36" i="23"/>
  <c r="Y36" i="22"/>
  <c r="Y36" i="24"/>
  <c r="Y35" i="25"/>
  <c r="Y36" i="26"/>
  <c r="Y36" i="37"/>
  <c r="Y40" i="23"/>
  <c r="Y40" i="27"/>
  <c r="Y40" i="22"/>
  <c r="Y40" i="24"/>
  <c r="Y39" i="25"/>
  <c r="Y40" i="26"/>
  <c r="Y40" i="37"/>
  <c r="Y29" i="27"/>
  <c r="Y29" i="23"/>
  <c r="Y29" i="24"/>
  <c r="Y29" i="22"/>
  <c r="Y28" i="25"/>
  <c r="Y29" i="26"/>
  <c r="Y29" i="37"/>
  <c r="AA5" i="39"/>
  <c r="AA30" i="39"/>
  <c r="AA30" i="10" s="1"/>
  <c r="AA13" i="39"/>
  <c r="AA13" i="10" s="1"/>
  <c r="AA20" i="39"/>
  <c r="Z36" i="27"/>
  <c r="Z36" i="23"/>
  <c r="Z36" i="24"/>
  <c r="Z36" i="22"/>
  <c r="Z35" i="25"/>
  <c r="Z36" i="26"/>
  <c r="Z36" i="37"/>
  <c r="AA29" i="39"/>
  <c r="Y30" i="23"/>
  <c r="Y30" i="27"/>
  <c r="Y30" i="22"/>
  <c r="Y30" i="24"/>
  <c r="Y29" i="25"/>
  <c r="Y30" i="37"/>
  <c r="Y30" i="26"/>
  <c r="Z24" i="10"/>
  <c r="Z32" i="10"/>
  <c r="Y13" i="27"/>
  <c r="Y13" i="23"/>
  <c r="Y13" i="24"/>
  <c r="Y13" i="22"/>
  <c r="Y12" i="25"/>
  <c r="Y13" i="26"/>
  <c r="Y13" i="37"/>
  <c r="AA16" i="39"/>
  <c r="Z40" i="27"/>
  <c r="Z40" i="23"/>
  <c r="Z40" i="24"/>
  <c r="Z40" i="22"/>
  <c r="Z39" i="25"/>
  <c r="Z40" i="37"/>
  <c r="Z40" i="26"/>
  <c r="AA28" i="39"/>
  <c r="AA28" i="10" s="1"/>
  <c r="AA27" i="39"/>
  <c r="Z28" i="10"/>
  <c r="Z12" i="10"/>
  <c r="Z13" i="27"/>
  <c r="Z13" i="23"/>
  <c r="Z13" i="22"/>
  <c r="Z13" i="24"/>
  <c r="Z12" i="25"/>
  <c r="Z13" i="26"/>
  <c r="Z13" i="37"/>
  <c r="Z22" i="27"/>
  <c r="Z22" i="23"/>
  <c r="Z22" i="22"/>
  <c r="Z22" i="24"/>
  <c r="Z21" i="25"/>
  <c r="Z22" i="26"/>
  <c r="Z22" i="37"/>
  <c r="Y37" i="27"/>
  <c r="Y37" i="23"/>
  <c r="Y37" i="24"/>
  <c r="Y37" i="22"/>
  <c r="Y36" i="25"/>
  <c r="Y37" i="26"/>
  <c r="Y37" i="37"/>
  <c r="AA24" i="39"/>
  <c r="AA24" i="10" s="1"/>
  <c r="AA9" i="39"/>
  <c r="AA9" i="10" s="1"/>
  <c r="Y31" i="27"/>
  <c r="Y31" i="23"/>
  <c r="Y31" i="22"/>
  <c r="Y31" i="24"/>
  <c r="Y30" i="25"/>
  <c r="Y31" i="37"/>
  <c r="Y31" i="26"/>
  <c r="Y24" i="27"/>
  <c r="Y24" i="23"/>
  <c r="Y24" i="22"/>
  <c r="Y24" i="24"/>
  <c r="Y23" i="25"/>
  <c r="Y24" i="26"/>
  <c r="Y24" i="37"/>
  <c r="AA32" i="39"/>
  <c r="AA32" i="10" s="1"/>
  <c r="AA17" i="39"/>
  <c r="AA17" i="10" s="1"/>
  <c r="Y39" i="23"/>
  <c r="Y39" i="27"/>
  <c r="Y39" i="24"/>
  <c r="Y39" i="22"/>
  <c r="Y38" i="25"/>
  <c r="Y39" i="26"/>
  <c r="Y39" i="37"/>
  <c r="AA22" i="39"/>
  <c r="Z20" i="10"/>
  <c r="Y16" i="23"/>
  <c r="Y16" i="27"/>
  <c r="Y16" i="24"/>
  <c r="Y16" i="22"/>
  <c r="Y15" i="25"/>
  <c r="Y16" i="37"/>
  <c r="Y16" i="26"/>
  <c r="AA33" i="39"/>
  <c r="AA33" i="10" s="1"/>
  <c r="Y18" i="27"/>
  <c r="Y18" i="23"/>
  <c r="Y18" i="22"/>
  <c r="Y18" i="24"/>
  <c r="Y17" i="25"/>
  <c r="Y18" i="37"/>
  <c r="Y18" i="26"/>
  <c r="Z30" i="10"/>
  <c r="Z24" i="27"/>
  <c r="Z24" i="23"/>
  <c r="Z24" i="22"/>
  <c r="Z23" i="25"/>
  <c r="Z24" i="26"/>
  <c r="Z24" i="37"/>
  <c r="Z24" i="24"/>
  <c r="Y33" i="23"/>
  <c r="Y33" i="27"/>
  <c r="Y33" i="24"/>
  <c r="Y33" i="22"/>
  <c r="Y32" i="25"/>
  <c r="Y33" i="26"/>
  <c r="Y33" i="37"/>
  <c r="Z5" i="10"/>
  <c r="Y19" i="27"/>
  <c r="Y19" i="23"/>
  <c r="Y19" i="24"/>
  <c r="Y19" i="22"/>
  <c r="Y18" i="25"/>
  <c r="Y19" i="37"/>
  <c r="Y19" i="26"/>
  <c r="AA18" i="39"/>
  <c r="AA18" i="10" s="1"/>
  <c r="Y22" i="27"/>
  <c r="Y22" i="23"/>
  <c r="Y22" i="22"/>
  <c r="Y22" i="24"/>
  <c r="Y21" i="25"/>
  <c r="Y22" i="26"/>
  <c r="Y22" i="37"/>
  <c r="AA4" i="39"/>
  <c r="AA4" i="10" s="1"/>
  <c r="AA14" i="39"/>
  <c r="AA14" i="10" s="1"/>
  <c r="Z4" i="10"/>
  <c r="AA12" i="10"/>
  <c r="Y14" i="23"/>
  <c r="Y14" i="27"/>
  <c r="Y14" i="24"/>
  <c r="Y14" i="22"/>
  <c r="Y13" i="25"/>
  <c r="Y14" i="37"/>
  <c r="Y14" i="26"/>
  <c r="Y17" i="23"/>
  <c r="Y17" i="27"/>
  <c r="Y17" i="22"/>
  <c r="Y17" i="24"/>
  <c r="Y16" i="25"/>
  <c r="Y17" i="37"/>
  <c r="Y17" i="26"/>
  <c r="Z11" i="10"/>
  <c r="Y25" i="27"/>
  <c r="Y25" i="24"/>
  <c r="Y25" i="22"/>
  <c r="Y24" i="25"/>
  <c r="Y25" i="23"/>
  <c r="Y25" i="26"/>
  <c r="Y25" i="37"/>
  <c r="AA11" i="39"/>
  <c r="AA19" i="39"/>
  <c r="Z19" i="10"/>
  <c r="Z28" i="27"/>
  <c r="Z28" i="23"/>
  <c r="Z28" i="22"/>
  <c r="Z28" i="24"/>
  <c r="Z27" i="25"/>
  <c r="Z28" i="26"/>
  <c r="Z28" i="37"/>
  <c r="Y35" i="27"/>
  <c r="Y35" i="24"/>
  <c r="Y35" i="23"/>
  <c r="Y34" i="25"/>
  <c r="Y35" i="22"/>
  <c r="Y35" i="26"/>
  <c r="Y35" i="37"/>
  <c r="Z17" i="27"/>
  <c r="Z17" i="22"/>
  <c r="Z17" i="23"/>
  <c r="Z17" i="24"/>
  <c r="Z16" i="25"/>
  <c r="Z17" i="26"/>
  <c r="Z17" i="37"/>
  <c r="Y26" i="23"/>
  <c r="Y26" i="27"/>
  <c r="Y26" i="22"/>
  <c r="Y26" i="24"/>
  <c r="Y25" i="25"/>
  <c r="Y26" i="26"/>
  <c r="Y26" i="37"/>
  <c r="Y32" i="23"/>
  <c r="Y32" i="27"/>
  <c r="Y32" i="22"/>
  <c r="Y32" i="24"/>
  <c r="Y31" i="25"/>
  <c r="Y32" i="26"/>
  <c r="Y32" i="37"/>
  <c r="Z29" i="27"/>
  <c r="Z29" i="23"/>
  <c r="Z29" i="24"/>
  <c r="Z29" i="22"/>
  <c r="Z28" i="25"/>
  <c r="Z29" i="26"/>
  <c r="Z29" i="37"/>
  <c r="Y21" i="27"/>
  <c r="Y21" i="23"/>
  <c r="Y21" i="24"/>
  <c r="Y21" i="22"/>
  <c r="Y20" i="25"/>
  <c r="Y21" i="26"/>
  <c r="Y21" i="37"/>
  <c r="Y11" i="27"/>
  <c r="Y11" i="22"/>
  <c r="Y11" i="24"/>
  <c r="Y11" i="23"/>
  <c r="Y10" i="25"/>
  <c r="Y11" i="37"/>
  <c r="Y11" i="26"/>
  <c r="Y34" i="27"/>
  <c r="Y34" i="23"/>
  <c r="Y34" i="22"/>
  <c r="Y34" i="24"/>
  <c r="Y33" i="25"/>
  <c r="Y34" i="37"/>
  <c r="Y34" i="26"/>
  <c r="AA23" i="39"/>
  <c r="AA15" i="39"/>
  <c r="Y23" i="27"/>
  <c r="Y23" i="23"/>
  <c r="Y23" i="24"/>
  <c r="Y23" i="22"/>
  <c r="Y22" i="25"/>
  <c r="Y23" i="26"/>
  <c r="Y23" i="37"/>
  <c r="Z25" i="27"/>
  <c r="Z25" i="23"/>
  <c r="Z25" i="24"/>
  <c r="Z25" i="22"/>
  <c r="Z24" i="25"/>
  <c r="Z25" i="26"/>
  <c r="Z25" i="37"/>
  <c r="Y15" i="27"/>
  <c r="Y15" i="24"/>
  <c r="Y15" i="23"/>
  <c r="Y15" i="22"/>
  <c r="Y14" i="25"/>
  <c r="Y15" i="37"/>
  <c r="Y15" i="26"/>
  <c r="AA21" i="39"/>
  <c r="AA7" i="39"/>
  <c r="Z27" i="10"/>
  <c r="Z25" i="10"/>
  <c r="AA10" i="10"/>
  <c r="Z16" i="10"/>
  <c r="Y27" i="27"/>
  <c r="Y27" i="22"/>
  <c r="Y27" i="24"/>
  <c r="Y26" i="25"/>
  <c r="Y27" i="23"/>
  <c r="Y27" i="26"/>
  <c r="Y27" i="37"/>
  <c r="AA8" i="39"/>
  <c r="Y12" i="27"/>
  <c r="Y12" i="23"/>
  <c r="Y12" i="22"/>
  <c r="Y12" i="24"/>
  <c r="Y11" i="25"/>
  <c r="Y12" i="26"/>
  <c r="Y12" i="37"/>
  <c r="AA26" i="39"/>
  <c r="AA6" i="39"/>
  <c r="Z13" i="10"/>
  <c r="AA19" i="10"/>
  <c r="L44" i="38"/>
  <c r="K43" i="38"/>
  <c r="AB7" i="39" l="1"/>
  <c r="AB14" i="39"/>
  <c r="AB33" i="39"/>
  <c r="AB24" i="39"/>
  <c r="AB24" i="10" s="1"/>
  <c r="AA21" i="27"/>
  <c r="AA21" i="23"/>
  <c r="AA21" i="22"/>
  <c r="AA21" i="24"/>
  <c r="AA20" i="25"/>
  <c r="AA21" i="26"/>
  <c r="AA21" i="37"/>
  <c r="AA21" i="10"/>
  <c r="AA24" i="27"/>
  <c r="AA24" i="23"/>
  <c r="AA24" i="22"/>
  <c r="AA24" i="24"/>
  <c r="AA24" i="26"/>
  <c r="AA23" i="25"/>
  <c r="AA24" i="37"/>
  <c r="Z27" i="27"/>
  <c r="Z27" i="23"/>
  <c r="Z27" i="24"/>
  <c r="Z27" i="22"/>
  <c r="Z26" i="25"/>
  <c r="Z27" i="26"/>
  <c r="Z27" i="37"/>
  <c r="Z19" i="27"/>
  <c r="Z19" i="23"/>
  <c r="Z19" i="22"/>
  <c r="Z19" i="24"/>
  <c r="Z18" i="25"/>
  <c r="Z19" i="26"/>
  <c r="Z19" i="37"/>
  <c r="Z39" i="27"/>
  <c r="Z39" i="23"/>
  <c r="Z38" i="25"/>
  <c r="Z39" i="22"/>
  <c r="Z39" i="24"/>
  <c r="Z39" i="26"/>
  <c r="Z39" i="37"/>
  <c r="AA20" i="27"/>
  <c r="AA20" i="23"/>
  <c r="AA20" i="22"/>
  <c r="AA20" i="24"/>
  <c r="AA19" i="25"/>
  <c r="AA20" i="26"/>
  <c r="AA20" i="37"/>
  <c r="AB5" i="39"/>
  <c r="AB5" i="10" s="1"/>
  <c r="Z21" i="27"/>
  <c r="Z21" i="23"/>
  <c r="Z21" i="22"/>
  <c r="Z21" i="24"/>
  <c r="Z20" i="25"/>
  <c r="Z21" i="26"/>
  <c r="Z21" i="37"/>
  <c r="AA37" i="27"/>
  <c r="AA37" i="23"/>
  <c r="AA37" i="22"/>
  <c r="AA37" i="24"/>
  <c r="AA36" i="25"/>
  <c r="AA37" i="26"/>
  <c r="AA37" i="37"/>
  <c r="AB19" i="39"/>
  <c r="AA26" i="10"/>
  <c r="AA11" i="10"/>
  <c r="AB4" i="39"/>
  <c r="AA22" i="10"/>
  <c r="Z35" i="27"/>
  <c r="Z35" i="23"/>
  <c r="Z35" i="24"/>
  <c r="Z34" i="25"/>
  <c r="Z35" i="22"/>
  <c r="Z35" i="37"/>
  <c r="Z35" i="26"/>
  <c r="AB25" i="39"/>
  <c r="AA6" i="10"/>
  <c r="AA40" i="27"/>
  <c r="AA40" i="23"/>
  <c r="AA40" i="22"/>
  <c r="AA40" i="24"/>
  <c r="AA39" i="25"/>
  <c r="AA40" i="26"/>
  <c r="AA40" i="37"/>
  <c r="AB29" i="39"/>
  <c r="AB6" i="39"/>
  <c r="AB6" i="10" s="1"/>
  <c r="AB26" i="39"/>
  <c r="AB26" i="10" s="1"/>
  <c r="AB15" i="39"/>
  <c r="AB15" i="10" s="1"/>
  <c r="AB11" i="39"/>
  <c r="Z18" i="27"/>
  <c r="Z18" i="22"/>
  <c r="Z18" i="23"/>
  <c r="Z18" i="24"/>
  <c r="Z17" i="25"/>
  <c r="Z18" i="26"/>
  <c r="Z18" i="37"/>
  <c r="AB18" i="39"/>
  <c r="AB18" i="10" s="1"/>
  <c r="AB22" i="39"/>
  <c r="AA27" i="10"/>
  <c r="AB20" i="39"/>
  <c r="AA35" i="27"/>
  <c r="AA35" i="23"/>
  <c r="AA35" i="22"/>
  <c r="AA34" i="25"/>
  <c r="AA35" i="24"/>
  <c r="AA35" i="26"/>
  <c r="AA35" i="37"/>
  <c r="AA23" i="10"/>
  <c r="AA15" i="10"/>
  <c r="Z12" i="27"/>
  <c r="Z12" i="22"/>
  <c r="Z12" i="24"/>
  <c r="Z12" i="23"/>
  <c r="Z11" i="25"/>
  <c r="Z12" i="26"/>
  <c r="Z12" i="37"/>
  <c r="AB17" i="39"/>
  <c r="AB27" i="39"/>
  <c r="AA16" i="27"/>
  <c r="AA16" i="23"/>
  <c r="AA16" i="22"/>
  <c r="AA16" i="24"/>
  <c r="AA15" i="25"/>
  <c r="AA16" i="26"/>
  <c r="AA16" i="37"/>
  <c r="AB12" i="39"/>
  <c r="AB12" i="10" s="1"/>
  <c r="AA17" i="27"/>
  <c r="AA17" i="23"/>
  <c r="AA17" i="22"/>
  <c r="AA16" i="25"/>
  <c r="AA17" i="24"/>
  <c r="AA17" i="26"/>
  <c r="AA17" i="37"/>
  <c r="Z32" i="27"/>
  <c r="Z32" i="23"/>
  <c r="Z32" i="24"/>
  <c r="Z32" i="22"/>
  <c r="Z31" i="25"/>
  <c r="Z32" i="37"/>
  <c r="Z32" i="26"/>
  <c r="AB8" i="39"/>
  <c r="Z34" i="27"/>
  <c r="Z34" i="23"/>
  <c r="Z34" i="22"/>
  <c r="Z34" i="24"/>
  <c r="Z33" i="25"/>
  <c r="Z34" i="37"/>
  <c r="Z34" i="26"/>
  <c r="AB23" i="39"/>
  <c r="AB23" i="10" s="1"/>
  <c r="AA7" i="10"/>
  <c r="AA19" i="27"/>
  <c r="AA19" i="23"/>
  <c r="AA19" i="22"/>
  <c r="AA19" i="24"/>
  <c r="AA18" i="25"/>
  <c r="AA19" i="26"/>
  <c r="AA19" i="37"/>
  <c r="Z31" i="27"/>
  <c r="Z31" i="22"/>
  <c r="Z31" i="24"/>
  <c r="Z30" i="25"/>
  <c r="Z31" i="23"/>
  <c r="Z31" i="26"/>
  <c r="Z31" i="37"/>
  <c r="AB13" i="39"/>
  <c r="AB13" i="10" s="1"/>
  <c r="AA25" i="27"/>
  <c r="AA25" i="23"/>
  <c r="AA25" i="22"/>
  <c r="AA25" i="24"/>
  <c r="AA24" i="25"/>
  <c r="AA25" i="26"/>
  <c r="AA25" i="37"/>
  <c r="AB21" i="39"/>
  <c r="AB21" i="10" s="1"/>
  <c r="AA8" i="10"/>
  <c r="AA26" i="27"/>
  <c r="AA26" i="23"/>
  <c r="AA26" i="22"/>
  <c r="AA26" i="24"/>
  <c r="AA25" i="25"/>
  <c r="AA26" i="37"/>
  <c r="AA26" i="26"/>
  <c r="AA11" i="27"/>
  <c r="AA11" i="23"/>
  <c r="AA11" i="22"/>
  <c r="AA10" i="25"/>
  <c r="AA11" i="26"/>
  <c r="AA11" i="24"/>
  <c r="AA11" i="37"/>
  <c r="Z26" i="27"/>
  <c r="Z26" i="23"/>
  <c r="Z26" i="22"/>
  <c r="Z26" i="24"/>
  <c r="Z25" i="25"/>
  <c r="Z26" i="26"/>
  <c r="Z26" i="37"/>
  <c r="Z11" i="27"/>
  <c r="Z11" i="24"/>
  <c r="Z11" i="23"/>
  <c r="Z11" i="22"/>
  <c r="Z10" i="25"/>
  <c r="Z11" i="26"/>
  <c r="Z11" i="37"/>
  <c r="AA39" i="23"/>
  <c r="AA39" i="27"/>
  <c r="AA39" i="22"/>
  <c r="AA39" i="24"/>
  <c r="AA38" i="25"/>
  <c r="AA39" i="26"/>
  <c r="AA39" i="37"/>
  <c r="AA31" i="27"/>
  <c r="AA31" i="23"/>
  <c r="AA31" i="22"/>
  <c r="AA31" i="24"/>
  <c r="AA30" i="25"/>
  <c r="AA31" i="26"/>
  <c r="AA31" i="37"/>
  <c r="AB32" i="39"/>
  <c r="AB9" i="39"/>
  <c r="AB28" i="39"/>
  <c r="AA16" i="10"/>
  <c r="AB10" i="39"/>
  <c r="AA25" i="10"/>
  <c r="Z23" i="27"/>
  <c r="Z23" i="23"/>
  <c r="Z23" i="24"/>
  <c r="Z23" i="22"/>
  <c r="Z22" i="25"/>
  <c r="Z23" i="26"/>
  <c r="Z23" i="37"/>
  <c r="Z20" i="27"/>
  <c r="Z20" i="23"/>
  <c r="Z20" i="24"/>
  <c r="Z20" i="22"/>
  <c r="Z19" i="25"/>
  <c r="Z20" i="26"/>
  <c r="Z20" i="37"/>
  <c r="Z37" i="27"/>
  <c r="Z37" i="23"/>
  <c r="Z37" i="22"/>
  <c r="Z37" i="24"/>
  <c r="Z36" i="25"/>
  <c r="Z37" i="37"/>
  <c r="Z37" i="26"/>
  <c r="AB16" i="39"/>
  <c r="AB16" i="10" s="1"/>
  <c r="AB20" i="10"/>
  <c r="AA29" i="10"/>
  <c r="AB30" i="39"/>
  <c r="AA5" i="10"/>
  <c r="AA20" i="10"/>
  <c r="K44" i="38"/>
  <c r="J43" i="38"/>
  <c r="AB25" i="27" l="1"/>
  <c r="AB25" i="23"/>
  <c r="AB25" i="22"/>
  <c r="AB25" i="24"/>
  <c r="AB24" i="25"/>
  <c r="AB25" i="26"/>
  <c r="AB25" i="37"/>
  <c r="AB23" i="27"/>
  <c r="AB23" i="23"/>
  <c r="AB23" i="22"/>
  <c r="AB22" i="25"/>
  <c r="AB23" i="24"/>
  <c r="AB23" i="26"/>
  <c r="AB23" i="37"/>
  <c r="AB28" i="27"/>
  <c r="AB28" i="23"/>
  <c r="AB28" i="22"/>
  <c r="AB28" i="24"/>
  <c r="AB27" i="25"/>
  <c r="AB28" i="26"/>
  <c r="AB28" i="37"/>
  <c r="AA14" i="27"/>
  <c r="AA14" i="23"/>
  <c r="AA14" i="22"/>
  <c r="AA14" i="24"/>
  <c r="AA13" i="25"/>
  <c r="AA14" i="26"/>
  <c r="AA14" i="37"/>
  <c r="AA34" i="27"/>
  <c r="AA34" i="23"/>
  <c r="AA34" i="22"/>
  <c r="AA34" i="24"/>
  <c r="AA33" i="25"/>
  <c r="AA34" i="37"/>
  <c r="AA34" i="26"/>
  <c r="AC11" i="39"/>
  <c r="AC11" i="10" s="1"/>
  <c r="AB29" i="10"/>
  <c r="AC19" i="39"/>
  <c r="AC19" i="10" s="1"/>
  <c r="AC24" i="39"/>
  <c r="AC27" i="39"/>
  <c r="AC18" i="39"/>
  <c r="AB12" i="22"/>
  <c r="AB12" i="27"/>
  <c r="AB12" i="23"/>
  <c r="AB12" i="24"/>
  <c r="AB11" i="25"/>
  <c r="AB12" i="26"/>
  <c r="AB12" i="37"/>
  <c r="AC10" i="39"/>
  <c r="AC9" i="39"/>
  <c r="AC9" i="10" s="1"/>
  <c r="AA15" i="27"/>
  <c r="AA15" i="23"/>
  <c r="AA15" i="22"/>
  <c r="AA14" i="25"/>
  <c r="AA15" i="24"/>
  <c r="AA15" i="26"/>
  <c r="AA15" i="37"/>
  <c r="AC17" i="39"/>
  <c r="AC17" i="10" s="1"/>
  <c r="AB22" i="27"/>
  <c r="AB22" i="23"/>
  <c r="AB22" i="22"/>
  <c r="AB22" i="24"/>
  <c r="AB21" i="25"/>
  <c r="AB22" i="26"/>
  <c r="AB22" i="37"/>
  <c r="AB13" i="27"/>
  <c r="AB13" i="23"/>
  <c r="AB13" i="22"/>
  <c r="AB13" i="24"/>
  <c r="AB12" i="25"/>
  <c r="AB13" i="26"/>
  <c r="AB13" i="37"/>
  <c r="AC29" i="39"/>
  <c r="AA13" i="27"/>
  <c r="AA13" i="23"/>
  <c r="AA13" i="22"/>
  <c r="AA12" i="25"/>
  <c r="AA13" i="24"/>
  <c r="AA13" i="26"/>
  <c r="AA13" i="37"/>
  <c r="AC4" i="39"/>
  <c r="AC4" i="10" s="1"/>
  <c r="AC5" i="39"/>
  <c r="AB33" i="10"/>
  <c r="AB19" i="10"/>
  <c r="AA32" i="27"/>
  <c r="AA32" i="23"/>
  <c r="AA32" i="22"/>
  <c r="AA32" i="24"/>
  <c r="AA31" i="25"/>
  <c r="AA32" i="37"/>
  <c r="AA32" i="26"/>
  <c r="AB27" i="27"/>
  <c r="AB27" i="23"/>
  <c r="AB27" i="22"/>
  <c r="AB27" i="24"/>
  <c r="AB26" i="25"/>
  <c r="AB27" i="26"/>
  <c r="AB27" i="37"/>
  <c r="AC16" i="39"/>
  <c r="AC23" i="39"/>
  <c r="AA22" i="27"/>
  <c r="AA22" i="23"/>
  <c r="AA22" i="22"/>
  <c r="AA22" i="24"/>
  <c r="AA21" i="25"/>
  <c r="AA22" i="37"/>
  <c r="AA22" i="26"/>
  <c r="AA18" i="27"/>
  <c r="AA18" i="23"/>
  <c r="AA18" i="22"/>
  <c r="AA17" i="25"/>
  <c r="AA18" i="24"/>
  <c r="AA18" i="26"/>
  <c r="AA18" i="37"/>
  <c r="AC33" i="39"/>
  <c r="AB31" i="27"/>
  <c r="AB31" i="23"/>
  <c r="AB31" i="22"/>
  <c r="AB31" i="24"/>
  <c r="AB30" i="25"/>
  <c r="AB31" i="26"/>
  <c r="AB31" i="37"/>
  <c r="AC20" i="39"/>
  <c r="AC20" i="10" s="1"/>
  <c r="AA12" i="27"/>
  <c r="AA12" i="22"/>
  <c r="AA12" i="23"/>
  <c r="AA12" i="24"/>
  <c r="AA11" i="25"/>
  <c r="AA12" i="26"/>
  <c r="AA12" i="37"/>
  <c r="AB19" i="27"/>
  <c r="AB19" i="23"/>
  <c r="AB19" i="22"/>
  <c r="AB19" i="24"/>
  <c r="AB18" i="25"/>
  <c r="AB19" i="26"/>
  <c r="AB19" i="37"/>
  <c r="AC21" i="39"/>
  <c r="AC8" i="39"/>
  <c r="AB20" i="23"/>
  <c r="AB20" i="27"/>
  <c r="AB20" i="22"/>
  <c r="AB20" i="24"/>
  <c r="AB19" i="25"/>
  <c r="AB20" i="26"/>
  <c r="AB20" i="37"/>
  <c r="AB33" i="27"/>
  <c r="AB33" i="23"/>
  <c r="AB33" i="22"/>
  <c r="AB33" i="24"/>
  <c r="AB32" i="25"/>
  <c r="AB33" i="26"/>
  <c r="AB33" i="37"/>
  <c r="AB22" i="10"/>
  <c r="AC15" i="39"/>
  <c r="AC15" i="10" s="1"/>
  <c r="AB25" i="10"/>
  <c r="AB14" i="10"/>
  <c r="AB32" i="10"/>
  <c r="AB30" i="27"/>
  <c r="AB30" i="23"/>
  <c r="AB30" i="22"/>
  <c r="AB30" i="24"/>
  <c r="AB29" i="25"/>
  <c r="AB30" i="26"/>
  <c r="AB30" i="37"/>
  <c r="AC6" i="39"/>
  <c r="AB30" i="10"/>
  <c r="AB9" i="10"/>
  <c r="AC30" i="39"/>
  <c r="AC30" i="10" s="1"/>
  <c r="AA23" i="27"/>
  <c r="AA23" i="23"/>
  <c r="AA23" i="22"/>
  <c r="AA22" i="25"/>
  <c r="AA23" i="24"/>
  <c r="AA23" i="26"/>
  <c r="AA23" i="37"/>
  <c r="AB11" i="10"/>
  <c r="AA30" i="27"/>
  <c r="AA30" i="23"/>
  <c r="AA30" i="22"/>
  <c r="AA30" i="24"/>
  <c r="AA29" i="25"/>
  <c r="AA30" i="26"/>
  <c r="AA30" i="37"/>
  <c r="AC22" i="39"/>
  <c r="AC22" i="10" s="1"/>
  <c r="AC25" i="39"/>
  <c r="AC25" i="10" s="1"/>
  <c r="AA33" i="27"/>
  <c r="AA33" i="23"/>
  <c r="AA33" i="22"/>
  <c r="AA32" i="25"/>
  <c r="AA33" i="24"/>
  <c r="AA33" i="26"/>
  <c r="AA33" i="37"/>
  <c r="AC14" i="39"/>
  <c r="AB17" i="10"/>
  <c r="AC28" i="39"/>
  <c r="AC32" i="39"/>
  <c r="AA36" i="27"/>
  <c r="AA36" i="23"/>
  <c r="AA36" i="22"/>
  <c r="AA36" i="24"/>
  <c r="AA35" i="25"/>
  <c r="AA36" i="26"/>
  <c r="AA36" i="37"/>
  <c r="AC13" i="39"/>
  <c r="AC13" i="10" s="1"/>
  <c r="AC12" i="39"/>
  <c r="AC12" i="10" s="1"/>
  <c r="AC23" i="10"/>
  <c r="AB4" i="10"/>
  <c r="AC26" i="39"/>
  <c r="AA29" i="27"/>
  <c r="AA29" i="23"/>
  <c r="AA29" i="22"/>
  <c r="AA28" i="25"/>
  <c r="AA29" i="26"/>
  <c r="AA29" i="24"/>
  <c r="AA29" i="37"/>
  <c r="AB8" i="10"/>
  <c r="AA27" i="27"/>
  <c r="AA27" i="23"/>
  <c r="AA27" i="22"/>
  <c r="AA26" i="25"/>
  <c r="AA27" i="24"/>
  <c r="AA27" i="26"/>
  <c r="AA27" i="37"/>
  <c r="AB10" i="10"/>
  <c r="AB28" i="10"/>
  <c r="AB27" i="10"/>
  <c r="AA28" i="27"/>
  <c r="AA28" i="23"/>
  <c r="AA28" i="22"/>
  <c r="AA28" i="24"/>
  <c r="AA27" i="25"/>
  <c r="AA28" i="26"/>
  <c r="AA28" i="37"/>
  <c r="AC7" i="39"/>
  <c r="AB7" i="10"/>
  <c r="J44" i="38"/>
  <c r="I43" i="38"/>
  <c r="AC27" i="27" l="1"/>
  <c r="AC27" i="23"/>
  <c r="AC27" i="22"/>
  <c r="AC27" i="24"/>
  <c r="AC26" i="25"/>
  <c r="AC27" i="26"/>
  <c r="AC27" i="37"/>
  <c r="AC18" i="27"/>
  <c r="AC18" i="24"/>
  <c r="AC18" i="23"/>
  <c r="AC18" i="22"/>
  <c r="AC17" i="25"/>
  <c r="AC18" i="26"/>
  <c r="AC18" i="37"/>
  <c r="AC19" i="23"/>
  <c r="AC19" i="27"/>
  <c r="AC19" i="22"/>
  <c r="AC19" i="24"/>
  <c r="AC18" i="25"/>
  <c r="AC19" i="26"/>
  <c r="AC19" i="37"/>
  <c r="AC37" i="27"/>
  <c r="AC37" i="23"/>
  <c r="AC37" i="22"/>
  <c r="AC37" i="24"/>
  <c r="AC36" i="25"/>
  <c r="AC37" i="26"/>
  <c r="AC37" i="37"/>
  <c r="AC11" i="27"/>
  <c r="AC11" i="23"/>
  <c r="AC11" i="22"/>
  <c r="AC11" i="24"/>
  <c r="AC10" i="25"/>
  <c r="AC11" i="37"/>
  <c r="AC11" i="26"/>
  <c r="AC14" i="10"/>
  <c r="AC27" i="10"/>
  <c r="AB36" i="27"/>
  <c r="AB36" i="23"/>
  <c r="AB36" i="22"/>
  <c r="AB36" i="24"/>
  <c r="AB35" i="25"/>
  <c r="AB36" i="26"/>
  <c r="AB36" i="37"/>
  <c r="AC32" i="27"/>
  <c r="AC32" i="23"/>
  <c r="AC32" i="24"/>
  <c r="AC32" i="22"/>
  <c r="AC31" i="25"/>
  <c r="AC32" i="37"/>
  <c r="AC32" i="26"/>
  <c r="AC26" i="10"/>
  <c r="AC16" i="27"/>
  <c r="AC16" i="23"/>
  <c r="AC16" i="24"/>
  <c r="AC15" i="25"/>
  <c r="AC16" i="22"/>
  <c r="AC16" i="26"/>
  <c r="AC16" i="37"/>
  <c r="AD26" i="39"/>
  <c r="AC16" i="10"/>
  <c r="AC32" i="10"/>
  <c r="AD14" i="39"/>
  <c r="AB16" i="27"/>
  <c r="AB16" i="23"/>
  <c r="AB16" i="22"/>
  <c r="AB16" i="24"/>
  <c r="AB15" i="25"/>
  <c r="AB16" i="26"/>
  <c r="AB16" i="37"/>
  <c r="AD21" i="39"/>
  <c r="AD21" i="10" s="1"/>
  <c r="AD20" i="39"/>
  <c r="AC33" i="10"/>
  <c r="AD16" i="39"/>
  <c r="AD4" i="39"/>
  <c r="AD4" i="10" s="1"/>
  <c r="AC29" i="10"/>
  <c r="AD27" i="39"/>
  <c r="AC20" i="27"/>
  <c r="AC20" i="22"/>
  <c r="AC20" i="24"/>
  <c r="AC20" i="23"/>
  <c r="AC19" i="25"/>
  <c r="AC20" i="26"/>
  <c r="AC20" i="37"/>
  <c r="AD30" i="39"/>
  <c r="AD25" i="39"/>
  <c r="AB37" i="27"/>
  <c r="AB37" i="23"/>
  <c r="AB37" i="22"/>
  <c r="AB36" i="25"/>
  <c r="AB37" i="24"/>
  <c r="AB37" i="26"/>
  <c r="AB37" i="37"/>
  <c r="AB32" i="27"/>
  <c r="AB32" i="23"/>
  <c r="AB32" i="22"/>
  <c r="AB32" i="24"/>
  <c r="AB31" i="25"/>
  <c r="AB32" i="26"/>
  <c r="AB32" i="37"/>
  <c r="AD33" i="39"/>
  <c r="AC26" i="27"/>
  <c r="AC26" i="23"/>
  <c r="AC26" i="24"/>
  <c r="AC25" i="25"/>
  <c r="AC26" i="22"/>
  <c r="AC26" i="26"/>
  <c r="AC26" i="37"/>
  <c r="AC24" i="10"/>
  <c r="AD25" i="10"/>
  <c r="AC24" i="27"/>
  <c r="AC24" i="23"/>
  <c r="AC24" i="22"/>
  <c r="AC24" i="24"/>
  <c r="AC23" i="25"/>
  <c r="AC24" i="26"/>
  <c r="AC24" i="37"/>
  <c r="AB26" i="27"/>
  <c r="AB26" i="23"/>
  <c r="AB26" i="22"/>
  <c r="AB26" i="24"/>
  <c r="AB26" i="26"/>
  <c r="AB25" i="25"/>
  <c r="AB26" i="37"/>
  <c r="AD24" i="39"/>
  <c r="AD11" i="39"/>
  <c r="AC22" i="27"/>
  <c r="AC22" i="23"/>
  <c r="AC22" i="24"/>
  <c r="AC21" i="25"/>
  <c r="AC22" i="22"/>
  <c r="AC22" i="37"/>
  <c r="AC22" i="26"/>
  <c r="AC21" i="10"/>
  <c r="AB35" i="27"/>
  <c r="AB35" i="23"/>
  <c r="AB35" i="22"/>
  <c r="AB35" i="24"/>
  <c r="AB34" i="25"/>
  <c r="AB35" i="26"/>
  <c r="AB35" i="37"/>
  <c r="AD32" i="39"/>
  <c r="AD32" i="10" s="1"/>
  <c r="AC30" i="27"/>
  <c r="AC30" i="23"/>
  <c r="AC30" i="24"/>
  <c r="AC29" i="25"/>
  <c r="AC30" i="22"/>
  <c r="AC30" i="26"/>
  <c r="AC30" i="37"/>
  <c r="AB40" i="27"/>
  <c r="AB40" i="23"/>
  <c r="AB40" i="22"/>
  <c r="AB40" i="24"/>
  <c r="AB39" i="25"/>
  <c r="AB40" i="26"/>
  <c r="AB40" i="37"/>
  <c r="AD9" i="39"/>
  <c r="AD7" i="39"/>
  <c r="AD7" i="10" s="1"/>
  <c r="AD13" i="39"/>
  <c r="AC29" i="23"/>
  <c r="AC29" i="27"/>
  <c r="AC29" i="22"/>
  <c r="AC29" i="24"/>
  <c r="AC28" i="25"/>
  <c r="AC29" i="26"/>
  <c r="AC29" i="37"/>
  <c r="AB11" i="27"/>
  <c r="AB11" i="23"/>
  <c r="AB11" i="22"/>
  <c r="AB11" i="24"/>
  <c r="AB11" i="26"/>
  <c r="AB10" i="25"/>
  <c r="AB11" i="37"/>
  <c r="AD29" i="39"/>
  <c r="AD17" i="39"/>
  <c r="AB17" i="27"/>
  <c r="AB17" i="23"/>
  <c r="AB17" i="22"/>
  <c r="AB17" i="24"/>
  <c r="AB16" i="25"/>
  <c r="AB17" i="26"/>
  <c r="AB17" i="37"/>
  <c r="AD20" i="10"/>
  <c r="AD28" i="39"/>
  <c r="AD22" i="39"/>
  <c r="AD22" i="10" s="1"/>
  <c r="AC6" i="10"/>
  <c r="AD15" i="39"/>
  <c r="AD23" i="39"/>
  <c r="AD23" i="10" s="1"/>
  <c r="AD33" i="10"/>
  <c r="AB14" i="27"/>
  <c r="AB14" i="23"/>
  <c r="AB14" i="24"/>
  <c r="AB14" i="22"/>
  <c r="AB13" i="25"/>
  <c r="AB14" i="26"/>
  <c r="AB14" i="37"/>
  <c r="AB34" i="27"/>
  <c r="AB34" i="23"/>
  <c r="AB34" i="22"/>
  <c r="AB34" i="24"/>
  <c r="AB33" i="25"/>
  <c r="AB34" i="26"/>
  <c r="AB34" i="37"/>
  <c r="AB15" i="27"/>
  <c r="AB15" i="23"/>
  <c r="AB15" i="22"/>
  <c r="AB15" i="24"/>
  <c r="AB14" i="25"/>
  <c r="AB15" i="26"/>
  <c r="AB15" i="37"/>
  <c r="AD12" i="39"/>
  <c r="AD12" i="10" s="1"/>
  <c r="AD6" i="39"/>
  <c r="AB39" i="23"/>
  <c r="AB39" i="22"/>
  <c r="AB39" i="27"/>
  <c r="AB39" i="24"/>
  <c r="AB38" i="25"/>
  <c r="AB39" i="26"/>
  <c r="AB39" i="37"/>
  <c r="AB29" i="27"/>
  <c r="AB29" i="23"/>
  <c r="AB29" i="22"/>
  <c r="AB29" i="24"/>
  <c r="AB28" i="25"/>
  <c r="AB29" i="26"/>
  <c r="AB29" i="37"/>
  <c r="AC8" i="10"/>
  <c r="AC5" i="10"/>
  <c r="AD10" i="39"/>
  <c r="AC18" i="10"/>
  <c r="AD19" i="39"/>
  <c r="AC28" i="10"/>
  <c r="AC7" i="10"/>
  <c r="AB24" i="27"/>
  <c r="AB24" i="23"/>
  <c r="AB24" i="22"/>
  <c r="AB24" i="24"/>
  <c r="AB23" i="25"/>
  <c r="AB24" i="26"/>
  <c r="AB24" i="37"/>
  <c r="AB18" i="27"/>
  <c r="AB18" i="23"/>
  <c r="AB18" i="22"/>
  <c r="AB18" i="24"/>
  <c r="AB17" i="25"/>
  <c r="AB18" i="26"/>
  <c r="AB18" i="37"/>
  <c r="AB21" i="27"/>
  <c r="AB21" i="23"/>
  <c r="AB21" i="22"/>
  <c r="AB21" i="24"/>
  <c r="AB20" i="25"/>
  <c r="AB21" i="26"/>
  <c r="AB21" i="37"/>
  <c r="AD8" i="39"/>
  <c r="AD5" i="39"/>
  <c r="AD5" i="10" s="1"/>
  <c r="AD18" i="39"/>
  <c r="AC10" i="10"/>
  <c r="H43" i="38"/>
  <c r="I44" i="38"/>
  <c r="AD30" i="27" l="1"/>
  <c r="AD30" i="23"/>
  <c r="AD30" i="22"/>
  <c r="AD30" i="24"/>
  <c r="AD29" i="25"/>
  <c r="AD30" i="26"/>
  <c r="AD30" i="37"/>
  <c r="AD19" i="27"/>
  <c r="AD19" i="23"/>
  <c r="AD19" i="22"/>
  <c r="AD19" i="24"/>
  <c r="AD18" i="25"/>
  <c r="AD19" i="26"/>
  <c r="AD19" i="37"/>
  <c r="AD29" i="27"/>
  <c r="AD29" i="23"/>
  <c r="AD29" i="22"/>
  <c r="AD29" i="24"/>
  <c r="AD28" i="25"/>
  <c r="AD29" i="37"/>
  <c r="AD29" i="26"/>
  <c r="AD14" i="27"/>
  <c r="AD14" i="22"/>
  <c r="AD14" i="23"/>
  <c r="AD13" i="25"/>
  <c r="AD14" i="24"/>
  <c r="AD14" i="26"/>
  <c r="AD14" i="37"/>
  <c r="AD12" i="27"/>
  <c r="AD12" i="23"/>
  <c r="AD12" i="24"/>
  <c r="AD12" i="22"/>
  <c r="AD11" i="25"/>
  <c r="AD12" i="26"/>
  <c r="AD12" i="37"/>
  <c r="AD18" i="10"/>
  <c r="AD27" i="10"/>
  <c r="AD10" i="10"/>
  <c r="AE12" i="39"/>
  <c r="AE12" i="10" s="1"/>
  <c r="AE9" i="39"/>
  <c r="AE9" i="10" s="1"/>
  <c r="AE11" i="39"/>
  <c r="AC36" i="27"/>
  <c r="AC36" i="24"/>
  <c r="AC36" i="23"/>
  <c r="AC35" i="25"/>
  <c r="AC36" i="22"/>
  <c r="AC36" i="26"/>
  <c r="AC36" i="37"/>
  <c r="AC23" i="23"/>
  <c r="AC23" i="22"/>
  <c r="AC23" i="27"/>
  <c r="AC23" i="24"/>
  <c r="AC22" i="25"/>
  <c r="AC23" i="26"/>
  <c r="AC23" i="37"/>
  <c r="AE18" i="39"/>
  <c r="AE29" i="39"/>
  <c r="AE33" i="39"/>
  <c r="AE25" i="39"/>
  <c r="AC12" i="22"/>
  <c r="AC12" i="27"/>
  <c r="AC12" i="23"/>
  <c r="AC12" i="24"/>
  <c r="AC11" i="25"/>
  <c r="AC12" i="26"/>
  <c r="AC12" i="37"/>
  <c r="AE22" i="39"/>
  <c r="AD13" i="10"/>
  <c r="AE22" i="10"/>
  <c r="AE24" i="39"/>
  <c r="AE26" i="39"/>
  <c r="AE26" i="10" s="1"/>
  <c r="AC33" i="27"/>
  <c r="AC33" i="23"/>
  <c r="AC33" i="22"/>
  <c r="AC33" i="24"/>
  <c r="AC32" i="25"/>
  <c r="AC33" i="26"/>
  <c r="AC33" i="37"/>
  <c r="AE10" i="39"/>
  <c r="AE10" i="10" s="1"/>
  <c r="AD40" i="27"/>
  <c r="AD40" i="23"/>
  <c r="AD40" i="22"/>
  <c r="AD39" i="25"/>
  <c r="AD40" i="24"/>
  <c r="AD40" i="26"/>
  <c r="AD40" i="37"/>
  <c r="AC35" i="23"/>
  <c r="AC35" i="27"/>
  <c r="AC35" i="22"/>
  <c r="AC35" i="24"/>
  <c r="AC34" i="25"/>
  <c r="AC35" i="26"/>
  <c r="AC35" i="37"/>
  <c r="AE23" i="39"/>
  <c r="AE13" i="39"/>
  <c r="AD24" i="10"/>
  <c r="AD30" i="10"/>
  <c r="AE4" i="39"/>
  <c r="AE4" i="10" s="1"/>
  <c r="AE21" i="39"/>
  <c r="AE17" i="39"/>
  <c r="AC14" i="27"/>
  <c r="AC14" i="24"/>
  <c r="AC14" i="23"/>
  <c r="AC14" i="22"/>
  <c r="AC14" i="26"/>
  <c r="AC13" i="25"/>
  <c r="AC14" i="37"/>
  <c r="AE20" i="39"/>
  <c r="AC34" i="27"/>
  <c r="AC34" i="24"/>
  <c r="AC34" i="23"/>
  <c r="AC34" i="22"/>
  <c r="AC33" i="25"/>
  <c r="AC34" i="26"/>
  <c r="AC34" i="37"/>
  <c r="AE5" i="39"/>
  <c r="AD39" i="27"/>
  <c r="AD39" i="24"/>
  <c r="AD39" i="23"/>
  <c r="AD39" i="22"/>
  <c r="AD38" i="25"/>
  <c r="AD39" i="37"/>
  <c r="AD39" i="26"/>
  <c r="AD19" i="10"/>
  <c r="AD28" i="27"/>
  <c r="AD28" i="23"/>
  <c r="AD28" i="24"/>
  <c r="AD27" i="25"/>
  <c r="AD28" i="22"/>
  <c r="AD28" i="26"/>
  <c r="AD28" i="37"/>
  <c r="AD15" i="10"/>
  <c r="AE28" i="39"/>
  <c r="AE32" i="39"/>
  <c r="AC28" i="27"/>
  <c r="AC28" i="24"/>
  <c r="AC28" i="23"/>
  <c r="AC28" i="22"/>
  <c r="AC27" i="25"/>
  <c r="AC28" i="26"/>
  <c r="AC28" i="37"/>
  <c r="AE30" i="39"/>
  <c r="AD29" i="10"/>
  <c r="AD14" i="10"/>
  <c r="AD11" i="27"/>
  <c r="AD11" i="22"/>
  <c r="AD11" i="23"/>
  <c r="AD11" i="24"/>
  <c r="AD10" i="25"/>
  <c r="AD11" i="26"/>
  <c r="AD11" i="37"/>
  <c r="AE19" i="39"/>
  <c r="AC15" i="27"/>
  <c r="AC15" i="23"/>
  <c r="AC15" i="22"/>
  <c r="AC14" i="25"/>
  <c r="AC15" i="24"/>
  <c r="AC15" i="26"/>
  <c r="AC15" i="37"/>
  <c r="AD6" i="10"/>
  <c r="AE15" i="39"/>
  <c r="AE7" i="39"/>
  <c r="AD9" i="10"/>
  <c r="AD32" i="27"/>
  <c r="AD32" i="23"/>
  <c r="AD32" i="24"/>
  <c r="AD31" i="25"/>
  <c r="AD32" i="22"/>
  <c r="AD32" i="26"/>
  <c r="AD32" i="37"/>
  <c r="AE16" i="39"/>
  <c r="AE14" i="39"/>
  <c r="AE14" i="10" s="1"/>
  <c r="AC21" i="27"/>
  <c r="AC21" i="23"/>
  <c r="AC21" i="22"/>
  <c r="AC21" i="24"/>
  <c r="AC20" i="25"/>
  <c r="AC21" i="26"/>
  <c r="AC21" i="37"/>
  <c r="AD26" i="10"/>
  <c r="AD8" i="10"/>
  <c r="AC17" i="27"/>
  <c r="AC17" i="23"/>
  <c r="AC17" i="24"/>
  <c r="AC17" i="22"/>
  <c r="AC16" i="25"/>
  <c r="AC17" i="26"/>
  <c r="AC17" i="37"/>
  <c r="AE8" i="39"/>
  <c r="AE8" i="10" s="1"/>
  <c r="AE13" i="10"/>
  <c r="AC25" i="23"/>
  <c r="AC25" i="27"/>
  <c r="AC25" i="22"/>
  <c r="AC25" i="24"/>
  <c r="AC24" i="25"/>
  <c r="AC25" i="26"/>
  <c r="AC25" i="37"/>
  <c r="AE6" i="39"/>
  <c r="AC13" i="23"/>
  <c r="AC13" i="27"/>
  <c r="AC13" i="24"/>
  <c r="AC13" i="22"/>
  <c r="AC12" i="25"/>
  <c r="AC13" i="37"/>
  <c r="AC13" i="26"/>
  <c r="AD27" i="27"/>
  <c r="AD27" i="23"/>
  <c r="AD27" i="22"/>
  <c r="AD27" i="24"/>
  <c r="AD26" i="25"/>
  <c r="AD27" i="37"/>
  <c r="AD27" i="26"/>
  <c r="AD11" i="10"/>
  <c r="AD17" i="10"/>
  <c r="AC31" i="27"/>
  <c r="AC31" i="23"/>
  <c r="AC31" i="22"/>
  <c r="AC31" i="24"/>
  <c r="AC30" i="25"/>
  <c r="AC31" i="26"/>
  <c r="AC31" i="37"/>
  <c r="AE11" i="10"/>
  <c r="AE27" i="39"/>
  <c r="AE27" i="10" s="1"/>
  <c r="AC40" i="27"/>
  <c r="AC40" i="23"/>
  <c r="AC40" i="22"/>
  <c r="AC40" i="24"/>
  <c r="AC39" i="25"/>
  <c r="AC40" i="26"/>
  <c r="AC40" i="37"/>
  <c r="AC39" i="23"/>
  <c r="AC39" i="27"/>
  <c r="AC39" i="22"/>
  <c r="AC39" i="24"/>
  <c r="AC38" i="25"/>
  <c r="AC39" i="26"/>
  <c r="AC39" i="37"/>
  <c r="AD16" i="10"/>
  <c r="AD28" i="10"/>
  <c r="G43" i="38"/>
  <c r="H44" i="38"/>
  <c r="AE11" i="27" l="1"/>
  <c r="AE11" i="22"/>
  <c r="AE11" i="23"/>
  <c r="AE11" i="24"/>
  <c r="AE10" i="25"/>
  <c r="AE11" i="26"/>
  <c r="AE11" i="37"/>
  <c r="AE17" i="27"/>
  <c r="AE17" i="23"/>
  <c r="AE17" i="22"/>
  <c r="AE17" i="24"/>
  <c r="AE17" i="26"/>
  <c r="AE16" i="25"/>
  <c r="AE17" i="37"/>
  <c r="AE16" i="27"/>
  <c r="AE16" i="23"/>
  <c r="AE16" i="22"/>
  <c r="AE15" i="25"/>
  <c r="AE16" i="24"/>
  <c r="AE16" i="26"/>
  <c r="AE16" i="37"/>
  <c r="AE34" i="27"/>
  <c r="AE34" i="23"/>
  <c r="AE34" i="22"/>
  <c r="AE34" i="24"/>
  <c r="AE33" i="25"/>
  <c r="AE34" i="26"/>
  <c r="AE34" i="37"/>
  <c r="AD23" i="27"/>
  <c r="AD23" i="23"/>
  <c r="AD23" i="22"/>
  <c r="AD23" i="24"/>
  <c r="AD22" i="25"/>
  <c r="AD23" i="26"/>
  <c r="AD23" i="37"/>
  <c r="AF8" i="39"/>
  <c r="AE17" i="10"/>
  <c r="AD37" i="27"/>
  <c r="AD37" i="22"/>
  <c r="AD37" i="23"/>
  <c r="AD37" i="24"/>
  <c r="AD36" i="25"/>
  <c r="AD37" i="37"/>
  <c r="AD37" i="26"/>
  <c r="AF18" i="39"/>
  <c r="AE24" i="10"/>
  <c r="AE21" i="27"/>
  <c r="AE21" i="23"/>
  <c r="AE21" i="22"/>
  <c r="AE21" i="24"/>
  <c r="AE20" i="25"/>
  <c r="AE21" i="26"/>
  <c r="AE21" i="37"/>
  <c r="AF27" i="39"/>
  <c r="AD33" i="27"/>
  <c r="AD33" i="23"/>
  <c r="AD33" i="22"/>
  <c r="AD32" i="25"/>
  <c r="AD33" i="24"/>
  <c r="AD33" i="37"/>
  <c r="AD33" i="26"/>
  <c r="AF7" i="39"/>
  <c r="AF7" i="10" s="1"/>
  <c r="AF17" i="39"/>
  <c r="AF24" i="39"/>
  <c r="AF25" i="39"/>
  <c r="AF25" i="10" s="1"/>
  <c r="AD24" i="27"/>
  <c r="AD24" i="22"/>
  <c r="AD24" i="24"/>
  <c r="AD24" i="23"/>
  <c r="AD23" i="25"/>
  <c r="AD24" i="26"/>
  <c r="AD24" i="37"/>
  <c r="AE33" i="10"/>
  <c r="AD15" i="27"/>
  <c r="AD15" i="23"/>
  <c r="AD15" i="22"/>
  <c r="AD15" i="24"/>
  <c r="AD14" i="25"/>
  <c r="AD15" i="26"/>
  <c r="AD15" i="37"/>
  <c r="AF32" i="39"/>
  <c r="AF14" i="39"/>
  <c r="AF14" i="10" s="1"/>
  <c r="AD31" i="27"/>
  <c r="AD31" i="23"/>
  <c r="AD31" i="22"/>
  <c r="AD30" i="25"/>
  <c r="AD31" i="24"/>
  <c r="AD31" i="37"/>
  <c r="AD31" i="26"/>
  <c r="AE29" i="27"/>
  <c r="AE29" i="23"/>
  <c r="AE29" i="22"/>
  <c r="AE29" i="24"/>
  <c r="AE28" i="25"/>
  <c r="AE29" i="26"/>
  <c r="AE29" i="37"/>
  <c r="AD18" i="27"/>
  <c r="AD18" i="22"/>
  <c r="AD18" i="24"/>
  <c r="AD18" i="23"/>
  <c r="AD17" i="25"/>
  <c r="AD18" i="26"/>
  <c r="AD18" i="37"/>
  <c r="AE33" i="27"/>
  <c r="AE33" i="23"/>
  <c r="AE33" i="22"/>
  <c r="AE32" i="25"/>
  <c r="AE33" i="37"/>
  <c r="AE33" i="24"/>
  <c r="AE33" i="26"/>
  <c r="AE16" i="10"/>
  <c r="AE15" i="10"/>
  <c r="AD36" i="27"/>
  <c r="AD36" i="23"/>
  <c r="AD36" i="24"/>
  <c r="AD35" i="25"/>
  <c r="AD36" i="22"/>
  <c r="AD36" i="26"/>
  <c r="AD36" i="37"/>
  <c r="AF28" i="39"/>
  <c r="AE25" i="10"/>
  <c r="AD20" i="27"/>
  <c r="AD20" i="23"/>
  <c r="AD20" i="24"/>
  <c r="AD19" i="25"/>
  <c r="AD20" i="22"/>
  <c r="AD20" i="26"/>
  <c r="AD20" i="37"/>
  <c r="AF33" i="39"/>
  <c r="AF33" i="10" s="1"/>
  <c r="AF12" i="39"/>
  <c r="AD21" i="27"/>
  <c r="AD21" i="23"/>
  <c r="AD21" i="22"/>
  <c r="AD21" i="24"/>
  <c r="AD20" i="25"/>
  <c r="AD21" i="37"/>
  <c r="AD21" i="26"/>
  <c r="AF20" i="39"/>
  <c r="AE18" i="27"/>
  <c r="AE18" i="23"/>
  <c r="AE18" i="22"/>
  <c r="AE18" i="24"/>
  <c r="AE17" i="25"/>
  <c r="AE18" i="37"/>
  <c r="AE18" i="26"/>
  <c r="AE19" i="27"/>
  <c r="AE19" i="23"/>
  <c r="AE19" i="22"/>
  <c r="AE19" i="24"/>
  <c r="AE18" i="25"/>
  <c r="AE19" i="26"/>
  <c r="AE19" i="37"/>
  <c r="AF23" i="39"/>
  <c r="AF23" i="10" s="1"/>
  <c r="AE6" i="10"/>
  <c r="AF15" i="39"/>
  <c r="AF15" i="10" s="1"/>
  <c r="AE30" i="10"/>
  <c r="AD22" i="27"/>
  <c r="AD22" i="23"/>
  <c r="AD22" i="24"/>
  <c r="AD22" i="22"/>
  <c r="AD21" i="25"/>
  <c r="AD22" i="26"/>
  <c r="AD22" i="37"/>
  <c r="AE21" i="10"/>
  <c r="AF10" i="39"/>
  <c r="AF10" i="10" s="1"/>
  <c r="AE29" i="10"/>
  <c r="AF11" i="39"/>
  <c r="AD17" i="27"/>
  <c r="AD17" i="23"/>
  <c r="AD17" i="22"/>
  <c r="AD16" i="25"/>
  <c r="AD17" i="24"/>
  <c r="AD17" i="37"/>
  <c r="AD17" i="26"/>
  <c r="AE7" i="10"/>
  <c r="AF17" i="10"/>
  <c r="AF16" i="39"/>
  <c r="AF6" i="39"/>
  <c r="AD13" i="27"/>
  <c r="AD13" i="23"/>
  <c r="AD13" i="22"/>
  <c r="AD13" i="24"/>
  <c r="AD13" i="26"/>
  <c r="AD12" i="25"/>
  <c r="AD13" i="37"/>
  <c r="AF30" i="39"/>
  <c r="AD26" i="27"/>
  <c r="AD26" i="22"/>
  <c r="AD26" i="24"/>
  <c r="AD26" i="23"/>
  <c r="AD25" i="25"/>
  <c r="AD26" i="26"/>
  <c r="AD26" i="37"/>
  <c r="AF21" i="39"/>
  <c r="AE28" i="10"/>
  <c r="AF26" i="39"/>
  <c r="AF29" i="39"/>
  <c r="AE23" i="10"/>
  <c r="AE20" i="27"/>
  <c r="AE20" i="23"/>
  <c r="AE20" i="22"/>
  <c r="AE19" i="25"/>
  <c r="AE20" i="24"/>
  <c r="AE20" i="26"/>
  <c r="AE20" i="37"/>
  <c r="AE15" i="27"/>
  <c r="AE15" i="23"/>
  <c r="AE15" i="22"/>
  <c r="AE15" i="24"/>
  <c r="AE14" i="25"/>
  <c r="AE15" i="26"/>
  <c r="AE15" i="37"/>
  <c r="AE19" i="10"/>
  <c r="AE5" i="10"/>
  <c r="AF22" i="39"/>
  <c r="AD34" i="27"/>
  <c r="AD34" i="24"/>
  <c r="AD34" i="23"/>
  <c r="AD33" i="25"/>
  <c r="AD34" i="22"/>
  <c r="AD34" i="26"/>
  <c r="AD34" i="37"/>
  <c r="AD35" i="27"/>
  <c r="AD35" i="23"/>
  <c r="AD35" i="22"/>
  <c r="AD35" i="24"/>
  <c r="AD34" i="25"/>
  <c r="AD35" i="37"/>
  <c r="AD35" i="26"/>
  <c r="AD16" i="27"/>
  <c r="AD16" i="22"/>
  <c r="AD16" i="23"/>
  <c r="AD16" i="24"/>
  <c r="AD15" i="25"/>
  <c r="AD16" i="26"/>
  <c r="AD16" i="37"/>
  <c r="AF19" i="39"/>
  <c r="AF19" i="10" s="1"/>
  <c r="AE32" i="10"/>
  <c r="AF5" i="39"/>
  <c r="AF5" i="10" s="1"/>
  <c r="AE20" i="10"/>
  <c r="AF4" i="39"/>
  <c r="AF4" i="10" s="1"/>
  <c r="AF13" i="39"/>
  <c r="AE18" i="10"/>
  <c r="AF9" i="39"/>
  <c r="AF9" i="10" s="1"/>
  <c r="AD25" i="27"/>
  <c r="AD25" i="23"/>
  <c r="AD25" i="22"/>
  <c r="AD25" i="24"/>
  <c r="AD24" i="25"/>
  <c r="AD25" i="37"/>
  <c r="AD25" i="26"/>
  <c r="F43" i="38"/>
  <c r="G44" i="38"/>
  <c r="AF32" i="27" l="1"/>
  <c r="AF32" i="23"/>
  <c r="AF32" i="22"/>
  <c r="AF32" i="24"/>
  <c r="AF31" i="25"/>
  <c r="AF32" i="26"/>
  <c r="AF32" i="37"/>
  <c r="AF26" i="27"/>
  <c r="AF26" i="23"/>
  <c r="AF26" i="22"/>
  <c r="AF26" i="24"/>
  <c r="AF25" i="25"/>
  <c r="AF26" i="26"/>
  <c r="AF26" i="37"/>
  <c r="AF21" i="27"/>
  <c r="AF21" i="23"/>
  <c r="AF21" i="22"/>
  <c r="AF21" i="24"/>
  <c r="AF20" i="25"/>
  <c r="AF21" i="26"/>
  <c r="AF21" i="37"/>
  <c r="AF14" i="27"/>
  <c r="AF14" i="23"/>
  <c r="AF14" i="22"/>
  <c r="AF14" i="24"/>
  <c r="AF13" i="25"/>
  <c r="AF14" i="26"/>
  <c r="AF14" i="37"/>
  <c r="AF16" i="27"/>
  <c r="AF16" i="23"/>
  <c r="AF16" i="22"/>
  <c r="AF16" i="24"/>
  <c r="AF15" i="25"/>
  <c r="AF16" i="26"/>
  <c r="AF16" i="37"/>
  <c r="AG6" i="39"/>
  <c r="AG19" i="39"/>
  <c r="AG19" i="10" s="1"/>
  <c r="AF17" i="27"/>
  <c r="AF17" i="23"/>
  <c r="AF17" i="22"/>
  <c r="AF17" i="24"/>
  <c r="AF16" i="25"/>
  <c r="AF17" i="26"/>
  <c r="AF17" i="37"/>
  <c r="AF21" i="10"/>
  <c r="AF16" i="10"/>
  <c r="AE36" i="27"/>
  <c r="AE36" i="23"/>
  <c r="AE36" i="22"/>
  <c r="AE36" i="24"/>
  <c r="AE35" i="25"/>
  <c r="AE36" i="26"/>
  <c r="AE36" i="37"/>
  <c r="AF32" i="10"/>
  <c r="AG24" i="39"/>
  <c r="AG24" i="10" s="1"/>
  <c r="AG27" i="39"/>
  <c r="AG27" i="10" s="1"/>
  <c r="AE31" i="27"/>
  <c r="AE31" i="23"/>
  <c r="AE31" i="22"/>
  <c r="AE31" i="24"/>
  <c r="AE30" i="25"/>
  <c r="AE31" i="26"/>
  <c r="AE31" i="37"/>
  <c r="AG4" i="39"/>
  <c r="AG22" i="39"/>
  <c r="AE30" i="27"/>
  <c r="AE30" i="23"/>
  <c r="AE30" i="22"/>
  <c r="AE30" i="24"/>
  <c r="AE29" i="25"/>
  <c r="AE30" i="26"/>
  <c r="AE30" i="37"/>
  <c r="AG21" i="39"/>
  <c r="AF22" i="27"/>
  <c r="AF22" i="23"/>
  <c r="AF22" i="22"/>
  <c r="AF22" i="24"/>
  <c r="AF21" i="25"/>
  <c r="AF22" i="26"/>
  <c r="AF22" i="37"/>
  <c r="AG16" i="39"/>
  <c r="AG15" i="39"/>
  <c r="AG33" i="39"/>
  <c r="AG33" i="10" s="1"/>
  <c r="AG32" i="39"/>
  <c r="AF18" i="10"/>
  <c r="AE35" i="27"/>
  <c r="AE35" i="23"/>
  <c r="AE35" i="22"/>
  <c r="AE35" i="24"/>
  <c r="AE34" i="25"/>
  <c r="AE35" i="37"/>
  <c r="AE35" i="26"/>
  <c r="AE27" i="27"/>
  <c r="AE27" i="23"/>
  <c r="AE27" i="22"/>
  <c r="AE26" i="25"/>
  <c r="AE27" i="26"/>
  <c r="AE27" i="24"/>
  <c r="AE27" i="37"/>
  <c r="AF29" i="10"/>
  <c r="AF24" i="27"/>
  <c r="AF24" i="23"/>
  <c r="AF24" i="22"/>
  <c r="AF24" i="24"/>
  <c r="AF23" i="25"/>
  <c r="AF24" i="26"/>
  <c r="AF24" i="37"/>
  <c r="AE13" i="27"/>
  <c r="AE13" i="22"/>
  <c r="AE13" i="23"/>
  <c r="AE13" i="24"/>
  <c r="AE12" i="25"/>
  <c r="AE13" i="26"/>
  <c r="AE13" i="37"/>
  <c r="AF24" i="10"/>
  <c r="AE40" i="23"/>
  <c r="AE40" i="27"/>
  <c r="AE40" i="22"/>
  <c r="AE40" i="24"/>
  <c r="AE39" i="25"/>
  <c r="AE40" i="26"/>
  <c r="AE40" i="37"/>
  <c r="AG18" i="39"/>
  <c r="AE25" i="27"/>
  <c r="AE25" i="23"/>
  <c r="AE25" i="22"/>
  <c r="AE25" i="24"/>
  <c r="AE24" i="25"/>
  <c r="AE25" i="26"/>
  <c r="AE25" i="37"/>
  <c r="AE23" i="27"/>
  <c r="AE23" i="23"/>
  <c r="AE23" i="22"/>
  <c r="AE23" i="24"/>
  <c r="AE22" i="25"/>
  <c r="AE23" i="26"/>
  <c r="AE23" i="37"/>
  <c r="AG5" i="39"/>
  <c r="AG5" i="10" s="1"/>
  <c r="AG29" i="39"/>
  <c r="AG30" i="39"/>
  <c r="AE32" i="27"/>
  <c r="AE32" i="23"/>
  <c r="AE32" i="22"/>
  <c r="AE31" i="25"/>
  <c r="AE32" i="24"/>
  <c r="AE32" i="26"/>
  <c r="AE32" i="37"/>
  <c r="AG17" i="39"/>
  <c r="AG17" i="10" s="1"/>
  <c r="AG14" i="39"/>
  <c r="AG8" i="39"/>
  <c r="AF30" i="27"/>
  <c r="AF30" i="23"/>
  <c r="AF30" i="22"/>
  <c r="AF29" i="25"/>
  <c r="AF30" i="26"/>
  <c r="AF30" i="24"/>
  <c r="AF30" i="37"/>
  <c r="AE39" i="27"/>
  <c r="AE39" i="23"/>
  <c r="AE39" i="22"/>
  <c r="AE39" i="24"/>
  <c r="AE38" i="25"/>
  <c r="AE39" i="26"/>
  <c r="AE39" i="37"/>
  <c r="AG10" i="39"/>
  <c r="AG10" i="10" s="1"/>
  <c r="AF20" i="10"/>
  <c r="AF28" i="10"/>
  <c r="AE24" i="27"/>
  <c r="AE24" i="23"/>
  <c r="AE24" i="22"/>
  <c r="AE24" i="24"/>
  <c r="AE23" i="25"/>
  <c r="AE24" i="26"/>
  <c r="AE24" i="37"/>
  <c r="AF11" i="27"/>
  <c r="AF11" i="22"/>
  <c r="AF11" i="23"/>
  <c r="AF11" i="24"/>
  <c r="AF10" i="25"/>
  <c r="AF11" i="26"/>
  <c r="AF11" i="37"/>
  <c r="AE12" i="27"/>
  <c r="AE12" i="23"/>
  <c r="AE12" i="22"/>
  <c r="AE11" i="25"/>
  <c r="AE12" i="24"/>
  <c r="AE12" i="26"/>
  <c r="AE12" i="37"/>
  <c r="AG13" i="39"/>
  <c r="AE26" i="27"/>
  <c r="AE26" i="23"/>
  <c r="AE26" i="22"/>
  <c r="AE25" i="25"/>
  <c r="AE26" i="24"/>
  <c r="AE26" i="26"/>
  <c r="AE26" i="37"/>
  <c r="AF26" i="10"/>
  <c r="AF27" i="10"/>
  <c r="AE14" i="27"/>
  <c r="AE14" i="23"/>
  <c r="AE14" i="22"/>
  <c r="AE13" i="25"/>
  <c r="AE14" i="24"/>
  <c r="AE14" i="26"/>
  <c r="AE14" i="37"/>
  <c r="AE28" i="27"/>
  <c r="AE28" i="23"/>
  <c r="AE28" i="22"/>
  <c r="AE27" i="25"/>
  <c r="AE28" i="24"/>
  <c r="AE28" i="26"/>
  <c r="AE28" i="37"/>
  <c r="AG23" i="39"/>
  <c r="AG20" i="39"/>
  <c r="AG28" i="39"/>
  <c r="AE22" i="27"/>
  <c r="AE22" i="23"/>
  <c r="AE22" i="22"/>
  <c r="AE21" i="25"/>
  <c r="AE22" i="26"/>
  <c r="AE22" i="24"/>
  <c r="AE22" i="37"/>
  <c r="AF30" i="10"/>
  <c r="AG11" i="39"/>
  <c r="AF40" i="23"/>
  <c r="AF40" i="22"/>
  <c r="AF40" i="27"/>
  <c r="AF40" i="24"/>
  <c r="AF39" i="25"/>
  <c r="AF40" i="26"/>
  <c r="AF40" i="37"/>
  <c r="AF22" i="10"/>
  <c r="AF12" i="27"/>
  <c r="AF12" i="23"/>
  <c r="AF12" i="22"/>
  <c r="AF12" i="24"/>
  <c r="AF11" i="25"/>
  <c r="AF12" i="26"/>
  <c r="AF12" i="37"/>
  <c r="AG9" i="39"/>
  <c r="AG26" i="39"/>
  <c r="AF6" i="10"/>
  <c r="AF11" i="10"/>
  <c r="AE37" i="27"/>
  <c r="AE37" i="23"/>
  <c r="AE37" i="22"/>
  <c r="AE37" i="24"/>
  <c r="AE36" i="25"/>
  <c r="AE37" i="26"/>
  <c r="AE37" i="37"/>
  <c r="AG12" i="39"/>
  <c r="AG15" i="10"/>
  <c r="AG25" i="39"/>
  <c r="AG7" i="39"/>
  <c r="AF8" i="10"/>
  <c r="AF13" i="10"/>
  <c r="AF12" i="10"/>
  <c r="E43" i="38"/>
  <c r="F44" i="38"/>
  <c r="AF13" i="22" l="1"/>
  <c r="AF13" i="23"/>
  <c r="AF13" i="24"/>
  <c r="AF13" i="27"/>
  <c r="AF12" i="25"/>
  <c r="AF13" i="26"/>
  <c r="AF13" i="37"/>
  <c r="AG7" i="10"/>
  <c r="AH7" i="39"/>
  <c r="AG30" i="10"/>
  <c r="AG25" i="10"/>
  <c r="AF29" i="23"/>
  <c r="AF29" i="22"/>
  <c r="AF29" i="27"/>
  <c r="AF29" i="24"/>
  <c r="AF28" i="25"/>
  <c r="AF29" i="26"/>
  <c r="AF29" i="37"/>
  <c r="AG34" i="23"/>
  <c r="AG34" i="27"/>
  <c r="AG34" i="22"/>
  <c r="AG34" i="24"/>
  <c r="AG33" i="25"/>
  <c r="AG34" i="26"/>
  <c r="AG34" i="37"/>
  <c r="AG8" i="10"/>
  <c r="AG32" i="10"/>
  <c r="AH21" i="39"/>
  <c r="AF39" i="27"/>
  <c r="AF39" i="23"/>
  <c r="AF39" i="22"/>
  <c r="AF39" i="24"/>
  <c r="AF38" i="25"/>
  <c r="AF39" i="37"/>
  <c r="AF39" i="26"/>
  <c r="AH19" i="39"/>
  <c r="AH19" i="10" s="1"/>
  <c r="AF18" i="27"/>
  <c r="AF18" i="23"/>
  <c r="AF18" i="22"/>
  <c r="AF18" i="24"/>
  <c r="AF17" i="25"/>
  <c r="AF18" i="26"/>
  <c r="AF18" i="37"/>
  <c r="AH17" i="39"/>
  <c r="AH17" i="10" s="1"/>
  <c r="AG40" i="23"/>
  <c r="AG40" i="22"/>
  <c r="AG40" i="27"/>
  <c r="AG40" i="24"/>
  <c r="AG39" i="25"/>
  <c r="AG40" i="37"/>
  <c r="AG40" i="26"/>
  <c r="AF35" i="27"/>
  <c r="AF35" i="23"/>
  <c r="AF35" i="22"/>
  <c r="AF35" i="24"/>
  <c r="AF34" i="25"/>
  <c r="AF35" i="26"/>
  <c r="AF35" i="37"/>
  <c r="AH30" i="39"/>
  <c r="AH30" i="10" s="1"/>
  <c r="AH16" i="39"/>
  <c r="AH11" i="39"/>
  <c r="AG20" i="10"/>
  <c r="AF27" i="27"/>
  <c r="AF27" i="23"/>
  <c r="AF27" i="22"/>
  <c r="AF26" i="25"/>
  <c r="AF27" i="24"/>
  <c r="AF27" i="26"/>
  <c r="AF27" i="37"/>
  <c r="AH8" i="39"/>
  <c r="AH8" i="10" s="1"/>
  <c r="AH29" i="39"/>
  <c r="AH32" i="39"/>
  <c r="AH22" i="39"/>
  <c r="AG26" i="10"/>
  <c r="AH10" i="39"/>
  <c r="AH15" i="39"/>
  <c r="AH15" i="10" s="1"/>
  <c r="AG28" i="10"/>
  <c r="AG12" i="23"/>
  <c r="AG12" i="27"/>
  <c r="AG12" i="22"/>
  <c r="AG12" i="24"/>
  <c r="AG11" i="25"/>
  <c r="AG12" i="26"/>
  <c r="AG12" i="37"/>
  <c r="AH9" i="39"/>
  <c r="AH28" i="39"/>
  <c r="AH28" i="10" s="1"/>
  <c r="AH24" i="39"/>
  <c r="AH25" i="39"/>
  <c r="AG11" i="10"/>
  <c r="AF19" i="27"/>
  <c r="AF19" i="23"/>
  <c r="AF19" i="22"/>
  <c r="AF19" i="24"/>
  <c r="AF18" i="25"/>
  <c r="AF19" i="26"/>
  <c r="AF19" i="37"/>
  <c r="AF20" i="27"/>
  <c r="AF20" i="23"/>
  <c r="AF20" i="22"/>
  <c r="AF20" i="24"/>
  <c r="AF20" i="26"/>
  <c r="AF19" i="25"/>
  <c r="AF20" i="37"/>
  <c r="AG22" i="23"/>
  <c r="AG22" i="27"/>
  <c r="AG22" i="22"/>
  <c r="AG22" i="24"/>
  <c r="AG21" i="25"/>
  <c r="AG22" i="26"/>
  <c r="AG22" i="37"/>
  <c r="AH26" i="39"/>
  <c r="AH20" i="39"/>
  <c r="AH20" i="10" s="1"/>
  <c r="AG14" i="10"/>
  <c r="AG18" i="10"/>
  <c r="AG16" i="10"/>
  <c r="AG6" i="10"/>
  <c r="AG22" i="10"/>
  <c r="AH7" i="10"/>
  <c r="AH27" i="39"/>
  <c r="AH13" i="39"/>
  <c r="AG31" i="27"/>
  <c r="AG31" i="23"/>
  <c r="AG31" i="24"/>
  <c r="AG31" i="22"/>
  <c r="AG30" i="25"/>
  <c r="AG31" i="26"/>
  <c r="AG31" i="37"/>
  <c r="AF15" i="27"/>
  <c r="AF15" i="23"/>
  <c r="AF15" i="24"/>
  <c r="AF15" i="22"/>
  <c r="AF15" i="26"/>
  <c r="AF14" i="25"/>
  <c r="AF15" i="37"/>
  <c r="AG13" i="10"/>
  <c r="AF25" i="27"/>
  <c r="AF25" i="23"/>
  <c r="AF25" i="22"/>
  <c r="AF25" i="24"/>
  <c r="AF24" i="25"/>
  <c r="AF25" i="26"/>
  <c r="AF25" i="37"/>
  <c r="AG9" i="10"/>
  <c r="AH13" i="10"/>
  <c r="AF28" i="27"/>
  <c r="AF28" i="23"/>
  <c r="AF28" i="22"/>
  <c r="AF28" i="24"/>
  <c r="AF27" i="25"/>
  <c r="AF28" i="26"/>
  <c r="AF28" i="37"/>
  <c r="AG12" i="10"/>
  <c r="AG26" i="27"/>
  <c r="AG26" i="23"/>
  <c r="AG26" i="22"/>
  <c r="AG26" i="24"/>
  <c r="AG25" i="25"/>
  <c r="AG26" i="26"/>
  <c r="AG26" i="37"/>
  <c r="AF37" i="27"/>
  <c r="AF37" i="23"/>
  <c r="AF37" i="22"/>
  <c r="AF36" i="25"/>
  <c r="AF37" i="24"/>
  <c r="AF37" i="26"/>
  <c r="AF37" i="37"/>
  <c r="AF34" i="27"/>
  <c r="AF34" i="23"/>
  <c r="AF34" i="22"/>
  <c r="AF34" i="24"/>
  <c r="AF33" i="25"/>
  <c r="AF34" i="26"/>
  <c r="AF34" i="37"/>
  <c r="AH14" i="39"/>
  <c r="AH5" i="39"/>
  <c r="AH18" i="39"/>
  <c r="AH33" i="39"/>
  <c r="AG4" i="10"/>
  <c r="AH6" i="39"/>
  <c r="AG17" i="27"/>
  <c r="AG17" i="23"/>
  <c r="AG17" i="24"/>
  <c r="AG17" i="22"/>
  <c r="AG16" i="25"/>
  <c r="AG17" i="26"/>
  <c r="AG17" i="37"/>
  <c r="AH12" i="39"/>
  <c r="AG21" i="10"/>
  <c r="AG24" i="27"/>
  <c r="AG24" i="23"/>
  <c r="AG24" i="22"/>
  <c r="AG24" i="24"/>
  <c r="AG23" i="25"/>
  <c r="AG24" i="26"/>
  <c r="AG24" i="37"/>
  <c r="AH23" i="39"/>
  <c r="AF33" i="27"/>
  <c r="AF33" i="23"/>
  <c r="AF33" i="22"/>
  <c r="AF33" i="24"/>
  <c r="AF32" i="25"/>
  <c r="AF33" i="37"/>
  <c r="AF33" i="26"/>
  <c r="AF31" i="27"/>
  <c r="AF31" i="23"/>
  <c r="AF31" i="22"/>
  <c r="AF31" i="24"/>
  <c r="AF30" i="25"/>
  <c r="AF31" i="37"/>
  <c r="AF31" i="26"/>
  <c r="AF36" i="23"/>
  <c r="AF36" i="27"/>
  <c r="AF36" i="22"/>
  <c r="AF36" i="24"/>
  <c r="AF35" i="25"/>
  <c r="AF36" i="26"/>
  <c r="AF36" i="37"/>
  <c r="AH4" i="39"/>
  <c r="AF23" i="27"/>
  <c r="AF23" i="23"/>
  <c r="AF23" i="22"/>
  <c r="AF23" i="24"/>
  <c r="AF23" i="26"/>
  <c r="AF22" i="25"/>
  <c r="AF23" i="37"/>
  <c r="AG29" i="10"/>
  <c r="AG23" i="10"/>
  <c r="E44" i="38"/>
  <c r="D43" i="38"/>
  <c r="AH35" i="27" l="1"/>
  <c r="AH35" i="23"/>
  <c r="AH35" i="24"/>
  <c r="AH34" i="25"/>
  <c r="AH35" i="22"/>
  <c r="AH35" i="37"/>
  <c r="AH35" i="26"/>
  <c r="AI29" i="10"/>
  <c r="AI14" i="39"/>
  <c r="AI14" i="10" s="1"/>
  <c r="AH26" i="10"/>
  <c r="AI33" i="39"/>
  <c r="AH20" i="27"/>
  <c r="AH20" i="23"/>
  <c r="AH20" i="22"/>
  <c r="AH20" i="24"/>
  <c r="AH19" i="25"/>
  <c r="AH20" i="26"/>
  <c r="AH20" i="37"/>
  <c r="AH25" i="10"/>
  <c r="AI29" i="39"/>
  <c r="AG30" i="27"/>
  <c r="AG30" i="23"/>
  <c r="AG30" i="22"/>
  <c r="AG30" i="24"/>
  <c r="AG29" i="25"/>
  <c r="AG30" i="26"/>
  <c r="AG30" i="37"/>
  <c r="AI25" i="39"/>
  <c r="AI25" i="10" s="1"/>
  <c r="AI9" i="39"/>
  <c r="AG33" i="27"/>
  <c r="AG33" i="23"/>
  <c r="AG33" i="22"/>
  <c r="AG33" i="24"/>
  <c r="AG32" i="25"/>
  <c r="AG33" i="26"/>
  <c r="AG33" i="37"/>
  <c r="AG39" i="27"/>
  <c r="AG39" i="23"/>
  <c r="AG39" i="24"/>
  <c r="AG39" i="22"/>
  <c r="AG38" i="25"/>
  <c r="AG39" i="26"/>
  <c r="AG39" i="37"/>
  <c r="AG36" i="23"/>
  <c r="AG36" i="27"/>
  <c r="AG36" i="22"/>
  <c r="AG36" i="24"/>
  <c r="AG35" i="25"/>
  <c r="AG36" i="37"/>
  <c r="AG36" i="26"/>
  <c r="AI12" i="39"/>
  <c r="AH18" i="10"/>
  <c r="AG16" i="23"/>
  <c r="AG16" i="27"/>
  <c r="AG16" i="22"/>
  <c r="AG16" i="24"/>
  <c r="AG15" i="25"/>
  <c r="AG16" i="26"/>
  <c r="AG16" i="37"/>
  <c r="AH21" i="10"/>
  <c r="AH32" i="10"/>
  <c r="AI8" i="39"/>
  <c r="AI8" i="10" s="1"/>
  <c r="AG27" i="27"/>
  <c r="AG27" i="23"/>
  <c r="AG27" i="24"/>
  <c r="AG27" i="22"/>
  <c r="AG26" i="25"/>
  <c r="AG27" i="26"/>
  <c r="AG27" i="37"/>
  <c r="AI30" i="39"/>
  <c r="AI7" i="39"/>
  <c r="AI7" i="10" s="1"/>
  <c r="AI21" i="39"/>
  <c r="AG29" i="27"/>
  <c r="AG29" i="23"/>
  <c r="AG29" i="22"/>
  <c r="AG29" i="24"/>
  <c r="AG28" i="25"/>
  <c r="AG29" i="26"/>
  <c r="AG29" i="37"/>
  <c r="AI26" i="39"/>
  <c r="AI16" i="39"/>
  <c r="AG13" i="27"/>
  <c r="AG13" i="22"/>
  <c r="AG13" i="24"/>
  <c r="AG13" i="23"/>
  <c r="AG12" i="25"/>
  <c r="AG13" i="26"/>
  <c r="AG13" i="37"/>
  <c r="AH22" i="27"/>
  <c r="AH22" i="23"/>
  <c r="AH22" i="24"/>
  <c r="AH22" i="22"/>
  <c r="AH21" i="25"/>
  <c r="AH22" i="26"/>
  <c r="AH22" i="37"/>
  <c r="AH15" i="27"/>
  <c r="AH15" i="22"/>
  <c r="AH15" i="23"/>
  <c r="AH14" i="25"/>
  <c r="AH15" i="24"/>
  <c r="AH15" i="26"/>
  <c r="AH15" i="37"/>
  <c r="AG35" i="23"/>
  <c r="AG35" i="24"/>
  <c r="AG35" i="27"/>
  <c r="AG34" i="25"/>
  <c r="AG35" i="22"/>
  <c r="AG35" i="26"/>
  <c r="AG35" i="37"/>
  <c r="AI6" i="39"/>
  <c r="AH5" i="10"/>
  <c r="AI13" i="39"/>
  <c r="AI13" i="10" s="1"/>
  <c r="AH24" i="10"/>
  <c r="AI24" i="39"/>
  <c r="AI24" i="10" s="1"/>
  <c r="AI22" i="39"/>
  <c r="AI22" i="10" s="1"/>
  <c r="AH11" i="10"/>
  <c r="AG15" i="27"/>
  <c r="AG15" i="23"/>
  <c r="AG15" i="24"/>
  <c r="AG15" i="22"/>
  <c r="AG14" i="25"/>
  <c r="AG15" i="26"/>
  <c r="AG15" i="37"/>
  <c r="AH23" i="10"/>
  <c r="AH37" i="27"/>
  <c r="AH37" i="23"/>
  <c r="AH37" i="24"/>
  <c r="AH36" i="25"/>
  <c r="AH37" i="22"/>
  <c r="AH37" i="37"/>
  <c r="AH37" i="26"/>
  <c r="AH6" i="10"/>
  <c r="AH27" i="27"/>
  <c r="AH27" i="23"/>
  <c r="AH27" i="24"/>
  <c r="AH27" i="22"/>
  <c r="AH26" i="25"/>
  <c r="AH27" i="26"/>
  <c r="AH27" i="37"/>
  <c r="AH4" i="10"/>
  <c r="AG11" i="27"/>
  <c r="AG11" i="22"/>
  <c r="AG11" i="24"/>
  <c r="AG11" i="23"/>
  <c r="AG11" i="26"/>
  <c r="AG10" i="25"/>
  <c r="AG11" i="37"/>
  <c r="AI5" i="39"/>
  <c r="AH27" i="10"/>
  <c r="AI20" i="39"/>
  <c r="AI11" i="39"/>
  <c r="AI17" i="39"/>
  <c r="AG32" i="23"/>
  <c r="AG32" i="27"/>
  <c r="AG32" i="22"/>
  <c r="AG32" i="24"/>
  <c r="AG31" i="25"/>
  <c r="AG32" i="37"/>
  <c r="AG32" i="26"/>
  <c r="AH33" i="10"/>
  <c r="AG19" i="27"/>
  <c r="AG19" i="23"/>
  <c r="AG19" i="22"/>
  <c r="AG19" i="24"/>
  <c r="AG18" i="25"/>
  <c r="AG19" i="26"/>
  <c r="AG19" i="37"/>
  <c r="AG28" i="23"/>
  <c r="AG28" i="27"/>
  <c r="AG28" i="22"/>
  <c r="AG28" i="24"/>
  <c r="AG27" i="25"/>
  <c r="AG28" i="26"/>
  <c r="AG28" i="37"/>
  <c r="AI10" i="39"/>
  <c r="AI23" i="39"/>
  <c r="AI23" i="10" s="1"/>
  <c r="AG21" i="27"/>
  <c r="AG21" i="23"/>
  <c r="AG21" i="24"/>
  <c r="AG21" i="22"/>
  <c r="AG20" i="25"/>
  <c r="AG21" i="26"/>
  <c r="AG21" i="37"/>
  <c r="AI18" i="39"/>
  <c r="AG20" i="27"/>
  <c r="AG20" i="23"/>
  <c r="AG20" i="22"/>
  <c r="AG20" i="24"/>
  <c r="AG19" i="25"/>
  <c r="AG20" i="26"/>
  <c r="AG20" i="37"/>
  <c r="AG23" i="27"/>
  <c r="AG23" i="23"/>
  <c r="AG23" i="24"/>
  <c r="AG22" i="25"/>
  <c r="AG23" i="22"/>
  <c r="AG23" i="26"/>
  <c r="AG23" i="37"/>
  <c r="AH22" i="10"/>
  <c r="AG14" i="27"/>
  <c r="AG14" i="23"/>
  <c r="AG14" i="24"/>
  <c r="AG14" i="22"/>
  <c r="AG13" i="25"/>
  <c r="AG14" i="26"/>
  <c r="AG14" i="37"/>
  <c r="AI4" i="39"/>
  <c r="AH24" i="27"/>
  <c r="AH24" i="22"/>
  <c r="AH24" i="23"/>
  <c r="AH23" i="25"/>
  <c r="AH24" i="24"/>
  <c r="AH24" i="26"/>
  <c r="AH24" i="37"/>
  <c r="AH14" i="10"/>
  <c r="AI27" i="39"/>
  <c r="AG25" i="27"/>
  <c r="AG25" i="23"/>
  <c r="AG25" i="24"/>
  <c r="AG25" i="22"/>
  <c r="AG24" i="25"/>
  <c r="AG25" i="26"/>
  <c r="AG25" i="37"/>
  <c r="AH26" i="27"/>
  <c r="AH26" i="23"/>
  <c r="AH26" i="22"/>
  <c r="AH25" i="25"/>
  <c r="AH26" i="26"/>
  <c r="AH26" i="24"/>
  <c r="AH26" i="37"/>
  <c r="AG18" i="23"/>
  <c r="AG18" i="27"/>
  <c r="AG18" i="24"/>
  <c r="AG17" i="25"/>
  <c r="AG18" i="22"/>
  <c r="AG18" i="26"/>
  <c r="AG18" i="37"/>
  <c r="AI15" i="39"/>
  <c r="AI32" i="39"/>
  <c r="AI32" i="10" s="1"/>
  <c r="AI26" i="10"/>
  <c r="AI19" i="39"/>
  <c r="AI19" i="10" s="1"/>
  <c r="AH9" i="10"/>
  <c r="AH14" i="27"/>
  <c r="AH14" i="22"/>
  <c r="AH14" i="23"/>
  <c r="AH14" i="24"/>
  <c r="AH13" i="25"/>
  <c r="AH14" i="37"/>
  <c r="AH14" i="26"/>
  <c r="AI28" i="39"/>
  <c r="AH10" i="10"/>
  <c r="AH29" i="10"/>
  <c r="AH16" i="10"/>
  <c r="AG37" i="27"/>
  <c r="AG37" i="23"/>
  <c r="AG37" i="24"/>
  <c r="AG36" i="25"/>
  <c r="AG37" i="22"/>
  <c r="AG37" i="26"/>
  <c r="AG37" i="37"/>
  <c r="AH12" i="10"/>
  <c r="D44" i="38"/>
  <c r="C43" i="38"/>
  <c r="AI20" i="27" l="1"/>
  <c r="AI20" i="23"/>
  <c r="AI20" i="22"/>
  <c r="AI19" i="25"/>
  <c r="AI20" i="24"/>
  <c r="AI20" i="37"/>
  <c r="AI20" i="26"/>
  <c r="AI30" i="27"/>
  <c r="AI30" i="23"/>
  <c r="AI30" i="22"/>
  <c r="AI30" i="24"/>
  <c r="AI29" i="25"/>
  <c r="AI30" i="37"/>
  <c r="AI30" i="26"/>
  <c r="AI29" i="27"/>
  <c r="AI29" i="23"/>
  <c r="AI29" i="22"/>
  <c r="AI28" i="25"/>
  <c r="AI29" i="24"/>
  <c r="AI29" i="26"/>
  <c r="AI29" i="37"/>
  <c r="AI32" i="27"/>
  <c r="AI32" i="23"/>
  <c r="AI32" i="22"/>
  <c r="AI32" i="24"/>
  <c r="AI31" i="25"/>
  <c r="AI32" i="37"/>
  <c r="AI32" i="26"/>
  <c r="AI15" i="27"/>
  <c r="AI15" i="23"/>
  <c r="AI15" i="22"/>
  <c r="AI15" i="24"/>
  <c r="AI14" i="25"/>
  <c r="AI15" i="26"/>
  <c r="AI15" i="37"/>
  <c r="AJ13" i="39"/>
  <c r="AH30" i="27"/>
  <c r="AH30" i="22"/>
  <c r="AH30" i="23"/>
  <c r="AH30" i="24"/>
  <c r="AH29" i="25"/>
  <c r="AH30" i="26"/>
  <c r="AH30" i="37"/>
  <c r="AH36" i="27"/>
  <c r="AH36" i="23"/>
  <c r="AH36" i="22"/>
  <c r="AH36" i="24"/>
  <c r="AH35" i="25"/>
  <c r="AH36" i="26"/>
  <c r="AH36" i="37"/>
  <c r="AH21" i="27"/>
  <c r="AH21" i="23"/>
  <c r="AH21" i="24"/>
  <c r="AH21" i="22"/>
  <c r="AH20" i="25"/>
  <c r="AH21" i="37"/>
  <c r="AH21" i="26"/>
  <c r="AI17" i="10"/>
  <c r="AH34" i="27"/>
  <c r="AH34" i="23"/>
  <c r="AH34" i="24"/>
  <c r="AH33" i="25"/>
  <c r="AH34" i="22"/>
  <c r="AH34" i="37"/>
  <c r="AH34" i="26"/>
  <c r="AJ22" i="39"/>
  <c r="AI12" i="10"/>
  <c r="AJ33" i="39"/>
  <c r="AI36" i="27"/>
  <c r="AI36" i="23"/>
  <c r="AI36" i="22"/>
  <c r="AI36" i="24"/>
  <c r="AI35" i="25"/>
  <c r="AI36" i="26"/>
  <c r="AI36" i="37"/>
  <c r="AH23" i="27"/>
  <c r="AH23" i="23"/>
  <c r="AH23" i="22"/>
  <c r="AH23" i="24"/>
  <c r="AH22" i="25"/>
  <c r="AH23" i="26"/>
  <c r="AH23" i="37"/>
  <c r="AI20" i="10"/>
  <c r="AH28" i="27"/>
  <c r="AH28" i="23"/>
  <c r="AH28" i="22"/>
  <c r="AH28" i="24"/>
  <c r="AH27" i="25"/>
  <c r="AH28" i="26"/>
  <c r="AH28" i="37"/>
  <c r="AI21" i="27"/>
  <c r="AI21" i="23"/>
  <c r="AI21" i="22"/>
  <c r="AI21" i="24"/>
  <c r="AI20" i="25"/>
  <c r="AI21" i="26"/>
  <c r="AI21" i="37"/>
  <c r="AJ15" i="39"/>
  <c r="AH12" i="27"/>
  <c r="AH12" i="23"/>
  <c r="AH12" i="22"/>
  <c r="AH12" i="24"/>
  <c r="AH11" i="25"/>
  <c r="AH12" i="26"/>
  <c r="AH12" i="37"/>
  <c r="AJ17" i="39"/>
  <c r="AJ17" i="10" s="1"/>
  <c r="AI14" i="27"/>
  <c r="AI14" i="23"/>
  <c r="AI14" i="22"/>
  <c r="AI14" i="24"/>
  <c r="AI13" i="25"/>
  <c r="AI14" i="26"/>
  <c r="AI14" i="37"/>
  <c r="AJ7" i="39"/>
  <c r="AJ7" i="10" s="1"/>
  <c r="AJ12" i="39"/>
  <c r="AH33" i="27"/>
  <c r="AH33" i="23"/>
  <c r="AH33" i="22"/>
  <c r="AH33" i="24"/>
  <c r="AH32" i="25"/>
  <c r="AH33" i="37"/>
  <c r="AH33" i="26"/>
  <c r="AH32" i="27"/>
  <c r="AH32" i="22"/>
  <c r="AH32" i="23"/>
  <c r="AH31" i="25"/>
  <c r="AH32" i="24"/>
  <c r="AH32" i="37"/>
  <c r="AH32" i="26"/>
  <c r="AI26" i="27"/>
  <c r="AI26" i="23"/>
  <c r="AI26" i="22"/>
  <c r="AI26" i="24"/>
  <c r="AI26" i="26"/>
  <c r="AI25" i="25"/>
  <c r="AI26" i="37"/>
  <c r="AJ19" i="39"/>
  <c r="AI11" i="10"/>
  <c r="AI5" i="10"/>
  <c r="AI31" i="27"/>
  <c r="AI31" i="23"/>
  <c r="AI31" i="22"/>
  <c r="AI30" i="25"/>
  <c r="AI31" i="24"/>
  <c r="AI31" i="26"/>
  <c r="AI31" i="37"/>
  <c r="AJ24" i="39"/>
  <c r="AJ24" i="10" s="1"/>
  <c r="AJ6" i="39"/>
  <c r="AI30" i="10"/>
  <c r="AI15" i="10"/>
  <c r="AH17" i="27"/>
  <c r="AH17" i="22"/>
  <c r="AH17" i="23"/>
  <c r="AH17" i="24"/>
  <c r="AH16" i="25"/>
  <c r="AH17" i="26"/>
  <c r="AH17" i="37"/>
  <c r="AJ4" i="39"/>
  <c r="AI18" i="10"/>
  <c r="AJ11" i="39"/>
  <c r="AJ5" i="39"/>
  <c r="AH11" i="27"/>
  <c r="AH11" i="23"/>
  <c r="AH11" i="22"/>
  <c r="AH11" i="24"/>
  <c r="AH10" i="25"/>
  <c r="AH11" i="26"/>
  <c r="AH11" i="37"/>
  <c r="AJ16" i="39"/>
  <c r="AJ30" i="39"/>
  <c r="AJ9" i="39"/>
  <c r="AI6" i="10"/>
  <c r="AJ10" i="39"/>
  <c r="AH25" i="27"/>
  <c r="AH25" i="23"/>
  <c r="AH25" i="24"/>
  <c r="AH25" i="22"/>
  <c r="AH24" i="25"/>
  <c r="AH25" i="37"/>
  <c r="AH25" i="26"/>
  <c r="AJ27" i="39"/>
  <c r="AJ18" i="39"/>
  <c r="AJ23" i="39"/>
  <c r="AJ23" i="10" s="1"/>
  <c r="AH31" i="27"/>
  <c r="AH31" i="23"/>
  <c r="AH31" i="24"/>
  <c r="AH31" i="22"/>
  <c r="AH30" i="25"/>
  <c r="AH31" i="26"/>
  <c r="AH31" i="37"/>
  <c r="AJ8" i="39"/>
  <c r="AJ14" i="39"/>
  <c r="AI16" i="10"/>
  <c r="AI21" i="10"/>
  <c r="AI27" i="10"/>
  <c r="AJ20" i="39"/>
  <c r="AJ20" i="10" s="1"/>
  <c r="AJ21" i="39"/>
  <c r="AJ21" i="10" s="1"/>
  <c r="AI39" i="23"/>
  <c r="AI39" i="27"/>
  <c r="AI39" i="22"/>
  <c r="AI39" i="24"/>
  <c r="AI38" i="25"/>
  <c r="AI39" i="26"/>
  <c r="AI39" i="37"/>
  <c r="AI4" i="10"/>
  <c r="AI33" i="27"/>
  <c r="AI33" i="23"/>
  <c r="AI33" i="22"/>
  <c r="AI33" i="24"/>
  <c r="AI32" i="25"/>
  <c r="AI33" i="26"/>
  <c r="AI33" i="37"/>
  <c r="AH29" i="27"/>
  <c r="AH29" i="23"/>
  <c r="AH29" i="24"/>
  <c r="AH29" i="22"/>
  <c r="AH28" i="25"/>
  <c r="AH29" i="26"/>
  <c r="AH29" i="37"/>
  <c r="AI28" i="10"/>
  <c r="AH19" i="27"/>
  <c r="AH19" i="22"/>
  <c r="AH19" i="23"/>
  <c r="AH19" i="24"/>
  <c r="AH18" i="25"/>
  <c r="AH19" i="26"/>
  <c r="AH19" i="37"/>
  <c r="AJ28" i="39"/>
  <c r="AH16" i="27"/>
  <c r="AH16" i="22"/>
  <c r="AH16" i="23"/>
  <c r="AH16" i="24"/>
  <c r="AH15" i="25"/>
  <c r="AH16" i="26"/>
  <c r="AH16" i="37"/>
  <c r="AJ32" i="39"/>
  <c r="AI10" i="10"/>
  <c r="AH40" i="27"/>
  <c r="AH40" i="23"/>
  <c r="AH40" i="24"/>
  <c r="AH40" i="22"/>
  <c r="AH39" i="25"/>
  <c r="AH40" i="26"/>
  <c r="AH40" i="37"/>
  <c r="AJ15" i="10"/>
  <c r="AH13" i="27"/>
  <c r="AH13" i="22"/>
  <c r="AH13" i="23"/>
  <c r="AH13" i="24"/>
  <c r="AH13" i="26"/>
  <c r="AH12" i="25"/>
  <c r="AH13" i="37"/>
  <c r="AH18" i="27"/>
  <c r="AH18" i="23"/>
  <c r="AH18" i="22"/>
  <c r="AH18" i="24"/>
  <c r="AH17" i="25"/>
  <c r="AH18" i="26"/>
  <c r="AH18" i="37"/>
  <c r="AJ26" i="39"/>
  <c r="AJ26" i="10" s="1"/>
  <c r="AH39" i="27"/>
  <c r="AH39" i="23"/>
  <c r="AH39" i="22"/>
  <c r="AH38" i="25"/>
  <c r="AH39" i="24"/>
  <c r="AH39" i="26"/>
  <c r="AH39" i="37"/>
  <c r="AJ25" i="39"/>
  <c r="AJ29" i="39"/>
  <c r="AI33" i="10"/>
  <c r="AI9" i="10"/>
  <c r="C44" i="38"/>
  <c r="B43" i="38"/>
  <c r="B44" i="38" s="1"/>
  <c r="AI34" i="27" l="1"/>
  <c r="AI34" i="23"/>
  <c r="AI34" i="22"/>
  <c r="AI34" i="24"/>
  <c r="AI33" i="25"/>
  <c r="AI34" i="37"/>
  <c r="AI34" i="26"/>
  <c r="AI24" i="27"/>
  <c r="AI24" i="23"/>
  <c r="AI24" i="22"/>
  <c r="AI24" i="24"/>
  <c r="AI23" i="25"/>
  <c r="AI24" i="26"/>
  <c r="AI24" i="37"/>
  <c r="AK13" i="39"/>
  <c r="AJ33" i="27"/>
  <c r="AJ33" i="23"/>
  <c r="AJ33" i="22"/>
  <c r="AJ33" i="24"/>
  <c r="AJ32" i="25"/>
  <c r="AJ33" i="26"/>
  <c r="AJ33" i="37"/>
  <c r="AJ29" i="10"/>
  <c r="AK32" i="39"/>
  <c r="AK32" i="10" s="1"/>
  <c r="AJ28" i="10"/>
  <c r="AK8" i="39"/>
  <c r="AK8" i="10" s="1"/>
  <c r="AK18" i="39"/>
  <c r="AJ31" i="27"/>
  <c r="AJ31" i="23"/>
  <c r="AJ31" i="22"/>
  <c r="AJ30" i="25"/>
  <c r="AJ31" i="24"/>
  <c r="AJ31" i="37"/>
  <c r="AJ31" i="26"/>
  <c r="AI25" i="27"/>
  <c r="AI25" i="23"/>
  <c r="AI25" i="22"/>
  <c r="AI24" i="25"/>
  <c r="AI25" i="24"/>
  <c r="AI25" i="26"/>
  <c r="AI25" i="37"/>
  <c r="AI37" i="27"/>
  <c r="AI37" i="23"/>
  <c r="AI37" i="22"/>
  <c r="AI37" i="24"/>
  <c r="AI36" i="25"/>
  <c r="AI37" i="26"/>
  <c r="AI37" i="37"/>
  <c r="AI18" i="27"/>
  <c r="AI18" i="23"/>
  <c r="AI18" i="22"/>
  <c r="AI18" i="24"/>
  <c r="AI18" i="26"/>
  <c r="AI17" i="25"/>
  <c r="AI18" i="37"/>
  <c r="AJ24" i="27"/>
  <c r="AJ24" i="23"/>
  <c r="AJ24" i="22"/>
  <c r="AJ24" i="24"/>
  <c r="AJ24" i="26"/>
  <c r="AJ23" i="25"/>
  <c r="AJ24" i="37"/>
  <c r="AK22" i="39"/>
  <c r="AK22" i="10" s="1"/>
  <c r="AI13" i="27"/>
  <c r="AI13" i="23"/>
  <c r="AI13" i="22"/>
  <c r="AI12" i="25"/>
  <c r="AI13" i="24"/>
  <c r="AI13" i="37"/>
  <c r="AI13" i="26"/>
  <c r="AJ14" i="27"/>
  <c r="AJ14" i="23"/>
  <c r="AJ14" i="24"/>
  <c r="AJ14" i="22"/>
  <c r="AJ13" i="25"/>
  <c r="AJ14" i="26"/>
  <c r="AJ14" i="37"/>
  <c r="AJ19" i="10"/>
  <c r="AJ12" i="10"/>
  <c r="AI27" i="27"/>
  <c r="AI27" i="23"/>
  <c r="AI27" i="22"/>
  <c r="AI27" i="24"/>
  <c r="AI26" i="25"/>
  <c r="AI27" i="26"/>
  <c r="AI27" i="37"/>
  <c r="AJ33" i="10"/>
  <c r="AI40" i="27"/>
  <c r="AI40" i="23"/>
  <c r="AI40" i="22"/>
  <c r="AI40" i="24"/>
  <c r="AI39" i="25"/>
  <c r="AI40" i="37"/>
  <c r="AI40" i="26"/>
  <c r="AJ8" i="10"/>
  <c r="AK17" i="39"/>
  <c r="AK9" i="39"/>
  <c r="AK25" i="39"/>
  <c r="AJ30" i="27"/>
  <c r="AJ30" i="23"/>
  <c r="AJ30" i="22"/>
  <c r="AJ30" i="24"/>
  <c r="AJ29" i="25"/>
  <c r="AJ30" i="26"/>
  <c r="AJ30" i="37"/>
  <c r="AI35" i="27"/>
  <c r="AI35" i="23"/>
  <c r="AI35" i="22"/>
  <c r="AI34" i="25"/>
  <c r="AI35" i="24"/>
  <c r="AI35" i="26"/>
  <c r="AI35" i="37"/>
  <c r="AI11" i="27"/>
  <c r="AI11" i="23"/>
  <c r="AI11" i="22"/>
  <c r="AI10" i="25"/>
  <c r="AI11" i="24"/>
  <c r="AI11" i="26"/>
  <c r="AI11" i="37"/>
  <c r="AJ14" i="10"/>
  <c r="AJ4" i="10"/>
  <c r="AK4" i="39"/>
  <c r="AK4" i="10" s="1"/>
  <c r="AJ6" i="10"/>
  <c r="AK19" i="39"/>
  <c r="AK12" i="39"/>
  <c r="AK12" i="10" s="1"/>
  <c r="AK15" i="39"/>
  <c r="AK15" i="10" s="1"/>
  <c r="AK33" i="39"/>
  <c r="AK28" i="39"/>
  <c r="AK28" i="10" s="1"/>
  <c r="AJ22" i="10"/>
  <c r="AJ27" i="27"/>
  <c r="AJ27" i="23"/>
  <c r="AJ27" i="22"/>
  <c r="AJ27" i="24"/>
  <c r="AJ26" i="25"/>
  <c r="AJ27" i="26"/>
  <c r="AJ27" i="37"/>
  <c r="AK21" i="39"/>
  <c r="AK21" i="10" s="1"/>
  <c r="AK14" i="39"/>
  <c r="AK14" i="10" s="1"/>
  <c r="AJ32" i="10"/>
  <c r="AK5" i="39"/>
  <c r="AK6" i="39"/>
  <c r="AK6" i="10" s="1"/>
  <c r="AI19" i="27"/>
  <c r="AI19" i="23"/>
  <c r="AI19" i="22"/>
  <c r="AI18" i="25"/>
  <c r="AI19" i="24"/>
  <c r="AI19" i="26"/>
  <c r="AI19" i="37"/>
  <c r="AJ9" i="10"/>
  <c r="AJ28" i="27"/>
  <c r="AJ28" i="23"/>
  <c r="AJ28" i="22"/>
  <c r="AJ28" i="26"/>
  <c r="AJ28" i="24"/>
  <c r="AJ27" i="25"/>
  <c r="AJ28" i="37"/>
  <c r="AI17" i="27"/>
  <c r="AI17" i="23"/>
  <c r="AI17" i="22"/>
  <c r="AI17" i="24"/>
  <c r="AI16" i="25"/>
  <c r="AI17" i="26"/>
  <c r="AI17" i="37"/>
  <c r="AK27" i="39"/>
  <c r="AJ10" i="10"/>
  <c r="AK30" i="39"/>
  <c r="AJ11" i="10"/>
  <c r="AI22" i="27"/>
  <c r="AI22" i="23"/>
  <c r="AI22" i="22"/>
  <c r="AI22" i="24"/>
  <c r="AI22" i="26"/>
  <c r="AI22" i="37"/>
  <c r="AI21" i="25"/>
  <c r="AK7" i="39"/>
  <c r="AK7" i="10" s="1"/>
  <c r="AJ30" i="10"/>
  <c r="AJ18" i="10"/>
  <c r="AK16" i="39"/>
  <c r="AK29" i="39"/>
  <c r="AI28" i="27"/>
  <c r="AI28" i="23"/>
  <c r="AI28" i="22"/>
  <c r="AI28" i="24"/>
  <c r="AI27" i="25"/>
  <c r="AI28" i="37"/>
  <c r="AI28" i="26"/>
  <c r="AJ25" i="10"/>
  <c r="AI23" i="27"/>
  <c r="AI23" i="23"/>
  <c r="AI23" i="22"/>
  <c r="AI23" i="24"/>
  <c r="AI22" i="25"/>
  <c r="AI23" i="26"/>
  <c r="AI23" i="37"/>
  <c r="AK26" i="39"/>
  <c r="AJ22" i="23"/>
  <c r="AJ22" i="27"/>
  <c r="AJ22" i="22"/>
  <c r="AJ22" i="24"/>
  <c r="AJ21" i="25"/>
  <c r="AJ22" i="26"/>
  <c r="AJ22" i="37"/>
  <c r="AI16" i="27"/>
  <c r="AI16" i="23"/>
  <c r="AI16" i="22"/>
  <c r="AI16" i="24"/>
  <c r="AI15" i="25"/>
  <c r="AI16" i="26"/>
  <c r="AI16" i="37"/>
  <c r="AK20" i="39"/>
  <c r="AK20" i="10" s="1"/>
  <c r="AK25" i="10"/>
  <c r="AK23" i="39"/>
  <c r="AK10" i="39"/>
  <c r="AK10" i="10" s="1"/>
  <c r="AJ16" i="10"/>
  <c r="AK11" i="39"/>
  <c r="AK24" i="39"/>
  <c r="AI12" i="27"/>
  <c r="AI12" i="22"/>
  <c r="AI12" i="23"/>
  <c r="AI12" i="24"/>
  <c r="AI11" i="25"/>
  <c r="AI12" i="26"/>
  <c r="AI12" i="37"/>
  <c r="AJ13" i="10"/>
  <c r="AJ5" i="10"/>
  <c r="AJ27" i="10"/>
  <c r="AK35" i="27" l="1"/>
  <c r="AK35" i="23"/>
  <c r="AK35" i="22"/>
  <c r="AK35" i="24"/>
  <c r="AK34" i="25"/>
  <c r="AK35" i="26"/>
  <c r="AK35" i="37"/>
  <c r="AK27" i="23"/>
  <c r="AK27" i="27"/>
  <c r="AK27" i="22"/>
  <c r="AK27" i="24"/>
  <c r="AK26" i="25"/>
  <c r="AK27" i="26"/>
  <c r="AK27" i="37"/>
  <c r="AK21" i="23"/>
  <c r="AK21" i="27"/>
  <c r="AK21" i="22"/>
  <c r="AK21" i="24"/>
  <c r="AK20" i="25"/>
  <c r="AK21" i="26"/>
  <c r="AK21" i="37"/>
  <c r="AL26" i="39"/>
  <c r="AL6" i="39"/>
  <c r="AK27" i="10"/>
  <c r="AK28" i="23"/>
  <c r="AK28" i="27"/>
  <c r="AK28" i="24"/>
  <c r="AK27" i="25"/>
  <c r="AK28" i="22"/>
  <c r="AK28" i="26"/>
  <c r="AK28" i="37"/>
  <c r="AL28" i="39"/>
  <c r="AL28" i="10" s="1"/>
  <c r="AK19" i="27"/>
  <c r="AK19" i="23"/>
  <c r="AK19" i="24"/>
  <c r="AK19" i="22"/>
  <c r="AK18" i="25"/>
  <c r="AK19" i="26"/>
  <c r="AK19" i="37"/>
  <c r="AL12" i="39"/>
  <c r="AK13" i="27"/>
  <c r="AK13" i="23"/>
  <c r="AK13" i="24"/>
  <c r="AK13" i="22"/>
  <c r="AK12" i="25"/>
  <c r="AK13" i="26"/>
  <c r="AK13" i="37"/>
  <c r="AK15" i="23"/>
  <c r="AK15" i="27"/>
  <c r="AK15" i="24"/>
  <c r="AK15" i="22"/>
  <c r="AK14" i="25"/>
  <c r="AK15" i="26"/>
  <c r="AK15" i="37"/>
  <c r="AJ26" i="27"/>
  <c r="AJ26" i="23"/>
  <c r="AJ26" i="22"/>
  <c r="AJ26" i="24"/>
  <c r="AJ25" i="25"/>
  <c r="AJ26" i="26"/>
  <c r="AJ26" i="37"/>
  <c r="AL32" i="39"/>
  <c r="AK23" i="10"/>
  <c r="AK16" i="10"/>
  <c r="AJ18" i="27"/>
  <c r="AJ18" i="23"/>
  <c r="AJ18" i="22"/>
  <c r="AJ18" i="24"/>
  <c r="AJ17" i="25"/>
  <c r="AJ18" i="26"/>
  <c r="AJ18" i="37"/>
  <c r="AL5" i="39"/>
  <c r="AJ13" i="27"/>
  <c r="AJ13" i="23"/>
  <c r="AJ13" i="22"/>
  <c r="AJ13" i="24"/>
  <c r="AJ12" i="25"/>
  <c r="AJ13" i="26"/>
  <c r="AJ13" i="37"/>
  <c r="AK29" i="27"/>
  <c r="AK29" i="23"/>
  <c r="AK29" i="22"/>
  <c r="AK29" i="24"/>
  <c r="AK28" i="25"/>
  <c r="AK29" i="26"/>
  <c r="AK29" i="37"/>
  <c r="AJ36" i="27"/>
  <c r="AJ36" i="23"/>
  <c r="AJ36" i="22"/>
  <c r="AJ36" i="24"/>
  <c r="AJ35" i="25"/>
  <c r="AJ36" i="26"/>
  <c r="AJ36" i="37"/>
  <c r="AL9" i="39"/>
  <c r="AL7" i="39"/>
  <c r="AL17" i="39"/>
  <c r="AL17" i="10" s="1"/>
  <c r="AL24" i="39"/>
  <c r="AL24" i="10" s="1"/>
  <c r="AK22" i="27"/>
  <c r="AK22" i="22"/>
  <c r="AK22" i="24"/>
  <c r="AK22" i="23"/>
  <c r="AK21" i="25"/>
  <c r="AK22" i="26"/>
  <c r="AK22" i="37"/>
  <c r="AL23" i="39"/>
  <c r="AL16" i="39"/>
  <c r="AK29" i="10"/>
  <c r="AL33" i="39"/>
  <c r="AL33" i="10" s="1"/>
  <c r="AJ11" i="27"/>
  <c r="AJ11" i="23"/>
  <c r="AJ11" i="22"/>
  <c r="AJ11" i="24"/>
  <c r="AJ10" i="25"/>
  <c r="AJ11" i="26"/>
  <c r="AJ11" i="37"/>
  <c r="AJ15" i="27"/>
  <c r="AJ15" i="23"/>
  <c r="AJ15" i="22"/>
  <c r="AJ15" i="24"/>
  <c r="AJ14" i="25"/>
  <c r="AJ15" i="26"/>
  <c r="AJ15" i="37"/>
  <c r="AK17" i="10"/>
  <c r="AL18" i="39"/>
  <c r="AK13" i="10"/>
  <c r="AL14" i="39"/>
  <c r="AK24" i="10"/>
  <c r="AL27" i="39"/>
  <c r="AL27" i="10" s="1"/>
  <c r="AL21" i="39"/>
  <c r="AL21" i="10" s="1"/>
  <c r="AK11" i="10"/>
  <c r="AJ25" i="27"/>
  <c r="AJ25" i="23"/>
  <c r="AJ25" i="22"/>
  <c r="AJ25" i="24"/>
  <c r="AJ25" i="26"/>
  <c r="AJ24" i="25"/>
  <c r="AJ25" i="37"/>
  <c r="AK11" i="23"/>
  <c r="AK11" i="27"/>
  <c r="AK11" i="24"/>
  <c r="AK11" i="22"/>
  <c r="AK10" i="25"/>
  <c r="AK11" i="26"/>
  <c r="AK11" i="37"/>
  <c r="AJ16" i="27"/>
  <c r="AJ16" i="23"/>
  <c r="AJ16" i="24"/>
  <c r="AJ16" i="22"/>
  <c r="AJ15" i="25"/>
  <c r="AJ16" i="26"/>
  <c r="AJ16" i="37"/>
  <c r="AK33" i="10"/>
  <c r="AJ21" i="27"/>
  <c r="AJ21" i="23"/>
  <c r="AJ21" i="22"/>
  <c r="AJ21" i="24"/>
  <c r="AJ21" i="26"/>
  <c r="AJ20" i="25"/>
  <c r="AJ21" i="37"/>
  <c r="AJ40" i="27"/>
  <c r="AJ40" i="23"/>
  <c r="AJ40" i="22"/>
  <c r="AJ40" i="24"/>
  <c r="AJ39" i="25"/>
  <c r="AJ40" i="37"/>
  <c r="AJ40" i="26"/>
  <c r="AL13" i="39"/>
  <c r="AK17" i="27"/>
  <c r="AK17" i="23"/>
  <c r="AK17" i="22"/>
  <c r="AK17" i="24"/>
  <c r="AK16" i="25"/>
  <c r="AK17" i="26"/>
  <c r="AK17" i="37"/>
  <c r="AJ19" i="27"/>
  <c r="AJ19" i="23"/>
  <c r="AJ19" i="22"/>
  <c r="AJ19" i="24"/>
  <c r="AJ18" i="25"/>
  <c r="AJ19" i="26"/>
  <c r="AJ19" i="37"/>
  <c r="AL10" i="39"/>
  <c r="AL29" i="39"/>
  <c r="AL29" i="10" s="1"/>
  <c r="AK32" i="27"/>
  <c r="AK32" i="23"/>
  <c r="AK32" i="24"/>
  <c r="AK31" i="25"/>
  <c r="AK32" i="22"/>
  <c r="AK32" i="37"/>
  <c r="AK32" i="26"/>
  <c r="AJ12" i="22"/>
  <c r="AJ12" i="27"/>
  <c r="AJ12" i="23"/>
  <c r="AJ12" i="24"/>
  <c r="AJ11" i="25"/>
  <c r="AJ12" i="26"/>
  <c r="AJ12" i="37"/>
  <c r="AL11" i="39"/>
  <c r="AL30" i="39"/>
  <c r="AL30" i="10" s="1"/>
  <c r="AL7" i="10"/>
  <c r="AJ39" i="23"/>
  <c r="AJ39" i="27"/>
  <c r="AJ39" i="22"/>
  <c r="AJ39" i="24"/>
  <c r="AJ38" i="25"/>
  <c r="AJ39" i="26"/>
  <c r="AJ39" i="37"/>
  <c r="AJ29" i="27"/>
  <c r="AJ29" i="23"/>
  <c r="AJ29" i="22"/>
  <c r="AJ29" i="24"/>
  <c r="AJ28" i="25"/>
  <c r="AJ29" i="26"/>
  <c r="AJ29" i="37"/>
  <c r="AL15" i="39"/>
  <c r="AL15" i="10" s="1"/>
  <c r="AL14" i="10"/>
  <c r="AL25" i="39"/>
  <c r="AL22" i="39"/>
  <c r="AL22" i="10" s="1"/>
  <c r="AL8" i="39"/>
  <c r="AJ32" i="27"/>
  <c r="AJ32" i="23"/>
  <c r="AJ32" i="22"/>
  <c r="AJ32" i="24"/>
  <c r="AJ32" i="26"/>
  <c r="AJ31" i="25"/>
  <c r="AJ32" i="37"/>
  <c r="AK14" i="27"/>
  <c r="AK14" i="23"/>
  <c r="AK14" i="24"/>
  <c r="AK14" i="22"/>
  <c r="AK13" i="25"/>
  <c r="AK14" i="26"/>
  <c r="AK14" i="37"/>
  <c r="AK5" i="10"/>
  <c r="AL19" i="39"/>
  <c r="AL19" i="10" s="1"/>
  <c r="AJ34" i="27"/>
  <c r="AJ34" i="23"/>
  <c r="AJ34" i="22"/>
  <c r="AJ34" i="24"/>
  <c r="AJ33" i="25"/>
  <c r="AJ34" i="26"/>
  <c r="AJ34" i="37"/>
  <c r="AK30" i="10"/>
  <c r="AJ20" i="27"/>
  <c r="AJ20" i="23"/>
  <c r="AJ20" i="22"/>
  <c r="AJ20" i="24"/>
  <c r="AJ19" i="25"/>
  <c r="AJ20" i="26"/>
  <c r="AJ20" i="37"/>
  <c r="AJ23" i="27"/>
  <c r="AJ23" i="23"/>
  <c r="AJ23" i="22"/>
  <c r="AJ23" i="24"/>
  <c r="AJ22" i="25"/>
  <c r="AJ23" i="26"/>
  <c r="AJ23" i="37"/>
  <c r="AL20" i="39"/>
  <c r="AK26" i="10"/>
  <c r="AJ37" i="27"/>
  <c r="AJ37" i="23"/>
  <c r="AJ37" i="22"/>
  <c r="AJ37" i="24"/>
  <c r="AJ36" i="25"/>
  <c r="AJ37" i="26"/>
  <c r="AJ37" i="37"/>
  <c r="AJ17" i="27"/>
  <c r="AJ17" i="23"/>
  <c r="AJ17" i="22"/>
  <c r="AJ17" i="24"/>
  <c r="AJ16" i="25"/>
  <c r="AJ17" i="26"/>
  <c r="AJ17" i="37"/>
  <c r="AK39" i="23"/>
  <c r="AK39" i="27"/>
  <c r="AK39" i="22"/>
  <c r="AK39" i="24"/>
  <c r="AK38" i="25"/>
  <c r="AK39" i="26"/>
  <c r="AK39" i="37"/>
  <c r="AL4" i="39"/>
  <c r="AK9" i="10"/>
  <c r="AK19" i="10"/>
  <c r="AJ35" i="27"/>
  <c r="AJ35" i="23"/>
  <c r="AJ35" i="22"/>
  <c r="AJ35" i="24"/>
  <c r="AJ34" i="25"/>
  <c r="AJ35" i="37"/>
  <c r="AJ35" i="26"/>
  <c r="AK18" i="10"/>
  <c r="AL29" i="27" l="1"/>
  <c r="AL29" i="23"/>
  <c r="AL29" i="22"/>
  <c r="AL29" i="24"/>
  <c r="AL28" i="25"/>
  <c r="AL29" i="37"/>
  <c r="AL29" i="26"/>
  <c r="AL37" i="27"/>
  <c r="AL37" i="23"/>
  <c r="AL37" i="22"/>
  <c r="AL37" i="24"/>
  <c r="AL36" i="25"/>
  <c r="AL37" i="37"/>
  <c r="AL37" i="26"/>
  <c r="AL35" i="27"/>
  <c r="AL35" i="23"/>
  <c r="AL34" i="25"/>
  <c r="AL35" i="24"/>
  <c r="AL35" i="22"/>
  <c r="AL35" i="37"/>
  <c r="AL35" i="26"/>
  <c r="AL26" i="27"/>
  <c r="AL26" i="22"/>
  <c r="AL26" i="24"/>
  <c r="AL26" i="23"/>
  <c r="AL25" i="25"/>
  <c r="AL26" i="26"/>
  <c r="AL26" i="37"/>
  <c r="AL31" i="27"/>
  <c r="AL31" i="23"/>
  <c r="AL31" i="24"/>
  <c r="AL31" i="22"/>
  <c r="AL30" i="25"/>
  <c r="AL31" i="37"/>
  <c r="AL31" i="26"/>
  <c r="AM15" i="39"/>
  <c r="AM27" i="39"/>
  <c r="AL9" i="10"/>
  <c r="AL32" i="10"/>
  <c r="AM12" i="39"/>
  <c r="AK25" i="23"/>
  <c r="AK25" i="27"/>
  <c r="AK25" i="22"/>
  <c r="AK25" i="24"/>
  <c r="AK24" i="25"/>
  <c r="AK25" i="26"/>
  <c r="AK25" i="37"/>
  <c r="AL24" i="27"/>
  <c r="AL24" i="23"/>
  <c r="AL24" i="24"/>
  <c r="AL24" i="22"/>
  <c r="AL23" i="25"/>
  <c r="AL24" i="26"/>
  <c r="AL24" i="37"/>
  <c r="AL22" i="27"/>
  <c r="AL22" i="23"/>
  <c r="AL22" i="24"/>
  <c r="AL21" i="25"/>
  <c r="AL22" i="26"/>
  <c r="AL22" i="22"/>
  <c r="AL22" i="37"/>
  <c r="AM30" i="39"/>
  <c r="AK40" i="23"/>
  <c r="AK40" i="27"/>
  <c r="AK40" i="24"/>
  <c r="AK39" i="25"/>
  <c r="AK40" i="22"/>
  <c r="AK40" i="37"/>
  <c r="AK40" i="26"/>
  <c r="AK31" i="23"/>
  <c r="AK31" i="27"/>
  <c r="AK31" i="22"/>
  <c r="AK31" i="24"/>
  <c r="AK30" i="25"/>
  <c r="AK31" i="26"/>
  <c r="AK31" i="37"/>
  <c r="AL18" i="10"/>
  <c r="AM9" i="39"/>
  <c r="AM32" i="39"/>
  <c r="AM32" i="10" s="1"/>
  <c r="AM16" i="39"/>
  <c r="AM6" i="39"/>
  <c r="AL25" i="10"/>
  <c r="AK18" i="27"/>
  <c r="AK18" i="23"/>
  <c r="AK18" i="24"/>
  <c r="AK17" i="25"/>
  <c r="AK18" i="22"/>
  <c r="AK18" i="26"/>
  <c r="AK18" i="37"/>
  <c r="AK24" i="27"/>
  <c r="AK24" i="23"/>
  <c r="AK24" i="24"/>
  <c r="AK23" i="25"/>
  <c r="AK24" i="22"/>
  <c r="AK24" i="26"/>
  <c r="AK24" i="37"/>
  <c r="AM24" i="39"/>
  <c r="AM5" i="39"/>
  <c r="AM28" i="39"/>
  <c r="AL11" i="10"/>
  <c r="AM22" i="39"/>
  <c r="AK26" i="27"/>
  <c r="AK26" i="23"/>
  <c r="AK26" i="22"/>
  <c r="AK26" i="24"/>
  <c r="AK25" i="25"/>
  <c r="AK26" i="26"/>
  <c r="AK26" i="37"/>
  <c r="AK37" i="27"/>
  <c r="AK37" i="23"/>
  <c r="AK37" i="22"/>
  <c r="AK37" i="24"/>
  <c r="AK36" i="25"/>
  <c r="AK37" i="26"/>
  <c r="AK37" i="37"/>
  <c r="AM18" i="39"/>
  <c r="AL5" i="10"/>
  <c r="AM25" i="39"/>
  <c r="AM11" i="39"/>
  <c r="AM29" i="39"/>
  <c r="AM33" i="39"/>
  <c r="AL23" i="10"/>
  <c r="AK23" i="27"/>
  <c r="AK23" i="23"/>
  <c r="AK23" i="22"/>
  <c r="AK23" i="24"/>
  <c r="AK22" i="25"/>
  <c r="AK23" i="26"/>
  <c r="AK23" i="37"/>
  <c r="AK34" i="27"/>
  <c r="AK34" i="23"/>
  <c r="AK34" i="24"/>
  <c r="AK34" i="22"/>
  <c r="AK33" i="25"/>
  <c r="AK34" i="37"/>
  <c r="AK34" i="26"/>
  <c r="AM26" i="39"/>
  <c r="AL40" i="27"/>
  <c r="AL40" i="23"/>
  <c r="AL40" i="22"/>
  <c r="AL39" i="25"/>
  <c r="AL40" i="24"/>
  <c r="AL40" i="26"/>
  <c r="AL40" i="37"/>
  <c r="AM23" i="39"/>
  <c r="AM23" i="10" s="1"/>
  <c r="AM20" i="39"/>
  <c r="AM19" i="39"/>
  <c r="AL28" i="27"/>
  <c r="AL28" i="22"/>
  <c r="AL28" i="24"/>
  <c r="AL28" i="23"/>
  <c r="AL27" i="25"/>
  <c r="AL28" i="26"/>
  <c r="AL28" i="37"/>
  <c r="AK12" i="22"/>
  <c r="AK12" i="27"/>
  <c r="AK12" i="24"/>
  <c r="AK12" i="23"/>
  <c r="AK12" i="26"/>
  <c r="AK11" i="25"/>
  <c r="AK12" i="37"/>
  <c r="AL8" i="10"/>
  <c r="AL21" i="27"/>
  <c r="AL21" i="23"/>
  <c r="AL21" i="22"/>
  <c r="AL21" i="24"/>
  <c r="AL20" i="25"/>
  <c r="AL21" i="26"/>
  <c r="AL21" i="37"/>
  <c r="AL10" i="10"/>
  <c r="AL34" i="27"/>
  <c r="AL34" i="23"/>
  <c r="AL34" i="24"/>
  <c r="AL34" i="22"/>
  <c r="AL33" i="25"/>
  <c r="AL34" i="26"/>
  <c r="AL34" i="37"/>
  <c r="AM14" i="39"/>
  <c r="AM17" i="39"/>
  <c r="AL26" i="10"/>
  <c r="AK33" i="27"/>
  <c r="AK33" i="23"/>
  <c r="AK33" i="22"/>
  <c r="AK33" i="24"/>
  <c r="AK32" i="25"/>
  <c r="AK33" i="26"/>
  <c r="AK33" i="37"/>
  <c r="AM8" i="39"/>
  <c r="AM10" i="39"/>
  <c r="AL13" i="10"/>
  <c r="AM21" i="39"/>
  <c r="AK20" i="27"/>
  <c r="AK20" i="24"/>
  <c r="AK20" i="22"/>
  <c r="AK20" i="23"/>
  <c r="AK19" i="25"/>
  <c r="AK20" i="26"/>
  <c r="AK20" i="37"/>
  <c r="AK36" i="27"/>
  <c r="AK36" i="24"/>
  <c r="AK36" i="22"/>
  <c r="AK36" i="23"/>
  <c r="AK35" i="25"/>
  <c r="AK36" i="37"/>
  <c r="AK36" i="26"/>
  <c r="AK30" i="27"/>
  <c r="AK30" i="24"/>
  <c r="AK30" i="22"/>
  <c r="AK30" i="23"/>
  <c r="AK29" i="25"/>
  <c r="AK30" i="26"/>
  <c r="AK30" i="37"/>
  <c r="AL4" i="10"/>
  <c r="AL36" i="27"/>
  <c r="AL36" i="24"/>
  <c r="AL36" i="23"/>
  <c r="AL35" i="25"/>
  <c r="AL36" i="22"/>
  <c r="AL36" i="26"/>
  <c r="AL36" i="37"/>
  <c r="AL20" i="10"/>
  <c r="AK16" i="27"/>
  <c r="AK16" i="23"/>
  <c r="AK16" i="22"/>
  <c r="AK16" i="24"/>
  <c r="AK15" i="25"/>
  <c r="AK16" i="26"/>
  <c r="AK16" i="37"/>
  <c r="AM4" i="39"/>
  <c r="AL14" i="27"/>
  <c r="AL14" i="23"/>
  <c r="AL14" i="22"/>
  <c r="AL14" i="24"/>
  <c r="AL13" i="25"/>
  <c r="AL14" i="26"/>
  <c r="AL14" i="37"/>
  <c r="AM13" i="39"/>
  <c r="AL16" i="10"/>
  <c r="AM7" i="39"/>
  <c r="AM7" i="10" s="1"/>
  <c r="AL12" i="10"/>
  <c r="AL6" i="10"/>
  <c r="AL12" i="27" l="1"/>
  <c r="AL12" i="23"/>
  <c r="AL12" i="22"/>
  <c r="AL12" i="24"/>
  <c r="AL11" i="25"/>
  <c r="AL12" i="26"/>
  <c r="AL12" i="37"/>
  <c r="AL16" i="27"/>
  <c r="AL16" i="22"/>
  <c r="AL16" i="23"/>
  <c r="AL16" i="24"/>
  <c r="AL15" i="25"/>
  <c r="AL16" i="26"/>
  <c r="AL16" i="37"/>
  <c r="AM14" i="27"/>
  <c r="AM14" i="23"/>
  <c r="AM14" i="22"/>
  <c r="AM13" i="25"/>
  <c r="AM14" i="24"/>
  <c r="AM14" i="26"/>
  <c r="AM14" i="37"/>
  <c r="AM5" i="10"/>
  <c r="AN5" i="39"/>
  <c r="AN5" i="10" s="1"/>
  <c r="AN6" i="39"/>
  <c r="AN6" i="10" s="1"/>
  <c r="AL17" i="27"/>
  <c r="AL17" i="22"/>
  <c r="AL17" i="23"/>
  <c r="AL17" i="24"/>
  <c r="AL16" i="25"/>
  <c r="AL17" i="26"/>
  <c r="AL17" i="37"/>
  <c r="AN13" i="39"/>
  <c r="AN21" i="39"/>
  <c r="AN21" i="10" s="1"/>
  <c r="AL15" i="27"/>
  <c r="AL15" i="23"/>
  <c r="AL15" i="22"/>
  <c r="AL15" i="24"/>
  <c r="AL14" i="25"/>
  <c r="AL15" i="37"/>
  <c r="AL15" i="26"/>
  <c r="AL20" i="27"/>
  <c r="AL20" i="24"/>
  <c r="AL20" i="22"/>
  <c r="AL20" i="23"/>
  <c r="AL19" i="25"/>
  <c r="AL20" i="26"/>
  <c r="AL20" i="37"/>
  <c r="AL33" i="27"/>
  <c r="AL33" i="23"/>
  <c r="AL33" i="22"/>
  <c r="AL32" i="25"/>
  <c r="AL33" i="24"/>
  <c r="AL33" i="37"/>
  <c r="AL33" i="26"/>
  <c r="AN19" i="39"/>
  <c r="AN19" i="10" s="1"/>
  <c r="AN29" i="39"/>
  <c r="AM18" i="10"/>
  <c r="AM22" i="10"/>
  <c r="AM24" i="10"/>
  <c r="AN9" i="39"/>
  <c r="AN9" i="10" s="1"/>
  <c r="AL30" i="27"/>
  <c r="AL30" i="23"/>
  <c r="AL30" i="24"/>
  <c r="AL29" i="25"/>
  <c r="AL30" i="22"/>
  <c r="AL30" i="26"/>
  <c r="AL30" i="37"/>
  <c r="AM30" i="27"/>
  <c r="AM30" i="23"/>
  <c r="AM30" i="22"/>
  <c r="AM29" i="25"/>
  <c r="AM30" i="24"/>
  <c r="AM30" i="26"/>
  <c r="AM30" i="37"/>
  <c r="AN26" i="39"/>
  <c r="AN7" i="39"/>
  <c r="AN33" i="39"/>
  <c r="AN18" i="39"/>
  <c r="AN18" i="10" s="1"/>
  <c r="AN22" i="39"/>
  <c r="AN24" i="39"/>
  <c r="AM39" i="27"/>
  <c r="AM39" i="23"/>
  <c r="AM39" i="22"/>
  <c r="AM38" i="25"/>
  <c r="AM39" i="24"/>
  <c r="AM39" i="37"/>
  <c r="AM39" i="26"/>
  <c r="AN27" i="39"/>
  <c r="AN32" i="39"/>
  <c r="AN32" i="10" s="1"/>
  <c r="AL23" i="27"/>
  <c r="AL23" i="23"/>
  <c r="AL23" i="22"/>
  <c r="AL23" i="24"/>
  <c r="AL22" i="25"/>
  <c r="AL23" i="26"/>
  <c r="AL23" i="37"/>
  <c r="AM10" i="10"/>
  <c r="AN17" i="39"/>
  <c r="AN16" i="39"/>
  <c r="AM15" i="10"/>
  <c r="AL13" i="27"/>
  <c r="AL13" i="22"/>
  <c r="AL13" i="23"/>
  <c r="AL12" i="25"/>
  <c r="AL13" i="24"/>
  <c r="AL13" i="26"/>
  <c r="AL13" i="37"/>
  <c r="AM9" i="10"/>
  <c r="AN10" i="39"/>
  <c r="AN30" i="39"/>
  <c r="AN12" i="39"/>
  <c r="AN15" i="39"/>
  <c r="AM21" i="10"/>
  <c r="AM20" i="10"/>
  <c r="AM26" i="10"/>
  <c r="AM6" i="10"/>
  <c r="AN11" i="39"/>
  <c r="AN11" i="10" s="1"/>
  <c r="AL18" i="27"/>
  <c r="AL18" i="22"/>
  <c r="AL18" i="23"/>
  <c r="AL18" i="24"/>
  <c r="AL17" i="25"/>
  <c r="AL18" i="26"/>
  <c r="AL18" i="37"/>
  <c r="AM12" i="10"/>
  <c r="AM29" i="10"/>
  <c r="AM13" i="10"/>
  <c r="AM30" i="10"/>
  <c r="AM4" i="10"/>
  <c r="AM14" i="10"/>
  <c r="AM11" i="10"/>
  <c r="AN25" i="39"/>
  <c r="AM28" i="10"/>
  <c r="AL32" i="27"/>
  <c r="AL32" i="23"/>
  <c r="AL32" i="22"/>
  <c r="AL32" i="24"/>
  <c r="AL31" i="25"/>
  <c r="AL32" i="26"/>
  <c r="AL32" i="37"/>
  <c r="AM19" i="10"/>
  <c r="AL39" i="27"/>
  <c r="AL39" i="23"/>
  <c r="AL39" i="22"/>
  <c r="AL39" i="24"/>
  <c r="AL38" i="25"/>
  <c r="AL39" i="37"/>
  <c r="AL39" i="26"/>
  <c r="AM33" i="10"/>
  <c r="AM25" i="10"/>
  <c r="AM16" i="10"/>
  <c r="AL11" i="27"/>
  <c r="AL11" i="23"/>
  <c r="AL11" i="22"/>
  <c r="AL11" i="24"/>
  <c r="AL11" i="26"/>
  <c r="AL10" i="25"/>
  <c r="AL11" i="37"/>
  <c r="AN8" i="39"/>
  <c r="AN4" i="39"/>
  <c r="AN20" i="39"/>
  <c r="AL25" i="27"/>
  <c r="AL25" i="22"/>
  <c r="AL25" i="23"/>
  <c r="AL24" i="25"/>
  <c r="AL25" i="24"/>
  <c r="AL25" i="26"/>
  <c r="AL25" i="37"/>
  <c r="AL19" i="27"/>
  <c r="AL19" i="23"/>
  <c r="AL19" i="22"/>
  <c r="AL18" i="25"/>
  <c r="AL19" i="24"/>
  <c r="AL19" i="37"/>
  <c r="AL19" i="26"/>
  <c r="AL27" i="27"/>
  <c r="AL27" i="23"/>
  <c r="AL27" i="22"/>
  <c r="AL27" i="24"/>
  <c r="AL26" i="25"/>
  <c r="AL27" i="26"/>
  <c r="AL27" i="37"/>
  <c r="AM8" i="10"/>
  <c r="AN14" i="39"/>
  <c r="AN23" i="39"/>
  <c r="AN23" i="10" s="1"/>
  <c r="AN28" i="39"/>
  <c r="AM17" i="10"/>
  <c r="AM27" i="10"/>
  <c r="AN30" i="27" l="1"/>
  <c r="AN30" i="23"/>
  <c r="AN30" i="22"/>
  <c r="AN30" i="24"/>
  <c r="AN30" i="26"/>
  <c r="AN29" i="25"/>
  <c r="AN30" i="37"/>
  <c r="AN28" i="27"/>
  <c r="AN28" i="23"/>
  <c r="AN28" i="22"/>
  <c r="AN28" i="24"/>
  <c r="AN27" i="25"/>
  <c r="AN28" i="26"/>
  <c r="AN28" i="37"/>
  <c r="AN16" i="27"/>
  <c r="AN16" i="23"/>
  <c r="AN16" i="22"/>
  <c r="AN16" i="24"/>
  <c r="AN15" i="25"/>
  <c r="AN16" i="26"/>
  <c r="AN16" i="37"/>
  <c r="AN18" i="27"/>
  <c r="AN18" i="23"/>
  <c r="AN18" i="22"/>
  <c r="AN18" i="24"/>
  <c r="AN17" i="25"/>
  <c r="AN18" i="26"/>
  <c r="AN18" i="37"/>
  <c r="AN12" i="27"/>
  <c r="AN12" i="23"/>
  <c r="AN12" i="22"/>
  <c r="AN12" i="24"/>
  <c r="AN11" i="25"/>
  <c r="AN12" i="26"/>
  <c r="AN12" i="37"/>
  <c r="AO25" i="39"/>
  <c r="AO25" i="10" s="1"/>
  <c r="AM36" i="27"/>
  <c r="AM36" i="23"/>
  <c r="AM36" i="22"/>
  <c r="AM36" i="24"/>
  <c r="AM35" i="25"/>
  <c r="AM36" i="26"/>
  <c r="AM36" i="37"/>
  <c r="AO30" i="39"/>
  <c r="AO16" i="39"/>
  <c r="AO27" i="39"/>
  <c r="AN33" i="10"/>
  <c r="AM29" i="27"/>
  <c r="AM29" i="23"/>
  <c r="AM29" i="22"/>
  <c r="AM28" i="25"/>
  <c r="AM29" i="24"/>
  <c r="AM29" i="26"/>
  <c r="AM29" i="37"/>
  <c r="AO19" i="39"/>
  <c r="AO19" i="10" s="1"/>
  <c r="AO21" i="39"/>
  <c r="AN27" i="10"/>
  <c r="AO5" i="39"/>
  <c r="AN30" i="10"/>
  <c r="AM18" i="27"/>
  <c r="AM18" i="23"/>
  <c r="AM18" i="22"/>
  <c r="AM17" i="25"/>
  <c r="AM18" i="24"/>
  <c r="AM18" i="26"/>
  <c r="AM18" i="37"/>
  <c r="AM19" i="27"/>
  <c r="AM19" i="23"/>
  <c r="AM19" i="22"/>
  <c r="AM19" i="24"/>
  <c r="AM19" i="26"/>
  <c r="AM18" i="25"/>
  <c r="AM19" i="37"/>
  <c r="AM27" i="27"/>
  <c r="AM27" i="23"/>
  <c r="AM27" i="22"/>
  <c r="AM27" i="26"/>
  <c r="AM27" i="24"/>
  <c r="AM27" i="37"/>
  <c r="AM26" i="25"/>
  <c r="AN25" i="27"/>
  <c r="AN25" i="23"/>
  <c r="AN25" i="22"/>
  <c r="AN25" i="24"/>
  <c r="AN24" i="25"/>
  <c r="AN25" i="26"/>
  <c r="AN25" i="37"/>
  <c r="AN17" i="10"/>
  <c r="AN24" i="10"/>
  <c r="AO33" i="39"/>
  <c r="AO33" i="10" s="1"/>
  <c r="AO26" i="39"/>
  <c r="AM12" i="27"/>
  <c r="AM12" i="23"/>
  <c r="AM12" i="22"/>
  <c r="AM11" i="25"/>
  <c r="AM12" i="24"/>
  <c r="AM12" i="26"/>
  <c r="AM12" i="37"/>
  <c r="AN13" i="27"/>
  <c r="AN13" i="23"/>
  <c r="AN13" i="24"/>
  <c r="AN13" i="22"/>
  <c r="AN12" i="25"/>
  <c r="AN13" i="26"/>
  <c r="AN13" i="37"/>
  <c r="AM34" i="27"/>
  <c r="AM34" i="23"/>
  <c r="AM34" i="22"/>
  <c r="AM33" i="25"/>
  <c r="AM34" i="24"/>
  <c r="AM34" i="37"/>
  <c r="AM34" i="26"/>
  <c r="AM24" i="27"/>
  <c r="AM24" i="23"/>
  <c r="AM24" i="22"/>
  <c r="AM23" i="25"/>
  <c r="AM24" i="24"/>
  <c r="AM24" i="37"/>
  <c r="AM24" i="26"/>
  <c r="AN39" i="27"/>
  <c r="AN39" i="23"/>
  <c r="AN39" i="22"/>
  <c r="AN39" i="24"/>
  <c r="AN38" i="25"/>
  <c r="AN39" i="26"/>
  <c r="AN39" i="37"/>
  <c r="AN8" i="10"/>
  <c r="AM28" i="27"/>
  <c r="AM28" i="23"/>
  <c r="AM28" i="22"/>
  <c r="AM27" i="25"/>
  <c r="AM28" i="24"/>
  <c r="AM28" i="26"/>
  <c r="AM28" i="37"/>
  <c r="AO17" i="39"/>
  <c r="AO17" i="10" s="1"/>
  <c r="AO24" i="39"/>
  <c r="AM25" i="27"/>
  <c r="AM25" i="23"/>
  <c r="AM25" i="22"/>
  <c r="AM25" i="24"/>
  <c r="AM24" i="25"/>
  <c r="AM25" i="26"/>
  <c r="AM25" i="37"/>
  <c r="AO13" i="39"/>
  <c r="AN4" i="10"/>
  <c r="AM20" i="27"/>
  <c r="AM20" i="23"/>
  <c r="AM20" i="22"/>
  <c r="AM20" i="24"/>
  <c r="AM19" i="25"/>
  <c r="AM20" i="26"/>
  <c r="AM20" i="37"/>
  <c r="AN15" i="10"/>
  <c r="AM17" i="27"/>
  <c r="AM17" i="23"/>
  <c r="AM17" i="22"/>
  <c r="AM17" i="24"/>
  <c r="AM16" i="25"/>
  <c r="AM17" i="26"/>
  <c r="AM17" i="37"/>
  <c r="AN22" i="10"/>
  <c r="AO27" i="10"/>
  <c r="AN10" i="10"/>
  <c r="AO4" i="39"/>
  <c r="AN16" i="10"/>
  <c r="AM23" i="27"/>
  <c r="AM23" i="23"/>
  <c r="AM23" i="22"/>
  <c r="AM23" i="24"/>
  <c r="AM22" i="25"/>
  <c r="AM23" i="26"/>
  <c r="AM23" i="37"/>
  <c r="AN20" i="10"/>
  <c r="AM32" i="27"/>
  <c r="AM32" i="23"/>
  <c r="AM32" i="22"/>
  <c r="AM32" i="24"/>
  <c r="AM31" i="25"/>
  <c r="AM32" i="26"/>
  <c r="AM32" i="37"/>
  <c r="AO11" i="39"/>
  <c r="AO15" i="39"/>
  <c r="AO10" i="39"/>
  <c r="AO10" i="10" s="1"/>
  <c r="AO22" i="39"/>
  <c r="AO22" i="10" s="1"/>
  <c r="AN13" i="10"/>
  <c r="AN29" i="10"/>
  <c r="AN14" i="10"/>
  <c r="AN26" i="27"/>
  <c r="AN26" i="23"/>
  <c r="AN26" i="22"/>
  <c r="AN26" i="24"/>
  <c r="AN25" i="25"/>
  <c r="AN26" i="26"/>
  <c r="AN26" i="37"/>
  <c r="AO7" i="39"/>
  <c r="AO8" i="39"/>
  <c r="AM21" i="27"/>
  <c r="AM21" i="23"/>
  <c r="AM21" i="22"/>
  <c r="AM21" i="24"/>
  <c r="AM20" i="25"/>
  <c r="AM21" i="26"/>
  <c r="AM21" i="37"/>
  <c r="AN28" i="10"/>
  <c r="AO14" i="39"/>
  <c r="AO20" i="39"/>
  <c r="AO20" i="10" s="1"/>
  <c r="AM40" i="23"/>
  <c r="AM40" i="27"/>
  <c r="AM40" i="22"/>
  <c r="AM40" i="24"/>
  <c r="AM39" i="25"/>
  <c r="AM40" i="26"/>
  <c r="AM40" i="37"/>
  <c r="AM26" i="27"/>
  <c r="AM26" i="23"/>
  <c r="AM26" i="22"/>
  <c r="AM26" i="24"/>
  <c r="AM25" i="25"/>
  <c r="AM26" i="26"/>
  <c r="AM26" i="37"/>
  <c r="AM35" i="27"/>
  <c r="AM35" i="23"/>
  <c r="AM35" i="22"/>
  <c r="AM35" i="24"/>
  <c r="AM34" i="25"/>
  <c r="AM35" i="37"/>
  <c r="AM35" i="26"/>
  <c r="AM11" i="27"/>
  <c r="AM11" i="22"/>
  <c r="AM11" i="23"/>
  <c r="AM11" i="24"/>
  <c r="AM10" i="25"/>
  <c r="AM11" i="26"/>
  <c r="AM11" i="37"/>
  <c r="AM13" i="27"/>
  <c r="AM13" i="23"/>
  <c r="AM13" i="22"/>
  <c r="AM13" i="24"/>
  <c r="AM12" i="25"/>
  <c r="AM13" i="26"/>
  <c r="AM13" i="37"/>
  <c r="AN12" i="10"/>
  <c r="AM16" i="27"/>
  <c r="AM16" i="23"/>
  <c r="AM16" i="22"/>
  <c r="AM16" i="24"/>
  <c r="AM15" i="25"/>
  <c r="AM16" i="26"/>
  <c r="AM16" i="37"/>
  <c r="AM22" i="27"/>
  <c r="AM22" i="23"/>
  <c r="AM22" i="22"/>
  <c r="AM21" i="25"/>
  <c r="AM22" i="24"/>
  <c r="AM22" i="26"/>
  <c r="AM22" i="37"/>
  <c r="AO32" i="39"/>
  <c r="AO9" i="39"/>
  <c r="AO29" i="39"/>
  <c r="AO6" i="39"/>
  <c r="AM33" i="27"/>
  <c r="AM33" i="23"/>
  <c r="AM33" i="22"/>
  <c r="AM33" i="24"/>
  <c r="AM32" i="25"/>
  <c r="AM33" i="37"/>
  <c r="AM33" i="26"/>
  <c r="AO23" i="39"/>
  <c r="AN25" i="10"/>
  <c r="AO28" i="39"/>
  <c r="AO28" i="10" s="1"/>
  <c r="AM15" i="27"/>
  <c r="AM15" i="23"/>
  <c r="AM15" i="22"/>
  <c r="AM15" i="24"/>
  <c r="AM15" i="26"/>
  <c r="AM14" i="25"/>
  <c r="AM15" i="37"/>
  <c r="AM37" i="27"/>
  <c r="AM37" i="23"/>
  <c r="AM37" i="22"/>
  <c r="AM37" i="24"/>
  <c r="AM36" i="25"/>
  <c r="AM37" i="26"/>
  <c r="AM37" i="37"/>
  <c r="AO12" i="39"/>
  <c r="AO15" i="10"/>
  <c r="AO18" i="39"/>
  <c r="AN7" i="10"/>
  <c r="AM31" i="27"/>
  <c r="AM31" i="23"/>
  <c r="AM31" i="22"/>
  <c r="AM31" i="24"/>
  <c r="AM31" i="26"/>
  <c r="AM30" i="25"/>
  <c r="AM31" i="37"/>
  <c r="AN26" i="10"/>
  <c r="AO22" i="27" l="1"/>
  <c r="AO22" i="23"/>
  <c r="AO22" i="22"/>
  <c r="AO22" i="24"/>
  <c r="AO21" i="25"/>
  <c r="AO22" i="26"/>
  <c r="AO22" i="37"/>
  <c r="AP23" i="39"/>
  <c r="AP23" i="10" s="1"/>
  <c r="AO6" i="10"/>
  <c r="AP32" i="39"/>
  <c r="AN35" i="27"/>
  <c r="AN35" i="23"/>
  <c r="AN35" i="22"/>
  <c r="AN35" i="24"/>
  <c r="AN34" i="25"/>
  <c r="AN35" i="37"/>
  <c r="AN35" i="26"/>
  <c r="AN36" i="27"/>
  <c r="AN36" i="23"/>
  <c r="AN36" i="22"/>
  <c r="AN36" i="24"/>
  <c r="AN35" i="25"/>
  <c r="AN36" i="26"/>
  <c r="AN36" i="37"/>
  <c r="AN29" i="27"/>
  <c r="AN29" i="23"/>
  <c r="AN29" i="22"/>
  <c r="AN28" i="25"/>
  <c r="AN29" i="24"/>
  <c r="AN29" i="26"/>
  <c r="AN29" i="37"/>
  <c r="AO24" i="10"/>
  <c r="AN31" i="23"/>
  <c r="AN31" i="27"/>
  <c r="AN31" i="22"/>
  <c r="AN31" i="24"/>
  <c r="AN30" i="25"/>
  <c r="AN31" i="37"/>
  <c r="AN31" i="26"/>
  <c r="AP21" i="39"/>
  <c r="AP16" i="39"/>
  <c r="AO16" i="10"/>
  <c r="AO12" i="10"/>
  <c r="AP6" i="39"/>
  <c r="AO8" i="10"/>
  <c r="AP10" i="39"/>
  <c r="AP10" i="10" s="1"/>
  <c r="AN23" i="27"/>
  <c r="AN23" i="23"/>
  <c r="AN23" i="22"/>
  <c r="AN23" i="24"/>
  <c r="AN22" i="25"/>
  <c r="AN23" i="26"/>
  <c r="AN23" i="37"/>
  <c r="AP24" i="39"/>
  <c r="AP24" i="10" s="1"/>
  <c r="AO32" i="10"/>
  <c r="AP14" i="39"/>
  <c r="AN33" i="27"/>
  <c r="AN33" i="23"/>
  <c r="AN33" i="22"/>
  <c r="AN33" i="24"/>
  <c r="AN32" i="25"/>
  <c r="AN33" i="37"/>
  <c r="AN33" i="26"/>
  <c r="AO35" i="27"/>
  <c r="AO35" i="23"/>
  <c r="AO35" i="22"/>
  <c r="AO35" i="24"/>
  <c r="AO34" i="25"/>
  <c r="AO35" i="26"/>
  <c r="AO35" i="37"/>
  <c r="AO29" i="10"/>
  <c r="AP8" i="39"/>
  <c r="AO32" i="27"/>
  <c r="AO32" i="23"/>
  <c r="AO32" i="22"/>
  <c r="AO32" i="24"/>
  <c r="AO31" i="25"/>
  <c r="AO32" i="26"/>
  <c r="AO32" i="37"/>
  <c r="AN24" i="27"/>
  <c r="AN24" i="23"/>
  <c r="AN24" i="22"/>
  <c r="AN24" i="24"/>
  <c r="AN23" i="25"/>
  <c r="AN24" i="26"/>
  <c r="AN24" i="37"/>
  <c r="AN37" i="27"/>
  <c r="AN37" i="23"/>
  <c r="AN37" i="22"/>
  <c r="AN37" i="24"/>
  <c r="AN36" i="25"/>
  <c r="AN37" i="26"/>
  <c r="AN37" i="37"/>
  <c r="AP19" i="39"/>
  <c r="AP19" i="10" s="1"/>
  <c r="AP30" i="39"/>
  <c r="AO24" i="23"/>
  <c r="AO24" i="27"/>
  <c r="AO24" i="22"/>
  <c r="AO24" i="24"/>
  <c r="AO23" i="25"/>
  <c r="AO24" i="26"/>
  <c r="AO24" i="37"/>
  <c r="AO21" i="10"/>
  <c r="AN20" i="27"/>
  <c r="AN20" i="23"/>
  <c r="AN20" i="22"/>
  <c r="AN20" i="24"/>
  <c r="AN19" i="25"/>
  <c r="AN20" i="26"/>
  <c r="AN20" i="37"/>
  <c r="AP15" i="39"/>
  <c r="AN22" i="27"/>
  <c r="AN22" i="23"/>
  <c r="AN22" i="22"/>
  <c r="AN22" i="24"/>
  <c r="AN22" i="26"/>
  <c r="AN21" i="25"/>
  <c r="AN22" i="37"/>
  <c r="AP17" i="39"/>
  <c r="AP17" i="10" s="1"/>
  <c r="AO23" i="10"/>
  <c r="AO5" i="10"/>
  <c r="AN40" i="23"/>
  <c r="AN40" i="22"/>
  <c r="AN40" i="27"/>
  <c r="AN40" i="24"/>
  <c r="AN39" i="25"/>
  <c r="AN40" i="26"/>
  <c r="AN40" i="37"/>
  <c r="AP25" i="39"/>
  <c r="AO27" i="27"/>
  <c r="AO27" i="23"/>
  <c r="AO27" i="24"/>
  <c r="AO27" i="22"/>
  <c r="AO26" i="25"/>
  <c r="AO27" i="26"/>
  <c r="AO27" i="37"/>
  <c r="AO40" i="23"/>
  <c r="AO40" i="22"/>
  <c r="AO40" i="24"/>
  <c r="AO40" i="27"/>
  <c r="AO39" i="25"/>
  <c r="AO40" i="37"/>
  <c r="AO40" i="26"/>
  <c r="AP28" i="39"/>
  <c r="AO9" i="10"/>
  <c r="AO7" i="10"/>
  <c r="AO11" i="10"/>
  <c r="AP4" i="39"/>
  <c r="AN11" i="22"/>
  <c r="AN11" i="27"/>
  <c r="AN11" i="23"/>
  <c r="AN11" i="24"/>
  <c r="AN10" i="25"/>
  <c r="AN11" i="26"/>
  <c r="AN11" i="37"/>
  <c r="AN15" i="23"/>
  <c r="AN15" i="27"/>
  <c r="AN15" i="22"/>
  <c r="AN15" i="24"/>
  <c r="AN14" i="25"/>
  <c r="AN15" i="26"/>
  <c r="AN15" i="37"/>
  <c r="AO26" i="10"/>
  <c r="AP5" i="39"/>
  <c r="AN19" i="27"/>
  <c r="AN19" i="23"/>
  <c r="AN19" i="22"/>
  <c r="AN19" i="24"/>
  <c r="AN18" i="25"/>
  <c r="AN19" i="26"/>
  <c r="AN19" i="37"/>
  <c r="AO17" i="27"/>
  <c r="AO17" i="23"/>
  <c r="AO17" i="24"/>
  <c r="AO17" i="22"/>
  <c r="AO16" i="25"/>
  <c r="AO17" i="26"/>
  <c r="AO17" i="37"/>
  <c r="AO26" i="27"/>
  <c r="AO26" i="23"/>
  <c r="AO26" i="22"/>
  <c r="AO26" i="24"/>
  <c r="AO25" i="25"/>
  <c r="AO26" i="26"/>
  <c r="AO26" i="37"/>
  <c r="AP29" i="39"/>
  <c r="AP29" i="10" s="1"/>
  <c r="AN14" i="27"/>
  <c r="AN14" i="23"/>
  <c r="AN14" i="22"/>
  <c r="AN14" i="24"/>
  <c r="AN13" i="25"/>
  <c r="AN14" i="26"/>
  <c r="AN14" i="37"/>
  <c r="AN32" i="27"/>
  <c r="AN32" i="23"/>
  <c r="AN32" i="22"/>
  <c r="AN32" i="24"/>
  <c r="AN31" i="25"/>
  <c r="AN32" i="26"/>
  <c r="AN32" i="37"/>
  <c r="AP9" i="39"/>
  <c r="AP9" i="10" s="1"/>
  <c r="AP20" i="39"/>
  <c r="AP7" i="39"/>
  <c r="AP22" i="39"/>
  <c r="AP11" i="39"/>
  <c r="AN17" i="27"/>
  <c r="AN17" i="23"/>
  <c r="AN17" i="22"/>
  <c r="AN17" i="24"/>
  <c r="AN16" i="25"/>
  <c r="AN17" i="26"/>
  <c r="AN17" i="37"/>
  <c r="AP26" i="39"/>
  <c r="AN34" i="27"/>
  <c r="AN34" i="23"/>
  <c r="AN34" i="22"/>
  <c r="AN34" i="24"/>
  <c r="AN34" i="26"/>
  <c r="AN34" i="37"/>
  <c r="AN33" i="25"/>
  <c r="AO30" i="10"/>
  <c r="AP18" i="39"/>
  <c r="AP18" i="10" s="1"/>
  <c r="AP33" i="39"/>
  <c r="AO29" i="27"/>
  <c r="AO29" i="23"/>
  <c r="AO29" i="24"/>
  <c r="AO29" i="22"/>
  <c r="AO28" i="25"/>
  <c r="AO29" i="26"/>
  <c r="AO29" i="37"/>
  <c r="AP12" i="39"/>
  <c r="AO18" i="10"/>
  <c r="AN21" i="27"/>
  <c r="AN21" i="23"/>
  <c r="AN21" i="22"/>
  <c r="AN21" i="24"/>
  <c r="AN20" i="25"/>
  <c r="AN21" i="26"/>
  <c r="AN21" i="37"/>
  <c r="AP32" i="10"/>
  <c r="AO14" i="10"/>
  <c r="AN27" i="27"/>
  <c r="AN27" i="23"/>
  <c r="AN27" i="22"/>
  <c r="AN27" i="24"/>
  <c r="AN26" i="25"/>
  <c r="AN27" i="26"/>
  <c r="AN27" i="37"/>
  <c r="AO34" i="23"/>
  <c r="AO34" i="22"/>
  <c r="AO34" i="27"/>
  <c r="AO34" i="24"/>
  <c r="AO33" i="25"/>
  <c r="AO34" i="26"/>
  <c r="AO34" i="37"/>
  <c r="AP13" i="39"/>
  <c r="AO13" i="10"/>
  <c r="AP27" i="39"/>
  <c r="AO4" i="10"/>
  <c r="AP16" i="27" l="1"/>
  <c r="AP16" i="22"/>
  <c r="AP16" i="23"/>
  <c r="AP16" i="24"/>
  <c r="AP15" i="25"/>
  <c r="AP16" i="26"/>
  <c r="AP16" i="37"/>
  <c r="AP36" i="27"/>
  <c r="AP36" i="23"/>
  <c r="AP36" i="24"/>
  <c r="AP36" i="22"/>
  <c r="AP35" i="25"/>
  <c r="AP36" i="26"/>
  <c r="AP36" i="37"/>
  <c r="AP30" i="27"/>
  <c r="AP30" i="23"/>
  <c r="AP30" i="22"/>
  <c r="AP30" i="24"/>
  <c r="AP29" i="25"/>
  <c r="AP30" i="26"/>
  <c r="AP30" i="37"/>
  <c r="AP22" i="10"/>
  <c r="AP25" i="27"/>
  <c r="AP25" i="23"/>
  <c r="AP25" i="22"/>
  <c r="AP25" i="24"/>
  <c r="AP24" i="25"/>
  <c r="AP25" i="26"/>
  <c r="AP25" i="37"/>
  <c r="AO37" i="27"/>
  <c r="AO37" i="23"/>
  <c r="AO37" i="24"/>
  <c r="AO36" i="25"/>
  <c r="AO37" i="22"/>
  <c r="AO37" i="26"/>
  <c r="AO37" i="37"/>
  <c r="AQ22" i="39"/>
  <c r="AO18" i="23"/>
  <c r="AO18" i="27"/>
  <c r="AO18" i="22"/>
  <c r="AO18" i="24"/>
  <c r="AO17" i="25"/>
  <c r="AO18" i="37"/>
  <c r="AO18" i="26"/>
  <c r="AQ8" i="39"/>
  <c r="AQ8" i="10" s="1"/>
  <c r="AP6" i="10"/>
  <c r="AQ21" i="39"/>
  <c r="AQ21" i="10" s="1"/>
  <c r="AQ23" i="39"/>
  <c r="AQ23" i="10" s="1"/>
  <c r="AP39" i="27"/>
  <c r="AP39" i="23"/>
  <c r="AP39" i="22"/>
  <c r="AP39" i="24"/>
  <c r="AP38" i="25"/>
  <c r="AP39" i="26"/>
  <c r="AP39" i="37"/>
  <c r="AQ4" i="39"/>
  <c r="AQ17" i="39"/>
  <c r="AQ19" i="39"/>
  <c r="AQ27" i="39"/>
  <c r="AO25" i="27"/>
  <c r="AO25" i="23"/>
  <c r="AO25" i="24"/>
  <c r="AO24" i="25"/>
  <c r="AO25" i="22"/>
  <c r="AO25" i="26"/>
  <c r="AO25" i="37"/>
  <c r="AP7" i="10"/>
  <c r="AQ28" i="39"/>
  <c r="AQ28" i="10" s="1"/>
  <c r="AP25" i="10"/>
  <c r="AQ15" i="39"/>
  <c r="AQ15" i="10" s="1"/>
  <c r="AO28" i="27"/>
  <c r="AO28" i="23"/>
  <c r="AO28" i="22"/>
  <c r="AO28" i="24"/>
  <c r="AO27" i="25"/>
  <c r="AO28" i="37"/>
  <c r="AO28" i="26"/>
  <c r="AO36" i="27"/>
  <c r="AO36" i="23"/>
  <c r="AO36" i="22"/>
  <c r="AO36" i="24"/>
  <c r="AO35" i="25"/>
  <c r="AO36" i="26"/>
  <c r="AO36" i="37"/>
  <c r="AP14" i="10"/>
  <c r="AP31" i="27"/>
  <c r="AP31" i="23"/>
  <c r="AP31" i="24"/>
  <c r="AP30" i="25"/>
  <c r="AP31" i="22"/>
  <c r="AP31" i="26"/>
  <c r="AP31" i="37"/>
  <c r="AQ6" i="39"/>
  <c r="AQ6" i="10" s="1"/>
  <c r="AP28" i="10"/>
  <c r="AP26" i="27"/>
  <c r="AP26" i="22"/>
  <c r="AP26" i="23"/>
  <c r="AP25" i="25"/>
  <c r="AP26" i="26"/>
  <c r="AP26" i="37"/>
  <c r="AP26" i="24"/>
  <c r="AP27" i="10"/>
  <c r="AQ27" i="10"/>
  <c r="AP26" i="10"/>
  <c r="AQ7" i="39"/>
  <c r="AQ7" i="10" s="1"/>
  <c r="AQ25" i="39"/>
  <c r="AO12" i="27"/>
  <c r="AO12" i="23"/>
  <c r="AO12" i="24"/>
  <c r="AO12" i="22"/>
  <c r="AO12" i="26"/>
  <c r="AO11" i="25"/>
  <c r="AO12" i="37"/>
  <c r="AQ14" i="39"/>
  <c r="AO19" i="27"/>
  <c r="AO19" i="23"/>
  <c r="AO19" i="24"/>
  <c r="AO19" i="22"/>
  <c r="AO18" i="25"/>
  <c r="AO19" i="26"/>
  <c r="AO19" i="37"/>
  <c r="AO31" i="27"/>
  <c r="AO31" i="22"/>
  <c r="AO31" i="23"/>
  <c r="AO31" i="24"/>
  <c r="AO30" i="25"/>
  <c r="AO31" i="26"/>
  <c r="AO31" i="37"/>
  <c r="AP12" i="10"/>
  <c r="AP5" i="10"/>
  <c r="AO14" i="23"/>
  <c r="AO14" i="27"/>
  <c r="AO14" i="22"/>
  <c r="AO13" i="25"/>
  <c r="AO14" i="24"/>
  <c r="AO14" i="26"/>
  <c r="AO14" i="37"/>
  <c r="AO39" i="27"/>
  <c r="AO39" i="23"/>
  <c r="AO39" i="24"/>
  <c r="AO39" i="22"/>
  <c r="AO38" i="25"/>
  <c r="AO39" i="26"/>
  <c r="AO39" i="37"/>
  <c r="AQ24" i="39"/>
  <c r="AP21" i="10"/>
  <c r="AQ12" i="39"/>
  <c r="AP8" i="10"/>
  <c r="AQ20" i="39"/>
  <c r="AQ5" i="39"/>
  <c r="AP24" i="27"/>
  <c r="AP24" i="23"/>
  <c r="AP24" i="24"/>
  <c r="AP23" i="25"/>
  <c r="AP24" i="22"/>
  <c r="AP24" i="26"/>
  <c r="AP24" i="37"/>
  <c r="AP30" i="10"/>
  <c r="AP17" i="27"/>
  <c r="AP17" i="22"/>
  <c r="AP17" i="23"/>
  <c r="AP17" i="24"/>
  <c r="AP16" i="25"/>
  <c r="AP17" i="26"/>
  <c r="AP17" i="37"/>
  <c r="AO23" i="27"/>
  <c r="AO23" i="23"/>
  <c r="AO23" i="24"/>
  <c r="AO23" i="22"/>
  <c r="AO22" i="25"/>
  <c r="AO23" i="26"/>
  <c r="AO23" i="37"/>
  <c r="AQ32" i="39"/>
  <c r="AQ26" i="39"/>
  <c r="AO20" i="23"/>
  <c r="AO20" i="27"/>
  <c r="AO20" i="22"/>
  <c r="AO20" i="24"/>
  <c r="AO19" i="25"/>
  <c r="AO20" i="26"/>
  <c r="AO20" i="37"/>
  <c r="AQ33" i="39"/>
  <c r="AP11" i="10"/>
  <c r="AO33" i="27"/>
  <c r="AO33" i="23"/>
  <c r="AO33" i="24"/>
  <c r="AO32" i="25"/>
  <c r="AO33" i="22"/>
  <c r="AO33" i="26"/>
  <c r="AO33" i="37"/>
  <c r="AP15" i="10"/>
  <c r="AO30" i="23"/>
  <c r="AO30" i="27"/>
  <c r="AO30" i="22"/>
  <c r="AO30" i="24"/>
  <c r="AO29" i="25"/>
  <c r="AO30" i="26"/>
  <c r="AO30" i="37"/>
  <c r="AQ30" i="39"/>
  <c r="AQ30" i="10" s="1"/>
  <c r="AQ10" i="39"/>
  <c r="AO13" i="27"/>
  <c r="AO13" i="24"/>
  <c r="AO13" i="23"/>
  <c r="AO13" i="22"/>
  <c r="AO12" i="25"/>
  <c r="AO13" i="26"/>
  <c r="AO13" i="37"/>
  <c r="AP16" i="10"/>
  <c r="AQ13" i="39"/>
  <c r="AQ13" i="10" s="1"/>
  <c r="AQ18" i="39"/>
  <c r="AP20" i="10"/>
  <c r="AO11" i="22"/>
  <c r="AO11" i="27"/>
  <c r="AO11" i="23"/>
  <c r="AO11" i="24"/>
  <c r="AO10" i="25"/>
  <c r="AO11" i="26"/>
  <c r="AO11" i="37"/>
  <c r="AP13" i="10"/>
  <c r="AO21" i="23"/>
  <c r="AO21" i="27"/>
  <c r="AO21" i="24"/>
  <c r="AO20" i="25"/>
  <c r="AO21" i="22"/>
  <c r="AO21" i="26"/>
  <c r="AO21" i="37"/>
  <c r="AQ11" i="39"/>
  <c r="AQ11" i="10" s="1"/>
  <c r="AQ9" i="39"/>
  <c r="AQ29" i="39"/>
  <c r="AQ26" i="10"/>
  <c r="AP4" i="10"/>
  <c r="AO16" i="27"/>
  <c r="AO16" i="23"/>
  <c r="AO16" i="22"/>
  <c r="AO16" i="24"/>
  <c r="AO15" i="25"/>
  <c r="AO16" i="37"/>
  <c r="AO16" i="26"/>
  <c r="AQ17" i="10"/>
  <c r="AO15" i="27"/>
  <c r="AO15" i="24"/>
  <c r="AO15" i="23"/>
  <c r="AO15" i="22"/>
  <c r="AO14" i="25"/>
  <c r="AO15" i="26"/>
  <c r="AO15" i="37"/>
  <c r="AQ16" i="39"/>
  <c r="AP33" i="10"/>
  <c r="AQ20" i="27" l="1"/>
  <c r="AQ20" i="23"/>
  <c r="AQ20" i="22"/>
  <c r="AQ20" i="24"/>
  <c r="AQ19" i="25"/>
  <c r="AQ20" i="26"/>
  <c r="AQ20" i="37"/>
  <c r="AQ28" i="27"/>
  <c r="AQ28" i="23"/>
  <c r="AQ28" i="22"/>
  <c r="AQ28" i="24"/>
  <c r="AQ27" i="25"/>
  <c r="AQ28" i="26"/>
  <c r="AQ28" i="37"/>
  <c r="AQ18" i="27"/>
  <c r="AQ18" i="23"/>
  <c r="AQ18" i="22"/>
  <c r="AQ18" i="24"/>
  <c r="AQ17" i="25"/>
  <c r="AQ18" i="26"/>
  <c r="AQ18" i="37"/>
  <c r="AQ35" i="27"/>
  <c r="AQ35" i="23"/>
  <c r="AQ35" i="22"/>
  <c r="AQ35" i="24"/>
  <c r="AQ34" i="25"/>
  <c r="AQ35" i="26"/>
  <c r="AQ35" i="37"/>
  <c r="AQ33" i="10"/>
  <c r="AR12" i="39"/>
  <c r="AQ16" i="10"/>
  <c r="AR10" i="39"/>
  <c r="AR10" i="10" s="1"/>
  <c r="AR33" i="39"/>
  <c r="AR33" i="10" s="1"/>
  <c r="AP19" i="27"/>
  <c r="AP19" i="22"/>
  <c r="AP19" i="23"/>
  <c r="AP19" i="24"/>
  <c r="AP18" i="25"/>
  <c r="AP19" i="26"/>
  <c r="AP19" i="37"/>
  <c r="AQ14" i="10"/>
  <c r="AP33" i="27"/>
  <c r="AP33" i="23"/>
  <c r="AP33" i="24"/>
  <c r="AP33" i="22"/>
  <c r="AP32" i="25"/>
  <c r="AP33" i="37"/>
  <c r="AP33" i="26"/>
  <c r="AR19" i="39"/>
  <c r="AP13" i="27"/>
  <c r="AP13" i="23"/>
  <c r="AP13" i="22"/>
  <c r="AP13" i="24"/>
  <c r="AP12" i="25"/>
  <c r="AP13" i="26"/>
  <c r="AP13" i="37"/>
  <c r="AR22" i="39"/>
  <c r="AR22" i="10" s="1"/>
  <c r="AQ15" i="27"/>
  <c r="AQ15" i="23"/>
  <c r="AQ15" i="22"/>
  <c r="AQ14" i="25"/>
  <c r="AQ15" i="24"/>
  <c r="AQ15" i="26"/>
  <c r="AQ15" i="37"/>
  <c r="AQ13" i="27"/>
  <c r="AQ13" i="23"/>
  <c r="AQ13" i="22"/>
  <c r="AQ12" i="25"/>
  <c r="AQ13" i="24"/>
  <c r="AQ13" i="26"/>
  <c r="AQ13" i="37"/>
  <c r="AQ14" i="27"/>
  <c r="AQ14" i="23"/>
  <c r="AQ14" i="22"/>
  <c r="AQ13" i="25"/>
  <c r="AQ14" i="26"/>
  <c r="AQ14" i="24"/>
  <c r="AQ14" i="37"/>
  <c r="AR16" i="39"/>
  <c r="AR29" i="39"/>
  <c r="AR29" i="10" s="1"/>
  <c r="AQ37" i="23"/>
  <c r="AQ37" i="27"/>
  <c r="AQ37" i="22"/>
  <c r="AQ37" i="24"/>
  <c r="AQ36" i="25"/>
  <c r="AQ37" i="26"/>
  <c r="AQ37" i="37"/>
  <c r="AR26" i="39"/>
  <c r="AR26" i="10" s="1"/>
  <c r="AR5" i="39"/>
  <c r="AR5" i="10" s="1"/>
  <c r="AR14" i="39"/>
  <c r="AR14" i="10" s="1"/>
  <c r="AP27" i="27"/>
  <c r="AP27" i="23"/>
  <c r="AP27" i="24"/>
  <c r="AP26" i="25"/>
  <c r="AP27" i="22"/>
  <c r="AP27" i="26"/>
  <c r="AP27" i="37"/>
  <c r="AQ22" i="27"/>
  <c r="AQ22" i="23"/>
  <c r="AQ22" i="22"/>
  <c r="AQ21" i="25"/>
  <c r="AQ22" i="24"/>
  <c r="AQ22" i="37"/>
  <c r="AQ22" i="26"/>
  <c r="AQ9" i="10"/>
  <c r="AQ18" i="10"/>
  <c r="AP28" i="27"/>
  <c r="AP28" i="23"/>
  <c r="AP27" i="25"/>
  <c r="AP28" i="22"/>
  <c r="AP28" i="24"/>
  <c r="AP28" i="26"/>
  <c r="AP28" i="37"/>
  <c r="AQ29" i="10"/>
  <c r="AQ34" i="27"/>
  <c r="AQ34" i="23"/>
  <c r="AQ34" i="22"/>
  <c r="AQ34" i="24"/>
  <c r="AQ33" i="25"/>
  <c r="AQ34" i="37"/>
  <c r="AQ34" i="26"/>
  <c r="AR28" i="39"/>
  <c r="AR17" i="39"/>
  <c r="AP29" i="27"/>
  <c r="AP29" i="23"/>
  <c r="AP29" i="24"/>
  <c r="AP29" i="22"/>
  <c r="AP28" i="25"/>
  <c r="AP29" i="26"/>
  <c r="AP29" i="37"/>
  <c r="AR20" i="39"/>
  <c r="AQ24" i="10"/>
  <c r="AQ30" i="27"/>
  <c r="AQ30" i="23"/>
  <c r="AQ30" i="22"/>
  <c r="AQ30" i="24"/>
  <c r="AQ29" i="25"/>
  <c r="AQ30" i="26"/>
  <c r="AQ30" i="37"/>
  <c r="AP34" i="27"/>
  <c r="AP34" i="23"/>
  <c r="AP34" i="22"/>
  <c r="AP33" i="25"/>
  <c r="AP34" i="24"/>
  <c r="AP34" i="37"/>
  <c r="AP34" i="26"/>
  <c r="AP35" i="27"/>
  <c r="AP35" i="23"/>
  <c r="AP35" i="22"/>
  <c r="AP35" i="24"/>
  <c r="AP34" i="25"/>
  <c r="AP35" i="37"/>
  <c r="AP35" i="26"/>
  <c r="AP14" i="27"/>
  <c r="AP14" i="23"/>
  <c r="AP14" i="22"/>
  <c r="AP14" i="24"/>
  <c r="AP13" i="25"/>
  <c r="AP14" i="26"/>
  <c r="AP14" i="37"/>
  <c r="AQ4" i="10"/>
  <c r="AQ19" i="10"/>
  <c r="AQ24" i="27"/>
  <c r="AQ24" i="23"/>
  <c r="AQ24" i="22"/>
  <c r="AQ24" i="24"/>
  <c r="AQ24" i="26"/>
  <c r="AQ23" i="25"/>
  <c r="AQ24" i="37"/>
  <c r="AR18" i="39"/>
  <c r="AR18" i="10" s="1"/>
  <c r="AR30" i="39"/>
  <c r="AR32" i="39"/>
  <c r="AP15" i="27"/>
  <c r="AP15" i="22"/>
  <c r="AP15" i="23"/>
  <c r="AP15" i="24"/>
  <c r="AP14" i="25"/>
  <c r="AP15" i="26"/>
  <c r="AP15" i="37"/>
  <c r="AR24" i="39"/>
  <c r="AQ25" i="10"/>
  <c r="AR25" i="39"/>
  <c r="AR6" i="39"/>
  <c r="AP21" i="27"/>
  <c r="AP21" i="22"/>
  <c r="AP21" i="23"/>
  <c r="AP21" i="24"/>
  <c r="AP20" i="25"/>
  <c r="AP21" i="26"/>
  <c r="AP21" i="37"/>
  <c r="AR4" i="39"/>
  <c r="AQ20" i="10"/>
  <c r="AR7" i="39"/>
  <c r="AR7" i="10" s="1"/>
  <c r="AR21" i="39"/>
  <c r="AR9" i="39"/>
  <c r="AP11" i="27"/>
  <c r="AP11" i="23"/>
  <c r="AP11" i="22"/>
  <c r="AP11" i="24"/>
  <c r="AP10" i="25"/>
  <c r="AP11" i="26"/>
  <c r="AP11" i="37"/>
  <c r="AR11" i="39"/>
  <c r="AR13" i="39"/>
  <c r="AP18" i="27"/>
  <c r="AP18" i="22"/>
  <c r="AP18" i="23"/>
  <c r="AP18" i="24"/>
  <c r="AP17" i="25"/>
  <c r="AP18" i="26"/>
  <c r="AP18" i="37"/>
  <c r="AQ10" i="10"/>
  <c r="AQ32" i="10"/>
  <c r="AQ5" i="10"/>
  <c r="AP12" i="27"/>
  <c r="AP12" i="22"/>
  <c r="AP12" i="23"/>
  <c r="AP12" i="24"/>
  <c r="AP11" i="25"/>
  <c r="AP12" i="26"/>
  <c r="AP12" i="37"/>
  <c r="AQ22" i="10"/>
  <c r="AR15" i="39"/>
  <c r="AR23" i="39"/>
  <c r="AR8" i="39"/>
  <c r="AQ33" i="27"/>
  <c r="AQ33" i="23"/>
  <c r="AQ33" i="22"/>
  <c r="AQ32" i="25"/>
  <c r="AQ33" i="24"/>
  <c r="AQ33" i="26"/>
  <c r="AQ33" i="37"/>
  <c r="AP22" i="27"/>
  <c r="AP22" i="23"/>
  <c r="AP22" i="22"/>
  <c r="AP22" i="24"/>
  <c r="AP21" i="25"/>
  <c r="AP22" i="26"/>
  <c r="AP22" i="37"/>
  <c r="AP40" i="27"/>
  <c r="AP40" i="23"/>
  <c r="AP40" i="22"/>
  <c r="AP40" i="24"/>
  <c r="AP39" i="25"/>
  <c r="AP40" i="26"/>
  <c r="AP40" i="37"/>
  <c r="AP20" i="27"/>
  <c r="AP20" i="23"/>
  <c r="AP20" i="24"/>
  <c r="AP19" i="25"/>
  <c r="AP20" i="22"/>
  <c r="AP20" i="26"/>
  <c r="AP20" i="37"/>
  <c r="AP23" i="27"/>
  <c r="AP23" i="23"/>
  <c r="AP23" i="24"/>
  <c r="AP22" i="25"/>
  <c r="AP23" i="22"/>
  <c r="AP23" i="26"/>
  <c r="AP23" i="37"/>
  <c r="AP37" i="27"/>
  <c r="AP37" i="23"/>
  <c r="AP37" i="24"/>
  <c r="AP36" i="25"/>
  <c r="AP37" i="22"/>
  <c r="AP37" i="37"/>
  <c r="AP37" i="26"/>
  <c r="AP32" i="27"/>
  <c r="AP32" i="22"/>
  <c r="AP32" i="23"/>
  <c r="AP32" i="24"/>
  <c r="AP31" i="25"/>
  <c r="AP32" i="37"/>
  <c r="AP32" i="26"/>
  <c r="AR27" i="39"/>
  <c r="AR15" i="10"/>
  <c r="AQ12" i="10"/>
  <c r="AR14" i="27" l="1"/>
  <c r="AR14" i="23"/>
  <c r="AR14" i="24"/>
  <c r="AR14" i="22"/>
  <c r="AR13" i="25"/>
  <c r="AR14" i="26"/>
  <c r="AR14" i="37"/>
  <c r="AS15" i="39"/>
  <c r="AS7" i="39"/>
  <c r="AS7" i="10" s="1"/>
  <c r="AR25" i="10"/>
  <c r="AR30" i="10"/>
  <c r="AQ11" i="27"/>
  <c r="AQ11" i="23"/>
  <c r="AQ11" i="22"/>
  <c r="AQ10" i="25"/>
  <c r="AQ11" i="24"/>
  <c r="AQ11" i="26"/>
  <c r="AQ11" i="37"/>
  <c r="AQ31" i="27"/>
  <c r="AQ31" i="23"/>
  <c r="AQ31" i="22"/>
  <c r="AQ30" i="25"/>
  <c r="AQ31" i="24"/>
  <c r="AQ31" i="26"/>
  <c r="AQ31" i="37"/>
  <c r="AR28" i="10"/>
  <c r="AS16" i="39"/>
  <c r="AS19" i="39"/>
  <c r="AQ21" i="27"/>
  <c r="AQ21" i="23"/>
  <c r="AQ21" i="22"/>
  <c r="AQ20" i="25"/>
  <c r="AQ21" i="24"/>
  <c r="AQ21" i="26"/>
  <c r="AQ21" i="37"/>
  <c r="AQ23" i="27"/>
  <c r="AQ23" i="23"/>
  <c r="AQ23" i="22"/>
  <c r="AQ23" i="24"/>
  <c r="AQ22" i="25"/>
  <c r="AQ23" i="26"/>
  <c r="AQ23" i="37"/>
  <c r="AR29" i="27"/>
  <c r="AR29" i="23"/>
  <c r="AR29" i="22"/>
  <c r="AR29" i="24"/>
  <c r="AR28" i="25"/>
  <c r="AR29" i="26"/>
  <c r="AR29" i="37"/>
  <c r="AR27" i="10"/>
  <c r="AR21" i="27"/>
  <c r="AR21" i="23"/>
  <c r="AR21" i="22"/>
  <c r="AR21" i="24"/>
  <c r="AR20" i="25"/>
  <c r="AR21" i="26"/>
  <c r="AR21" i="37"/>
  <c r="AS11" i="39"/>
  <c r="AS11" i="10" s="1"/>
  <c r="AQ27" i="27"/>
  <c r="AQ27" i="23"/>
  <c r="AQ27" i="22"/>
  <c r="AQ26" i="25"/>
  <c r="AQ27" i="24"/>
  <c r="AQ27" i="26"/>
  <c r="AQ27" i="37"/>
  <c r="AS25" i="39"/>
  <c r="AS30" i="39"/>
  <c r="AS30" i="10" s="1"/>
  <c r="AS28" i="39"/>
  <c r="AQ36" i="27"/>
  <c r="AQ36" i="23"/>
  <c r="AQ36" i="22"/>
  <c r="AQ36" i="24"/>
  <c r="AQ35" i="25"/>
  <c r="AQ36" i="26"/>
  <c r="AQ36" i="37"/>
  <c r="AS14" i="39"/>
  <c r="AS14" i="10" s="1"/>
  <c r="AS27" i="39"/>
  <c r="AQ29" i="27"/>
  <c r="AQ29" i="23"/>
  <c r="AQ29" i="22"/>
  <c r="AQ29" i="24"/>
  <c r="AQ28" i="25"/>
  <c r="AQ29" i="26"/>
  <c r="AQ29" i="37"/>
  <c r="AQ12" i="27"/>
  <c r="AQ12" i="22"/>
  <c r="AQ12" i="23"/>
  <c r="AQ12" i="24"/>
  <c r="AQ11" i="25"/>
  <c r="AQ12" i="26"/>
  <c r="AQ12" i="37"/>
  <c r="AQ32" i="27"/>
  <c r="AQ32" i="23"/>
  <c r="AQ32" i="22"/>
  <c r="AQ32" i="24"/>
  <c r="AQ31" i="25"/>
  <c r="AQ32" i="37"/>
  <c r="AQ32" i="26"/>
  <c r="AR20" i="10"/>
  <c r="AR12" i="10"/>
  <c r="AR24" i="10"/>
  <c r="AS18" i="39"/>
  <c r="AS18" i="10" s="1"/>
  <c r="AQ26" i="27"/>
  <c r="AQ26" i="23"/>
  <c r="AQ26" i="22"/>
  <c r="AQ26" i="24"/>
  <c r="AQ25" i="25"/>
  <c r="AQ26" i="37"/>
  <c r="AQ26" i="26"/>
  <c r="AS20" i="39"/>
  <c r="AS20" i="10" s="1"/>
  <c r="AQ25" i="27"/>
  <c r="AQ25" i="23"/>
  <c r="AQ25" i="22"/>
  <c r="AQ25" i="24"/>
  <c r="AQ24" i="25"/>
  <c r="AQ25" i="26"/>
  <c r="AQ25" i="37"/>
  <c r="AS5" i="39"/>
  <c r="AS5" i="10" s="1"/>
  <c r="AS12" i="39"/>
  <c r="AR22" i="27"/>
  <c r="AR22" i="23"/>
  <c r="AR22" i="22"/>
  <c r="AR22" i="24"/>
  <c r="AR21" i="25"/>
  <c r="AR22" i="26"/>
  <c r="AR22" i="37"/>
  <c r="AS17" i="39"/>
  <c r="AS17" i="10" s="1"/>
  <c r="AS22" i="39"/>
  <c r="AR12" i="27"/>
  <c r="AR12" i="22"/>
  <c r="AR12" i="23"/>
  <c r="AR12" i="24"/>
  <c r="AR11" i="25"/>
  <c r="AR12" i="26"/>
  <c r="AR12" i="37"/>
  <c r="AR8" i="10"/>
  <c r="AR40" i="27"/>
  <c r="AR40" i="23"/>
  <c r="AR40" i="22"/>
  <c r="AR40" i="24"/>
  <c r="AR39" i="25"/>
  <c r="AR40" i="26"/>
  <c r="AR40" i="37"/>
  <c r="AR11" i="10"/>
  <c r="AR25" i="27"/>
  <c r="AR25" i="23"/>
  <c r="AR25" i="22"/>
  <c r="AR24" i="25"/>
  <c r="AR25" i="24"/>
  <c r="AR25" i="26"/>
  <c r="AR25" i="37"/>
  <c r="AS8" i="39"/>
  <c r="AQ39" i="23"/>
  <c r="AQ39" i="27"/>
  <c r="AQ39" i="22"/>
  <c r="AQ39" i="24"/>
  <c r="AQ38" i="25"/>
  <c r="AQ39" i="26"/>
  <c r="AQ39" i="37"/>
  <c r="AS9" i="39"/>
  <c r="AR4" i="10"/>
  <c r="AS24" i="39"/>
  <c r="AR36" i="27"/>
  <c r="AR36" i="23"/>
  <c r="AR36" i="22"/>
  <c r="AR36" i="24"/>
  <c r="AR35" i="25"/>
  <c r="AR36" i="26"/>
  <c r="AR36" i="37"/>
  <c r="AS33" i="39"/>
  <c r="AS33" i="10" s="1"/>
  <c r="AQ40" i="27"/>
  <c r="AQ40" i="23"/>
  <c r="AQ40" i="22"/>
  <c r="AQ40" i="24"/>
  <c r="AQ39" i="25"/>
  <c r="AQ40" i="26"/>
  <c r="AQ40" i="37"/>
  <c r="AS13" i="39"/>
  <c r="AS6" i="39"/>
  <c r="AS19" i="10"/>
  <c r="AR16" i="10"/>
  <c r="AR23" i="10"/>
  <c r="AR17" i="27"/>
  <c r="AR17" i="23"/>
  <c r="AR17" i="22"/>
  <c r="AR17" i="24"/>
  <c r="AR16" i="25"/>
  <c r="AR17" i="26"/>
  <c r="AR17" i="37"/>
  <c r="AR21" i="10"/>
  <c r="AS4" i="39"/>
  <c r="AS4" i="10" s="1"/>
  <c r="AS32" i="39"/>
  <c r="AQ16" i="27"/>
  <c r="AQ16" i="23"/>
  <c r="AQ16" i="22"/>
  <c r="AQ16" i="24"/>
  <c r="AQ15" i="25"/>
  <c r="AQ16" i="26"/>
  <c r="AQ16" i="37"/>
  <c r="AS26" i="39"/>
  <c r="AS26" i="10" s="1"/>
  <c r="AR19" i="10"/>
  <c r="AR33" i="27"/>
  <c r="AR33" i="23"/>
  <c r="AR33" i="22"/>
  <c r="AR33" i="24"/>
  <c r="AR32" i="25"/>
  <c r="AR33" i="26"/>
  <c r="AR33" i="37"/>
  <c r="AQ19" i="27"/>
  <c r="AQ19" i="23"/>
  <c r="AQ19" i="22"/>
  <c r="AQ19" i="24"/>
  <c r="AQ18" i="25"/>
  <c r="AQ19" i="26"/>
  <c r="AQ19" i="37"/>
  <c r="AS23" i="39"/>
  <c r="AQ17" i="27"/>
  <c r="AQ17" i="23"/>
  <c r="AQ17" i="22"/>
  <c r="AQ16" i="25"/>
  <c r="AQ17" i="24"/>
  <c r="AQ17" i="26"/>
  <c r="AQ17" i="37"/>
  <c r="AR13" i="10"/>
  <c r="AS21" i="39"/>
  <c r="AS15" i="10"/>
  <c r="AR9" i="10"/>
  <c r="AR17" i="10"/>
  <c r="AS9" i="10"/>
  <c r="AS28" i="10"/>
  <c r="AS29" i="39"/>
  <c r="AS10" i="39"/>
  <c r="AR6" i="10"/>
  <c r="AR32" i="10"/>
  <c r="AS27" i="23" l="1"/>
  <c r="AS27" i="22"/>
  <c r="AS27" i="27"/>
  <c r="AS27" i="24"/>
  <c r="AS26" i="25"/>
  <c r="AS27" i="26"/>
  <c r="AS27" i="37"/>
  <c r="AS14" i="24"/>
  <c r="AS14" i="23"/>
  <c r="AS14" i="27"/>
  <c r="AS14" i="22"/>
  <c r="AS13" i="25"/>
  <c r="AS14" i="26"/>
  <c r="AS14" i="37"/>
  <c r="AS12" i="27"/>
  <c r="AS12" i="22"/>
  <c r="AS12" i="24"/>
  <c r="AS12" i="23"/>
  <c r="AS11" i="25"/>
  <c r="AS12" i="26"/>
  <c r="AS12" i="37"/>
  <c r="AS24" i="27"/>
  <c r="AS24" i="22"/>
  <c r="AS24" i="24"/>
  <c r="AS24" i="23"/>
  <c r="AS23" i="25"/>
  <c r="AS24" i="26"/>
  <c r="AS24" i="37"/>
  <c r="AS11" i="23"/>
  <c r="AS11" i="27"/>
  <c r="AS11" i="24"/>
  <c r="AS11" i="22"/>
  <c r="AS10" i="25"/>
  <c r="AS11" i="26"/>
  <c r="AS11" i="37"/>
  <c r="AS18" i="27"/>
  <c r="AS18" i="23"/>
  <c r="AS18" i="22"/>
  <c r="AS18" i="24"/>
  <c r="AS17" i="25"/>
  <c r="AS18" i="26"/>
  <c r="AS18" i="37"/>
  <c r="AT20" i="39"/>
  <c r="AS21" i="10"/>
  <c r="AS32" i="10"/>
  <c r="AS26" i="27"/>
  <c r="AS26" i="23"/>
  <c r="AS26" i="24"/>
  <c r="AS25" i="25"/>
  <c r="AS26" i="22"/>
  <c r="AS26" i="26"/>
  <c r="AS26" i="37"/>
  <c r="AT22" i="39"/>
  <c r="AT22" i="10" s="1"/>
  <c r="AT18" i="39"/>
  <c r="AT18" i="10" s="1"/>
  <c r="AS37" i="27"/>
  <c r="AS37" i="23"/>
  <c r="AS37" i="22"/>
  <c r="AS37" i="24"/>
  <c r="AS36" i="25"/>
  <c r="AS37" i="26"/>
  <c r="AS37" i="37"/>
  <c r="AT28" i="39"/>
  <c r="AT28" i="10" s="1"/>
  <c r="AT16" i="39"/>
  <c r="AT7" i="39"/>
  <c r="AT7" i="10" s="1"/>
  <c r="AT14" i="39"/>
  <c r="AS33" i="23"/>
  <c r="AS33" i="27"/>
  <c r="AS33" i="22"/>
  <c r="AS33" i="24"/>
  <c r="AS32" i="25"/>
  <c r="AS33" i="26"/>
  <c r="AS33" i="37"/>
  <c r="AT21" i="39"/>
  <c r="AT21" i="10" s="1"/>
  <c r="AT26" i="39"/>
  <c r="AT32" i="39"/>
  <c r="AS6" i="10"/>
  <c r="AT24" i="39"/>
  <c r="AT24" i="10" s="1"/>
  <c r="AR31" i="27"/>
  <c r="AR31" i="23"/>
  <c r="AR31" i="22"/>
  <c r="AR31" i="24"/>
  <c r="AR30" i="25"/>
  <c r="AR31" i="37"/>
  <c r="AR31" i="26"/>
  <c r="AR27" i="27"/>
  <c r="AR27" i="23"/>
  <c r="AR27" i="22"/>
  <c r="AR27" i="24"/>
  <c r="AR26" i="25"/>
  <c r="AR27" i="26"/>
  <c r="AR27" i="37"/>
  <c r="AS35" i="23"/>
  <c r="AS35" i="27"/>
  <c r="AS35" i="22"/>
  <c r="AS35" i="24"/>
  <c r="AS34" i="25"/>
  <c r="AS35" i="26"/>
  <c r="AS35" i="37"/>
  <c r="AS10" i="10"/>
  <c r="AR20" i="27"/>
  <c r="AR20" i="23"/>
  <c r="AR20" i="22"/>
  <c r="AR20" i="24"/>
  <c r="AR19" i="25"/>
  <c r="AR20" i="26"/>
  <c r="AR20" i="37"/>
  <c r="AT6" i="39"/>
  <c r="AT6" i="10" s="1"/>
  <c r="AR11" i="27"/>
  <c r="AR11" i="23"/>
  <c r="AR11" i="22"/>
  <c r="AR11" i="24"/>
  <c r="AR10" i="25"/>
  <c r="AR11" i="26"/>
  <c r="AR11" i="37"/>
  <c r="AT17" i="39"/>
  <c r="AS12" i="10"/>
  <c r="AS27" i="10"/>
  <c r="AT30" i="39"/>
  <c r="AT30" i="10" s="1"/>
  <c r="AR35" i="23"/>
  <c r="AR35" i="27"/>
  <c r="AR35" i="22"/>
  <c r="AR35" i="24"/>
  <c r="AR34" i="25"/>
  <c r="AR35" i="26"/>
  <c r="AR35" i="37"/>
  <c r="AS22" i="10"/>
  <c r="AS13" i="10"/>
  <c r="AT12" i="39"/>
  <c r="AT12" i="10" s="1"/>
  <c r="AT27" i="39"/>
  <c r="AS25" i="10"/>
  <c r="AR37" i="23"/>
  <c r="AR37" i="22"/>
  <c r="AR37" i="27"/>
  <c r="AR37" i="24"/>
  <c r="AR36" i="25"/>
  <c r="AR37" i="37"/>
  <c r="AR37" i="26"/>
  <c r="AT15" i="39"/>
  <c r="AS24" i="10"/>
  <c r="AR39" i="23"/>
  <c r="AR39" i="22"/>
  <c r="AR39" i="27"/>
  <c r="AR39" i="24"/>
  <c r="AR38" i="25"/>
  <c r="AR39" i="26"/>
  <c r="AR39" i="37"/>
  <c r="AR24" i="23"/>
  <c r="AR24" i="27"/>
  <c r="AR24" i="22"/>
  <c r="AR24" i="24"/>
  <c r="AR23" i="25"/>
  <c r="AR24" i="26"/>
  <c r="AR24" i="37"/>
  <c r="AS23" i="10"/>
  <c r="AT23" i="39"/>
  <c r="AT23" i="10" s="1"/>
  <c r="AR26" i="27"/>
  <c r="AR26" i="23"/>
  <c r="AR26" i="22"/>
  <c r="AR26" i="24"/>
  <c r="AR26" i="26"/>
  <c r="AR25" i="25"/>
  <c r="AR26" i="37"/>
  <c r="AR28" i="27"/>
  <c r="AR28" i="23"/>
  <c r="AR28" i="22"/>
  <c r="AR28" i="24"/>
  <c r="AR27" i="25"/>
  <c r="AR28" i="26"/>
  <c r="AR28" i="37"/>
  <c r="AT13" i="39"/>
  <c r="AT16" i="10"/>
  <c r="AT25" i="39"/>
  <c r="AS22" i="27"/>
  <c r="AS22" i="24"/>
  <c r="AS22" i="22"/>
  <c r="AS22" i="23"/>
  <c r="AS21" i="25"/>
  <c r="AS22" i="26"/>
  <c r="AS22" i="37"/>
  <c r="AR23" i="27"/>
  <c r="AR23" i="23"/>
  <c r="AR23" i="22"/>
  <c r="AR23" i="24"/>
  <c r="AR22" i="25"/>
  <c r="AR23" i="37"/>
  <c r="AR23" i="26"/>
  <c r="AS16" i="27"/>
  <c r="AS16" i="24"/>
  <c r="AS16" i="22"/>
  <c r="AS15" i="25"/>
  <c r="AS16" i="26"/>
  <c r="AS16" i="23"/>
  <c r="AS16" i="37"/>
  <c r="AT4" i="39"/>
  <c r="AR16" i="27"/>
  <c r="AR16" i="23"/>
  <c r="AR16" i="22"/>
  <c r="AR15" i="25"/>
  <c r="AR16" i="26"/>
  <c r="AR16" i="24"/>
  <c r="AR16" i="37"/>
  <c r="AS40" i="27"/>
  <c r="AS40" i="24"/>
  <c r="AS40" i="23"/>
  <c r="AS40" i="22"/>
  <c r="AS39" i="25"/>
  <c r="AS40" i="26"/>
  <c r="AS40" i="37"/>
  <c r="AR30" i="27"/>
  <c r="AR30" i="23"/>
  <c r="AR30" i="22"/>
  <c r="AR30" i="24"/>
  <c r="AR29" i="25"/>
  <c r="AR30" i="26"/>
  <c r="AR30" i="37"/>
  <c r="AT33" i="39"/>
  <c r="AT9" i="39"/>
  <c r="AR19" i="27"/>
  <c r="AR19" i="23"/>
  <c r="AR19" i="22"/>
  <c r="AR19" i="24"/>
  <c r="AR18" i="25"/>
  <c r="AR19" i="26"/>
  <c r="AR19" i="37"/>
  <c r="AS21" i="27"/>
  <c r="AS21" i="23"/>
  <c r="AS21" i="22"/>
  <c r="AS21" i="24"/>
  <c r="AS20" i="25"/>
  <c r="AS21" i="26"/>
  <c r="AS21" i="37"/>
  <c r="AR32" i="27"/>
  <c r="AR32" i="23"/>
  <c r="AR32" i="22"/>
  <c r="AR31" i="25"/>
  <c r="AR32" i="24"/>
  <c r="AR32" i="26"/>
  <c r="AR32" i="37"/>
  <c r="AS8" i="10"/>
  <c r="AS25" i="27"/>
  <c r="AS25" i="23"/>
  <c r="AS25" i="22"/>
  <c r="AS25" i="24"/>
  <c r="AS24" i="25"/>
  <c r="AS25" i="26"/>
  <c r="AS25" i="37"/>
  <c r="AR13" i="27"/>
  <c r="AR13" i="23"/>
  <c r="AR13" i="22"/>
  <c r="AR13" i="24"/>
  <c r="AR12" i="25"/>
  <c r="AR13" i="26"/>
  <c r="AR13" i="37"/>
  <c r="AT10" i="39"/>
  <c r="AT10" i="10" s="1"/>
  <c r="AS29" i="10"/>
  <c r="AT29" i="39"/>
  <c r="AT26" i="10"/>
  <c r="AT8" i="39"/>
  <c r="AR18" i="27"/>
  <c r="AR18" i="23"/>
  <c r="AR18" i="22"/>
  <c r="AR18" i="24"/>
  <c r="AR18" i="26"/>
  <c r="AR17" i="25"/>
  <c r="AR18" i="37"/>
  <c r="AR15" i="27"/>
  <c r="AR15" i="23"/>
  <c r="AR15" i="22"/>
  <c r="AR15" i="24"/>
  <c r="AR14" i="25"/>
  <c r="AR15" i="26"/>
  <c r="AR15" i="37"/>
  <c r="AT5" i="39"/>
  <c r="AT11" i="39"/>
  <c r="AT11" i="10" s="1"/>
  <c r="AR34" i="27"/>
  <c r="AR34" i="23"/>
  <c r="AR34" i="22"/>
  <c r="AR34" i="24"/>
  <c r="AR33" i="25"/>
  <c r="AR34" i="26"/>
  <c r="AR34" i="37"/>
  <c r="AT19" i="39"/>
  <c r="AT19" i="10" s="1"/>
  <c r="AS16" i="10"/>
  <c r="AT26" i="27" l="1"/>
  <c r="AT26" i="23"/>
  <c r="AT26" i="24"/>
  <c r="AT26" i="22"/>
  <c r="AT25" i="25"/>
  <c r="AT26" i="26"/>
  <c r="AT26" i="37"/>
  <c r="AT37" i="27"/>
  <c r="AT37" i="23"/>
  <c r="AT37" i="22"/>
  <c r="AT37" i="24"/>
  <c r="AT36" i="25"/>
  <c r="AT37" i="37"/>
  <c r="AT37" i="26"/>
  <c r="AT31" i="27"/>
  <c r="AT31" i="23"/>
  <c r="AT31" i="22"/>
  <c r="AT31" i="24"/>
  <c r="AT30" i="25"/>
  <c r="AT31" i="37"/>
  <c r="AT31" i="26"/>
  <c r="AT13" i="27"/>
  <c r="AT13" i="23"/>
  <c r="AT13" i="22"/>
  <c r="AT13" i="26"/>
  <c r="AT13" i="24"/>
  <c r="AT12" i="25"/>
  <c r="AT13" i="37"/>
  <c r="AT27" i="10"/>
  <c r="AS19" i="27"/>
  <c r="AS19" i="23"/>
  <c r="AS19" i="22"/>
  <c r="AS19" i="24"/>
  <c r="AS18" i="25"/>
  <c r="AS19" i="26"/>
  <c r="AS19" i="37"/>
  <c r="AS28" i="27"/>
  <c r="AS28" i="23"/>
  <c r="AS28" i="22"/>
  <c r="AS28" i="24"/>
  <c r="AS27" i="25"/>
  <c r="AS28" i="26"/>
  <c r="AS28" i="37"/>
  <c r="AT29" i="10"/>
  <c r="AT9" i="10"/>
  <c r="AT13" i="10"/>
  <c r="AU27" i="39"/>
  <c r="AU27" i="10" s="1"/>
  <c r="AS29" i="23"/>
  <c r="AS29" i="27"/>
  <c r="AS29" i="22"/>
  <c r="AS29" i="24"/>
  <c r="AS28" i="25"/>
  <c r="AS29" i="26"/>
  <c r="AS29" i="37"/>
  <c r="AU24" i="39"/>
  <c r="AU24" i="10" s="1"/>
  <c r="AU21" i="39"/>
  <c r="AT14" i="10"/>
  <c r="AU28" i="39"/>
  <c r="AT18" i="27"/>
  <c r="AT18" i="22"/>
  <c r="AT18" i="23"/>
  <c r="AT18" i="24"/>
  <c r="AT17" i="25"/>
  <c r="AT18" i="26"/>
  <c r="AT18" i="37"/>
  <c r="AU16" i="39"/>
  <c r="AS23" i="23"/>
  <c r="AS23" i="27"/>
  <c r="AS23" i="22"/>
  <c r="AS23" i="24"/>
  <c r="AS22" i="25"/>
  <c r="AS23" i="26"/>
  <c r="AS23" i="37"/>
  <c r="AT19" i="27"/>
  <c r="AT19" i="22"/>
  <c r="AT19" i="23"/>
  <c r="AT19" i="24"/>
  <c r="AT18" i="25"/>
  <c r="AT19" i="37"/>
  <c r="AT19" i="26"/>
  <c r="AU29" i="39"/>
  <c r="AU9" i="39"/>
  <c r="AU13" i="39"/>
  <c r="AU23" i="39"/>
  <c r="AU23" i="10" s="1"/>
  <c r="AT25" i="27"/>
  <c r="AT25" i="23"/>
  <c r="AT25" i="22"/>
  <c r="AT25" i="24"/>
  <c r="AT24" i="25"/>
  <c r="AT25" i="37"/>
  <c r="AT25" i="26"/>
  <c r="AT17" i="10"/>
  <c r="AS13" i="23"/>
  <c r="AS13" i="27"/>
  <c r="AS13" i="24"/>
  <c r="AS13" i="22"/>
  <c r="AS12" i="25"/>
  <c r="AS13" i="26"/>
  <c r="AS13" i="37"/>
  <c r="AU14" i="39"/>
  <c r="AU18" i="39"/>
  <c r="AT20" i="10"/>
  <c r="AU11" i="39"/>
  <c r="AT5" i="10"/>
  <c r="AT29" i="27"/>
  <c r="AT29" i="23"/>
  <c r="AT29" i="22"/>
  <c r="AT29" i="24"/>
  <c r="AT28" i="25"/>
  <c r="AT29" i="37"/>
  <c r="AT29" i="26"/>
  <c r="AU17" i="39"/>
  <c r="AU20" i="39"/>
  <c r="AT17" i="27"/>
  <c r="AT17" i="23"/>
  <c r="AT17" i="22"/>
  <c r="AT17" i="24"/>
  <c r="AT16" i="25"/>
  <c r="AT17" i="26"/>
  <c r="AT17" i="37"/>
  <c r="AU26" i="39"/>
  <c r="AT25" i="10"/>
  <c r="AU5" i="39"/>
  <c r="AU8" i="39"/>
  <c r="AU8" i="10" s="1"/>
  <c r="AU33" i="39"/>
  <c r="AU33" i="10" s="1"/>
  <c r="AT28" i="27"/>
  <c r="AT28" i="22"/>
  <c r="AT28" i="24"/>
  <c r="AT28" i="23"/>
  <c r="AT27" i="25"/>
  <c r="AT28" i="26"/>
  <c r="AT28" i="37"/>
  <c r="AU4" i="39"/>
  <c r="AU25" i="39"/>
  <c r="AS30" i="27"/>
  <c r="AS30" i="23"/>
  <c r="AS30" i="24"/>
  <c r="AS29" i="25"/>
  <c r="AS30" i="22"/>
  <c r="AS30" i="26"/>
  <c r="AS30" i="37"/>
  <c r="AS31" i="27"/>
  <c r="AS31" i="23"/>
  <c r="AS31" i="22"/>
  <c r="AS31" i="24"/>
  <c r="AS30" i="25"/>
  <c r="AS31" i="26"/>
  <c r="AS31" i="37"/>
  <c r="AU12" i="39"/>
  <c r="AU30" i="39"/>
  <c r="AU6" i="39"/>
  <c r="AU6" i="10" s="1"/>
  <c r="AT32" i="10"/>
  <c r="AU22" i="39"/>
  <c r="AT35" i="27"/>
  <c r="AT35" i="23"/>
  <c r="AT35" i="22"/>
  <c r="AT34" i="25"/>
  <c r="AT35" i="24"/>
  <c r="AT35" i="37"/>
  <c r="AT35" i="26"/>
  <c r="AS36" i="27"/>
  <c r="AS36" i="23"/>
  <c r="AS36" i="24"/>
  <c r="AS36" i="22"/>
  <c r="AS35" i="25"/>
  <c r="AS36" i="37"/>
  <c r="AS36" i="26"/>
  <c r="AT33" i="27"/>
  <c r="AT33" i="23"/>
  <c r="AT33" i="24"/>
  <c r="AT33" i="22"/>
  <c r="AT32" i="25"/>
  <c r="AT33" i="37"/>
  <c r="AT33" i="26"/>
  <c r="AT14" i="27"/>
  <c r="AT14" i="22"/>
  <c r="AT14" i="23"/>
  <c r="AT14" i="24"/>
  <c r="AT13" i="25"/>
  <c r="AT14" i="26"/>
  <c r="AT14" i="37"/>
  <c r="AT23" i="27"/>
  <c r="AT23" i="23"/>
  <c r="AT23" i="22"/>
  <c r="AT23" i="24"/>
  <c r="AT22" i="25"/>
  <c r="AT23" i="26"/>
  <c r="AT23" i="37"/>
  <c r="AT15" i="10"/>
  <c r="AT4" i="10"/>
  <c r="AS34" i="27"/>
  <c r="AS34" i="23"/>
  <c r="AS34" i="24"/>
  <c r="AS33" i="25"/>
  <c r="AS34" i="22"/>
  <c r="AS34" i="37"/>
  <c r="AS34" i="26"/>
  <c r="AS17" i="23"/>
  <c r="AS17" i="27"/>
  <c r="AS17" i="24"/>
  <c r="AS17" i="22"/>
  <c r="AS16" i="25"/>
  <c r="AS17" i="26"/>
  <c r="AS17" i="37"/>
  <c r="AU32" i="39"/>
  <c r="AU7" i="39"/>
  <c r="AS39" i="23"/>
  <c r="AS39" i="22"/>
  <c r="AS39" i="27"/>
  <c r="AS39" i="24"/>
  <c r="AS38" i="25"/>
  <c r="AS39" i="26"/>
  <c r="AS39" i="37"/>
  <c r="AT8" i="10"/>
  <c r="AU19" i="39"/>
  <c r="AT30" i="27"/>
  <c r="AT30" i="22"/>
  <c r="AT30" i="24"/>
  <c r="AT30" i="23"/>
  <c r="AT29" i="25"/>
  <c r="AT30" i="26"/>
  <c r="AT30" i="37"/>
  <c r="AU10" i="39"/>
  <c r="AU10" i="10" s="1"/>
  <c r="AS15" i="27"/>
  <c r="AS15" i="23"/>
  <c r="AS15" i="22"/>
  <c r="AS15" i="24"/>
  <c r="AS14" i="25"/>
  <c r="AS15" i="37"/>
  <c r="AS15" i="26"/>
  <c r="AT33" i="10"/>
  <c r="AU15" i="39"/>
  <c r="AS32" i="27"/>
  <c r="AS32" i="24"/>
  <c r="AS32" i="22"/>
  <c r="AS32" i="23"/>
  <c r="AS31" i="25"/>
  <c r="AS32" i="26"/>
  <c r="AS32" i="37"/>
  <c r="AS20" i="27"/>
  <c r="AS20" i="23"/>
  <c r="AS20" i="24"/>
  <c r="AS20" i="22"/>
  <c r="AS19" i="25"/>
  <c r="AS20" i="26"/>
  <c r="AS20" i="37"/>
  <c r="AU13" i="27" l="1"/>
  <c r="AU13" i="23"/>
  <c r="AU13" i="22"/>
  <c r="AU13" i="24"/>
  <c r="AU12" i="25"/>
  <c r="AU13" i="26"/>
  <c r="AU13" i="37"/>
  <c r="AU15" i="27"/>
  <c r="AU15" i="23"/>
  <c r="AU15" i="22"/>
  <c r="AU14" i="25"/>
  <c r="AU15" i="24"/>
  <c r="AU15" i="26"/>
  <c r="AU15" i="37"/>
  <c r="AU31" i="27"/>
  <c r="AU31" i="23"/>
  <c r="AU31" i="22"/>
  <c r="AU30" i="25"/>
  <c r="AU31" i="24"/>
  <c r="AU31" i="26"/>
  <c r="AU31" i="37"/>
  <c r="AV12" i="39"/>
  <c r="AV12" i="10" s="1"/>
  <c r="AV25" i="39"/>
  <c r="AV25" i="10" s="1"/>
  <c r="AV5" i="39"/>
  <c r="AV20" i="39"/>
  <c r="AV14" i="39"/>
  <c r="AT24" i="27"/>
  <c r="AT24" i="23"/>
  <c r="AT24" i="24"/>
  <c r="AT24" i="22"/>
  <c r="AT23" i="25"/>
  <c r="AT24" i="26"/>
  <c r="AT24" i="37"/>
  <c r="AV29" i="39"/>
  <c r="AV29" i="10" s="1"/>
  <c r="AT16" i="27"/>
  <c r="AT16" i="23"/>
  <c r="AT16" i="22"/>
  <c r="AT16" i="24"/>
  <c r="AT15" i="25"/>
  <c r="AT16" i="26"/>
  <c r="AT16" i="37"/>
  <c r="AV22" i="39"/>
  <c r="AU14" i="10"/>
  <c r="AU17" i="27"/>
  <c r="AU17" i="23"/>
  <c r="AU17" i="22"/>
  <c r="AU17" i="24"/>
  <c r="AU17" i="26"/>
  <c r="AU16" i="25"/>
  <c r="AU17" i="37"/>
  <c r="AU7" i="10"/>
  <c r="AT39" i="27"/>
  <c r="AT39" i="23"/>
  <c r="AT39" i="22"/>
  <c r="AT39" i="24"/>
  <c r="AT39" i="37"/>
  <c r="AT38" i="25"/>
  <c r="AT39" i="26"/>
  <c r="AT32" i="27"/>
  <c r="AT32" i="23"/>
  <c r="AT32" i="24"/>
  <c r="AT31" i="25"/>
  <c r="AT32" i="22"/>
  <c r="AT32" i="26"/>
  <c r="AT32" i="37"/>
  <c r="AU11" i="10"/>
  <c r="AU16" i="10"/>
  <c r="AV21" i="39"/>
  <c r="AU25" i="10"/>
  <c r="AV26" i="39"/>
  <c r="AU15" i="10"/>
  <c r="AU34" i="27"/>
  <c r="AU34" i="23"/>
  <c r="AU34" i="22"/>
  <c r="AU34" i="24"/>
  <c r="AU33" i="25"/>
  <c r="AU34" i="37"/>
  <c r="AU34" i="26"/>
  <c r="AV15" i="39"/>
  <c r="AV15" i="10" s="1"/>
  <c r="AV7" i="39"/>
  <c r="AV7" i="10" s="1"/>
  <c r="AV4" i="39"/>
  <c r="AV11" i="39"/>
  <c r="AV23" i="39"/>
  <c r="AV16" i="39"/>
  <c r="AU21" i="10"/>
  <c r="AT36" i="27"/>
  <c r="AT36" i="23"/>
  <c r="AT36" i="24"/>
  <c r="AT35" i="25"/>
  <c r="AT36" i="22"/>
  <c r="AT36" i="26"/>
  <c r="AT36" i="37"/>
  <c r="AT12" i="27"/>
  <c r="AT12" i="22"/>
  <c r="AT12" i="23"/>
  <c r="AT12" i="24"/>
  <c r="AT11" i="25"/>
  <c r="AT12" i="26"/>
  <c r="AT12" i="37"/>
  <c r="AU40" i="23"/>
  <c r="AU40" i="27"/>
  <c r="AU40" i="22"/>
  <c r="AU40" i="24"/>
  <c r="AU39" i="25"/>
  <c r="AU40" i="26"/>
  <c r="AU40" i="37"/>
  <c r="AV33" i="39"/>
  <c r="AT27" i="27"/>
  <c r="AT27" i="22"/>
  <c r="AT27" i="23"/>
  <c r="AT26" i="25"/>
  <c r="AT27" i="24"/>
  <c r="AT27" i="37"/>
  <c r="AT27" i="26"/>
  <c r="AU13" i="10"/>
  <c r="AV24" i="39"/>
  <c r="AV24" i="10" s="1"/>
  <c r="AU30" i="27"/>
  <c r="AU30" i="23"/>
  <c r="AU30" i="22"/>
  <c r="AU29" i="25"/>
  <c r="AU30" i="24"/>
  <c r="AU30" i="26"/>
  <c r="AU30" i="37"/>
  <c r="AV14" i="10"/>
  <c r="AV10" i="39"/>
  <c r="AV32" i="39"/>
  <c r="AV32" i="10" s="1"/>
  <c r="AU4" i="10"/>
  <c r="AT11" i="27"/>
  <c r="AT11" i="23"/>
  <c r="AT11" i="22"/>
  <c r="AT11" i="24"/>
  <c r="AT10" i="25"/>
  <c r="AT11" i="26"/>
  <c r="AT11" i="37"/>
  <c r="AV6" i="39"/>
  <c r="AV6" i="10" s="1"/>
  <c r="AU29" i="10"/>
  <c r="AU17" i="10"/>
  <c r="AV13" i="39"/>
  <c r="AU28" i="10"/>
  <c r="AV27" i="39"/>
  <c r="AV21" i="10"/>
  <c r="AT15" i="27"/>
  <c r="AT15" i="22"/>
  <c r="AT15" i="23"/>
  <c r="AT15" i="24"/>
  <c r="AT14" i="25"/>
  <c r="AT15" i="26"/>
  <c r="AT15" i="37"/>
  <c r="AU5" i="10"/>
  <c r="AT22" i="27"/>
  <c r="AT22" i="24"/>
  <c r="AT22" i="22"/>
  <c r="AT22" i="23"/>
  <c r="AT21" i="25"/>
  <c r="AT22" i="26"/>
  <c r="AT22" i="37"/>
  <c r="AV17" i="39"/>
  <c r="AU18" i="10"/>
  <c r="AU9" i="10"/>
  <c r="AV28" i="39"/>
  <c r="AV23" i="10"/>
  <c r="AU20" i="10"/>
  <c r="AT40" i="27"/>
  <c r="AT40" i="23"/>
  <c r="AT40" i="22"/>
  <c r="AT40" i="24"/>
  <c r="AT39" i="25"/>
  <c r="AT40" i="26"/>
  <c r="AT40" i="37"/>
  <c r="AU19" i="10"/>
  <c r="AU32" i="10"/>
  <c r="AV19" i="39"/>
  <c r="AV19" i="10" s="1"/>
  <c r="AU22" i="10"/>
  <c r="AV30" i="39"/>
  <c r="AV8" i="39"/>
  <c r="AU26" i="10"/>
  <c r="AV18" i="39"/>
  <c r="AV9" i="39"/>
  <c r="AT21" i="27"/>
  <c r="AT21" i="23"/>
  <c r="AT21" i="22"/>
  <c r="AT20" i="25"/>
  <c r="AT21" i="24"/>
  <c r="AT21" i="37"/>
  <c r="AT21" i="26"/>
  <c r="AT20" i="27"/>
  <c r="AT20" i="23"/>
  <c r="AT20" i="24"/>
  <c r="AT20" i="22"/>
  <c r="AT19" i="25"/>
  <c r="AT20" i="26"/>
  <c r="AT20" i="37"/>
  <c r="AU30" i="10"/>
  <c r="AT34" i="27"/>
  <c r="AT34" i="23"/>
  <c r="AT34" i="22"/>
  <c r="AT34" i="24"/>
  <c r="AT33" i="25"/>
  <c r="AT34" i="26"/>
  <c r="AT34" i="37"/>
  <c r="AU12" i="10"/>
  <c r="AV13" i="27" l="1"/>
  <c r="AV13" i="23"/>
  <c r="AV13" i="24"/>
  <c r="AV13" i="22"/>
  <c r="AV12" i="25"/>
  <c r="AV13" i="26"/>
  <c r="AV13" i="37"/>
  <c r="AV39" i="27"/>
  <c r="AV39" i="23"/>
  <c r="AV39" i="22"/>
  <c r="AV39" i="24"/>
  <c r="AV38" i="25"/>
  <c r="AV39" i="26"/>
  <c r="AV39" i="37"/>
  <c r="AV14" i="27"/>
  <c r="AV14" i="23"/>
  <c r="AV14" i="22"/>
  <c r="AV14" i="24"/>
  <c r="AV13" i="25"/>
  <c r="AV14" i="26"/>
  <c r="AV14" i="37"/>
  <c r="AV26" i="27"/>
  <c r="AV26" i="23"/>
  <c r="AV26" i="22"/>
  <c r="AV26" i="24"/>
  <c r="AV25" i="25"/>
  <c r="AV26" i="26"/>
  <c r="AV26" i="37"/>
  <c r="AW7" i="39"/>
  <c r="AV10" i="10"/>
  <c r="AV31" i="27"/>
  <c r="AV31" i="23"/>
  <c r="AV31" i="22"/>
  <c r="AV30" i="25"/>
  <c r="AV31" i="24"/>
  <c r="AV31" i="26"/>
  <c r="AV31" i="37"/>
  <c r="AV17" i="10"/>
  <c r="AV27" i="10"/>
  <c r="AW10" i="39"/>
  <c r="AV11" i="10"/>
  <c r="AW21" i="39"/>
  <c r="AW22" i="39"/>
  <c r="AW22" i="10" s="1"/>
  <c r="AV8" i="10"/>
  <c r="AV22" i="27"/>
  <c r="AV22" i="23"/>
  <c r="AV22" i="22"/>
  <c r="AV22" i="24"/>
  <c r="AV21" i="25"/>
  <c r="AV22" i="26"/>
  <c r="AV22" i="37"/>
  <c r="AV30" i="27"/>
  <c r="AV30" i="23"/>
  <c r="AV30" i="22"/>
  <c r="AV30" i="24"/>
  <c r="AV29" i="25"/>
  <c r="AV30" i="26"/>
  <c r="AV30" i="37"/>
  <c r="AW17" i="39"/>
  <c r="AW27" i="39"/>
  <c r="AV33" i="10"/>
  <c r="AW11" i="39"/>
  <c r="AW11" i="10" s="1"/>
  <c r="AW15" i="39"/>
  <c r="AW15" i="10" s="1"/>
  <c r="AU22" i="27"/>
  <c r="AU22" i="23"/>
  <c r="AU22" i="22"/>
  <c r="AU22" i="24"/>
  <c r="AU21" i="25"/>
  <c r="AU22" i="26"/>
  <c r="AU22" i="37"/>
  <c r="AU23" i="27"/>
  <c r="AU23" i="23"/>
  <c r="AU23" i="22"/>
  <c r="AU23" i="24"/>
  <c r="AU22" i="25"/>
  <c r="AU23" i="26"/>
  <c r="AU23" i="37"/>
  <c r="AW25" i="39"/>
  <c r="AW25" i="10" s="1"/>
  <c r="AW5" i="39"/>
  <c r="AV9" i="10"/>
  <c r="AW8" i="39"/>
  <c r="AW8" i="10" s="1"/>
  <c r="AV28" i="10"/>
  <c r="AU35" i="27"/>
  <c r="AU35" i="23"/>
  <c r="AU35" i="22"/>
  <c r="AU35" i="24"/>
  <c r="AU34" i="25"/>
  <c r="AU35" i="37"/>
  <c r="AU35" i="26"/>
  <c r="AU36" i="27"/>
  <c r="AU36" i="23"/>
  <c r="AU36" i="22"/>
  <c r="AU36" i="24"/>
  <c r="AU35" i="25"/>
  <c r="AU36" i="37"/>
  <c r="AU36" i="26"/>
  <c r="AV21" i="27"/>
  <c r="AV21" i="23"/>
  <c r="AV21" i="22"/>
  <c r="AV21" i="24"/>
  <c r="AV20" i="25"/>
  <c r="AV21" i="26"/>
  <c r="AV21" i="37"/>
  <c r="AW33" i="39"/>
  <c r="AV32" i="27"/>
  <c r="AV32" i="23"/>
  <c r="AV32" i="22"/>
  <c r="AV32" i="24"/>
  <c r="AV31" i="25"/>
  <c r="AV32" i="26"/>
  <c r="AV32" i="37"/>
  <c r="AW29" i="39"/>
  <c r="AW29" i="10" s="1"/>
  <c r="AU20" i="27"/>
  <c r="AU20" i="23"/>
  <c r="AU20" i="22"/>
  <c r="AU19" i="25"/>
  <c r="AU20" i="24"/>
  <c r="AU20" i="26"/>
  <c r="AU20" i="37"/>
  <c r="AV19" i="27"/>
  <c r="AV19" i="23"/>
  <c r="AV19" i="22"/>
  <c r="AV19" i="24"/>
  <c r="AV18" i="25"/>
  <c r="AV19" i="26"/>
  <c r="AV19" i="37"/>
  <c r="AV36" i="23"/>
  <c r="AV36" i="27"/>
  <c r="AV36" i="22"/>
  <c r="AV36" i="24"/>
  <c r="AV35" i="25"/>
  <c r="AV36" i="26"/>
  <c r="AV36" i="37"/>
  <c r="AU28" i="27"/>
  <c r="AU28" i="23"/>
  <c r="AU28" i="22"/>
  <c r="AU28" i="24"/>
  <c r="AU27" i="25"/>
  <c r="AU28" i="26"/>
  <c r="AU28" i="37"/>
  <c r="AV26" i="10"/>
  <c r="AU18" i="27"/>
  <c r="AU18" i="23"/>
  <c r="AU18" i="22"/>
  <c r="AU18" i="24"/>
  <c r="AU17" i="25"/>
  <c r="AU18" i="26"/>
  <c r="AU18" i="37"/>
  <c r="AW14" i="39"/>
  <c r="AW14" i="10" s="1"/>
  <c r="AW12" i="39"/>
  <c r="AW23" i="39"/>
  <c r="AU37" i="27"/>
  <c r="AU37" i="23"/>
  <c r="AU37" i="22"/>
  <c r="AU37" i="24"/>
  <c r="AU36" i="25"/>
  <c r="AU37" i="26"/>
  <c r="AU37" i="37"/>
  <c r="AW19" i="39"/>
  <c r="AW19" i="10" s="1"/>
  <c r="AU39" i="27"/>
  <c r="AU39" i="23"/>
  <c r="AU39" i="22"/>
  <c r="AU39" i="24"/>
  <c r="AU38" i="25"/>
  <c r="AU39" i="26"/>
  <c r="AU39" i="37"/>
  <c r="AU16" i="27"/>
  <c r="AU16" i="23"/>
  <c r="AU16" i="22"/>
  <c r="AU16" i="24"/>
  <c r="AU15" i="25"/>
  <c r="AU16" i="26"/>
  <c r="AU16" i="37"/>
  <c r="AV13" i="10"/>
  <c r="AW6" i="39"/>
  <c r="AU11" i="27"/>
  <c r="AU11" i="22"/>
  <c r="AU11" i="23"/>
  <c r="AU11" i="24"/>
  <c r="AU10" i="25"/>
  <c r="AU11" i="26"/>
  <c r="AU11" i="37"/>
  <c r="AW27" i="10"/>
  <c r="AV16" i="10"/>
  <c r="AV4" i="10"/>
  <c r="AW26" i="39"/>
  <c r="AU14" i="27"/>
  <c r="AU14" i="23"/>
  <c r="AU14" i="22"/>
  <c r="AU13" i="25"/>
  <c r="AU14" i="24"/>
  <c r="AU14" i="26"/>
  <c r="AU14" i="37"/>
  <c r="AV20" i="10"/>
  <c r="AV22" i="10"/>
  <c r="AU19" i="27"/>
  <c r="AU19" i="23"/>
  <c r="AU19" i="22"/>
  <c r="AU19" i="24"/>
  <c r="AU18" i="25"/>
  <c r="AU19" i="26"/>
  <c r="AU19" i="37"/>
  <c r="AW9" i="39"/>
  <c r="AW9" i="10" s="1"/>
  <c r="AV18" i="10"/>
  <c r="AW18" i="39"/>
  <c r="AU29" i="27"/>
  <c r="AU29" i="23"/>
  <c r="AU29" i="22"/>
  <c r="AU29" i="24"/>
  <c r="AU28" i="25"/>
  <c r="AU29" i="26"/>
  <c r="AU29" i="37"/>
  <c r="AU26" i="27"/>
  <c r="AU26" i="23"/>
  <c r="AU26" i="22"/>
  <c r="AU25" i="25"/>
  <c r="AU26" i="24"/>
  <c r="AU26" i="26"/>
  <c r="AU26" i="37"/>
  <c r="AW13" i="39"/>
  <c r="AW16" i="39"/>
  <c r="AW16" i="10" s="1"/>
  <c r="AW4" i="39"/>
  <c r="AU32" i="27"/>
  <c r="AU32" i="23"/>
  <c r="AU32" i="22"/>
  <c r="AU31" i="25"/>
  <c r="AU32" i="24"/>
  <c r="AU32" i="26"/>
  <c r="AU32" i="37"/>
  <c r="AW7" i="10"/>
  <c r="AU21" i="27"/>
  <c r="AU21" i="23"/>
  <c r="AU21" i="22"/>
  <c r="AU21" i="24"/>
  <c r="AU20" i="25"/>
  <c r="AU21" i="26"/>
  <c r="AU21" i="37"/>
  <c r="AW20" i="39"/>
  <c r="AU33" i="27"/>
  <c r="AU33" i="23"/>
  <c r="AU33" i="22"/>
  <c r="AU33" i="24"/>
  <c r="AU32" i="25"/>
  <c r="AU33" i="37"/>
  <c r="AU33" i="26"/>
  <c r="AV28" i="27"/>
  <c r="AV28" i="23"/>
  <c r="AV28" i="22"/>
  <c r="AV28" i="24"/>
  <c r="AV27" i="25"/>
  <c r="AV28" i="26"/>
  <c r="AV28" i="37"/>
  <c r="AW28" i="39"/>
  <c r="AW30" i="39"/>
  <c r="AV30" i="10"/>
  <c r="AU27" i="27"/>
  <c r="AU27" i="23"/>
  <c r="AU27" i="22"/>
  <c r="AU27" i="24"/>
  <c r="AU26" i="25"/>
  <c r="AU27" i="26"/>
  <c r="AU27" i="37"/>
  <c r="AU25" i="27"/>
  <c r="AU25" i="23"/>
  <c r="AU25" i="22"/>
  <c r="AU25" i="24"/>
  <c r="AU24" i="25"/>
  <c r="AU25" i="26"/>
  <c r="AU25" i="37"/>
  <c r="AU12" i="27"/>
  <c r="AU12" i="23"/>
  <c r="AU12" i="22"/>
  <c r="AU11" i="25"/>
  <c r="AU12" i="24"/>
  <c r="AU12" i="26"/>
  <c r="AU12" i="37"/>
  <c r="AU24" i="27"/>
  <c r="AU24" i="23"/>
  <c r="AU24" i="22"/>
  <c r="AU23" i="25"/>
  <c r="AU24" i="24"/>
  <c r="AU24" i="26"/>
  <c r="AU24" i="37"/>
  <c r="AW32" i="39"/>
  <c r="AW24" i="39"/>
  <c r="AV5" i="10"/>
  <c r="AX23" i="39" l="1"/>
  <c r="AX28" i="39"/>
  <c r="AW20" i="10"/>
  <c r="AX13" i="39"/>
  <c r="AW18" i="10"/>
  <c r="AV23" i="27"/>
  <c r="AV23" i="23"/>
  <c r="AV23" i="22"/>
  <c r="AV23" i="24"/>
  <c r="AV22" i="25"/>
  <c r="AV23" i="26"/>
  <c r="AV23" i="37"/>
  <c r="AW36" i="23"/>
  <c r="AW36" i="27"/>
  <c r="AW36" i="22"/>
  <c r="AW36" i="24"/>
  <c r="AW35" i="25"/>
  <c r="AW36" i="37"/>
  <c r="AW36" i="26"/>
  <c r="AV16" i="27"/>
  <c r="AV16" i="23"/>
  <c r="AV16" i="22"/>
  <c r="AV16" i="24"/>
  <c r="AV16" i="26"/>
  <c r="AV15" i="25"/>
  <c r="AV16" i="37"/>
  <c r="AX17" i="39"/>
  <c r="AX17" i="10" s="1"/>
  <c r="AW23" i="27"/>
  <c r="AW23" i="23"/>
  <c r="AW23" i="24"/>
  <c r="AW22" i="25"/>
  <c r="AW23" i="22"/>
  <c r="AW23" i="26"/>
  <c r="AW23" i="37"/>
  <c r="AX20" i="39"/>
  <c r="AW16" i="23"/>
  <c r="AW16" i="27"/>
  <c r="AW16" i="22"/>
  <c r="AW16" i="24"/>
  <c r="AW15" i="25"/>
  <c r="AW16" i="26"/>
  <c r="AW16" i="37"/>
  <c r="AX18" i="39"/>
  <c r="AV27" i="27"/>
  <c r="AV27" i="23"/>
  <c r="AV27" i="22"/>
  <c r="AV27" i="24"/>
  <c r="AV26" i="25"/>
  <c r="AV27" i="26"/>
  <c r="AV27" i="37"/>
  <c r="AW12" i="10"/>
  <c r="AX11" i="39"/>
  <c r="AX10" i="39"/>
  <c r="AV34" i="27"/>
  <c r="AV34" i="23"/>
  <c r="AV34" i="22"/>
  <c r="AV33" i="25"/>
  <c r="AV34" i="26"/>
  <c r="AV34" i="24"/>
  <c r="AV34" i="37"/>
  <c r="AW32" i="23"/>
  <c r="AW32" i="27"/>
  <c r="AW32" i="22"/>
  <c r="AW32" i="24"/>
  <c r="AW31" i="25"/>
  <c r="AW32" i="26"/>
  <c r="AW32" i="37"/>
  <c r="AX15" i="39"/>
  <c r="AW14" i="27"/>
  <c r="AW14" i="23"/>
  <c r="AW14" i="22"/>
  <c r="AW14" i="24"/>
  <c r="AW14" i="26"/>
  <c r="AW13" i="25"/>
  <c r="AW14" i="37"/>
  <c r="AW24" i="10"/>
  <c r="AW26" i="23"/>
  <c r="AW26" i="27"/>
  <c r="AW26" i="22"/>
  <c r="AW26" i="24"/>
  <c r="AW25" i="25"/>
  <c r="AW26" i="26"/>
  <c r="AW26" i="37"/>
  <c r="AX4" i="39"/>
  <c r="AV25" i="27"/>
  <c r="AV25" i="23"/>
  <c r="AV25" i="22"/>
  <c r="AV25" i="24"/>
  <c r="AV24" i="25"/>
  <c r="AV25" i="26"/>
  <c r="AV25" i="37"/>
  <c r="AX20" i="10"/>
  <c r="AW4" i="10"/>
  <c r="AW34" i="27"/>
  <c r="AW34" i="23"/>
  <c r="AW34" i="22"/>
  <c r="AW34" i="24"/>
  <c r="AW33" i="25"/>
  <c r="AW34" i="26"/>
  <c r="AW34" i="37"/>
  <c r="AX12" i="39"/>
  <c r="AX29" i="39"/>
  <c r="AW5" i="10"/>
  <c r="AV40" i="23"/>
  <c r="AV40" i="27"/>
  <c r="AV40" i="22"/>
  <c r="AV39" i="25"/>
  <c r="AV40" i="24"/>
  <c r="AV40" i="26"/>
  <c r="AV40" i="37"/>
  <c r="AX22" i="39"/>
  <c r="AW13" i="10"/>
  <c r="AX6" i="39"/>
  <c r="AX6" i="10" s="1"/>
  <c r="AW22" i="23"/>
  <c r="AW22" i="27"/>
  <c r="AW22" i="22"/>
  <c r="AW22" i="24"/>
  <c r="AW21" i="25"/>
  <c r="AW22" i="26"/>
  <c r="AW22" i="37"/>
  <c r="AV35" i="27"/>
  <c r="AV35" i="23"/>
  <c r="AV35" i="22"/>
  <c r="AV35" i="24"/>
  <c r="AV34" i="25"/>
  <c r="AV35" i="37"/>
  <c r="AV35" i="26"/>
  <c r="AX5" i="39"/>
  <c r="AV24" i="27"/>
  <c r="AV24" i="23"/>
  <c r="AV24" i="22"/>
  <c r="AV24" i="24"/>
  <c r="AV24" i="26"/>
  <c r="AV23" i="25"/>
  <c r="AV24" i="37"/>
  <c r="AW28" i="10"/>
  <c r="AX8" i="39"/>
  <c r="AW18" i="27"/>
  <c r="AW18" i="23"/>
  <c r="AW18" i="22"/>
  <c r="AW18" i="24"/>
  <c r="AW17" i="25"/>
  <c r="AW18" i="37"/>
  <c r="AW18" i="26"/>
  <c r="AV12" i="27"/>
  <c r="AV12" i="23"/>
  <c r="AV12" i="22"/>
  <c r="AV12" i="24"/>
  <c r="AV12" i="26"/>
  <c r="AV11" i="25"/>
  <c r="AV12" i="37"/>
  <c r="AW32" i="10"/>
  <c r="AV37" i="27"/>
  <c r="AV37" i="23"/>
  <c r="AV37" i="22"/>
  <c r="AV37" i="24"/>
  <c r="AV36" i="25"/>
  <c r="AV37" i="26"/>
  <c r="AV37" i="37"/>
  <c r="AX16" i="39"/>
  <c r="AX16" i="10" s="1"/>
  <c r="AW26" i="10"/>
  <c r="AV20" i="27"/>
  <c r="AV20" i="23"/>
  <c r="AV20" i="22"/>
  <c r="AV20" i="24"/>
  <c r="AV20" i="26"/>
  <c r="AV19" i="25"/>
  <c r="AV20" i="37"/>
  <c r="AX14" i="39"/>
  <c r="AV33" i="23"/>
  <c r="AV33" i="27"/>
  <c r="AV33" i="22"/>
  <c r="AV33" i="24"/>
  <c r="AV32" i="25"/>
  <c r="AV33" i="26"/>
  <c r="AV33" i="37"/>
  <c r="AX33" i="39"/>
  <c r="AX28" i="10"/>
  <c r="AX21" i="39"/>
  <c r="AV17" i="23"/>
  <c r="AV17" i="27"/>
  <c r="AV17" i="22"/>
  <c r="AV17" i="24"/>
  <c r="AV16" i="25"/>
  <c r="AV17" i="26"/>
  <c r="AV17" i="37"/>
  <c r="AX32" i="39"/>
  <c r="AX32" i="10" s="1"/>
  <c r="AX9" i="39"/>
  <c r="AV29" i="27"/>
  <c r="AV29" i="23"/>
  <c r="AV29" i="22"/>
  <c r="AV29" i="24"/>
  <c r="AV28" i="25"/>
  <c r="AV29" i="26"/>
  <c r="AV29" i="37"/>
  <c r="AX26" i="39"/>
  <c r="AX26" i="10" s="1"/>
  <c r="AX13" i="10"/>
  <c r="AX27" i="39"/>
  <c r="AX27" i="10" s="1"/>
  <c r="AX24" i="39"/>
  <c r="AX24" i="10" s="1"/>
  <c r="AW29" i="27"/>
  <c r="AW29" i="23"/>
  <c r="AW29" i="24"/>
  <c r="AW29" i="22"/>
  <c r="AW28" i="25"/>
  <c r="AW29" i="26"/>
  <c r="AW29" i="37"/>
  <c r="AW21" i="27"/>
  <c r="AW21" i="23"/>
  <c r="AW21" i="22"/>
  <c r="AW21" i="24"/>
  <c r="AW20" i="25"/>
  <c r="AW21" i="26"/>
  <c r="AW21" i="37"/>
  <c r="AX30" i="39"/>
  <c r="AV11" i="27"/>
  <c r="AV11" i="22"/>
  <c r="AV11" i="23"/>
  <c r="AV11" i="24"/>
  <c r="AV11" i="26"/>
  <c r="AV10" i="25"/>
  <c r="AV11" i="37"/>
  <c r="AW15" i="27"/>
  <c r="AW15" i="24"/>
  <c r="AW15" i="23"/>
  <c r="AW15" i="22"/>
  <c r="AW14" i="25"/>
  <c r="AW15" i="26"/>
  <c r="AW15" i="37"/>
  <c r="AX19" i="39"/>
  <c r="AX19" i="10" s="1"/>
  <c r="AW23" i="10"/>
  <c r="AW33" i="10"/>
  <c r="AW6" i="10"/>
  <c r="AX25" i="39"/>
  <c r="AW17" i="10"/>
  <c r="AV15" i="27"/>
  <c r="AV15" i="23"/>
  <c r="AV15" i="22"/>
  <c r="AV15" i="24"/>
  <c r="AV15" i="26"/>
  <c r="AV14" i="25"/>
  <c r="AV15" i="37"/>
  <c r="AV18" i="27"/>
  <c r="AV18" i="23"/>
  <c r="AV18" i="22"/>
  <c r="AV18" i="24"/>
  <c r="AV17" i="25"/>
  <c r="AV18" i="26"/>
  <c r="AV18" i="37"/>
  <c r="AX7" i="39"/>
  <c r="AW10" i="10"/>
  <c r="AW21" i="10"/>
  <c r="AW30" i="10"/>
  <c r="AX34" i="27" l="1"/>
  <c r="AX34" i="22"/>
  <c r="AX34" i="23"/>
  <c r="AX34" i="24"/>
  <c r="AX33" i="25"/>
  <c r="AX34" i="37"/>
  <c r="AX34" i="26"/>
  <c r="AX24" i="27"/>
  <c r="AX24" i="23"/>
  <c r="AX24" i="22"/>
  <c r="AX24" i="24"/>
  <c r="AX23" i="25"/>
  <c r="AX24" i="26"/>
  <c r="AX24" i="37"/>
  <c r="AX23" i="27"/>
  <c r="AX23" i="22"/>
  <c r="AX23" i="23"/>
  <c r="AX23" i="24"/>
  <c r="AX22" i="25"/>
  <c r="AX23" i="26"/>
  <c r="AX23" i="37"/>
  <c r="AX26" i="27"/>
  <c r="AX26" i="23"/>
  <c r="AX26" i="22"/>
  <c r="AX26" i="24"/>
  <c r="AX25" i="25"/>
  <c r="AX26" i="26"/>
  <c r="AX26" i="37"/>
  <c r="AX31" i="27"/>
  <c r="AX31" i="23"/>
  <c r="AX31" i="24"/>
  <c r="AX31" i="22"/>
  <c r="AX30" i="25"/>
  <c r="AX31" i="26"/>
  <c r="AX31" i="37"/>
  <c r="AX39" i="27"/>
  <c r="AX39" i="23"/>
  <c r="AX38" i="25"/>
  <c r="AX39" i="22"/>
  <c r="AX39" i="24"/>
  <c r="AX39" i="26"/>
  <c r="AX39" i="37"/>
  <c r="AZ19" i="39"/>
  <c r="AY19" i="39"/>
  <c r="AX30" i="10"/>
  <c r="AZ24" i="39"/>
  <c r="AY24" i="39"/>
  <c r="AY24" i="10" s="1"/>
  <c r="AW35" i="27"/>
  <c r="AW35" i="23"/>
  <c r="AW35" i="24"/>
  <c r="AW35" i="22"/>
  <c r="AW34" i="25"/>
  <c r="AW35" i="26"/>
  <c r="AW35" i="37"/>
  <c r="AW20" i="23"/>
  <c r="AW20" i="22"/>
  <c r="AW20" i="27"/>
  <c r="AW20" i="24"/>
  <c r="AW19" i="25"/>
  <c r="AW20" i="26"/>
  <c r="AW20" i="37"/>
  <c r="AZ12" i="39"/>
  <c r="AY12" i="39"/>
  <c r="AY12" i="10" s="1"/>
  <c r="AZ11" i="39"/>
  <c r="AY11" i="39"/>
  <c r="AY11" i="10" s="1"/>
  <c r="AX25" i="10"/>
  <c r="AX35" i="27"/>
  <c r="AX35" i="23"/>
  <c r="AX35" i="24"/>
  <c r="AX35" i="22"/>
  <c r="AX34" i="25"/>
  <c r="AX35" i="37"/>
  <c r="AX35" i="26"/>
  <c r="AX12" i="10"/>
  <c r="AZ23" i="39"/>
  <c r="AY23" i="39"/>
  <c r="AY23" i="10" s="1"/>
  <c r="AZ30" i="39"/>
  <c r="AY30" i="39"/>
  <c r="AX13" i="27"/>
  <c r="AX13" i="22"/>
  <c r="AX13" i="23"/>
  <c r="AX13" i="24"/>
  <c r="AX12" i="25"/>
  <c r="AX13" i="26"/>
  <c r="AX13" i="37"/>
  <c r="AY30" i="10"/>
  <c r="AZ33" i="39"/>
  <c r="AY33" i="39"/>
  <c r="AZ14" i="39"/>
  <c r="AY14" i="39"/>
  <c r="AY14" i="10" s="1"/>
  <c r="AW11" i="27"/>
  <c r="AW11" i="22"/>
  <c r="AW11" i="24"/>
  <c r="AW11" i="23"/>
  <c r="AW10" i="25"/>
  <c r="AW11" i="26"/>
  <c r="AW11" i="37"/>
  <c r="AZ13" i="39"/>
  <c r="AY13" i="39"/>
  <c r="AY13" i="10" s="1"/>
  <c r="AZ9" i="39"/>
  <c r="AY9" i="39"/>
  <c r="AY9" i="10" s="1"/>
  <c r="AW37" i="27"/>
  <c r="AW37" i="23"/>
  <c r="AW37" i="22"/>
  <c r="AW37" i="24"/>
  <c r="AW36" i="25"/>
  <c r="AW37" i="26"/>
  <c r="AW37" i="37"/>
  <c r="AW28" i="27"/>
  <c r="AW28" i="23"/>
  <c r="AW28" i="22"/>
  <c r="AW28" i="24"/>
  <c r="AW27" i="25"/>
  <c r="AW28" i="26"/>
  <c r="AW28" i="37"/>
  <c r="AW17" i="27"/>
  <c r="AW17" i="24"/>
  <c r="AW17" i="23"/>
  <c r="AW16" i="25"/>
  <c r="AW17" i="22"/>
  <c r="AW17" i="26"/>
  <c r="AW17" i="37"/>
  <c r="AX33" i="27"/>
  <c r="AX33" i="23"/>
  <c r="AX33" i="24"/>
  <c r="AX32" i="25"/>
  <c r="AX33" i="22"/>
  <c r="AX33" i="37"/>
  <c r="AX33" i="26"/>
  <c r="AW33" i="27"/>
  <c r="AW33" i="23"/>
  <c r="AW33" i="24"/>
  <c r="AW32" i="25"/>
  <c r="AW33" i="22"/>
  <c r="AW33" i="26"/>
  <c r="AW33" i="37"/>
  <c r="AX33" i="10"/>
  <c r="AZ22" i="39"/>
  <c r="AY22" i="39"/>
  <c r="AY22" i="10" s="1"/>
  <c r="AX27" i="27"/>
  <c r="AX27" i="23"/>
  <c r="AX27" i="22"/>
  <c r="AX27" i="24"/>
  <c r="AX26" i="25"/>
  <c r="AX27" i="26"/>
  <c r="AX27" i="37"/>
  <c r="AX4" i="10"/>
  <c r="AW19" i="27"/>
  <c r="AW19" i="23"/>
  <c r="AW19" i="24"/>
  <c r="AW19" i="22"/>
  <c r="AW18" i="25"/>
  <c r="AW19" i="26"/>
  <c r="AW19" i="37"/>
  <c r="AW27" i="27"/>
  <c r="AW27" i="23"/>
  <c r="AW27" i="24"/>
  <c r="AW26" i="25"/>
  <c r="AW27" i="22"/>
  <c r="AW27" i="26"/>
  <c r="AW27" i="37"/>
  <c r="AX5" i="10"/>
  <c r="AX22" i="10"/>
  <c r="AW12" i="27"/>
  <c r="AW12" i="23"/>
  <c r="AW12" i="22"/>
  <c r="AW12" i="24"/>
  <c r="AW11" i="25"/>
  <c r="AW12" i="26"/>
  <c r="AW12" i="37"/>
  <c r="AZ4" i="39"/>
  <c r="AY4" i="39"/>
  <c r="AY4" i="10" s="1"/>
  <c r="AW31" i="27"/>
  <c r="AW31" i="23"/>
  <c r="AW31" i="24"/>
  <c r="AW31" i="22"/>
  <c r="AW30" i="25"/>
  <c r="AW31" i="26"/>
  <c r="AW31" i="37"/>
  <c r="AX18" i="10"/>
  <c r="AX9" i="10"/>
  <c r="AW24" i="27"/>
  <c r="AW24" i="23"/>
  <c r="AW24" i="22"/>
  <c r="AW24" i="24"/>
  <c r="AW23" i="25"/>
  <c r="AW24" i="26"/>
  <c r="AW24" i="37"/>
  <c r="AZ32" i="39"/>
  <c r="AY32" i="39"/>
  <c r="AY32" i="10" s="1"/>
  <c r="AX7" i="10"/>
  <c r="AW40" i="23"/>
  <c r="AW40" i="27"/>
  <c r="AW40" i="22"/>
  <c r="AW40" i="24"/>
  <c r="AW39" i="25"/>
  <c r="AW40" i="37"/>
  <c r="AW40" i="26"/>
  <c r="AX20" i="27"/>
  <c r="AX20" i="22"/>
  <c r="AX20" i="24"/>
  <c r="AX20" i="23"/>
  <c r="AX19" i="25"/>
  <c r="AX20" i="26"/>
  <c r="AX20" i="37"/>
  <c r="AZ5" i="39"/>
  <c r="AY5" i="39"/>
  <c r="AY5" i="10" s="1"/>
  <c r="AZ15" i="39"/>
  <c r="AY15" i="39"/>
  <c r="AY15" i="10" s="1"/>
  <c r="AX10" i="10"/>
  <c r="AZ18" i="39"/>
  <c r="AY18" i="39"/>
  <c r="AY18" i="10" s="1"/>
  <c r="AZ28" i="39"/>
  <c r="AY28" i="39"/>
  <c r="AY28" i="10" s="1"/>
  <c r="AX14" i="10"/>
  <c r="AW13" i="27"/>
  <c r="AW13" i="23"/>
  <c r="AW13" i="24"/>
  <c r="AW13" i="22"/>
  <c r="AW12" i="25"/>
  <c r="AW13" i="26"/>
  <c r="AW13" i="37"/>
  <c r="AZ21" i="39"/>
  <c r="AY21" i="39"/>
  <c r="AY21" i="10" s="1"/>
  <c r="AW30" i="27"/>
  <c r="AW30" i="23"/>
  <c r="AW30" i="22"/>
  <c r="AW30" i="24"/>
  <c r="AW29" i="25"/>
  <c r="AW30" i="26"/>
  <c r="AW30" i="37"/>
  <c r="AZ26" i="39"/>
  <c r="AY26" i="39"/>
  <c r="AY26" i="10" s="1"/>
  <c r="AZ6" i="39"/>
  <c r="AY6" i="39"/>
  <c r="AY6" i="10" s="1"/>
  <c r="AZ29" i="39"/>
  <c r="AY29" i="39"/>
  <c r="AY29" i="10" s="1"/>
  <c r="AZ10" i="39"/>
  <c r="AY10" i="39"/>
  <c r="AY10" i="10" s="1"/>
  <c r="AZ20" i="39"/>
  <c r="AY20" i="39"/>
  <c r="AY20" i="10" s="1"/>
  <c r="AX15" i="10"/>
  <c r="AZ19" i="10"/>
  <c r="AZ8" i="39"/>
  <c r="AY8" i="39"/>
  <c r="AY8" i="10" s="1"/>
  <c r="AX11" i="10"/>
  <c r="AZ7" i="39"/>
  <c r="AY7" i="39"/>
  <c r="AY19" i="10"/>
  <c r="AZ25" i="39"/>
  <c r="AY25" i="39"/>
  <c r="AY25" i="10" s="1"/>
  <c r="AZ27" i="39"/>
  <c r="AY27" i="39"/>
  <c r="AY27" i="10" s="1"/>
  <c r="AZ9" i="10"/>
  <c r="AX21" i="10"/>
  <c r="AZ16" i="39"/>
  <c r="AY16" i="39"/>
  <c r="AY16" i="10" s="1"/>
  <c r="AW39" i="23"/>
  <c r="AW39" i="24"/>
  <c r="AW39" i="27"/>
  <c r="AW38" i="25"/>
  <c r="AW39" i="22"/>
  <c r="AW39" i="26"/>
  <c r="AW39" i="37"/>
  <c r="AX8" i="10"/>
  <c r="AX29" i="10"/>
  <c r="AZ17" i="39"/>
  <c r="AY17" i="39"/>
  <c r="AY17" i="10" s="1"/>
  <c r="AW25" i="27"/>
  <c r="AW25" i="24"/>
  <c r="AW25" i="23"/>
  <c r="AW25" i="22"/>
  <c r="AW24" i="25"/>
  <c r="AW25" i="26"/>
  <c r="AW25" i="37"/>
  <c r="AZ23" i="10"/>
  <c r="AX23" i="10"/>
  <c r="AZ28" i="10" l="1"/>
  <c r="AZ24" i="10"/>
  <c r="AZ31" i="26" s="1"/>
  <c r="AZ14" i="10"/>
  <c r="AZ11" i="10"/>
  <c r="AZ18" i="27" s="1"/>
  <c r="AZ22" i="10"/>
  <c r="AZ29" i="37" s="1"/>
  <c r="AZ10" i="10"/>
  <c r="AZ17" i="26" s="1"/>
  <c r="AZ30" i="10"/>
  <c r="AZ37" i="23" s="1"/>
  <c r="AZ27" i="10"/>
  <c r="AZ34" i="24" s="1"/>
  <c r="AZ7" i="10"/>
  <c r="AZ13" i="25" s="1"/>
  <c r="AZ33" i="10"/>
  <c r="AZ39" i="25" s="1"/>
  <c r="AZ21" i="10"/>
  <c r="AZ17" i="10"/>
  <c r="AZ24" i="22" s="1"/>
  <c r="AZ25" i="10"/>
  <c r="AZ32" i="22" s="1"/>
  <c r="AZ20" i="10"/>
  <c r="AZ27" i="27" s="1"/>
  <c r="AZ13" i="10"/>
  <c r="AZ20" i="23" s="1"/>
  <c r="AZ6" i="10"/>
  <c r="AZ13" i="22" s="1"/>
  <c r="AZ5" i="10"/>
  <c r="AZ12" i="24" s="1"/>
  <c r="AZ12" i="10"/>
  <c r="AZ19" i="26" s="1"/>
  <c r="AY24" i="27"/>
  <c r="AY24" i="23"/>
  <c r="AY24" i="22"/>
  <c r="AY23" i="25"/>
  <c r="AY24" i="24"/>
  <c r="AY24" i="26"/>
  <c r="AY24" i="37"/>
  <c r="AY18" i="27"/>
  <c r="AY18" i="23"/>
  <c r="AY18" i="22"/>
  <c r="AY18" i="24"/>
  <c r="AY17" i="25"/>
  <c r="AY18" i="37"/>
  <c r="AY18" i="26"/>
  <c r="AY34" i="27"/>
  <c r="AY34" i="23"/>
  <c r="AY34" i="22"/>
  <c r="AY34" i="24"/>
  <c r="AY33" i="25"/>
  <c r="AY34" i="37"/>
  <c r="AY34" i="26"/>
  <c r="AY12" i="27"/>
  <c r="AY12" i="22"/>
  <c r="AY12" i="23"/>
  <c r="AY12" i="24"/>
  <c r="AY11" i="25"/>
  <c r="AY12" i="26"/>
  <c r="AY12" i="37"/>
  <c r="AZ29" i="26"/>
  <c r="AY11" i="27"/>
  <c r="AY11" i="23"/>
  <c r="AY11" i="22"/>
  <c r="AY10" i="25"/>
  <c r="AY11" i="24"/>
  <c r="AY11" i="26"/>
  <c r="AY11" i="37"/>
  <c r="AY32" i="27"/>
  <c r="AY32" i="23"/>
  <c r="AY32" i="22"/>
  <c r="AY32" i="24"/>
  <c r="AY31" i="25"/>
  <c r="AY32" i="37"/>
  <c r="AY32" i="26"/>
  <c r="AY16" i="27"/>
  <c r="AY16" i="23"/>
  <c r="AY16" i="22"/>
  <c r="AY16" i="24"/>
  <c r="AY15" i="25"/>
  <c r="AY16" i="26"/>
  <c r="AY16" i="37"/>
  <c r="AX15" i="27"/>
  <c r="AX15" i="23"/>
  <c r="AX15" i="22"/>
  <c r="AX15" i="24"/>
  <c r="AX14" i="25"/>
  <c r="AX15" i="26"/>
  <c r="AX15" i="37"/>
  <c r="AZ15" i="10"/>
  <c r="AY33" i="10"/>
  <c r="AX16" i="27"/>
  <c r="AX16" i="23"/>
  <c r="AX16" i="22"/>
  <c r="AX16" i="24"/>
  <c r="AX15" i="25"/>
  <c r="AX16" i="26"/>
  <c r="AX16" i="37"/>
  <c r="AX11" i="27"/>
  <c r="AX11" i="22"/>
  <c r="AX11" i="23"/>
  <c r="AX10" i="25"/>
  <c r="AX11" i="24"/>
  <c r="AX11" i="26"/>
  <c r="AX11" i="37"/>
  <c r="AY15" i="27"/>
  <c r="AY15" i="23"/>
  <c r="AY15" i="22"/>
  <c r="AY15" i="24"/>
  <c r="AY14" i="25"/>
  <c r="AY15" i="26"/>
  <c r="AY15" i="37"/>
  <c r="AY21" i="27"/>
  <c r="AY21" i="23"/>
  <c r="AY21" i="22"/>
  <c r="AY21" i="24"/>
  <c r="AY20" i="25"/>
  <c r="AY21" i="26"/>
  <c r="AY21" i="37"/>
  <c r="AY23" i="27"/>
  <c r="AY23" i="23"/>
  <c r="AY23" i="22"/>
  <c r="AY22" i="25"/>
  <c r="AY23" i="24"/>
  <c r="AY23" i="26"/>
  <c r="AY23" i="37"/>
  <c r="AZ26" i="23"/>
  <c r="AZ26" i="27"/>
  <c r="AZ26" i="22"/>
  <c r="AZ26" i="24"/>
  <c r="AZ25" i="25"/>
  <c r="AZ26" i="26"/>
  <c r="AZ26" i="37"/>
  <c r="AY36" i="23"/>
  <c r="AY36" i="27"/>
  <c r="AY36" i="22"/>
  <c r="AY36" i="24"/>
  <c r="AY35" i="25"/>
  <c r="AY36" i="26"/>
  <c r="AY36" i="37"/>
  <c r="AX17" i="27"/>
  <c r="AX17" i="22"/>
  <c r="AX17" i="23"/>
  <c r="AX17" i="24"/>
  <c r="AX16" i="25"/>
  <c r="AX17" i="26"/>
  <c r="AX17" i="37"/>
  <c r="AX25" i="27"/>
  <c r="AX25" i="23"/>
  <c r="AX25" i="24"/>
  <c r="AX24" i="25"/>
  <c r="AX25" i="22"/>
  <c r="AX25" i="26"/>
  <c r="AX25" i="37"/>
  <c r="AZ4" i="10"/>
  <c r="AY37" i="23"/>
  <c r="AY37" i="27"/>
  <c r="AY37" i="22"/>
  <c r="AY37" i="24"/>
  <c r="AY36" i="25"/>
  <c r="AY37" i="26"/>
  <c r="AY37" i="37"/>
  <c r="AZ31" i="22"/>
  <c r="AZ30" i="25"/>
  <c r="AZ31" i="37"/>
  <c r="AY26" i="27"/>
  <c r="AY26" i="23"/>
  <c r="AY26" i="22"/>
  <c r="AY26" i="24"/>
  <c r="AY26" i="26"/>
  <c r="AY26" i="37"/>
  <c r="AY25" i="25"/>
  <c r="AX22" i="27"/>
  <c r="AX22" i="23"/>
  <c r="AX22" i="22"/>
  <c r="AX22" i="24"/>
  <c r="AX21" i="25"/>
  <c r="AX22" i="26"/>
  <c r="AX22" i="37"/>
  <c r="AZ18" i="10"/>
  <c r="AY28" i="27"/>
  <c r="AY28" i="23"/>
  <c r="AY28" i="22"/>
  <c r="AY28" i="24"/>
  <c r="AY27" i="25"/>
  <c r="AY28" i="37"/>
  <c r="AY28" i="26"/>
  <c r="AY13" i="27"/>
  <c r="AY13" i="23"/>
  <c r="AY13" i="22"/>
  <c r="AY12" i="25"/>
  <c r="AY13" i="24"/>
  <c r="AY13" i="26"/>
  <c r="AY13" i="37"/>
  <c r="AX21" i="27"/>
  <c r="AX21" i="23"/>
  <c r="AX21" i="22"/>
  <c r="AX21" i="24"/>
  <c r="AX20" i="25"/>
  <c r="AX21" i="26"/>
  <c r="AX21" i="37"/>
  <c r="AY7" i="10"/>
  <c r="AY19" i="27"/>
  <c r="AY19" i="23"/>
  <c r="AY19" i="22"/>
  <c r="AY18" i="25"/>
  <c r="AY19" i="24"/>
  <c r="AY19" i="26"/>
  <c r="AY19" i="37"/>
  <c r="AX40" i="27"/>
  <c r="AX40" i="23"/>
  <c r="AX40" i="22"/>
  <c r="AX40" i="24"/>
  <c r="AX39" i="25"/>
  <c r="AX40" i="26"/>
  <c r="AX40" i="37"/>
  <c r="AZ21" i="27"/>
  <c r="AZ21" i="23"/>
  <c r="AZ21" i="22"/>
  <c r="AZ21" i="24"/>
  <c r="AZ20" i="25"/>
  <c r="AZ21" i="26"/>
  <c r="AZ21" i="37"/>
  <c r="AY30" i="27"/>
  <c r="AY30" i="23"/>
  <c r="AY30" i="22"/>
  <c r="AY30" i="24"/>
  <c r="AY30" i="26"/>
  <c r="AY29" i="25"/>
  <c r="AY30" i="37"/>
  <c r="AZ24" i="27"/>
  <c r="AZ24" i="23"/>
  <c r="AZ24" i="24"/>
  <c r="AY22" i="27"/>
  <c r="AY22" i="23"/>
  <c r="AY22" i="22"/>
  <c r="AY22" i="24"/>
  <c r="AY22" i="37"/>
  <c r="AY21" i="25"/>
  <c r="AY22" i="26"/>
  <c r="AY27" i="27"/>
  <c r="AY27" i="23"/>
  <c r="AY27" i="22"/>
  <c r="AY27" i="24"/>
  <c r="AY26" i="25"/>
  <c r="AY27" i="26"/>
  <c r="AY27" i="37"/>
  <c r="AY35" i="27"/>
  <c r="AY35" i="23"/>
  <c r="AY35" i="22"/>
  <c r="AY35" i="24"/>
  <c r="AY34" i="25"/>
  <c r="AY35" i="26"/>
  <c r="AY35" i="37"/>
  <c r="AX14" i="27"/>
  <c r="AX14" i="23"/>
  <c r="AX14" i="22"/>
  <c r="AX14" i="24"/>
  <c r="AX13" i="25"/>
  <c r="AX14" i="26"/>
  <c r="AX14" i="37"/>
  <c r="AX29" i="27"/>
  <c r="AX29" i="23"/>
  <c r="AX29" i="24"/>
  <c r="AX28" i="25"/>
  <c r="AX29" i="22"/>
  <c r="AX29" i="26"/>
  <c r="AX29" i="37"/>
  <c r="AZ32" i="10"/>
  <c r="AY20" i="27"/>
  <c r="AY20" i="23"/>
  <c r="AY20" i="22"/>
  <c r="AY20" i="24"/>
  <c r="AY19" i="25"/>
  <c r="AY20" i="26"/>
  <c r="AY20" i="37"/>
  <c r="AY25" i="27"/>
  <c r="AY25" i="23"/>
  <c r="AY25" i="22"/>
  <c r="AY24" i="25"/>
  <c r="AY25" i="24"/>
  <c r="AY25" i="26"/>
  <c r="AY25" i="37"/>
  <c r="AX30" i="27"/>
  <c r="AX30" i="23"/>
  <c r="AX30" i="22"/>
  <c r="AX29" i="25"/>
  <c r="AX30" i="26"/>
  <c r="AX30" i="37"/>
  <c r="AX30" i="24"/>
  <c r="AZ28" i="27"/>
  <c r="AZ28" i="23"/>
  <c r="AZ28" i="22"/>
  <c r="AZ28" i="24"/>
  <c r="AZ28" i="26"/>
  <c r="AZ28" i="37"/>
  <c r="AZ27" i="25"/>
  <c r="AY29" i="27"/>
  <c r="AY29" i="23"/>
  <c r="AY29" i="22"/>
  <c r="AY28" i="25"/>
  <c r="AY29" i="24"/>
  <c r="AY29" i="26"/>
  <c r="AY29" i="37"/>
  <c r="AX36" i="27"/>
  <c r="AX36" i="23"/>
  <c r="AX36" i="22"/>
  <c r="AX35" i="25"/>
  <c r="AX36" i="24"/>
  <c r="AX36" i="26"/>
  <c r="AX36" i="37"/>
  <c r="AZ26" i="10"/>
  <c r="AX18" i="27"/>
  <c r="AX18" i="22"/>
  <c r="AX18" i="23"/>
  <c r="AX18" i="24"/>
  <c r="AX17" i="25"/>
  <c r="AX18" i="26"/>
  <c r="AX18" i="37"/>
  <c r="AZ16" i="10"/>
  <c r="AY31" i="27"/>
  <c r="AY31" i="23"/>
  <c r="AY31" i="22"/>
  <c r="AY31" i="24"/>
  <c r="AY30" i="25"/>
  <c r="AY31" i="26"/>
  <c r="AY31" i="37"/>
  <c r="AX19" i="27"/>
  <c r="AX19" i="22"/>
  <c r="AX19" i="23"/>
  <c r="AX19" i="24"/>
  <c r="AX18" i="25"/>
  <c r="AX19" i="26"/>
  <c r="AX19" i="37"/>
  <c r="AY33" i="27"/>
  <c r="AY33" i="23"/>
  <c r="AY33" i="22"/>
  <c r="AY32" i="25"/>
  <c r="AY33" i="26"/>
  <c r="AY33" i="24"/>
  <c r="AY33" i="37"/>
  <c r="AZ30" i="27"/>
  <c r="AZ30" i="23"/>
  <c r="AZ30" i="22"/>
  <c r="AZ30" i="24"/>
  <c r="AZ29" i="25"/>
  <c r="AZ30" i="26"/>
  <c r="AZ30" i="37"/>
  <c r="AZ8" i="10"/>
  <c r="AX28" i="27"/>
  <c r="AX28" i="22"/>
  <c r="AX28" i="23"/>
  <c r="AX27" i="25"/>
  <c r="AX28" i="24"/>
  <c r="AX28" i="26"/>
  <c r="AX28" i="37"/>
  <c r="AZ35" i="27"/>
  <c r="AZ35" i="23"/>
  <c r="AZ35" i="22"/>
  <c r="AZ34" i="25"/>
  <c r="AZ35" i="24"/>
  <c r="AZ35" i="26"/>
  <c r="AZ35" i="37"/>
  <c r="AZ16" i="27"/>
  <c r="AZ16" i="23"/>
  <c r="AZ16" i="22"/>
  <c r="AZ16" i="24"/>
  <c r="AZ15" i="25"/>
  <c r="AZ16" i="26"/>
  <c r="AZ16" i="37"/>
  <c r="AZ29" i="10"/>
  <c r="AZ17" i="25"/>
  <c r="AZ18" i="24"/>
  <c r="AZ18" i="26"/>
  <c r="AZ18" i="37"/>
  <c r="AY17" i="27"/>
  <c r="AY17" i="23"/>
  <c r="AY17" i="22"/>
  <c r="AY16" i="25"/>
  <c r="AY17" i="24"/>
  <c r="AY17" i="26"/>
  <c r="AY17" i="37"/>
  <c r="AY39" i="23"/>
  <c r="AY39" i="27"/>
  <c r="AY39" i="22"/>
  <c r="AY39" i="24"/>
  <c r="AY38" i="25"/>
  <c r="AY39" i="37"/>
  <c r="AY39" i="26"/>
  <c r="AX12" i="27"/>
  <c r="AX12" i="23"/>
  <c r="AX12" i="22"/>
  <c r="AX11" i="25"/>
  <c r="AX12" i="24"/>
  <c r="AX12" i="37"/>
  <c r="AX12" i="26"/>
  <c r="AX32" i="27"/>
  <c r="AX32" i="23"/>
  <c r="AX32" i="22"/>
  <c r="AX32" i="24"/>
  <c r="AX31" i="25"/>
  <c r="AX32" i="37"/>
  <c r="AX32" i="26"/>
  <c r="AX37" i="27"/>
  <c r="AX37" i="23"/>
  <c r="AX37" i="22"/>
  <c r="AX37" i="24"/>
  <c r="AX36" i="25"/>
  <c r="AX37" i="37"/>
  <c r="AX37" i="26"/>
  <c r="AZ24" i="37" l="1"/>
  <c r="AZ18" i="22"/>
  <c r="AZ24" i="26"/>
  <c r="AZ23" i="25"/>
  <c r="AZ18" i="23"/>
  <c r="AZ31" i="24"/>
  <c r="AZ31" i="23"/>
  <c r="AZ31" i="27"/>
  <c r="AZ37" i="26"/>
  <c r="AZ37" i="37"/>
  <c r="AZ36" i="25"/>
  <c r="AZ37" i="22"/>
  <c r="AZ13" i="23"/>
  <c r="AZ34" i="37"/>
  <c r="AZ29" i="24"/>
  <c r="AZ28" i="25"/>
  <c r="AZ16" i="25"/>
  <c r="AZ29" i="22"/>
  <c r="AZ17" i="24"/>
  <c r="AZ37" i="27"/>
  <c r="AZ29" i="23"/>
  <c r="AZ12" i="23"/>
  <c r="AZ34" i="22"/>
  <c r="AZ29" i="27"/>
  <c r="AZ17" i="22"/>
  <c r="AZ12" i="22"/>
  <c r="AZ34" i="23"/>
  <c r="AZ17" i="23"/>
  <c r="AZ37" i="24"/>
  <c r="AZ34" i="27"/>
  <c r="AZ17" i="27"/>
  <c r="AZ19" i="23"/>
  <c r="AZ34" i="26"/>
  <c r="AZ40" i="24"/>
  <c r="AZ14" i="24"/>
  <c r="AZ20" i="37"/>
  <c r="AZ33" i="25"/>
  <c r="AZ17" i="37"/>
  <c r="AZ14" i="23"/>
  <c r="AZ14" i="27"/>
  <c r="AZ19" i="24"/>
  <c r="AZ19" i="22"/>
  <c r="AZ32" i="23"/>
  <c r="AZ40" i="37"/>
  <c r="AZ40" i="26"/>
  <c r="AZ32" i="27"/>
  <c r="AZ32" i="37"/>
  <c r="AZ31" i="25"/>
  <c r="AZ32" i="26"/>
  <c r="AZ40" i="22"/>
  <c r="AZ32" i="24"/>
  <c r="AZ40" i="23"/>
  <c r="AZ18" i="25"/>
  <c r="AZ40" i="27"/>
  <c r="AZ14" i="22"/>
  <c r="AZ14" i="37"/>
  <c r="AZ14" i="26"/>
  <c r="AZ27" i="37"/>
  <c r="AZ26" i="25"/>
  <c r="AZ27" i="26"/>
  <c r="AZ27" i="24"/>
  <c r="AZ27" i="22"/>
  <c r="AZ27" i="23"/>
  <c r="AZ13" i="27"/>
  <c r="AZ13" i="37"/>
  <c r="AZ13" i="26"/>
  <c r="AZ12" i="25"/>
  <c r="AZ13" i="24"/>
  <c r="AZ20" i="27"/>
  <c r="AZ12" i="27"/>
  <c r="AZ20" i="26"/>
  <c r="AZ12" i="37"/>
  <c r="AZ19" i="25"/>
  <c r="AZ12" i="26"/>
  <c r="AZ20" i="24"/>
  <c r="AZ11" i="25"/>
  <c r="AZ20" i="22"/>
  <c r="AZ19" i="27"/>
  <c r="AZ19" i="37"/>
  <c r="AZ15" i="27"/>
  <c r="AZ15" i="23"/>
  <c r="AZ15" i="22"/>
  <c r="AZ15" i="24"/>
  <c r="AZ14" i="25"/>
  <c r="AZ15" i="26"/>
  <c r="AZ15" i="37"/>
  <c r="AZ36" i="27"/>
  <c r="AZ36" i="23"/>
  <c r="AZ36" i="22"/>
  <c r="AZ36" i="24"/>
  <c r="AZ35" i="25"/>
  <c r="AZ36" i="26"/>
  <c r="AZ36" i="37"/>
  <c r="AZ25" i="27"/>
  <c r="AZ25" i="23"/>
  <c r="AZ25" i="22"/>
  <c r="AZ25" i="24"/>
  <c r="AZ24" i="25"/>
  <c r="AZ25" i="26"/>
  <c r="AZ25" i="37"/>
  <c r="AY40" i="27"/>
  <c r="AY40" i="23"/>
  <c r="AY40" i="22"/>
  <c r="AY40" i="24"/>
  <c r="AY39" i="25"/>
  <c r="AY40" i="37"/>
  <c r="AY40" i="26"/>
  <c r="AZ23" i="27"/>
  <c r="AZ23" i="23"/>
  <c r="AZ23" i="22"/>
  <c r="AZ23" i="24"/>
  <c r="AZ22" i="25"/>
  <c r="AZ23" i="26"/>
  <c r="AZ23" i="37"/>
  <c r="AZ33" i="27"/>
  <c r="AZ33" i="23"/>
  <c r="AZ33" i="22"/>
  <c r="AZ33" i="24"/>
  <c r="AZ32" i="25"/>
  <c r="AZ33" i="26"/>
  <c r="AZ33" i="37"/>
  <c r="AZ22" i="27"/>
  <c r="AZ22" i="23"/>
  <c r="AZ22" i="22"/>
  <c r="AZ22" i="24"/>
  <c r="AZ21" i="25"/>
  <c r="AZ22" i="26"/>
  <c r="AZ22" i="37"/>
  <c r="AZ39" i="23"/>
  <c r="AZ39" i="27"/>
  <c r="AZ39" i="22"/>
  <c r="AZ39" i="24"/>
  <c r="AZ38" i="25"/>
  <c r="AZ39" i="37"/>
  <c r="AZ39" i="26"/>
  <c r="AY14" i="27"/>
  <c r="AY14" i="23"/>
  <c r="AY14" i="22"/>
  <c r="AY13" i="25"/>
  <c r="AY14" i="24"/>
  <c r="AY14" i="26"/>
  <c r="AY14" i="37"/>
  <c r="AZ11" i="27"/>
  <c r="AZ11" i="23"/>
  <c r="AZ11" i="22"/>
  <c r="AZ11" i="24"/>
  <c r="AZ10" i="25"/>
  <c r="AZ11" i="26"/>
  <c r="AZ11" i="37"/>
  <c r="V40" i="37" l="1"/>
  <c r="U40" i="37"/>
  <c r="T40" i="37"/>
  <c r="S40" i="37"/>
  <c r="R40" i="37"/>
  <c r="Q40" i="37"/>
  <c r="P40" i="37"/>
  <c r="O40" i="37"/>
  <c r="N40" i="37"/>
  <c r="M40" i="37"/>
  <c r="L40" i="37" s="1"/>
  <c r="K40" i="37" s="1"/>
  <c r="J40" i="37" s="1"/>
  <c r="I40" i="37" s="1"/>
  <c r="H40" i="37" s="1"/>
  <c r="G40" i="37" s="1"/>
  <c r="F40" i="37" s="1"/>
  <c r="E40" i="37" s="1"/>
  <c r="D40" i="37" s="1"/>
  <c r="C40" i="37" s="1"/>
  <c r="B40" i="37" s="1"/>
  <c r="V39" i="37"/>
  <c r="U39" i="37"/>
  <c r="T39" i="37"/>
  <c r="S39" i="37"/>
  <c r="R39" i="37"/>
  <c r="Q39" i="37"/>
  <c r="P39" i="37"/>
  <c r="O39" i="37"/>
  <c r="N39" i="37"/>
  <c r="M39" i="37"/>
  <c r="L39" i="37" s="1"/>
  <c r="K39" i="37" s="1"/>
  <c r="J39" i="37" s="1"/>
  <c r="I39" i="37" s="1"/>
  <c r="H39" i="37" s="1"/>
  <c r="G39" i="37" s="1"/>
  <c r="F39" i="37" s="1"/>
  <c r="E39" i="37" s="1"/>
  <c r="D39" i="37" s="1"/>
  <c r="C39" i="37" s="1"/>
  <c r="B39" i="37" s="1"/>
  <c r="V38" i="37"/>
  <c r="U38" i="37"/>
  <c r="T38" i="37"/>
  <c r="S38" i="37"/>
  <c r="R38" i="37"/>
  <c r="Q38" i="37"/>
  <c r="P38" i="37"/>
  <c r="O38" i="37"/>
  <c r="N38" i="37"/>
  <c r="M38" i="37"/>
  <c r="L38" i="37" s="1"/>
  <c r="K38" i="37" s="1"/>
  <c r="J38" i="37" s="1"/>
  <c r="I38" i="37" s="1"/>
  <c r="H38" i="37" s="1"/>
  <c r="G38" i="37" s="1"/>
  <c r="F38" i="37" s="1"/>
  <c r="E38" i="37" s="1"/>
  <c r="D38" i="37" s="1"/>
  <c r="C38" i="37" s="1"/>
  <c r="B38" i="37" s="1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 s="1"/>
  <c r="I37" i="37" s="1"/>
  <c r="H37" i="37" s="1"/>
  <c r="G37" i="37" s="1"/>
  <c r="F37" i="37" s="1"/>
  <c r="E37" i="37" s="1"/>
  <c r="D37" i="37" s="1"/>
  <c r="C37" i="37" s="1"/>
  <c r="B37" i="37" s="1"/>
  <c r="V36" i="37"/>
  <c r="U36" i="37"/>
  <c r="T36" i="37"/>
  <c r="S36" i="37"/>
  <c r="R36" i="37"/>
  <c r="Q36" i="37"/>
  <c r="P36" i="37"/>
  <c r="O36" i="37"/>
  <c r="N36" i="37"/>
  <c r="M36" i="37"/>
  <c r="L36" i="37" s="1"/>
  <c r="K36" i="37" s="1"/>
  <c r="J36" i="37" s="1"/>
  <c r="I36" i="37" s="1"/>
  <c r="H36" i="37" s="1"/>
  <c r="G36" i="37" s="1"/>
  <c r="F36" i="37" s="1"/>
  <c r="E36" i="37" s="1"/>
  <c r="D36" i="37" s="1"/>
  <c r="C36" i="37" s="1"/>
  <c r="B36" i="37" s="1"/>
  <c r="V35" i="37"/>
  <c r="U35" i="37"/>
  <c r="T35" i="37"/>
  <c r="S35" i="37"/>
  <c r="R35" i="37"/>
  <c r="Q35" i="37"/>
  <c r="P35" i="37"/>
  <c r="O35" i="37"/>
  <c r="N35" i="37"/>
  <c r="M35" i="37"/>
  <c r="L35" i="37" s="1"/>
  <c r="K35" i="37" s="1"/>
  <c r="J35" i="37" s="1"/>
  <c r="I35" i="37" s="1"/>
  <c r="H35" i="37" s="1"/>
  <c r="G35" i="37" s="1"/>
  <c r="F35" i="37" s="1"/>
  <c r="E35" i="37" s="1"/>
  <c r="D35" i="37" s="1"/>
  <c r="C35" i="37" s="1"/>
  <c r="B35" i="37" s="1"/>
  <c r="V34" i="37"/>
  <c r="U34" i="37"/>
  <c r="T34" i="37"/>
  <c r="S34" i="37"/>
  <c r="R34" i="37"/>
  <c r="Q34" i="37"/>
  <c r="P34" i="37"/>
  <c r="O34" i="37"/>
  <c r="N34" i="37"/>
  <c r="M34" i="37"/>
  <c r="L34" i="37"/>
  <c r="K34" i="37" s="1"/>
  <c r="J34" i="37" s="1"/>
  <c r="I34" i="37" s="1"/>
  <c r="H34" i="37" s="1"/>
  <c r="G34" i="37" s="1"/>
  <c r="F34" i="37" s="1"/>
  <c r="E34" i="37" s="1"/>
  <c r="D34" i="37" s="1"/>
  <c r="C34" i="37" s="1"/>
  <c r="B34" i="37" s="1"/>
  <c r="V33" i="37"/>
  <c r="U33" i="37"/>
  <c r="T33" i="37"/>
  <c r="S33" i="37"/>
  <c r="R33" i="37"/>
  <c r="Q33" i="37"/>
  <c r="P33" i="37"/>
  <c r="O33" i="37"/>
  <c r="N33" i="37"/>
  <c r="M33" i="37"/>
  <c r="L33" i="37" s="1"/>
  <c r="K33" i="37" s="1"/>
  <c r="J33" i="37" s="1"/>
  <c r="I33" i="37" s="1"/>
  <c r="H33" i="37" s="1"/>
  <c r="G33" i="37" s="1"/>
  <c r="F33" i="37" s="1"/>
  <c r="E33" i="37" s="1"/>
  <c r="D33" i="37" s="1"/>
  <c r="C33" i="37" s="1"/>
  <c r="B33" i="37" s="1"/>
  <c r="V32" i="37"/>
  <c r="U32" i="37"/>
  <c r="T32" i="37"/>
  <c r="S32" i="37"/>
  <c r="R32" i="37"/>
  <c r="Q32" i="37"/>
  <c r="P32" i="37"/>
  <c r="O32" i="37"/>
  <c r="N32" i="37"/>
  <c r="M32" i="37"/>
  <c r="L32" i="37" s="1"/>
  <c r="K32" i="37" s="1"/>
  <c r="J32" i="37" s="1"/>
  <c r="I32" i="37" s="1"/>
  <c r="H32" i="37" s="1"/>
  <c r="G32" i="37" s="1"/>
  <c r="F32" i="37" s="1"/>
  <c r="E32" i="37" s="1"/>
  <c r="D32" i="37" s="1"/>
  <c r="C32" i="37" s="1"/>
  <c r="B32" i="37" s="1"/>
  <c r="V31" i="37"/>
  <c r="U31" i="37"/>
  <c r="T31" i="37"/>
  <c r="S31" i="37"/>
  <c r="R31" i="37"/>
  <c r="Q31" i="37"/>
  <c r="P31" i="37"/>
  <c r="O31" i="37"/>
  <c r="N31" i="37"/>
  <c r="M31" i="37"/>
  <c r="L31" i="37" s="1"/>
  <c r="K31" i="37" s="1"/>
  <c r="J31" i="37" s="1"/>
  <c r="I31" i="37" s="1"/>
  <c r="H31" i="37" s="1"/>
  <c r="G31" i="37" s="1"/>
  <c r="F31" i="37" s="1"/>
  <c r="E31" i="37" s="1"/>
  <c r="D31" i="37" s="1"/>
  <c r="C31" i="37" s="1"/>
  <c r="B31" i="37" s="1"/>
  <c r="V30" i="37"/>
  <c r="U30" i="37"/>
  <c r="T30" i="37"/>
  <c r="S30" i="37"/>
  <c r="R30" i="37"/>
  <c r="Q30" i="37"/>
  <c r="P30" i="37"/>
  <c r="O30" i="37"/>
  <c r="N30" i="37"/>
  <c r="M30" i="37"/>
  <c r="L30" i="37"/>
  <c r="K30" i="37" s="1"/>
  <c r="J30" i="37" s="1"/>
  <c r="I30" i="37" s="1"/>
  <c r="H30" i="37" s="1"/>
  <c r="G30" i="37" s="1"/>
  <c r="F30" i="37" s="1"/>
  <c r="E30" i="37" s="1"/>
  <c r="D30" i="37" s="1"/>
  <c r="C30" i="37" s="1"/>
  <c r="B30" i="37" s="1"/>
  <c r="V29" i="37"/>
  <c r="U29" i="37"/>
  <c r="T29" i="37"/>
  <c r="S29" i="37"/>
  <c r="R29" i="37"/>
  <c r="Q29" i="37"/>
  <c r="P29" i="37"/>
  <c r="O29" i="37"/>
  <c r="N29" i="37"/>
  <c r="M29" i="37"/>
  <c r="L29" i="37"/>
  <c r="K29" i="37" s="1"/>
  <c r="J29" i="37" s="1"/>
  <c r="I29" i="37" s="1"/>
  <c r="H29" i="37" s="1"/>
  <c r="G29" i="37" s="1"/>
  <c r="F29" i="37" s="1"/>
  <c r="E29" i="37" s="1"/>
  <c r="D29" i="37" s="1"/>
  <c r="C29" i="37" s="1"/>
  <c r="B29" i="37" s="1"/>
  <c r="V28" i="37"/>
  <c r="U28" i="37"/>
  <c r="T28" i="37"/>
  <c r="S28" i="37"/>
  <c r="R28" i="37"/>
  <c r="Q28" i="37"/>
  <c r="P28" i="37"/>
  <c r="O28" i="37"/>
  <c r="N28" i="37"/>
  <c r="M28" i="37"/>
  <c r="L28" i="37" s="1"/>
  <c r="K28" i="37" s="1"/>
  <c r="J28" i="37" s="1"/>
  <c r="I28" i="37" s="1"/>
  <c r="H28" i="37" s="1"/>
  <c r="G28" i="37" s="1"/>
  <c r="F28" i="37" s="1"/>
  <c r="E28" i="37" s="1"/>
  <c r="D28" i="37" s="1"/>
  <c r="C28" i="37" s="1"/>
  <c r="B28" i="37" s="1"/>
  <c r="V27" i="37"/>
  <c r="U27" i="37"/>
  <c r="T27" i="37"/>
  <c r="S27" i="37"/>
  <c r="R27" i="37"/>
  <c r="Q27" i="37"/>
  <c r="P27" i="37"/>
  <c r="O27" i="37"/>
  <c r="N27" i="37"/>
  <c r="M27" i="37"/>
  <c r="L27" i="37"/>
  <c r="K27" i="37" s="1"/>
  <c r="J27" i="37" s="1"/>
  <c r="I27" i="37" s="1"/>
  <c r="H27" i="37" s="1"/>
  <c r="G27" i="37" s="1"/>
  <c r="F27" i="37" s="1"/>
  <c r="E27" i="37" s="1"/>
  <c r="D27" i="37" s="1"/>
  <c r="C27" i="37" s="1"/>
  <c r="B27" i="37" s="1"/>
  <c r="V26" i="37"/>
  <c r="U26" i="37"/>
  <c r="T26" i="37"/>
  <c r="S26" i="37"/>
  <c r="R26" i="37"/>
  <c r="Q26" i="37"/>
  <c r="P26" i="37"/>
  <c r="O26" i="37"/>
  <c r="N26" i="37"/>
  <c r="M26" i="37"/>
  <c r="L26" i="37" s="1"/>
  <c r="K26" i="37" s="1"/>
  <c r="J26" i="37" s="1"/>
  <c r="I26" i="37" s="1"/>
  <c r="H26" i="37" s="1"/>
  <c r="G26" i="37" s="1"/>
  <c r="F26" i="37" s="1"/>
  <c r="E26" i="37" s="1"/>
  <c r="D26" i="37" s="1"/>
  <c r="C26" i="37" s="1"/>
  <c r="B26" i="37" s="1"/>
  <c r="V25" i="37"/>
  <c r="U25" i="37"/>
  <c r="T25" i="37"/>
  <c r="S25" i="37"/>
  <c r="R25" i="37"/>
  <c r="Q25" i="37"/>
  <c r="P25" i="37"/>
  <c r="O25" i="37"/>
  <c r="N25" i="37"/>
  <c r="M25" i="37"/>
  <c r="L25" i="37" s="1"/>
  <c r="K25" i="37" s="1"/>
  <c r="J25" i="37" s="1"/>
  <c r="I25" i="37" s="1"/>
  <c r="H25" i="37" s="1"/>
  <c r="G25" i="37" s="1"/>
  <c r="F25" i="37" s="1"/>
  <c r="E25" i="37" s="1"/>
  <c r="D25" i="37" s="1"/>
  <c r="C25" i="37" s="1"/>
  <c r="B25" i="37" s="1"/>
  <c r="V24" i="37"/>
  <c r="U24" i="37"/>
  <c r="T24" i="37"/>
  <c r="S24" i="37"/>
  <c r="R24" i="37"/>
  <c r="Q24" i="37"/>
  <c r="P24" i="37"/>
  <c r="O24" i="37"/>
  <c r="N24" i="37"/>
  <c r="M24" i="37"/>
  <c r="L24" i="37"/>
  <c r="K24" i="37" s="1"/>
  <c r="J24" i="37" s="1"/>
  <c r="I24" i="37" s="1"/>
  <c r="H24" i="37" s="1"/>
  <c r="G24" i="37" s="1"/>
  <c r="F24" i="37" s="1"/>
  <c r="E24" i="37" s="1"/>
  <c r="D24" i="37" s="1"/>
  <c r="C24" i="37" s="1"/>
  <c r="B24" i="37" s="1"/>
  <c r="V23" i="37"/>
  <c r="U23" i="37"/>
  <c r="T23" i="37"/>
  <c r="S23" i="37"/>
  <c r="R23" i="37"/>
  <c r="Q23" i="37"/>
  <c r="P23" i="37"/>
  <c r="O23" i="37"/>
  <c r="N23" i="37"/>
  <c r="M23" i="37"/>
  <c r="L23" i="37" s="1"/>
  <c r="K23" i="37" s="1"/>
  <c r="J23" i="37" s="1"/>
  <c r="I23" i="37" s="1"/>
  <c r="H23" i="37" s="1"/>
  <c r="G23" i="37" s="1"/>
  <c r="F23" i="37" s="1"/>
  <c r="E23" i="37" s="1"/>
  <c r="D23" i="37" s="1"/>
  <c r="C23" i="37" s="1"/>
  <c r="B23" i="37" s="1"/>
  <c r="V22" i="37"/>
  <c r="U22" i="37"/>
  <c r="T22" i="37"/>
  <c r="S22" i="37"/>
  <c r="R22" i="37"/>
  <c r="Q22" i="37"/>
  <c r="P22" i="37"/>
  <c r="O22" i="37"/>
  <c r="N22" i="37"/>
  <c r="M22" i="37"/>
  <c r="L22" i="37" s="1"/>
  <c r="K22" i="37" s="1"/>
  <c r="J22" i="37" s="1"/>
  <c r="I22" i="37" s="1"/>
  <c r="H22" i="37" s="1"/>
  <c r="G22" i="37" s="1"/>
  <c r="F22" i="37" s="1"/>
  <c r="E22" i="37" s="1"/>
  <c r="D22" i="37" s="1"/>
  <c r="C22" i="37" s="1"/>
  <c r="B22" i="37" s="1"/>
  <c r="V21" i="37"/>
  <c r="U21" i="37"/>
  <c r="T21" i="37"/>
  <c r="S21" i="37"/>
  <c r="R21" i="37"/>
  <c r="Q21" i="37"/>
  <c r="P21" i="37"/>
  <c r="O21" i="37"/>
  <c r="N21" i="37"/>
  <c r="M21" i="37"/>
  <c r="L21" i="37" s="1"/>
  <c r="K21" i="37" s="1"/>
  <c r="J21" i="37" s="1"/>
  <c r="I21" i="37" s="1"/>
  <c r="H21" i="37" s="1"/>
  <c r="G21" i="37" s="1"/>
  <c r="F21" i="37" s="1"/>
  <c r="E21" i="37" s="1"/>
  <c r="D21" i="37" s="1"/>
  <c r="C21" i="37" s="1"/>
  <c r="B21" i="37" s="1"/>
  <c r="V20" i="37"/>
  <c r="U20" i="37"/>
  <c r="T20" i="37"/>
  <c r="S20" i="37"/>
  <c r="R20" i="37"/>
  <c r="Q20" i="37"/>
  <c r="P20" i="37"/>
  <c r="O20" i="37"/>
  <c r="N20" i="37"/>
  <c r="M20" i="37"/>
  <c r="L20" i="37" s="1"/>
  <c r="K20" i="37" s="1"/>
  <c r="J20" i="37" s="1"/>
  <c r="I20" i="37" s="1"/>
  <c r="H20" i="37" s="1"/>
  <c r="G20" i="37" s="1"/>
  <c r="F20" i="37" s="1"/>
  <c r="E20" i="37" s="1"/>
  <c r="D20" i="37" s="1"/>
  <c r="C20" i="37" s="1"/>
  <c r="B20" i="37" s="1"/>
  <c r="V19" i="37"/>
  <c r="U19" i="37"/>
  <c r="T19" i="37"/>
  <c r="S19" i="37"/>
  <c r="R19" i="37"/>
  <c r="Q19" i="37"/>
  <c r="P19" i="37"/>
  <c r="O19" i="37"/>
  <c r="N19" i="37"/>
  <c r="M19" i="37"/>
  <c r="L19" i="37" s="1"/>
  <c r="K19" i="37" s="1"/>
  <c r="J19" i="37" s="1"/>
  <c r="I19" i="37" s="1"/>
  <c r="H19" i="37" s="1"/>
  <c r="G19" i="37" s="1"/>
  <c r="F19" i="37" s="1"/>
  <c r="E19" i="37" s="1"/>
  <c r="D19" i="37" s="1"/>
  <c r="C19" i="37" s="1"/>
  <c r="B19" i="37" s="1"/>
  <c r="V18" i="37"/>
  <c r="U18" i="37"/>
  <c r="T18" i="37"/>
  <c r="S18" i="37"/>
  <c r="R18" i="37"/>
  <c r="Q18" i="37"/>
  <c r="P18" i="37"/>
  <c r="O18" i="37"/>
  <c r="N18" i="37"/>
  <c r="M18" i="37"/>
  <c r="L18" i="37" s="1"/>
  <c r="K18" i="37" s="1"/>
  <c r="J18" i="37" s="1"/>
  <c r="I18" i="37" s="1"/>
  <c r="H18" i="37" s="1"/>
  <c r="G18" i="37" s="1"/>
  <c r="F18" i="37" s="1"/>
  <c r="E18" i="37" s="1"/>
  <c r="D18" i="37" s="1"/>
  <c r="C18" i="37" s="1"/>
  <c r="B18" i="37" s="1"/>
  <c r="V17" i="37"/>
  <c r="U17" i="37"/>
  <c r="T17" i="37"/>
  <c r="S17" i="37"/>
  <c r="R17" i="37"/>
  <c r="Q17" i="37"/>
  <c r="P17" i="37"/>
  <c r="O17" i="37"/>
  <c r="N17" i="37"/>
  <c r="M17" i="37"/>
  <c r="L17" i="37" s="1"/>
  <c r="K17" i="37" s="1"/>
  <c r="J17" i="37" s="1"/>
  <c r="I17" i="37" s="1"/>
  <c r="H17" i="37" s="1"/>
  <c r="G17" i="37" s="1"/>
  <c r="F17" i="37" s="1"/>
  <c r="E17" i="37" s="1"/>
  <c r="D17" i="37" s="1"/>
  <c r="C17" i="37" s="1"/>
  <c r="B17" i="37" s="1"/>
  <c r="V16" i="37"/>
  <c r="U16" i="37"/>
  <c r="T16" i="37"/>
  <c r="S16" i="37"/>
  <c r="R16" i="37"/>
  <c r="Q16" i="37"/>
  <c r="P16" i="37"/>
  <c r="O16" i="37"/>
  <c r="N16" i="37"/>
  <c r="M16" i="37"/>
  <c r="L16" i="37"/>
  <c r="K16" i="37" s="1"/>
  <c r="J16" i="37" s="1"/>
  <c r="I16" i="37" s="1"/>
  <c r="H16" i="37" s="1"/>
  <c r="G16" i="37" s="1"/>
  <c r="F16" i="37" s="1"/>
  <c r="E16" i="37" s="1"/>
  <c r="D16" i="37" s="1"/>
  <c r="C16" i="37" s="1"/>
  <c r="B16" i="37" s="1"/>
  <c r="V15" i="37"/>
  <c r="U15" i="37"/>
  <c r="T15" i="37"/>
  <c r="S15" i="37"/>
  <c r="R15" i="37"/>
  <c r="Q15" i="37"/>
  <c r="P15" i="37"/>
  <c r="O15" i="37"/>
  <c r="N15" i="37"/>
  <c r="M15" i="37"/>
  <c r="L15" i="37" s="1"/>
  <c r="K15" i="37" s="1"/>
  <c r="J15" i="37" s="1"/>
  <c r="I15" i="37" s="1"/>
  <c r="H15" i="37" s="1"/>
  <c r="G15" i="37" s="1"/>
  <c r="F15" i="37" s="1"/>
  <c r="E15" i="37" s="1"/>
  <c r="D15" i="37" s="1"/>
  <c r="C15" i="37" s="1"/>
  <c r="B15" i="37" s="1"/>
  <c r="V14" i="37"/>
  <c r="U14" i="37"/>
  <c r="T14" i="37"/>
  <c r="S14" i="37"/>
  <c r="R14" i="37"/>
  <c r="Q14" i="37"/>
  <c r="P14" i="37"/>
  <c r="O14" i="37"/>
  <c r="N14" i="37"/>
  <c r="M14" i="37"/>
  <c r="L14" i="37" s="1"/>
  <c r="K14" i="37" s="1"/>
  <c r="J14" i="37" s="1"/>
  <c r="I14" i="37" s="1"/>
  <c r="H14" i="37" s="1"/>
  <c r="G14" i="37" s="1"/>
  <c r="F14" i="37" s="1"/>
  <c r="E14" i="37" s="1"/>
  <c r="D14" i="37" s="1"/>
  <c r="C14" i="37" s="1"/>
  <c r="B14" i="37" s="1"/>
  <c r="V13" i="37"/>
  <c r="U13" i="37"/>
  <c r="T13" i="37"/>
  <c r="S13" i="37"/>
  <c r="R13" i="37"/>
  <c r="Q13" i="37"/>
  <c r="P13" i="37"/>
  <c r="O13" i="37"/>
  <c r="N13" i="37"/>
  <c r="M13" i="37"/>
  <c r="L13" i="37" s="1"/>
  <c r="K13" i="37" s="1"/>
  <c r="J13" i="37" s="1"/>
  <c r="I13" i="37" s="1"/>
  <c r="H13" i="37" s="1"/>
  <c r="G13" i="37" s="1"/>
  <c r="F13" i="37" s="1"/>
  <c r="E13" i="37" s="1"/>
  <c r="D13" i="37" s="1"/>
  <c r="C13" i="37" s="1"/>
  <c r="B13" i="37" s="1"/>
  <c r="V12" i="37"/>
  <c r="U12" i="37"/>
  <c r="T12" i="37"/>
  <c r="S12" i="37"/>
  <c r="R12" i="37"/>
  <c r="Q12" i="37"/>
  <c r="P12" i="37"/>
  <c r="O12" i="37"/>
  <c r="N12" i="37"/>
  <c r="M12" i="37"/>
  <c r="L12" i="37" s="1"/>
  <c r="K12" i="37" s="1"/>
  <c r="J12" i="37" s="1"/>
  <c r="I12" i="37" s="1"/>
  <c r="H12" i="37" s="1"/>
  <c r="G12" i="37" s="1"/>
  <c r="F12" i="37" s="1"/>
  <c r="E12" i="37" s="1"/>
  <c r="D12" i="37" s="1"/>
  <c r="C12" i="37" s="1"/>
  <c r="B12" i="37" s="1"/>
  <c r="V11" i="37"/>
  <c r="U11" i="37"/>
  <c r="T11" i="37"/>
  <c r="S11" i="37"/>
  <c r="R11" i="37"/>
  <c r="Q11" i="37"/>
  <c r="P11" i="37"/>
  <c r="O11" i="37"/>
  <c r="N11" i="37"/>
  <c r="M11" i="37"/>
  <c r="L11" i="37" s="1"/>
  <c r="K11" i="37" s="1"/>
  <c r="J11" i="37" s="1"/>
  <c r="I11" i="37" s="1"/>
  <c r="H11" i="37" s="1"/>
  <c r="G11" i="37" s="1"/>
  <c r="F11" i="37" s="1"/>
  <c r="E11" i="37" s="1"/>
  <c r="D11" i="37" s="1"/>
  <c r="C11" i="37" s="1"/>
  <c r="B11" i="37" s="1"/>
  <c r="V10" i="37"/>
  <c r="U10" i="37"/>
  <c r="T10" i="37"/>
  <c r="S10" i="37"/>
  <c r="R10" i="37"/>
  <c r="Q10" i="37"/>
  <c r="P10" i="37"/>
  <c r="O10" i="37"/>
  <c r="N10" i="37"/>
  <c r="M10" i="37"/>
  <c r="M41" i="37" l="1"/>
  <c r="U41" i="37"/>
  <c r="N41" i="37"/>
  <c r="M42" i="37" s="1"/>
  <c r="V41" i="37"/>
  <c r="L10" i="37"/>
  <c r="K10" i="37" s="1"/>
  <c r="J10" i="37" s="1"/>
  <c r="T41" i="37"/>
  <c r="Q41" i="37"/>
  <c r="S41" i="37"/>
  <c r="O41" i="37"/>
  <c r="P41" i="37"/>
  <c r="R41" i="37"/>
  <c r="X24" i="36"/>
  <c r="BB8" i="36" l="1"/>
  <c r="X8" i="36" s="1"/>
  <c r="BB31" i="36"/>
  <c r="X31" i="36" s="1"/>
  <c r="BB23" i="36"/>
  <c r="X23" i="36" s="1"/>
  <c r="BB15" i="36"/>
  <c r="X15" i="36" s="1"/>
  <c r="BB7" i="36"/>
  <c r="X7" i="36" s="1"/>
  <c r="Y24" i="36"/>
  <c r="BB16" i="36"/>
  <c r="X16" i="36" s="1"/>
  <c r="BB30" i="36"/>
  <c r="X30" i="36" s="1"/>
  <c r="BB22" i="36"/>
  <c r="X22" i="36" s="1"/>
  <c r="BB14" i="36"/>
  <c r="X14" i="36" s="1"/>
  <c r="BB6" i="36"/>
  <c r="X6" i="36" s="1"/>
  <c r="BB5" i="36"/>
  <c r="X5" i="36" s="1"/>
  <c r="BB29" i="36"/>
  <c r="X29" i="36" s="1"/>
  <c r="BB21" i="36"/>
  <c r="X21" i="36" s="1"/>
  <c r="BB13" i="36"/>
  <c r="X13" i="36" s="1"/>
  <c r="BB4" i="36"/>
  <c r="X4" i="36" s="1"/>
  <c r="BB32" i="36"/>
  <c r="X32" i="36" s="1"/>
  <c r="BB3" i="36"/>
  <c r="X3" i="36" s="1"/>
  <c r="Y3" i="36" s="1"/>
  <c r="BB27" i="36"/>
  <c r="X27" i="36" s="1"/>
  <c r="BB19" i="36"/>
  <c r="X19" i="36"/>
  <c r="BB11" i="36"/>
  <c r="X11" i="36"/>
  <c r="BB20" i="36"/>
  <c r="X20" i="36" s="1"/>
  <c r="BB12" i="36"/>
  <c r="X12" i="36" s="1"/>
  <c r="BB26" i="36"/>
  <c r="X26" i="36"/>
  <c r="BB18" i="36"/>
  <c r="X18" i="36" s="1"/>
  <c r="BB10" i="36"/>
  <c r="X10" i="36" s="1"/>
  <c r="BB28" i="36"/>
  <c r="X28" i="36" s="1"/>
  <c r="BB33" i="36"/>
  <c r="X33" i="36" s="1"/>
  <c r="BB25" i="36"/>
  <c r="X25" i="36" s="1"/>
  <c r="BB17" i="36"/>
  <c r="X17" i="36"/>
  <c r="BB9" i="36"/>
  <c r="X9" i="36" s="1"/>
  <c r="T42" i="37"/>
  <c r="U42" i="37"/>
  <c r="K41" i="37"/>
  <c r="L41" i="37"/>
  <c r="L42" i="37" s="1"/>
  <c r="S42" i="37"/>
  <c r="O42" i="37"/>
  <c r="Q42" i="37"/>
  <c r="V42" i="37"/>
  <c r="N42" i="37"/>
  <c r="R42" i="37"/>
  <c r="P42" i="37"/>
  <c r="J41" i="37"/>
  <c r="I10" i="37"/>
  <c r="AP42" i="23"/>
  <c r="AQ42" i="23"/>
  <c r="AR42" i="23"/>
  <c r="AS42" i="23"/>
  <c r="Y16" i="36" l="1"/>
  <c r="Y32" i="36"/>
  <c r="Y25" i="36"/>
  <c r="Y7" i="36"/>
  <c r="Y33" i="36"/>
  <c r="Y6" i="36"/>
  <c r="Y15" i="36"/>
  <c r="Y14" i="36"/>
  <c r="Y23" i="36"/>
  <c r="Y9" i="36"/>
  <c r="Y22" i="36"/>
  <c r="Y31" i="36"/>
  <c r="Y30" i="36"/>
  <c r="Y8" i="36"/>
  <c r="Y5" i="36"/>
  <c r="Y28" i="36"/>
  <c r="Y12" i="36"/>
  <c r="Y27" i="36"/>
  <c r="Y13" i="36"/>
  <c r="Y4" i="36"/>
  <c r="Y17" i="36"/>
  <c r="Y10" i="36"/>
  <c r="Y20" i="36"/>
  <c r="Z3" i="36"/>
  <c r="Y21" i="36"/>
  <c r="Y19" i="36"/>
  <c r="Z24" i="36"/>
  <c r="Y18" i="36"/>
  <c r="Y11" i="36"/>
  <c r="Y29" i="36"/>
  <c r="Y26" i="36"/>
  <c r="K42" i="37"/>
  <c r="J42" i="37"/>
  <c r="I41" i="37"/>
  <c r="I42" i="37" s="1"/>
  <c r="H10" i="37"/>
  <c r="Z26" i="36" l="1"/>
  <c r="AA3" i="36"/>
  <c r="Z31" i="36"/>
  <c r="Z7" i="36"/>
  <c r="Z14" i="36"/>
  <c r="AA24" i="36"/>
  <c r="Z20" i="36"/>
  <c r="Z15" i="36"/>
  <c r="Z25" i="36"/>
  <c r="Z29" i="36"/>
  <c r="Z13" i="36"/>
  <c r="Z5" i="36"/>
  <c r="Z22" i="36"/>
  <c r="Z19" i="36"/>
  <c r="Z10" i="36"/>
  <c r="Z27" i="36"/>
  <c r="Z6" i="36"/>
  <c r="Z4" i="36"/>
  <c r="Z11" i="36"/>
  <c r="Z8" i="36"/>
  <c r="Z9" i="36"/>
  <c r="Z32" i="36"/>
  <c r="Z30" i="36"/>
  <c r="Z16" i="36"/>
  <c r="Z28" i="36"/>
  <c r="Z18" i="36"/>
  <c r="Z21" i="36"/>
  <c r="Z17" i="36"/>
  <c r="Z12" i="36"/>
  <c r="Z23" i="36"/>
  <c r="Z33" i="36"/>
  <c r="H41" i="37"/>
  <c r="H42" i="37" s="1"/>
  <c r="G10" i="37"/>
  <c r="AA27" i="36" l="1"/>
  <c r="AA5" i="36"/>
  <c r="AA15" i="36"/>
  <c r="AA7" i="36"/>
  <c r="AA16" i="36"/>
  <c r="AA21" i="36"/>
  <c r="AA11" i="36"/>
  <c r="AA10" i="36"/>
  <c r="AA13" i="36"/>
  <c r="AA31" i="36"/>
  <c r="AA17" i="36"/>
  <c r="AA20" i="36"/>
  <c r="AA30" i="36"/>
  <c r="AA29" i="36"/>
  <c r="AA18" i="36"/>
  <c r="AA32" i="36"/>
  <c r="AA4" i="36"/>
  <c r="AA19" i="36"/>
  <c r="AB24" i="36"/>
  <c r="AB3" i="36"/>
  <c r="AA8" i="36"/>
  <c r="AA33" i="36"/>
  <c r="AA23" i="36"/>
  <c r="AA9" i="36"/>
  <c r="AA12" i="36"/>
  <c r="AA28" i="36"/>
  <c r="AA6" i="36"/>
  <c r="AA22" i="36"/>
  <c r="AA25" i="36"/>
  <c r="AA14" i="36"/>
  <c r="AA26" i="36"/>
  <c r="G41" i="37"/>
  <c r="G42" i="37" s="1"/>
  <c r="F10" i="37"/>
  <c r="AB9" i="36" l="1"/>
  <c r="AB20" i="36"/>
  <c r="AB10" i="36"/>
  <c r="AB7" i="36"/>
  <c r="AC3" i="36"/>
  <c r="AB23" i="36"/>
  <c r="AC24" i="36"/>
  <c r="AB18" i="36"/>
  <c r="AB17" i="36"/>
  <c r="AB11" i="36"/>
  <c r="AB15" i="36"/>
  <c r="AB22" i="36"/>
  <c r="AB32" i="36"/>
  <c r="AB14" i="36"/>
  <c r="AB28" i="36"/>
  <c r="AB33" i="36"/>
  <c r="AB19" i="36"/>
  <c r="AB29" i="36"/>
  <c r="AB31" i="36"/>
  <c r="AB21" i="36"/>
  <c r="AB5" i="36"/>
  <c r="AB6" i="36"/>
  <c r="AB26" i="36"/>
  <c r="AB25" i="36"/>
  <c r="AB12" i="36"/>
  <c r="AB8" i="36"/>
  <c r="AB4" i="36"/>
  <c r="AB30" i="36"/>
  <c r="AB13" i="36"/>
  <c r="AB16" i="36"/>
  <c r="AB27" i="36"/>
  <c r="F41" i="37"/>
  <c r="F42" i="37" s="1"/>
  <c r="E10" i="37"/>
  <c r="AC21" i="36" l="1"/>
  <c r="AC22" i="36"/>
  <c r="AC18" i="36"/>
  <c r="AC7" i="36"/>
  <c r="AC25" i="36"/>
  <c r="AC4" i="36"/>
  <c r="AC31" i="36"/>
  <c r="AC28" i="36"/>
  <c r="AC15" i="36"/>
  <c r="AD24" i="36"/>
  <c r="AC10" i="36"/>
  <c r="AC30" i="36"/>
  <c r="AC33" i="36"/>
  <c r="AC27" i="36"/>
  <c r="AC16" i="36"/>
  <c r="AC8" i="36"/>
  <c r="AC6" i="36"/>
  <c r="AC29" i="36"/>
  <c r="AC14" i="36"/>
  <c r="AC11" i="36"/>
  <c r="AC23" i="36"/>
  <c r="AC20" i="36"/>
  <c r="AC26" i="36"/>
  <c r="AC32" i="36"/>
  <c r="AC13" i="36"/>
  <c r="AC12" i="36"/>
  <c r="AC5" i="36"/>
  <c r="AC19" i="36"/>
  <c r="AC17" i="36"/>
  <c r="AD3" i="36"/>
  <c r="AC9" i="36"/>
  <c r="E41" i="37"/>
  <c r="E42" i="37" s="1"/>
  <c r="D10" i="37"/>
  <c r="AD30" i="36" l="1"/>
  <c r="AD7" i="36"/>
  <c r="AD11" i="36"/>
  <c r="AD9" i="36"/>
  <c r="AD14" i="36"/>
  <c r="AD16" i="36"/>
  <c r="AD10" i="36"/>
  <c r="AD31" i="36"/>
  <c r="AD18" i="36"/>
  <c r="AD32" i="36"/>
  <c r="AD28" i="36"/>
  <c r="AD5" i="36"/>
  <c r="AE3" i="36"/>
  <c r="AD20" i="36"/>
  <c r="AD29" i="36"/>
  <c r="AD27" i="36"/>
  <c r="AE24" i="36"/>
  <c r="AD4" i="36"/>
  <c r="AD22" i="36"/>
  <c r="AD19" i="36"/>
  <c r="AD8" i="36"/>
  <c r="AD26" i="36"/>
  <c r="AD12" i="36"/>
  <c r="AD17" i="36"/>
  <c r="AD13" i="36"/>
  <c r="AD23" i="36"/>
  <c r="AD6" i="36"/>
  <c r="AD33" i="36"/>
  <c r="AD15" i="36"/>
  <c r="AD25" i="36"/>
  <c r="AD21" i="36"/>
  <c r="D41" i="37"/>
  <c r="D42" i="37" s="1"/>
  <c r="C10" i="37"/>
  <c r="AE33" i="36" l="1"/>
  <c r="AE27" i="36"/>
  <c r="AE5" i="36"/>
  <c r="AE31" i="36"/>
  <c r="AE9" i="36"/>
  <c r="AE6" i="36"/>
  <c r="AE12" i="36"/>
  <c r="AE22" i="36"/>
  <c r="AE29" i="36"/>
  <c r="AE28" i="36"/>
  <c r="AE10" i="36"/>
  <c r="AE11" i="36"/>
  <c r="AE17" i="36"/>
  <c r="AE25" i="36"/>
  <c r="AE23" i="36"/>
  <c r="AE26" i="36"/>
  <c r="AE4" i="36"/>
  <c r="AE20" i="36"/>
  <c r="AE16" i="36"/>
  <c r="AE7" i="36"/>
  <c r="AE19" i="36"/>
  <c r="AE21" i="36"/>
  <c r="AE32" i="36"/>
  <c r="AE15" i="36"/>
  <c r="AE13" i="36"/>
  <c r="AE8" i="36"/>
  <c r="AF24" i="36"/>
  <c r="AF3" i="36"/>
  <c r="AE18" i="36"/>
  <c r="AE14" i="36"/>
  <c r="AE30" i="36"/>
  <c r="C41" i="37"/>
  <c r="C42" i="37" s="1"/>
  <c r="B10" i="37"/>
  <c r="B41" i="37" s="1"/>
  <c r="B42" i="37" s="1"/>
  <c r="AF15" i="36" l="1"/>
  <c r="AF11" i="36"/>
  <c r="AF22" i="36"/>
  <c r="AF31" i="36"/>
  <c r="AF30" i="36"/>
  <c r="AF16" i="36"/>
  <c r="AF10" i="36"/>
  <c r="AF12" i="36"/>
  <c r="AF5" i="36"/>
  <c r="AF7" i="36"/>
  <c r="AF8" i="36"/>
  <c r="AF21" i="36"/>
  <c r="AF20" i="36"/>
  <c r="AF25" i="36"/>
  <c r="AF28" i="36"/>
  <c r="AF6" i="36"/>
  <c r="AF27" i="36"/>
  <c r="AG3" i="36"/>
  <c r="AF26" i="36"/>
  <c r="AF32" i="36"/>
  <c r="AG24" i="36"/>
  <c r="AF23" i="36"/>
  <c r="AF14" i="36"/>
  <c r="AF18" i="36"/>
  <c r="AF13" i="36"/>
  <c r="AF19" i="36"/>
  <c r="AF4" i="36"/>
  <c r="AF17" i="36"/>
  <c r="AF29" i="36"/>
  <c r="AF9" i="36"/>
  <c r="AF33" i="36"/>
  <c r="AG32" i="36" l="1"/>
  <c r="AG17" i="36"/>
  <c r="AG21" i="36"/>
  <c r="AG12" i="36"/>
  <c r="AG31" i="36"/>
  <c r="AG33" i="36"/>
  <c r="AG14" i="36"/>
  <c r="AG26" i="36"/>
  <c r="AG28" i="36"/>
  <c r="AG8" i="36"/>
  <c r="AG10" i="36"/>
  <c r="AG22" i="36"/>
  <c r="AG9" i="36"/>
  <c r="AG19" i="36"/>
  <c r="AG23" i="36"/>
  <c r="AH3" i="36"/>
  <c r="AG25" i="36"/>
  <c r="AG7" i="36"/>
  <c r="AG16" i="36"/>
  <c r="AG11" i="36"/>
  <c r="AG6" i="36"/>
  <c r="AG4" i="36"/>
  <c r="AG18" i="36"/>
  <c r="AG29" i="36"/>
  <c r="AG13" i="36"/>
  <c r="AH24" i="36"/>
  <c r="AG27" i="36"/>
  <c r="AG20" i="36"/>
  <c r="AG5" i="36"/>
  <c r="AG30" i="36"/>
  <c r="AG15" i="36"/>
  <c r="AH20" i="36" l="1"/>
  <c r="AI3" i="36"/>
  <c r="AH22" i="36"/>
  <c r="AH26" i="36"/>
  <c r="AH12" i="36"/>
  <c r="AH16" i="36"/>
  <c r="AH23" i="36"/>
  <c r="AH10" i="36"/>
  <c r="AH14" i="36"/>
  <c r="AH21" i="36"/>
  <c r="AH30" i="36"/>
  <c r="AI24" i="36"/>
  <c r="AH4" i="36"/>
  <c r="AH7" i="36"/>
  <c r="AH19" i="36"/>
  <c r="AH8" i="36"/>
  <c r="AH33" i="36"/>
  <c r="AH17" i="36"/>
  <c r="AH11" i="36"/>
  <c r="AH27" i="36"/>
  <c r="AH29" i="36"/>
  <c r="AH15" i="36"/>
  <c r="AH18" i="36"/>
  <c r="AH5" i="36"/>
  <c r="AH13" i="36"/>
  <c r="AH6" i="36"/>
  <c r="AH25" i="36"/>
  <c r="AH9" i="36"/>
  <c r="AH28" i="36"/>
  <c r="AH31" i="36"/>
  <c r="AH32" i="36"/>
  <c r="AI8" i="36" l="1"/>
  <c r="AI10" i="36"/>
  <c r="AI26" i="36"/>
  <c r="AI27" i="36"/>
  <c r="AI32" i="36"/>
  <c r="AI18" i="36"/>
  <c r="AI11" i="36"/>
  <c r="AI19" i="36"/>
  <c r="AI30" i="36"/>
  <c r="AI23" i="36"/>
  <c r="AI22" i="36"/>
  <c r="AJ24" i="36"/>
  <c r="AI5" i="36"/>
  <c r="AI31" i="36"/>
  <c r="AI6" i="36"/>
  <c r="AI15" i="36"/>
  <c r="AI17" i="36"/>
  <c r="AI7" i="36"/>
  <c r="AI21" i="36"/>
  <c r="AI16" i="36"/>
  <c r="AJ3" i="36"/>
  <c r="AI9" i="36"/>
  <c r="AI25" i="36"/>
  <c r="AI28" i="36"/>
  <c r="AI13" i="36"/>
  <c r="AI29" i="36"/>
  <c r="AI33" i="36"/>
  <c r="AI4" i="36"/>
  <c r="AI14" i="36"/>
  <c r="AI12" i="36"/>
  <c r="AI20" i="36"/>
  <c r="AJ4" i="36" l="1"/>
  <c r="AK24" i="36"/>
  <c r="AJ19" i="36"/>
  <c r="AJ27" i="36"/>
  <c r="AJ28" i="36"/>
  <c r="AJ20" i="36"/>
  <c r="AJ25" i="36"/>
  <c r="AJ21" i="36"/>
  <c r="AJ6" i="36"/>
  <c r="AJ22" i="36"/>
  <c r="AJ11" i="36"/>
  <c r="AJ26" i="36"/>
  <c r="AJ15" i="36"/>
  <c r="AJ12" i="36"/>
  <c r="AJ29" i="36"/>
  <c r="AJ9" i="36"/>
  <c r="AJ7" i="36"/>
  <c r="AJ31" i="36"/>
  <c r="AJ23" i="36"/>
  <c r="AJ18" i="36"/>
  <c r="AJ10" i="36"/>
  <c r="AJ16" i="36"/>
  <c r="AJ32" i="36"/>
  <c r="AJ33" i="36"/>
  <c r="AJ14" i="36"/>
  <c r="AJ13" i="36"/>
  <c r="AK3" i="36"/>
  <c r="AJ17" i="36"/>
  <c r="AJ5" i="36"/>
  <c r="AJ30" i="36"/>
  <c r="AJ8" i="36"/>
  <c r="AK26" i="36" l="1"/>
  <c r="AK21" i="36"/>
  <c r="AK27" i="36"/>
  <c r="AK33" i="36"/>
  <c r="AK17" i="36"/>
  <c r="AK8" i="36"/>
  <c r="AK29" i="36"/>
  <c r="AK25" i="36"/>
  <c r="AK19" i="36"/>
  <c r="AK18" i="36"/>
  <c r="AK32" i="36"/>
  <c r="AK23" i="36"/>
  <c r="AK13" i="36"/>
  <c r="AK16" i="36"/>
  <c r="AK31" i="36"/>
  <c r="AK12" i="36"/>
  <c r="AK22" i="36"/>
  <c r="AK20" i="36"/>
  <c r="AL24" i="36"/>
  <c r="AK9" i="36"/>
  <c r="AL3" i="36"/>
  <c r="AK11" i="36"/>
  <c r="AK30" i="36"/>
  <c r="AK5" i="36"/>
  <c r="AK14" i="36"/>
  <c r="AK10" i="36"/>
  <c r="AK7" i="36"/>
  <c r="AK15" i="36"/>
  <c r="AK6" i="36"/>
  <c r="AK28" i="36"/>
  <c r="AK4" i="36"/>
  <c r="AL25" i="36" l="1"/>
  <c r="AL33" i="36"/>
  <c r="AL9" i="36"/>
  <c r="AL4" i="36"/>
  <c r="AL7" i="36"/>
  <c r="AL30" i="36"/>
  <c r="AM24" i="36"/>
  <c r="AL31" i="36"/>
  <c r="AL32" i="36"/>
  <c r="AL29" i="36"/>
  <c r="AL27" i="36"/>
  <c r="AL23" i="36"/>
  <c r="AL15" i="36"/>
  <c r="AL28" i="36"/>
  <c r="AL10" i="36"/>
  <c r="AL11" i="36"/>
  <c r="AL20" i="36"/>
  <c r="AL16" i="36"/>
  <c r="AL18" i="36"/>
  <c r="AL8" i="36"/>
  <c r="AL21" i="36"/>
  <c r="AL5" i="36"/>
  <c r="AL12" i="36"/>
  <c r="AL6" i="36"/>
  <c r="AL14" i="36"/>
  <c r="AM3" i="36"/>
  <c r="AL22" i="36"/>
  <c r="AL13" i="36"/>
  <c r="AL19" i="36"/>
  <c r="AL17" i="36"/>
  <c r="AL26" i="36"/>
  <c r="AM8" i="36" l="1"/>
  <c r="AM23" i="36"/>
  <c r="AM31" i="36"/>
  <c r="AM4" i="36"/>
  <c r="AM13" i="36"/>
  <c r="AM22" i="36"/>
  <c r="AM18" i="36"/>
  <c r="AM10" i="36"/>
  <c r="AM27" i="36"/>
  <c r="AN24" i="36"/>
  <c r="AM9" i="36"/>
  <c r="AM11" i="36"/>
  <c r="AM17" i="36"/>
  <c r="AN3" i="36"/>
  <c r="AM5" i="36"/>
  <c r="AM16" i="36"/>
  <c r="AM28" i="36"/>
  <c r="AM29" i="36"/>
  <c r="AM30" i="36"/>
  <c r="AM33" i="36"/>
  <c r="AM12" i="36"/>
  <c r="AM6" i="36"/>
  <c r="AM26" i="36"/>
  <c r="AM19" i="36"/>
  <c r="AM14" i="36"/>
  <c r="AM21" i="36"/>
  <c r="AM20" i="36"/>
  <c r="AM15" i="36"/>
  <c r="AM32" i="36"/>
  <c r="AM7" i="36"/>
  <c r="AM25" i="36"/>
  <c r="AN16" i="36" l="1"/>
  <c r="AN4" i="36"/>
  <c r="AN11" i="36"/>
  <c r="AN20" i="36"/>
  <c r="AN26" i="36"/>
  <c r="AN30" i="36"/>
  <c r="AN5" i="36"/>
  <c r="AN9" i="36"/>
  <c r="AN18" i="36"/>
  <c r="AN31" i="36"/>
  <c r="AN33" i="36"/>
  <c r="AN10" i="36"/>
  <c r="AN25" i="36"/>
  <c r="AN7" i="36"/>
  <c r="AN21" i="36"/>
  <c r="AN6" i="36"/>
  <c r="AN29" i="36"/>
  <c r="AO3" i="36"/>
  <c r="AO24" i="36"/>
  <c r="AN22" i="36"/>
  <c r="AN23" i="36"/>
  <c r="AN15" i="36"/>
  <c r="AN28" i="36"/>
  <c r="AN19" i="36"/>
  <c r="AN32" i="36"/>
  <c r="AN14" i="36"/>
  <c r="AN12" i="36"/>
  <c r="AN17" i="36"/>
  <c r="AN27" i="36"/>
  <c r="AN13" i="36"/>
  <c r="AN8" i="36"/>
  <c r="AO6" i="36" l="1"/>
  <c r="AO20" i="36"/>
  <c r="AO10" i="36"/>
  <c r="AO12" i="36"/>
  <c r="AO21" i="36"/>
  <c r="AO5" i="36"/>
  <c r="AO11" i="36"/>
  <c r="AO19" i="36"/>
  <c r="AO28" i="36"/>
  <c r="AO17" i="36"/>
  <c r="AO8" i="36"/>
  <c r="AP24" i="36"/>
  <c r="AO13" i="36"/>
  <c r="AO15" i="36"/>
  <c r="AP3" i="36"/>
  <c r="AO7" i="36"/>
  <c r="AO31" i="36"/>
  <c r="AO30" i="36"/>
  <c r="AO4" i="36"/>
  <c r="AO9" i="36"/>
  <c r="AO33" i="36"/>
  <c r="AO22" i="36"/>
  <c r="AO14" i="36"/>
  <c r="AO27" i="36"/>
  <c r="AO32" i="36"/>
  <c r="AO23" i="36"/>
  <c r="AO29" i="36"/>
  <c r="AO25" i="36"/>
  <c r="AO18" i="36"/>
  <c r="AO26" i="36"/>
  <c r="AO16" i="36"/>
  <c r="AP27" i="36" l="1"/>
  <c r="AP19" i="36"/>
  <c r="AP12" i="36"/>
  <c r="AP7" i="36"/>
  <c r="AP16" i="36"/>
  <c r="AP4" i="36"/>
  <c r="AQ3" i="36"/>
  <c r="AP8" i="36"/>
  <c r="AP11" i="36"/>
  <c r="AP10" i="36"/>
  <c r="AP25" i="36"/>
  <c r="AP14" i="36"/>
  <c r="AP26" i="36"/>
  <c r="AP22" i="36"/>
  <c r="AP30" i="36"/>
  <c r="AP15" i="36"/>
  <c r="AP17" i="36"/>
  <c r="AP5" i="36"/>
  <c r="AP20" i="36"/>
  <c r="AQ24" i="36"/>
  <c r="AP29" i="36"/>
  <c r="AP9" i="36"/>
  <c r="AP23" i="36"/>
  <c r="AP32" i="36"/>
  <c r="AP33" i="36"/>
  <c r="AP18" i="36"/>
  <c r="AP31" i="36"/>
  <c r="AP13" i="36"/>
  <c r="AP28" i="36"/>
  <c r="AP21" i="36"/>
  <c r="AP6" i="36"/>
  <c r="AR24" i="36" l="1"/>
  <c r="AQ14" i="36"/>
  <c r="AQ8" i="36"/>
  <c r="AQ7" i="36"/>
  <c r="AQ13" i="36"/>
  <c r="AQ6" i="36"/>
  <c r="AQ31" i="36"/>
  <c r="AQ23" i="36"/>
  <c r="AQ20" i="36"/>
  <c r="AQ30" i="36"/>
  <c r="AQ25" i="36"/>
  <c r="AR3" i="36"/>
  <c r="AQ12" i="36"/>
  <c r="AQ15" i="36"/>
  <c r="AQ32" i="36"/>
  <c r="AQ21" i="36"/>
  <c r="AQ18" i="36"/>
  <c r="AQ9" i="36"/>
  <c r="AQ5" i="36"/>
  <c r="AQ22" i="36"/>
  <c r="AQ10" i="36"/>
  <c r="AQ4" i="36"/>
  <c r="AQ19" i="36"/>
  <c r="AQ33" i="36"/>
  <c r="AQ28" i="36"/>
  <c r="AQ29" i="36"/>
  <c r="AQ17" i="36"/>
  <c r="AQ26" i="36"/>
  <c r="AQ11" i="36"/>
  <c r="AQ16" i="36"/>
  <c r="AQ27" i="36"/>
  <c r="AS3" i="36" l="1"/>
  <c r="AR23" i="36"/>
  <c r="AR7" i="36"/>
  <c r="AR33" i="36"/>
  <c r="AR25" i="36"/>
  <c r="AR31" i="36"/>
  <c r="AR8" i="36"/>
  <c r="AR21" i="36"/>
  <c r="AR17" i="36"/>
  <c r="AR16" i="36"/>
  <c r="AR29" i="36"/>
  <c r="AR4" i="36"/>
  <c r="AR9" i="36"/>
  <c r="AR15" i="36"/>
  <c r="AR30" i="36"/>
  <c r="AR6" i="36"/>
  <c r="AR14" i="36"/>
  <c r="AR22" i="36"/>
  <c r="AR19" i="36"/>
  <c r="AR26" i="36"/>
  <c r="AR32" i="36"/>
  <c r="AR27" i="36"/>
  <c r="AR5" i="36"/>
  <c r="AR28" i="36"/>
  <c r="AR11" i="36"/>
  <c r="AR10" i="36"/>
  <c r="AR18" i="36"/>
  <c r="AR12" i="36"/>
  <c r="AR20" i="36"/>
  <c r="AR13" i="36"/>
  <c r="AS24" i="36"/>
  <c r="AS4" i="36" l="1"/>
  <c r="AS19" i="36"/>
  <c r="AS8" i="36"/>
  <c r="AS7" i="36"/>
  <c r="AT24" i="36"/>
  <c r="AS30" i="36"/>
  <c r="AS12" i="36"/>
  <c r="AS6" i="36"/>
  <c r="AS13" i="36"/>
  <c r="AS15" i="36"/>
  <c r="AS31" i="36"/>
  <c r="AS23" i="36"/>
  <c r="AS26" i="36"/>
  <c r="AS21" i="36"/>
  <c r="AS5" i="36"/>
  <c r="AS29" i="36"/>
  <c r="AS27" i="36"/>
  <c r="AS33" i="36"/>
  <c r="AS28" i="36"/>
  <c r="AS18" i="36"/>
  <c r="AS10" i="36"/>
  <c r="AS22" i="36"/>
  <c r="AS16" i="36"/>
  <c r="AS20" i="36"/>
  <c r="AS11" i="36"/>
  <c r="AS32" i="36"/>
  <c r="AS14" i="36"/>
  <c r="AS9" i="36"/>
  <c r="AS17" i="36"/>
  <c r="AS25" i="36"/>
  <c r="AT3" i="36"/>
  <c r="AT18" i="36" l="1"/>
  <c r="AT23" i="36"/>
  <c r="AT6" i="36"/>
  <c r="AT7" i="36"/>
  <c r="AU3" i="36"/>
  <c r="AT8" i="36"/>
  <c r="AT14" i="36"/>
  <c r="AT20" i="36"/>
  <c r="AT5" i="36"/>
  <c r="AT31" i="36"/>
  <c r="AT25" i="36"/>
  <c r="AT32" i="36"/>
  <c r="AT22" i="36"/>
  <c r="AT33" i="36"/>
  <c r="AT21" i="36"/>
  <c r="AT15" i="36"/>
  <c r="AT30" i="36"/>
  <c r="AT19" i="36"/>
  <c r="AT29" i="36"/>
  <c r="AT16" i="36"/>
  <c r="AT9" i="36"/>
  <c r="AT28" i="36"/>
  <c r="AT12" i="36"/>
  <c r="AT17" i="36"/>
  <c r="AT11" i="36"/>
  <c r="AT10" i="36"/>
  <c r="AT27" i="36"/>
  <c r="AT26" i="36"/>
  <c r="AT13" i="36"/>
  <c r="AU24" i="36"/>
  <c r="AT4" i="36"/>
  <c r="AU15" i="36" l="1"/>
  <c r="AU20" i="36"/>
  <c r="AU7" i="36"/>
  <c r="AU16" i="36"/>
  <c r="AU27" i="36"/>
  <c r="AU21" i="36"/>
  <c r="AU25" i="36"/>
  <c r="AU14" i="36"/>
  <c r="AU6" i="36"/>
  <c r="AU32" i="36"/>
  <c r="AU12" i="36"/>
  <c r="AV24" i="36"/>
  <c r="AU10" i="36"/>
  <c r="AU28" i="36"/>
  <c r="AU19" i="36"/>
  <c r="AU33" i="36"/>
  <c r="AU31" i="36"/>
  <c r="AU8" i="36"/>
  <c r="AU23" i="36"/>
  <c r="AU26" i="36"/>
  <c r="AU29" i="36"/>
  <c r="AU17" i="36"/>
  <c r="AU4" i="36"/>
  <c r="AU13" i="36"/>
  <c r="AU11" i="36"/>
  <c r="AU9" i="36"/>
  <c r="AU30" i="36"/>
  <c r="AU22" i="36"/>
  <c r="AU5" i="36"/>
  <c r="AV3" i="36"/>
  <c r="AU18" i="36"/>
  <c r="AW24" i="36" l="1"/>
  <c r="AV16" i="36"/>
  <c r="AV33" i="36"/>
  <c r="AV22" i="36"/>
  <c r="AV26" i="36"/>
  <c r="AV4" i="36"/>
  <c r="AV19" i="36"/>
  <c r="AV12" i="36"/>
  <c r="AV25" i="36"/>
  <c r="AV7" i="36"/>
  <c r="AV28" i="36"/>
  <c r="AV14" i="36"/>
  <c r="AV32" i="36"/>
  <c r="AV21" i="36"/>
  <c r="AV20" i="36"/>
  <c r="AV30" i="36"/>
  <c r="AV8" i="36"/>
  <c r="AV13" i="36"/>
  <c r="AV18" i="36"/>
  <c r="AV23" i="36"/>
  <c r="AW3" i="36"/>
  <c r="AV9" i="36"/>
  <c r="AV17" i="36"/>
  <c r="AV5" i="36"/>
  <c r="AV11" i="36"/>
  <c r="AV29" i="36"/>
  <c r="AV31" i="36"/>
  <c r="AV10" i="36"/>
  <c r="AV6" i="36"/>
  <c r="AV27" i="36"/>
  <c r="AV15" i="36"/>
  <c r="AW10" i="36" l="1"/>
  <c r="AW30" i="36"/>
  <c r="AW22" i="36"/>
  <c r="AW18" i="36"/>
  <c r="AW28" i="36"/>
  <c r="AW19" i="36"/>
  <c r="AW33" i="36"/>
  <c r="AW12" i="36"/>
  <c r="AW14" i="36"/>
  <c r="AW31" i="36"/>
  <c r="AW29" i="36"/>
  <c r="AW9" i="36"/>
  <c r="AW13" i="36"/>
  <c r="AW21" i="36"/>
  <c r="AW7" i="36"/>
  <c r="AW4" i="36"/>
  <c r="AW16" i="36"/>
  <c r="AW23" i="36"/>
  <c r="AW20" i="36"/>
  <c r="AW5" i="36"/>
  <c r="AW15" i="36"/>
  <c r="AW17" i="36"/>
  <c r="AW27" i="36"/>
  <c r="AW32" i="36"/>
  <c r="AW6" i="36"/>
  <c r="AW11" i="36"/>
  <c r="AX3" i="36"/>
  <c r="AW8" i="36"/>
  <c r="AW25" i="36"/>
  <c r="AW26" i="36"/>
  <c r="AX24" i="36"/>
  <c r="AX8" i="36" l="1"/>
  <c r="AX32" i="36"/>
  <c r="AX5" i="36"/>
  <c r="AX4" i="36"/>
  <c r="AX9" i="36"/>
  <c r="AX12" i="36"/>
  <c r="AX18" i="36"/>
  <c r="AY3" i="36"/>
  <c r="AX20" i="36"/>
  <c r="AX7" i="36"/>
  <c r="AX29" i="36"/>
  <c r="AX33" i="36"/>
  <c r="AX22" i="36"/>
  <c r="AX26" i="36"/>
  <c r="AX11" i="36"/>
  <c r="AX17" i="36"/>
  <c r="AX23" i="36"/>
  <c r="AX21" i="36"/>
  <c r="AX31" i="36"/>
  <c r="AX19" i="36"/>
  <c r="AX30" i="36"/>
  <c r="AX27" i="36"/>
  <c r="AY24" i="36"/>
  <c r="AX25" i="36"/>
  <c r="AX6" i="36"/>
  <c r="AX15" i="36"/>
  <c r="AX16" i="36"/>
  <c r="AX13" i="36"/>
  <c r="AX14" i="36"/>
  <c r="AX28" i="36"/>
  <c r="AX10" i="36"/>
  <c r="AY25" i="36" l="1"/>
  <c r="AY4" i="36"/>
  <c r="AY13" i="36"/>
  <c r="AY17" i="36"/>
  <c r="AY10" i="36"/>
  <c r="AY16" i="36"/>
  <c r="AY31" i="36"/>
  <c r="AY11" i="36"/>
  <c r="AY29" i="36"/>
  <c r="AY18" i="36"/>
  <c r="AY5" i="36"/>
  <c r="AY19" i="36"/>
  <c r="AY27" i="36"/>
  <c r="AY12" i="36"/>
  <c r="AY33" i="36"/>
  <c r="AY28" i="36"/>
  <c r="AY15" i="36"/>
  <c r="AY21" i="36"/>
  <c r="AY26" i="36"/>
  <c r="AY7" i="36"/>
  <c r="AY32" i="36"/>
  <c r="AY14" i="36"/>
  <c r="AY6" i="36"/>
  <c r="AY30" i="36"/>
  <c r="AY23" i="36"/>
  <c r="AY22" i="36"/>
  <c r="AY20" i="36"/>
  <c r="AY9" i="36"/>
  <c r="AY8" i="36"/>
  <c r="M6" i="10" l="1"/>
  <c r="N6" i="10"/>
  <c r="O14" i="10"/>
  <c r="N14" i="10" s="1"/>
  <c r="M14" i="10" s="1"/>
  <c r="P14" i="10"/>
  <c r="W22" i="30" l="1"/>
  <c r="W21" i="30"/>
  <c r="W20" i="30"/>
  <c r="W19" i="30"/>
  <c r="W18" i="30"/>
  <c r="W17" i="30"/>
  <c r="W16" i="30"/>
  <c r="W15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B10" i="30"/>
  <c r="B15" i="30"/>
  <c r="U38" i="27"/>
  <c r="T38" i="27"/>
  <c r="S38" i="27"/>
  <c r="R38" i="27"/>
  <c r="Q38" i="27"/>
  <c r="P38" i="27"/>
  <c r="O38" i="27"/>
  <c r="N38" i="27"/>
  <c r="M38" i="27"/>
  <c r="L38" i="27" s="1"/>
  <c r="K38" i="27" s="1"/>
  <c r="J38" i="27" s="1"/>
  <c r="I38" i="27" s="1"/>
  <c r="H38" i="27" s="1"/>
  <c r="G38" i="27" s="1"/>
  <c r="F38" i="27" s="1"/>
  <c r="E38" i="27" s="1"/>
  <c r="D38" i="27" s="1"/>
  <c r="C38" i="27" s="1"/>
  <c r="B38" i="27" s="1"/>
  <c r="N20" i="27"/>
  <c r="O20" i="27"/>
  <c r="P20" i="27"/>
  <c r="Q20" i="27"/>
  <c r="R20" i="27"/>
  <c r="S20" i="27"/>
  <c r="T20" i="27"/>
  <c r="M20" i="27"/>
  <c r="L20" i="27" s="1"/>
  <c r="K20" i="27" s="1"/>
  <c r="J20" i="27" s="1"/>
  <c r="I20" i="27" s="1"/>
  <c r="H20" i="27" s="1"/>
  <c r="G20" i="27" s="1"/>
  <c r="F20" i="27" s="1"/>
  <c r="E20" i="27" s="1"/>
  <c r="D20" i="27" s="1"/>
  <c r="C20" i="27" s="1"/>
  <c r="B20" i="27" s="1"/>
  <c r="M11" i="27"/>
  <c r="L11" i="27" s="1"/>
  <c r="K11" i="27" s="1"/>
  <c r="J11" i="27" s="1"/>
  <c r="I11" i="27" s="1"/>
  <c r="H11" i="27" s="1"/>
  <c r="G11" i="27" s="1"/>
  <c r="F11" i="27" s="1"/>
  <c r="E11" i="27" s="1"/>
  <c r="D11" i="27" s="1"/>
  <c r="C11" i="27" s="1"/>
  <c r="B11" i="27" s="1"/>
  <c r="N11" i="27"/>
  <c r="O11" i="27"/>
  <c r="P11" i="27"/>
  <c r="Q11" i="27"/>
  <c r="R11" i="27"/>
  <c r="S11" i="27"/>
  <c r="T11" i="27"/>
  <c r="U11" i="27"/>
  <c r="V11" i="27"/>
  <c r="W11" i="27"/>
  <c r="M12" i="27"/>
  <c r="L12" i="27" s="1"/>
  <c r="K12" i="27" s="1"/>
  <c r="J12" i="27" s="1"/>
  <c r="I12" i="27" s="1"/>
  <c r="H12" i="27" s="1"/>
  <c r="G12" i="27" s="1"/>
  <c r="F12" i="27" s="1"/>
  <c r="E12" i="27" s="1"/>
  <c r="D12" i="27" s="1"/>
  <c r="C12" i="27" s="1"/>
  <c r="B12" i="27" s="1"/>
  <c r="N12" i="27"/>
  <c r="O12" i="27"/>
  <c r="P12" i="27"/>
  <c r="Q12" i="27"/>
  <c r="R12" i="27"/>
  <c r="S12" i="27"/>
  <c r="T12" i="27"/>
  <c r="U12" i="27"/>
  <c r="V12" i="27"/>
  <c r="W12" i="27"/>
  <c r="N13" i="27"/>
  <c r="O13" i="27"/>
  <c r="P13" i="27"/>
  <c r="Q13" i="27"/>
  <c r="R13" i="27"/>
  <c r="S13" i="27"/>
  <c r="T13" i="27"/>
  <c r="U13" i="27"/>
  <c r="V13" i="27"/>
  <c r="W13" i="27"/>
  <c r="M14" i="27"/>
  <c r="L14" i="27" s="1"/>
  <c r="K14" i="27" s="1"/>
  <c r="J14" i="27" s="1"/>
  <c r="I14" i="27" s="1"/>
  <c r="H14" i="27" s="1"/>
  <c r="G14" i="27" s="1"/>
  <c r="F14" i="27" s="1"/>
  <c r="E14" i="27" s="1"/>
  <c r="D14" i="27" s="1"/>
  <c r="C14" i="27" s="1"/>
  <c r="B14" i="27" s="1"/>
  <c r="N14" i="27"/>
  <c r="O14" i="27"/>
  <c r="P14" i="27"/>
  <c r="Q14" i="27"/>
  <c r="R14" i="27"/>
  <c r="S14" i="27"/>
  <c r="T14" i="27"/>
  <c r="U14" i="27"/>
  <c r="V14" i="27"/>
  <c r="W14" i="27"/>
  <c r="M15" i="27"/>
  <c r="L15" i="27" s="1"/>
  <c r="K15" i="27" s="1"/>
  <c r="J15" i="27" s="1"/>
  <c r="I15" i="27" s="1"/>
  <c r="H15" i="27" s="1"/>
  <c r="G15" i="27" s="1"/>
  <c r="F15" i="27" s="1"/>
  <c r="E15" i="27" s="1"/>
  <c r="D15" i="27" s="1"/>
  <c r="C15" i="27" s="1"/>
  <c r="B15" i="27" s="1"/>
  <c r="N15" i="27"/>
  <c r="O15" i="27"/>
  <c r="P15" i="27"/>
  <c r="Q15" i="27"/>
  <c r="R15" i="27"/>
  <c r="S15" i="27"/>
  <c r="T15" i="27"/>
  <c r="U15" i="27"/>
  <c r="V15" i="27"/>
  <c r="W15" i="27"/>
  <c r="M16" i="27"/>
  <c r="L16" i="27" s="1"/>
  <c r="K16" i="27" s="1"/>
  <c r="J16" i="27" s="1"/>
  <c r="I16" i="27" s="1"/>
  <c r="H16" i="27" s="1"/>
  <c r="G16" i="27" s="1"/>
  <c r="F16" i="27" s="1"/>
  <c r="E16" i="27" s="1"/>
  <c r="D16" i="27" s="1"/>
  <c r="C16" i="27" s="1"/>
  <c r="B16" i="27" s="1"/>
  <c r="N16" i="27"/>
  <c r="O16" i="27"/>
  <c r="P16" i="27"/>
  <c r="Q16" i="27"/>
  <c r="R16" i="27"/>
  <c r="S16" i="27"/>
  <c r="T16" i="27"/>
  <c r="U16" i="27"/>
  <c r="V16" i="27"/>
  <c r="W16" i="27"/>
  <c r="M17" i="27"/>
  <c r="L17" i="27" s="1"/>
  <c r="K17" i="27" s="1"/>
  <c r="J17" i="27" s="1"/>
  <c r="I17" i="27" s="1"/>
  <c r="H17" i="27" s="1"/>
  <c r="G17" i="27" s="1"/>
  <c r="F17" i="27" s="1"/>
  <c r="E17" i="27" s="1"/>
  <c r="D17" i="27" s="1"/>
  <c r="C17" i="27" s="1"/>
  <c r="B17" i="27" s="1"/>
  <c r="N17" i="27"/>
  <c r="O17" i="27"/>
  <c r="P17" i="27"/>
  <c r="Q17" i="27"/>
  <c r="R17" i="27"/>
  <c r="S17" i="27"/>
  <c r="T17" i="27"/>
  <c r="U17" i="27"/>
  <c r="V17" i="27"/>
  <c r="W17" i="27"/>
  <c r="M18" i="27"/>
  <c r="L18" i="27" s="1"/>
  <c r="K18" i="27" s="1"/>
  <c r="J18" i="27" s="1"/>
  <c r="I18" i="27" s="1"/>
  <c r="H18" i="27" s="1"/>
  <c r="G18" i="27" s="1"/>
  <c r="F18" i="27" s="1"/>
  <c r="E18" i="27" s="1"/>
  <c r="D18" i="27" s="1"/>
  <c r="C18" i="27" s="1"/>
  <c r="B18" i="27" s="1"/>
  <c r="N18" i="27"/>
  <c r="O18" i="27"/>
  <c r="P18" i="27"/>
  <c r="Q18" i="27"/>
  <c r="R18" i="27"/>
  <c r="S18" i="27"/>
  <c r="T18" i="27"/>
  <c r="U18" i="27"/>
  <c r="V18" i="27"/>
  <c r="W18" i="27"/>
  <c r="M19" i="27"/>
  <c r="L19" i="27" s="1"/>
  <c r="K19" i="27" s="1"/>
  <c r="J19" i="27" s="1"/>
  <c r="I19" i="27" s="1"/>
  <c r="H19" i="27" s="1"/>
  <c r="G19" i="27" s="1"/>
  <c r="F19" i="27" s="1"/>
  <c r="E19" i="27" s="1"/>
  <c r="D19" i="27" s="1"/>
  <c r="C19" i="27" s="1"/>
  <c r="B19" i="27" s="1"/>
  <c r="N19" i="27"/>
  <c r="O19" i="27"/>
  <c r="P19" i="27"/>
  <c r="Q19" i="27"/>
  <c r="R19" i="27"/>
  <c r="S19" i="27"/>
  <c r="T19" i="27"/>
  <c r="U19" i="27"/>
  <c r="V19" i="27"/>
  <c r="W19" i="27"/>
  <c r="U20" i="27"/>
  <c r="V20" i="27"/>
  <c r="W20" i="27"/>
  <c r="P21" i="27"/>
  <c r="Q21" i="27"/>
  <c r="R21" i="27"/>
  <c r="S21" i="27"/>
  <c r="T21" i="27"/>
  <c r="U21" i="27"/>
  <c r="V21" i="27"/>
  <c r="W21" i="27"/>
  <c r="M22" i="27"/>
  <c r="L22" i="27" s="1"/>
  <c r="K22" i="27" s="1"/>
  <c r="J22" i="27" s="1"/>
  <c r="I22" i="27" s="1"/>
  <c r="H22" i="27" s="1"/>
  <c r="G22" i="27" s="1"/>
  <c r="F22" i="27" s="1"/>
  <c r="E22" i="27" s="1"/>
  <c r="D22" i="27" s="1"/>
  <c r="C22" i="27" s="1"/>
  <c r="B22" i="27" s="1"/>
  <c r="N22" i="27"/>
  <c r="O22" i="27"/>
  <c r="P22" i="27"/>
  <c r="Q22" i="27"/>
  <c r="R22" i="27"/>
  <c r="S22" i="27"/>
  <c r="T22" i="27"/>
  <c r="U22" i="27"/>
  <c r="V22" i="27"/>
  <c r="W22" i="27"/>
  <c r="M24" i="27"/>
  <c r="L24" i="27" s="1"/>
  <c r="K24" i="27" s="1"/>
  <c r="J24" i="27" s="1"/>
  <c r="I24" i="27" s="1"/>
  <c r="H24" i="27" s="1"/>
  <c r="G24" i="27" s="1"/>
  <c r="F24" i="27" s="1"/>
  <c r="E24" i="27" s="1"/>
  <c r="D24" i="27" s="1"/>
  <c r="C24" i="27" s="1"/>
  <c r="B24" i="27" s="1"/>
  <c r="N24" i="27"/>
  <c r="O24" i="27"/>
  <c r="P24" i="27"/>
  <c r="Q24" i="27"/>
  <c r="R24" i="27"/>
  <c r="S24" i="27"/>
  <c r="T24" i="27"/>
  <c r="U24" i="27"/>
  <c r="V24" i="27"/>
  <c r="W24" i="27"/>
  <c r="M25" i="27"/>
  <c r="L25" i="27" s="1"/>
  <c r="K25" i="27" s="1"/>
  <c r="J25" i="27" s="1"/>
  <c r="I25" i="27" s="1"/>
  <c r="H25" i="27" s="1"/>
  <c r="G25" i="27" s="1"/>
  <c r="F25" i="27" s="1"/>
  <c r="E25" i="27" s="1"/>
  <c r="D25" i="27" s="1"/>
  <c r="C25" i="27" s="1"/>
  <c r="B25" i="27" s="1"/>
  <c r="N25" i="27"/>
  <c r="O25" i="27"/>
  <c r="P25" i="27"/>
  <c r="Q25" i="27"/>
  <c r="R25" i="27"/>
  <c r="S25" i="27"/>
  <c r="T25" i="27"/>
  <c r="U25" i="27"/>
  <c r="V25" i="27"/>
  <c r="W25" i="27"/>
  <c r="M26" i="27"/>
  <c r="L26" i="27" s="1"/>
  <c r="K26" i="27" s="1"/>
  <c r="J26" i="27" s="1"/>
  <c r="I26" i="27" s="1"/>
  <c r="H26" i="27" s="1"/>
  <c r="G26" i="27" s="1"/>
  <c r="F26" i="27" s="1"/>
  <c r="E26" i="27" s="1"/>
  <c r="D26" i="27" s="1"/>
  <c r="C26" i="27" s="1"/>
  <c r="B26" i="27" s="1"/>
  <c r="N26" i="27"/>
  <c r="O26" i="27"/>
  <c r="P26" i="27"/>
  <c r="Q26" i="27"/>
  <c r="R26" i="27"/>
  <c r="S26" i="27"/>
  <c r="T26" i="27"/>
  <c r="U26" i="27"/>
  <c r="V26" i="27"/>
  <c r="W26" i="27"/>
  <c r="M27" i="27"/>
  <c r="L27" i="27" s="1"/>
  <c r="K27" i="27" s="1"/>
  <c r="J27" i="27" s="1"/>
  <c r="I27" i="27" s="1"/>
  <c r="H27" i="27" s="1"/>
  <c r="G27" i="27" s="1"/>
  <c r="F27" i="27" s="1"/>
  <c r="E27" i="27" s="1"/>
  <c r="D27" i="27" s="1"/>
  <c r="C27" i="27" s="1"/>
  <c r="B27" i="27" s="1"/>
  <c r="N27" i="27"/>
  <c r="O27" i="27"/>
  <c r="P27" i="27"/>
  <c r="Q27" i="27"/>
  <c r="R27" i="27"/>
  <c r="S27" i="27"/>
  <c r="T27" i="27"/>
  <c r="U27" i="27"/>
  <c r="V27" i="27"/>
  <c r="W27" i="27"/>
  <c r="M28" i="27"/>
  <c r="L28" i="27" s="1"/>
  <c r="K28" i="27" s="1"/>
  <c r="J28" i="27" s="1"/>
  <c r="I28" i="27" s="1"/>
  <c r="H28" i="27" s="1"/>
  <c r="G28" i="27" s="1"/>
  <c r="F28" i="27" s="1"/>
  <c r="E28" i="27" s="1"/>
  <c r="D28" i="27" s="1"/>
  <c r="C28" i="27" s="1"/>
  <c r="B28" i="27" s="1"/>
  <c r="N28" i="27"/>
  <c r="O28" i="27"/>
  <c r="P28" i="27"/>
  <c r="Q28" i="27"/>
  <c r="R28" i="27"/>
  <c r="S28" i="27"/>
  <c r="T28" i="27"/>
  <c r="U28" i="27"/>
  <c r="V28" i="27"/>
  <c r="W28" i="27"/>
  <c r="M29" i="27"/>
  <c r="L29" i="27" s="1"/>
  <c r="K29" i="27" s="1"/>
  <c r="J29" i="27" s="1"/>
  <c r="I29" i="27" s="1"/>
  <c r="H29" i="27" s="1"/>
  <c r="G29" i="27" s="1"/>
  <c r="F29" i="27" s="1"/>
  <c r="E29" i="27" s="1"/>
  <c r="D29" i="27" s="1"/>
  <c r="C29" i="27" s="1"/>
  <c r="B29" i="27" s="1"/>
  <c r="N29" i="27"/>
  <c r="O29" i="27"/>
  <c r="P29" i="27"/>
  <c r="Q29" i="27"/>
  <c r="R29" i="27"/>
  <c r="S29" i="27"/>
  <c r="T29" i="27"/>
  <c r="U29" i="27"/>
  <c r="V29" i="27"/>
  <c r="W29" i="27"/>
  <c r="M30" i="27"/>
  <c r="L30" i="27" s="1"/>
  <c r="K30" i="27" s="1"/>
  <c r="J30" i="27" s="1"/>
  <c r="I30" i="27" s="1"/>
  <c r="H30" i="27" s="1"/>
  <c r="G30" i="27" s="1"/>
  <c r="F30" i="27" s="1"/>
  <c r="E30" i="27" s="1"/>
  <c r="D30" i="27" s="1"/>
  <c r="C30" i="27" s="1"/>
  <c r="B30" i="27" s="1"/>
  <c r="N30" i="27"/>
  <c r="O30" i="27"/>
  <c r="P30" i="27"/>
  <c r="Q30" i="27"/>
  <c r="R30" i="27"/>
  <c r="S30" i="27"/>
  <c r="T30" i="27"/>
  <c r="U30" i="27"/>
  <c r="V30" i="27"/>
  <c r="W30" i="27"/>
  <c r="M31" i="27"/>
  <c r="L31" i="27" s="1"/>
  <c r="K31" i="27" s="1"/>
  <c r="J31" i="27" s="1"/>
  <c r="I31" i="27" s="1"/>
  <c r="H31" i="27" s="1"/>
  <c r="G31" i="27" s="1"/>
  <c r="F31" i="27" s="1"/>
  <c r="E31" i="27" s="1"/>
  <c r="D31" i="27" s="1"/>
  <c r="C31" i="27" s="1"/>
  <c r="B31" i="27" s="1"/>
  <c r="N31" i="27"/>
  <c r="O31" i="27"/>
  <c r="P31" i="27"/>
  <c r="Q31" i="27"/>
  <c r="R31" i="27"/>
  <c r="S31" i="27"/>
  <c r="T31" i="27"/>
  <c r="U31" i="27"/>
  <c r="V31" i="27"/>
  <c r="W31" i="27"/>
  <c r="M32" i="27"/>
  <c r="L32" i="27" s="1"/>
  <c r="K32" i="27" s="1"/>
  <c r="J32" i="27" s="1"/>
  <c r="I32" i="27" s="1"/>
  <c r="H32" i="27" s="1"/>
  <c r="G32" i="27" s="1"/>
  <c r="F32" i="27" s="1"/>
  <c r="E32" i="27" s="1"/>
  <c r="D32" i="27" s="1"/>
  <c r="C32" i="27" s="1"/>
  <c r="B32" i="27" s="1"/>
  <c r="N32" i="27"/>
  <c r="O32" i="27"/>
  <c r="P32" i="27"/>
  <c r="Q32" i="27"/>
  <c r="R32" i="27"/>
  <c r="S32" i="27"/>
  <c r="T32" i="27"/>
  <c r="U32" i="27"/>
  <c r="V32" i="27"/>
  <c r="W32" i="27"/>
  <c r="M33" i="27"/>
  <c r="L33" i="27" s="1"/>
  <c r="K33" i="27" s="1"/>
  <c r="J33" i="27" s="1"/>
  <c r="I33" i="27" s="1"/>
  <c r="H33" i="27" s="1"/>
  <c r="G33" i="27" s="1"/>
  <c r="F33" i="27" s="1"/>
  <c r="E33" i="27" s="1"/>
  <c r="D33" i="27" s="1"/>
  <c r="C33" i="27" s="1"/>
  <c r="B33" i="27" s="1"/>
  <c r="N33" i="27"/>
  <c r="O33" i="27"/>
  <c r="P33" i="27"/>
  <c r="Q33" i="27"/>
  <c r="R33" i="27"/>
  <c r="S33" i="27"/>
  <c r="T33" i="27"/>
  <c r="U33" i="27"/>
  <c r="V33" i="27"/>
  <c r="W33" i="27"/>
  <c r="M34" i="27"/>
  <c r="L34" i="27" s="1"/>
  <c r="K34" i="27" s="1"/>
  <c r="J34" i="27" s="1"/>
  <c r="I34" i="27" s="1"/>
  <c r="H34" i="27" s="1"/>
  <c r="G34" i="27" s="1"/>
  <c r="F34" i="27" s="1"/>
  <c r="E34" i="27" s="1"/>
  <c r="D34" i="27" s="1"/>
  <c r="C34" i="27" s="1"/>
  <c r="B34" i="27" s="1"/>
  <c r="N34" i="27"/>
  <c r="O34" i="27"/>
  <c r="P34" i="27"/>
  <c r="Q34" i="27"/>
  <c r="R34" i="27"/>
  <c r="S34" i="27"/>
  <c r="T34" i="27"/>
  <c r="U34" i="27"/>
  <c r="V34" i="27"/>
  <c r="W34" i="27"/>
  <c r="M35" i="27"/>
  <c r="L35" i="27" s="1"/>
  <c r="K35" i="27" s="1"/>
  <c r="J35" i="27" s="1"/>
  <c r="I35" i="27" s="1"/>
  <c r="H35" i="27" s="1"/>
  <c r="G35" i="27" s="1"/>
  <c r="F35" i="27" s="1"/>
  <c r="E35" i="27" s="1"/>
  <c r="D35" i="27" s="1"/>
  <c r="C35" i="27" s="1"/>
  <c r="B35" i="27" s="1"/>
  <c r="N35" i="27"/>
  <c r="O35" i="27"/>
  <c r="P35" i="27"/>
  <c r="Q35" i="27"/>
  <c r="R35" i="27"/>
  <c r="S35" i="27"/>
  <c r="T35" i="27"/>
  <c r="U35" i="27"/>
  <c r="V35" i="27"/>
  <c r="W35" i="27"/>
  <c r="M36" i="27"/>
  <c r="L36" i="27" s="1"/>
  <c r="K36" i="27" s="1"/>
  <c r="J36" i="27" s="1"/>
  <c r="I36" i="27" s="1"/>
  <c r="H36" i="27" s="1"/>
  <c r="G36" i="27" s="1"/>
  <c r="F36" i="27" s="1"/>
  <c r="E36" i="27" s="1"/>
  <c r="D36" i="27" s="1"/>
  <c r="C36" i="27" s="1"/>
  <c r="B36" i="27" s="1"/>
  <c r="N36" i="27"/>
  <c r="O36" i="27"/>
  <c r="P36" i="27"/>
  <c r="Q36" i="27"/>
  <c r="R36" i="27"/>
  <c r="S36" i="27"/>
  <c r="T36" i="27"/>
  <c r="U36" i="27"/>
  <c r="V36" i="27"/>
  <c r="W36" i="27"/>
  <c r="M37" i="27"/>
  <c r="L37" i="27" s="1"/>
  <c r="K37" i="27" s="1"/>
  <c r="J37" i="27" s="1"/>
  <c r="I37" i="27" s="1"/>
  <c r="H37" i="27" s="1"/>
  <c r="G37" i="27" s="1"/>
  <c r="F37" i="27" s="1"/>
  <c r="E37" i="27" s="1"/>
  <c r="D37" i="27" s="1"/>
  <c r="C37" i="27" s="1"/>
  <c r="B37" i="27" s="1"/>
  <c r="N37" i="27"/>
  <c r="O37" i="27"/>
  <c r="P37" i="27"/>
  <c r="Q37" i="27"/>
  <c r="R37" i="27"/>
  <c r="S37" i="27"/>
  <c r="T37" i="27"/>
  <c r="U37" i="27"/>
  <c r="V37" i="27"/>
  <c r="W37" i="27"/>
  <c r="V38" i="27"/>
  <c r="W38" i="27"/>
  <c r="M39" i="27"/>
  <c r="L39" i="27" s="1"/>
  <c r="K39" i="27" s="1"/>
  <c r="J39" i="27" s="1"/>
  <c r="I39" i="27" s="1"/>
  <c r="H39" i="27" s="1"/>
  <c r="G39" i="27" s="1"/>
  <c r="F39" i="27" s="1"/>
  <c r="E39" i="27" s="1"/>
  <c r="D39" i="27" s="1"/>
  <c r="C39" i="27" s="1"/>
  <c r="B39" i="27" s="1"/>
  <c r="N39" i="27"/>
  <c r="O39" i="27"/>
  <c r="P39" i="27"/>
  <c r="Q39" i="27"/>
  <c r="R39" i="27"/>
  <c r="S39" i="27"/>
  <c r="T39" i="27"/>
  <c r="U39" i="27"/>
  <c r="V39" i="27"/>
  <c r="W39" i="27"/>
  <c r="M40" i="27"/>
  <c r="L40" i="27" s="1"/>
  <c r="K40" i="27" s="1"/>
  <c r="J40" i="27" s="1"/>
  <c r="I40" i="27" s="1"/>
  <c r="H40" i="27" s="1"/>
  <c r="G40" i="27" s="1"/>
  <c r="F40" i="27" s="1"/>
  <c r="E40" i="27" s="1"/>
  <c r="D40" i="27" s="1"/>
  <c r="C40" i="27" s="1"/>
  <c r="B40" i="27" s="1"/>
  <c r="N40" i="27"/>
  <c r="O40" i="27"/>
  <c r="P40" i="27"/>
  <c r="Q40" i="27"/>
  <c r="R40" i="27"/>
  <c r="S40" i="27"/>
  <c r="T40" i="27"/>
  <c r="U40" i="27"/>
  <c r="V40" i="27"/>
  <c r="W40" i="27"/>
  <c r="W10" i="27"/>
  <c r="N38" i="26"/>
  <c r="O38" i="26"/>
  <c r="P38" i="26"/>
  <c r="Q38" i="26"/>
  <c r="R38" i="26"/>
  <c r="S38" i="26"/>
  <c r="T38" i="26"/>
  <c r="M38" i="26"/>
  <c r="L38" i="26" s="1"/>
  <c r="K38" i="26" s="1"/>
  <c r="J38" i="26" s="1"/>
  <c r="I38" i="26" s="1"/>
  <c r="H38" i="26" s="1"/>
  <c r="G38" i="26" s="1"/>
  <c r="F38" i="26" s="1"/>
  <c r="E38" i="26" s="1"/>
  <c r="D38" i="26" s="1"/>
  <c r="C38" i="26" s="1"/>
  <c r="B38" i="26" s="1"/>
  <c r="N20" i="26"/>
  <c r="O20" i="26"/>
  <c r="P20" i="26"/>
  <c r="Q20" i="26"/>
  <c r="R20" i="26"/>
  <c r="S20" i="26"/>
  <c r="T20" i="26"/>
  <c r="M20" i="26"/>
  <c r="L20" i="26" s="1"/>
  <c r="K20" i="26" s="1"/>
  <c r="J20" i="26" s="1"/>
  <c r="I20" i="26" s="1"/>
  <c r="H20" i="26" s="1"/>
  <c r="G20" i="26" s="1"/>
  <c r="F20" i="26" s="1"/>
  <c r="E20" i="26" s="1"/>
  <c r="D20" i="26" s="1"/>
  <c r="C20" i="26" s="1"/>
  <c r="B20" i="26" s="1"/>
  <c r="M11" i="26"/>
  <c r="L11" i="26" s="1"/>
  <c r="K11" i="26" s="1"/>
  <c r="J11" i="26" s="1"/>
  <c r="I11" i="26" s="1"/>
  <c r="H11" i="26" s="1"/>
  <c r="G11" i="26" s="1"/>
  <c r="F11" i="26" s="1"/>
  <c r="E11" i="26" s="1"/>
  <c r="D11" i="26" s="1"/>
  <c r="C11" i="26" s="1"/>
  <c r="B11" i="26" s="1"/>
  <c r="N11" i="26"/>
  <c r="O11" i="26"/>
  <c r="P11" i="26"/>
  <c r="Q11" i="26"/>
  <c r="R11" i="26"/>
  <c r="S11" i="26"/>
  <c r="T11" i="26"/>
  <c r="U11" i="26"/>
  <c r="V11" i="26"/>
  <c r="W11" i="26"/>
  <c r="M12" i="26"/>
  <c r="L12" i="26" s="1"/>
  <c r="K12" i="26" s="1"/>
  <c r="J12" i="26" s="1"/>
  <c r="I12" i="26" s="1"/>
  <c r="H12" i="26" s="1"/>
  <c r="G12" i="26" s="1"/>
  <c r="F12" i="26" s="1"/>
  <c r="E12" i="26" s="1"/>
  <c r="D12" i="26" s="1"/>
  <c r="C12" i="26" s="1"/>
  <c r="B12" i="26" s="1"/>
  <c r="N12" i="26"/>
  <c r="O12" i="26"/>
  <c r="P12" i="26"/>
  <c r="Q12" i="26"/>
  <c r="R12" i="26"/>
  <c r="S12" i="26"/>
  <c r="T12" i="26"/>
  <c r="U12" i="26"/>
  <c r="V12" i="26"/>
  <c r="W12" i="26"/>
  <c r="N13" i="26"/>
  <c r="O13" i="26"/>
  <c r="P13" i="26"/>
  <c r="Q13" i="26"/>
  <c r="R13" i="26"/>
  <c r="S13" i="26"/>
  <c r="T13" i="26"/>
  <c r="U13" i="26"/>
  <c r="V13" i="26"/>
  <c r="W13" i="26"/>
  <c r="M14" i="26"/>
  <c r="L14" i="26" s="1"/>
  <c r="K14" i="26" s="1"/>
  <c r="J14" i="26" s="1"/>
  <c r="I14" i="26" s="1"/>
  <c r="H14" i="26" s="1"/>
  <c r="G14" i="26" s="1"/>
  <c r="F14" i="26" s="1"/>
  <c r="E14" i="26" s="1"/>
  <c r="D14" i="26" s="1"/>
  <c r="C14" i="26" s="1"/>
  <c r="B14" i="26" s="1"/>
  <c r="N14" i="26"/>
  <c r="O14" i="26"/>
  <c r="P14" i="26"/>
  <c r="Q14" i="26"/>
  <c r="R14" i="26"/>
  <c r="S14" i="26"/>
  <c r="T14" i="26"/>
  <c r="U14" i="26"/>
  <c r="V14" i="26"/>
  <c r="W14" i="26"/>
  <c r="M15" i="26"/>
  <c r="L15" i="26" s="1"/>
  <c r="K15" i="26" s="1"/>
  <c r="J15" i="26" s="1"/>
  <c r="I15" i="26" s="1"/>
  <c r="H15" i="26" s="1"/>
  <c r="G15" i="26" s="1"/>
  <c r="F15" i="26" s="1"/>
  <c r="E15" i="26" s="1"/>
  <c r="D15" i="26" s="1"/>
  <c r="C15" i="26" s="1"/>
  <c r="B15" i="26" s="1"/>
  <c r="N15" i="26"/>
  <c r="O15" i="26"/>
  <c r="P15" i="26"/>
  <c r="Q15" i="26"/>
  <c r="R15" i="26"/>
  <c r="S15" i="26"/>
  <c r="T15" i="26"/>
  <c r="U15" i="26"/>
  <c r="V15" i="26"/>
  <c r="W15" i="26"/>
  <c r="M16" i="26"/>
  <c r="L16" i="26" s="1"/>
  <c r="K16" i="26" s="1"/>
  <c r="J16" i="26" s="1"/>
  <c r="I16" i="26" s="1"/>
  <c r="H16" i="26" s="1"/>
  <c r="G16" i="26" s="1"/>
  <c r="F16" i="26" s="1"/>
  <c r="E16" i="26" s="1"/>
  <c r="D16" i="26" s="1"/>
  <c r="C16" i="26" s="1"/>
  <c r="B16" i="26" s="1"/>
  <c r="N16" i="26"/>
  <c r="O16" i="26"/>
  <c r="P16" i="26"/>
  <c r="Q16" i="26"/>
  <c r="R16" i="26"/>
  <c r="S16" i="26"/>
  <c r="T16" i="26"/>
  <c r="U16" i="26"/>
  <c r="V16" i="26"/>
  <c r="W16" i="26"/>
  <c r="M17" i="26"/>
  <c r="L17" i="26" s="1"/>
  <c r="K17" i="26" s="1"/>
  <c r="J17" i="26" s="1"/>
  <c r="I17" i="26" s="1"/>
  <c r="H17" i="26" s="1"/>
  <c r="G17" i="26" s="1"/>
  <c r="F17" i="26" s="1"/>
  <c r="E17" i="26" s="1"/>
  <c r="D17" i="26" s="1"/>
  <c r="C17" i="26" s="1"/>
  <c r="B17" i="26" s="1"/>
  <c r="N17" i="26"/>
  <c r="O17" i="26"/>
  <c r="P17" i="26"/>
  <c r="Q17" i="26"/>
  <c r="R17" i="26"/>
  <c r="S17" i="26"/>
  <c r="T17" i="26"/>
  <c r="U17" i="26"/>
  <c r="V17" i="26"/>
  <c r="W17" i="26"/>
  <c r="M18" i="26"/>
  <c r="L18" i="26" s="1"/>
  <c r="K18" i="26" s="1"/>
  <c r="J18" i="26" s="1"/>
  <c r="I18" i="26" s="1"/>
  <c r="H18" i="26" s="1"/>
  <c r="G18" i="26" s="1"/>
  <c r="F18" i="26" s="1"/>
  <c r="E18" i="26" s="1"/>
  <c r="D18" i="26" s="1"/>
  <c r="C18" i="26" s="1"/>
  <c r="B18" i="26" s="1"/>
  <c r="N18" i="26"/>
  <c r="O18" i="26"/>
  <c r="P18" i="26"/>
  <c r="Q18" i="26"/>
  <c r="R18" i="26"/>
  <c r="S18" i="26"/>
  <c r="T18" i="26"/>
  <c r="U18" i="26"/>
  <c r="V18" i="26"/>
  <c r="W18" i="26"/>
  <c r="M19" i="26"/>
  <c r="L19" i="26" s="1"/>
  <c r="K19" i="26" s="1"/>
  <c r="J19" i="26" s="1"/>
  <c r="I19" i="26" s="1"/>
  <c r="H19" i="26" s="1"/>
  <c r="G19" i="26" s="1"/>
  <c r="F19" i="26" s="1"/>
  <c r="E19" i="26" s="1"/>
  <c r="D19" i="26" s="1"/>
  <c r="C19" i="26" s="1"/>
  <c r="B19" i="26" s="1"/>
  <c r="N19" i="26"/>
  <c r="O19" i="26"/>
  <c r="P19" i="26"/>
  <c r="Q19" i="26"/>
  <c r="R19" i="26"/>
  <c r="S19" i="26"/>
  <c r="T19" i="26"/>
  <c r="U19" i="26"/>
  <c r="V19" i="26"/>
  <c r="W19" i="26"/>
  <c r="U20" i="26"/>
  <c r="V20" i="26"/>
  <c r="W20" i="26"/>
  <c r="P21" i="26"/>
  <c r="Q21" i="26"/>
  <c r="R21" i="26"/>
  <c r="S21" i="26"/>
  <c r="T21" i="26"/>
  <c r="U21" i="26"/>
  <c r="V21" i="26"/>
  <c r="W21" i="26"/>
  <c r="M22" i="26"/>
  <c r="L22" i="26" s="1"/>
  <c r="K22" i="26" s="1"/>
  <c r="J22" i="26" s="1"/>
  <c r="I22" i="26" s="1"/>
  <c r="H22" i="26" s="1"/>
  <c r="G22" i="26" s="1"/>
  <c r="F22" i="26" s="1"/>
  <c r="E22" i="26" s="1"/>
  <c r="D22" i="26" s="1"/>
  <c r="C22" i="26" s="1"/>
  <c r="B22" i="26" s="1"/>
  <c r="N22" i="26"/>
  <c r="O22" i="26"/>
  <c r="P22" i="26"/>
  <c r="Q22" i="26"/>
  <c r="R22" i="26"/>
  <c r="S22" i="26"/>
  <c r="T22" i="26"/>
  <c r="U22" i="26"/>
  <c r="V22" i="26"/>
  <c r="W22" i="26"/>
  <c r="M24" i="26"/>
  <c r="L24" i="26" s="1"/>
  <c r="K24" i="26" s="1"/>
  <c r="J24" i="26" s="1"/>
  <c r="I24" i="26" s="1"/>
  <c r="H24" i="26" s="1"/>
  <c r="G24" i="26" s="1"/>
  <c r="F24" i="26" s="1"/>
  <c r="E24" i="26" s="1"/>
  <c r="D24" i="26" s="1"/>
  <c r="C24" i="26" s="1"/>
  <c r="B24" i="26" s="1"/>
  <c r="N24" i="26"/>
  <c r="O24" i="26"/>
  <c r="P24" i="26"/>
  <c r="Q24" i="26"/>
  <c r="R24" i="26"/>
  <c r="S24" i="26"/>
  <c r="T24" i="26"/>
  <c r="U24" i="26"/>
  <c r="V24" i="26"/>
  <c r="W24" i="26"/>
  <c r="M25" i="26"/>
  <c r="L25" i="26" s="1"/>
  <c r="K25" i="26" s="1"/>
  <c r="J25" i="26" s="1"/>
  <c r="I25" i="26" s="1"/>
  <c r="H25" i="26" s="1"/>
  <c r="G25" i="26" s="1"/>
  <c r="F25" i="26" s="1"/>
  <c r="E25" i="26" s="1"/>
  <c r="D25" i="26" s="1"/>
  <c r="C25" i="26" s="1"/>
  <c r="B25" i="26" s="1"/>
  <c r="N25" i="26"/>
  <c r="O25" i="26"/>
  <c r="P25" i="26"/>
  <c r="Q25" i="26"/>
  <c r="R25" i="26"/>
  <c r="S25" i="26"/>
  <c r="T25" i="26"/>
  <c r="U25" i="26"/>
  <c r="V25" i="26"/>
  <c r="W25" i="26"/>
  <c r="M26" i="26"/>
  <c r="L26" i="26" s="1"/>
  <c r="K26" i="26" s="1"/>
  <c r="J26" i="26" s="1"/>
  <c r="I26" i="26" s="1"/>
  <c r="H26" i="26" s="1"/>
  <c r="G26" i="26" s="1"/>
  <c r="F26" i="26" s="1"/>
  <c r="E26" i="26" s="1"/>
  <c r="D26" i="26" s="1"/>
  <c r="C26" i="26" s="1"/>
  <c r="B26" i="26" s="1"/>
  <c r="N26" i="26"/>
  <c r="O26" i="26"/>
  <c r="P26" i="26"/>
  <c r="Q26" i="26"/>
  <c r="R26" i="26"/>
  <c r="S26" i="26"/>
  <c r="T26" i="26"/>
  <c r="U26" i="26"/>
  <c r="V26" i="26"/>
  <c r="W26" i="26"/>
  <c r="M27" i="26"/>
  <c r="L27" i="26" s="1"/>
  <c r="K27" i="26" s="1"/>
  <c r="J27" i="26" s="1"/>
  <c r="I27" i="26" s="1"/>
  <c r="H27" i="26" s="1"/>
  <c r="G27" i="26" s="1"/>
  <c r="F27" i="26" s="1"/>
  <c r="E27" i="26" s="1"/>
  <c r="D27" i="26" s="1"/>
  <c r="C27" i="26" s="1"/>
  <c r="B27" i="26" s="1"/>
  <c r="N27" i="26"/>
  <c r="O27" i="26"/>
  <c r="P27" i="26"/>
  <c r="Q27" i="26"/>
  <c r="R27" i="26"/>
  <c r="S27" i="26"/>
  <c r="T27" i="26"/>
  <c r="U27" i="26"/>
  <c r="V27" i="26"/>
  <c r="W27" i="26"/>
  <c r="M28" i="26"/>
  <c r="L28" i="26" s="1"/>
  <c r="K28" i="26" s="1"/>
  <c r="J28" i="26" s="1"/>
  <c r="I28" i="26" s="1"/>
  <c r="H28" i="26" s="1"/>
  <c r="G28" i="26" s="1"/>
  <c r="F28" i="26" s="1"/>
  <c r="E28" i="26" s="1"/>
  <c r="D28" i="26" s="1"/>
  <c r="C28" i="26" s="1"/>
  <c r="B28" i="26" s="1"/>
  <c r="N28" i="26"/>
  <c r="O28" i="26"/>
  <c r="P28" i="26"/>
  <c r="Q28" i="26"/>
  <c r="R28" i="26"/>
  <c r="S28" i="26"/>
  <c r="T28" i="26"/>
  <c r="U28" i="26"/>
  <c r="V28" i="26"/>
  <c r="W28" i="26"/>
  <c r="M29" i="26"/>
  <c r="L29" i="26" s="1"/>
  <c r="K29" i="26" s="1"/>
  <c r="J29" i="26" s="1"/>
  <c r="I29" i="26" s="1"/>
  <c r="H29" i="26" s="1"/>
  <c r="G29" i="26" s="1"/>
  <c r="F29" i="26" s="1"/>
  <c r="E29" i="26" s="1"/>
  <c r="D29" i="26" s="1"/>
  <c r="C29" i="26" s="1"/>
  <c r="B29" i="26" s="1"/>
  <c r="N29" i="26"/>
  <c r="O29" i="26"/>
  <c r="P29" i="26"/>
  <c r="Q29" i="26"/>
  <c r="R29" i="26"/>
  <c r="S29" i="26"/>
  <c r="T29" i="26"/>
  <c r="U29" i="26"/>
  <c r="V29" i="26"/>
  <c r="W29" i="26"/>
  <c r="M30" i="26"/>
  <c r="L30" i="26" s="1"/>
  <c r="K30" i="26" s="1"/>
  <c r="J30" i="26" s="1"/>
  <c r="I30" i="26" s="1"/>
  <c r="H30" i="26" s="1"/>
  <c r="G30" i="26" s="1"/>
  <c r="F30" i="26" s="1"/>
  <c r="E30" i="26" s="1"/>
  <c r="D30" i="26" s="1"/>
  <c r="C30" i="26" s="1"/>
  <c r="B30" i="26" s="1"/>
  <c r="N30" i="26"/>
  <c r="O30" i="26"/>
  <c r="P30" i="26"/>
  <c r="Q30" i="26"/>
  <c r="R30" i="26"/>
  <c r="S30" i="26"/>
  <c r="T30" i="26"/>
  <c r="U30" i="26"/>
  <c r="V30" i="26"/>
  <c r="W30" i="26"/>
  <c r="M31" i="26"/>
  <c r="L31" i="26" s="1"/>
  <c r="K31" i="26" s="1"/>
  <c r="J31" i="26" s="1"/>
  <c r="I31" i="26" s="1"/>
  <c r="H31" i="26" s="1"/>
  <c r="G31" i="26" s="1"/>
  <c r="F31" i="26" s="1"/>
  <c r="E31" i="26" s="1"/>
  <c r="D31" i="26" s="1"/>
  <c r="C31" i="26" s="1"/>
  <c r="B31" i="26" s="1"/>
  <c r="N31" i="26"/>
  <c r="O31" i="26"/>
  <c r="P31" i="26"/>
  <c r="Q31" i="26"/>
  <c r="R31" i="26"/>
  <c r="S31" i="26"/>
  <c r="T31" i="26"/>
  <c r="U31" i="26"/>
  <c r="V31" i="26"/>
  <c r="W31" i="26"/>
  <c r="M32" i="26"/>
  <c r="L32" i="26" s="1"/>
  <c r="K32" i="26" s="1"/>
  <c r="J32" i="26" s="1"/>
  <c r="I32" i="26" s="1"/>
  <c r="H32" i="26" s="1"/>
  <c r="G32" i="26" s="1"/>
  <c r="F32" i="26" s="1"/>
  <c r="E32" i="26" s="1"/>
  <c r="D32" i="26" s="1"/>
  <c r="C32" i="26" s="1"/>
  <c r="B32" i="26" s="1"/>
  <c r="N32" i="26"/>
  <c r="O32" i="26"/>
  <c r="P32" i="26"/>
  <c r="Q32" i="26"/>
  <c r="R32" i="26"/>
  <c r="S32" i="26"/>
  <c r="T32" i="26"/>
  <c r="U32" i="26"/>
  <c r="V32" i="26"/>
  <c r="W32" i="26"/>
  <c r="M33" i="26"/>
  <c r="L33" i="26" s="1"/>
  <c r="K33" i="26" s="1"/>
  <c r="J33" i="26" s="1"/>
  <c r="I33" i="26" s="1"/>
  <c r="H33" i="26" s="1"/>
  <c r="G33" i="26" s="1"/>
  <c r="F33" i="26" s="1"/>
  <c r="E33" i="26" s="1"/>
  <c r="D33" i="26" s="1"/>
  <c r="C33" i="26" s="1"/>
  <c r="B33" i="26" s="1"/>
  <c r="N33" i="26"/>
  <c r="O33" i="26"/>
  <c r="P33" i="26"/>
  <c r="Q33" i="26"/>
  <c r="R33" i="26"/>
  <c r="S33" i="26"/>
  <c r="T33" i="26"/>
  <c r="U33" i="26"/>
  <c r="V33" i="26"/>
  <c r="W33" i="26"/>
  <c r="M34" i="26"/>
  <c r="L34" i="26" s="1"/>
  <c r="K34" i="26" s="1"/>
  <c r="J34" i="26" s="1"/>
  <c r="I34" i="26" s="1"/>
  <c r="H34" i="26" s="1"/>
  <c r="G34" i="26" s="1"/>
  <c r="F34" i="26" s="1"/>
  <c r="E34" i="26" s="1"/>
  <c r="D34" i="26" s="1"/>
  <c r="C34" i="26" s="1"/>
  <c r="B34" i="26" s="1"/>
  <c r="N34" i="26"/>
  <c r="O34" i="26"/>
  <c r="P34" i="26"/>
  <c r="Q34" i="26"/>
  <c r="R34" i="26"/>
  <c r="S34" i="26"/>
  <c r="T34" i="26"/>
  <c r="U34" i="26"/>
  <c r="V34" i="26"/>
  <c r="W34" i="26"/>
  <c r="M35" i="26"/>
  <c r="L35" i="26" s="1"/>
  <c r="K35" i="26" s="1"/>
  <c r="J35" i="26" s="1"/>
  <c r="I35" i="26" s="1"/>
  <c r="H35" i="26" s="1"/>
  <c r="G35" i="26" s="1"/>
  <c r="F35" i="26" s="1"/>
  <c r="E35" i="26" s="1"/>
  <c r="D35" i="26" s="1"/>
  <c r="C35" i="26" s="1"/>
  <c r="B35" i="26" s="1"/>
  <c r="N35" i="26"/>
  <c r="O35" i="26"/>
  <c r="P35" i="26"/>
  <c r="Q35" i="26"/>
  <c r="R35" i="26"/>
  <c r="S35" i="26"/>
  <c r="T35" i="26"/>
  <c r="U35" i="26"/>
  <c r="V35" i="26"/>
  <c r="W35" i="26"/>
  <c r="M36" i="26"/>
  <c r="L36" i="26" s="1"/>
  <c r="K36" i="26" s="1"/>
  <c r="J36" i="26" s="1"/>
  <c r="I36" i="26" s="1"/>
  <c r="H36" i="26" s="1"/>
  <c r="G36" i="26" s="1"/>
  <c r="F36" i="26" s="1"/>
  <c r="E36" i="26" s="1"/>
  <c r="D36" i="26" s="1"/>
  <c r="C36" i="26" s="1"/>
  <c r="B36" i="26" s="1"/>
  <c r="N36" i="26"/>
  <c r="O36" i="26"/>
  <c r="P36" i="26"/>
  <c r="Q36" i="26"/>
  <c r="R36" i="26"/>
  <c r="S36" i="26"/>
  <c r="T36" i="26"/>
  <c r="U36" i="26"/>
  <c r="V36" i="26"/>
  <c r="W36" i="26"/>
  <c r="M37" i="26"/>
  <c r="L37" i="26" s="1"/>
  <c r="K37" i="26" s="1"/>
  <c r="J37" i="26" s="1"/>
  <c r="I37" i="26" s="1"/>
  <c r="H37" i="26" s="1"/>
  <c r="G37" i="26" s="1"/>
  <c r="F37" i="26" s="1"/>
  <c r="E37" i="26" s="1"/>
  <c r="D37" i="26" s="1"/>
  <c r="C37" i="26" s="1"/>
  <c r="B37" i="26" s="1"/>
  <c r="N37" i="26"/>
  <c r="O37" i="26"/>
  <c r="P37" i="26"/>
  <c r="Q37" i="26"/>
  <c r="R37" i="26"/>
  <c r="S37" i="26"/>
  <c r="T37" i="26"/>
  <c r="U37" i="26"/>
  <c r="V37" i="26"/>
  <c r="W37" i="26"/>
  <c r="U38" i="26"/>
  <c r="V38" i="26"/>
  <c r="W38" i="26"/>
  <c r="M39" i="26"/>
  <c r="L39" i="26" s="1"/>
  <c r="K39" i="26" s="1"/>
  <c r="J39" i="26" s="1"/>
  <c r="I39" i="26" s="1"/>
  <c r="H39" i="26" s="1"/>
  <c r="G39" i="26" s="1"/>
  <c r="F39" i="26" s="1"/>
  <c r="E39" i="26" s="1"/>
  <c r="D39" i="26" s="1"/>
  <c r="C39" i="26" s="1"/>
  <c r="B39" i="26" s="1"/>
  <c r="N39" i="26"/>
  <c r="O39" i="26"/>
  <c r="P39" i="26"/>
  <c r="Q39" i="26"/>
  <c r="R39" i="26"/>
  <c r="S39" i="26"/>
  <c r="T39" i="26"/>
  <c r="U39" i="26"/>
  <c r="V39" i="26"/>
  <c r="W39" i="26"/>
  <c r="M40" i="26"/>
  <c r="L40" i="26" s="1"/>
  <c r="K40" i="26" s="1"/>
  <c r="J40" i="26" s="1"/>
  <c r="I40" i="26" s="1"/>
  <c r="H40" i="26" s="1"/>
  <c r="G40" i="26" s="1"/>
  <c r="F40" i="26" s="1"/>
  <c r="E40" i="26" s="1"/>
  <c r="D40" i="26" s="1"/>
  <c r="C40" i="26" s="1"/>
  <c r="B40" i="26" s="1"/>
  <c r="N40" i="26"/>
  <c r="O40" i="26"/>
  <c r="P40" i="26"/>
  <c r="Q40" i="26"/>
  <c r="R40" i="26"/>
  <c r="S40" i="26"/>
  <c r="T40" i="26"/>
  <c r="U40" i="26"/>
  <c r="V40" i="26"/>
  <c r="W40" i="26"/>
  <c r="V10" i="26"/>
  <c r="W10" i="26"/>
  <c r="V9" i="25"/>
  <c r="W9" i="25"/>
  <c r="V10" i="23"/>
  <c r="W10" i="23"/>
  <c r="V10" i="24"/>
  <c r="W10" i="24"/>
  <c r="V10" i="22"/>
  <c r="W10" i="22"/>
  <c r="M10" i="25"/>
  <c r="L10" i="25" s="1"/>
  <c r="N10" i="25"/>
  <c r="O10" i="25"/>
  <c r="P10" i="25"/>
  <c r="Q10" i="25"/>
  <c r="R10" i="25"/>
  <c r="S10" i="25"/>
  <c r="T10" i="25"/>
  <c r="U10" i="25"/>
  <c r="V10" i="25"/>
  <c r="W10" i="25"/>
  <c r="M11" i="25"/>
  <c r="L11" i="25" s="1"/>
  <c r="N11" i="25"/>
  <c r="O11" i="25"/>
  <c r="P11" i="25"/>
  <c r="Q11" i="25"/>
  <c r="R11" i="25"/>
  <c r="S11" i="25"/>
  <c r="T11" i="25"/>
  <c r="U11" i="25"/>
  <c r="V11" i="25"/>
  <c r="W11" i="25"/>
  <c r="N12" i="25"/>
  <c r="O12" i="25"/>
  <c r="P12" i="25"/>
  <c r="Q12" i="25"/>
  <c r="R12" i="25"/>
  <c r="S12" i="25"/>
  <c r="T12" i="25"/>
  <c r="U12" i="25"/>
  <c r="V12" i="25"/>
  <c r="W12" i="25"/>
  <c r="M13" i="25"/>
  <c r="L13" i="25" s="1"/>
  <c r="N13" i="25"/>
  <c r="O13" i="25"/>
  <c r="P13" i="25"/>
  <c r="Q13" i="25"/>
  <c r="R13" i="25"/>
  <c r="S13" i="25"/>
  <c r="T13" i="25"/>
  <c r="U13" i="25"/>
  <c r="V13" i="25"/>
  <c r="W13" i="25"/>
  <c r="M14" i="25"/>
  <c r="L14" i="25" s="1"/>
  <c r="N14" i="25"/>
  <c r="O14" i="25"/>
  <c r="P14" i="25"/>
  <c r="Q14" i="25"/>
  <c r="R14" i="25"/>
  <c r="S14" i="25"/>
  <c r="T14" i="25"/>
  <c r="U14" i="25"/>
  <c r="V14" i="25"/>
  <c r="W14" i="25"/>
  <c r="M15" i="25"/>
  <c r="L15" i="25" s="1"/>
  <c r="N15" i="25"/>
  <c r="O15" i="25"/>
  <c r="P15" i="25"/>
  <c r="Q15" i="25"/>
  <c r="R15" i="25"/>
  <c r="S15" i="25"/>
  <c r="T15" i="25"/>
  <c r="U15" i="25"/>
  <c r="V15" i="25"/>
  <c r="W15" i="25"/>
  <c r="M16" i="25"/>
  <c r="L16" i="25" s="1"/>
  <c r="N16" i="25"/>
  <c r="O16" i="25"/>
  <c r="P16" i="25"/>
  <c r="Q16" i="25"/>
  <c r="R16" i="25"/>
  <c r="S16" i="25"/>
  <c r="T16" i="25"/>
  <c r="U16" i="25"/>
  <c r="V16" i="25"/>
  <c r="W16" i="25"/>
  <c r="M17" i="25"/>
  <c r="L17" i="25" s="1"/>
  <c r="N17" i="25"/>
  <c r="O17" i="25"/>
  <c r="P17" i="25"/>
  <c r="Q17" i="25"/>
  <c r="R17" i="25"/>
  <c r="S17" i="25"/>
  <c r="T17" i="25"/>
  <c r="U17" i="25"/>
  <c r="V17" i="25"/>
  <c r="W17" i="25"/>
  <c r="M18" i="25"/>
  <c r="L18" i="25" s="1"/>
  <c r="N18" i="25"/>
  <c r="O18" i="25"/>
  <c r="P18" i="25"/>
  <c r="Q18" i="25"/>
  <c r="R18" i="25"/>
  <c r="S18" i="25"/>
  <c r="T18" i="25"/>
  <c r="U18" i="25"/>
  <c r="V18" i="25"/>
  <c r="W18" i="25"/>
  <c r="M19" i="25"/>
  <c r="L19" i="25" s="1"/>
  <c r="N19" i="25"/>
  <c r="O19" i="25"/>
  <c r="P19" i="25"/>
  <c r="Q19" i="25"/>
  <c r="R19" i="25"/>
  <c r="S19" i="25"/>
  <c r="T19" i="25"/>
  <c r="U19" i="25"/>
  <c r="V19" i="25"/>
  <c r="W19" i="25"/>
  <c r="P20" i="25"/>
  <c r="Q20" i="25"/>
  <c r="R20" i="25"/>
  <c r="S20" i="25"/>
  <c r="T20" i="25"/>
  <c r="U20" i="25"/>
  <c r="V20" i="25"/>
  <c r="W20" i="25"/>
  <c r="M21" i="25"/>
  <c r="L21" i="25" s="1"/>
  <c r="N21" i="25"/>
  <c r="O21" i="25"/>
  <c r="P21" i="25"/>
  <c r="Q21" i="25"/>
  <c r="R21" i="25"/>
  <c r="S21" i="25"/>
  <c r="T21" i="25"/>
  <c r="U21" i="25"/>
  <c r="V21" i="25"/>
  <c r="W21" i="25"/>
  <c r="M23" i="25"/>
  <c r="L23" i="25" s="1"/>
  <c r="N23" i="25"/>
  <c r="O23" i="25"/>
  <c r="P23" i="25"/>
  <c r="Q23" i="25"/>
  <c r="R23" i="25"/>
  <c r="S23" i="25"/>
  <c r="T23" i="25"/>
  <c r="U23" i="25"/>
  <c r="V23" i="25"/>
  <c r="W23" i="25"/>
  <c r="M24" i="25"/>
  <c r="L24" i="25" s="1"/>
  <c r="N24" i="25"/>
  <c r="O24" i="25"/>
  <c r="P24" i="25"/>
  <c r="Q24" i="25"/>
  <c r="R24" i="25"/>
  <c r="S24" i="25"/>
  <c r="T24" i="25"/>
  <c r="U24" i="25"/>
  <c r="V24" i="25"/>
  <c r="W24" i="25"/>
  <c r="M25" i="25"/>
  <c r="L25" i="25" s="1"/>
  <c r="N25" i="25"/>
  <c r="O25" i="25"/>
  <c r="P25" i="25"/>
  <c r="Q25" i="25"/>
  <c r="R25" i="25"/>
  <c r="S25" i="25"/>
  <c r="T25" i="25"/>
  <c r="U25" i="25"/>
  <c r="V25" i="25"/>
  <c r="W25" i="25"/>
  <c r="M26" i="25"/>
  <c r="L26" i="25" s="1"/>
  <c r="N26" i="25"/>
  <c r="O26" i="25"/>
  <c r="P26" i="25"/>
  <c r="Q26" i="25"/>
  <c r="R26" i="25"/>
  <c r="S26" i="25"/>
  <c r="T26" i="25"/>
  <c r="U26" i="25"/>
  <c r="V26" i="25"/>
  <c r="W26" i="25"/>
  <c r="M27" i="25"/>
  <c r="L27" i="25" s="1"/>
  <c r="N27" i="25"/>
  <c r="O27" i="25"/>
  <c r="P27" i="25"/>
  <c r="Q27" i="25"/>
  <c r="R27" i="25"/>
  <c r="S27" i="25"/>
  <c r="T27" i="25"/>
  <c r="U27" i="25"/>
  <c r="V27" i="25"/>
  <c r="W27" i="25"/>
  <c r="M28" i="25"/>
  <c r="L28" i="25" s="1"/>
  <c r="N28" i="25"/>
  <c r="O28" i="25"/>
  <c r="P28" i="25"/>
  <c r="Q28" i="25"/>
  <c r="R28" i="25"/>
  <c r="S28" i="25"/>
  <c r="T28" i="25"/>
  <c r="U28" i="25"/>
  <c r="V28" i="25"/>
  <c r="W28" i="25"/>
  <c r="M29" i="25"/>
  <c r="L29" i="25" s="1"/>
  <c r="N29" i="25"/>
  <c r="O29" i="25"/>
  <c r="P29" i="25"/>
  <c r="Q29" i="25"/>
  <c r="R29" i="25"/>
  <c r="S29" i="25"/>
  <c r="T29" i="25"/>
  <c r="U29" i="25"/>
  <c r="V29" i="25"/>
  <c r="W29" i="25"/>
  <c r="M30" i="25"/>
  <c r="L30" i="25" s="1"/>
  <c r="N30" i="25"/>
  <c r="O30" i="25"/>
  <c r="P30" i="25"/>
  <c r="Q30" i="25"/>
  <c r="R30" i="25"/>
  <c r="S30" i="25"/>
  <c r="T30" i="25"/>
  <c r="U30" i="25"/>
  <c r="V30" i="25"/>
  <c r="W30" i="25"/>
  <c r="M31" i="25"/>
  <c r="L31" i="25" s="1"/>
  <c r="N31" i="25"/>
  <c r="O31" i="25"/>
  <c r="P31" i="25"/>
  <c r="Q31" i="25"/>
  <c r="R31" i="25"/>
  <c r="S31" i="25"/>
  <c r="T31" i="25"/>
  <c r="U31" i="25"/>
  <c r="V31" i="25"/>
  <c r="W31" i="25"/>
  <c r="M32" i="25"/>
  <c r="L32" i="25" s="1"/>
  <c r="N32" i="25"/>
  <c r="O32" i="25"/>
  <c r="P32" i="25"/>
  <c r="Q32" i="25"/>
  <c r="R32" i="25"/>
  <c r="S32" i="25"/>
  <c r="T32" i="25"/>
  <c r="U32" i="25"/>
  <c r="V32" i="25"/>
  <c r="W32" i="25"/>
  <c r="M33" i="25"/>
  <c r="L33" i="25" s="1"/>
  <c r="N33" i="25"/>
  <c r="O33" i="25"/>
  <c r="P33" i="25"/>
  <c r="Q33" i="25"/>
  <c r="R33" i="25"/>
  <c r="S33" i="25"/>
  <c r="T33" i="25"/>
  <c r="U33" i="25"/>
  <c r="V33" i="25"/>
  <c r="W33" i="25"/>
  <c r="M34" i="25"/>
  <c r="L34" i="25" s="1"/>
  <c r="N34" i="25"/>
  <c r="O34" i="25"/>
  <c r="P34" i="25"/>
  <c r="Q34" i="25"/>
  <c r="R34" i="25"/>
  <c r="S34" i="25"/>
  <c r="T34" i="25"/>
  <c r="U34" i="25"/>
  <c r="V34" i="25"/>
  <c r="W34" i="25"/>
  <c r="M35" i="25"/>
  <c r="L35" i="25" s="1"/>
  <c r="N35" i="25"/>
  <c r="O35" i="25"/>
  <c r="P35" i="25"/>
  <c r="Q35" i="25"/>
  <c r="R35" i="25"/>
  <c r="S35" i="25"/>
  <c r="T35" i="25"/>
  <c r="U35" i="25"/>
  <c r="V35" i="25"/>
  <c r="W35" i="25"/>
  <c r="M36" i="25"/>
  <c r="L36" i="25" s="1"/>
  <c r="N36" i="25"/>
  <c r="O36" i="25"/>
  <c r="P36" i="25"/>
  <c r="Q36" i="25"/>
  <c r="R36" i="25"/>
  <c r="S36" i="25"/>
  <c r="T36" i="25"/>
  <c r="U36" i="25"/>
  <c r="V36" i="25"/>
  <c r="W36" i="25"/>
  <c r="M37" i="25"/>
  <c r="L37" i="25" s="1"/>
  <c r="N37" i="25"/>
  <c r="O37" i="25"/>
  <c r="P37" i="25"/>
  <c r="Q37" i="25"/>
  <c r="R37" i="25"/>
  <c r="S37" i="25"/>
  <c r="T37" i="25"/>
  <c r="U37" i="25"/>
  <c r="V37" i="25"/>
  <c r="W37" i="25"/>
  <c r="M38" i="25"/>
  <c r="L38" i="25" s="1"/>
  <c r="N38" i="25"/>
  <c r="O38" i="25"/>
  <c r="P38" i="25"/>
  <c r="Q38" i="25"/>
  <c r="R38" i="25"/>
  <c r="S38" i="25"/>
  <c r="T38" i="25"/>
  <c r="U38" i="25"/>
  <c r="V38" i="25"/>
  <c r="W38" i="25"/>
  <c r="M39" i="25"/>
  <c r="L39" i="25" s="1"/>
  <c r="N39" i="25"/>
  <c r="O39" i="25"/>
  <c r="P39" i="25"/>
  <c r="Q39" i="25"/>
  <c r="R39" i="25"/>
  <c r="S39" i="25"/>
  <c r="T39" i="25"/>
  <c r="U39" i="25"/>
  <c r="V39" i="25"/>
  <c r="W39" i="25"/>
  <c r="M9" i="25"/>
  <c r="L9" i="25" s="1"/>
  <c r="N9" i="25"/>
  <c r="O9" i="25"/>
  <c r="P9" i="25"/>
  <c r="Q9" i="25"/>
  <c r="R9" i="25"/>
  <c r="S9" i="25"/>
  <c r="T9" i="25"/>
  <c r="U9" i="25"/>
  <c r="M10" i="26"/>
  <c r="L10" i="26" s="1"/>
  <c r="K10" i="26" s="1"/>
  <c r="J10" i="26" s="1"/>
  <c r="I10" i="26" s="1"/>
  <c r="H10" i="26" s="1"/>
  <c r="G10" i="26" s="1"/>
  <c r="F10" i="26" s="1"/>
  <c r="E10" i="26" s="1"/>
  <c r="D10" i="26" s="1"/>
  <c r="C10" i="26" s="1"/>
  <c r="B10" i="26" s="1"/>
  <c r="N38" i="23"/>
  <c r="O38" i="23"/>
  <c r="P38" i="23"/>
  <c r="Q38" i="23"/>
  <c r="R38" i="23"/>
  <c r="S38" i="23"/>
  <c r="T38" i="23"/>
  <c r="M38" i="23"/>
  <c r="L38" i="23" s="1"/>
  <c r="K38" i="23" s="1"/>
  <c r="J38" i="23" s="1"/>
  <c r="I38" i="23" s="1"/>
  <c r="H38" i="23" s="1"/>
  <c r="G38" i="23" s="1"/>
  <c r="F38" i="23" s="1"/>
  <c r="E38" i="23" s="1"/>
  <c r="D38" i="23" s="1"/>
  <c r="C38" i="23" s="1"/>
  <c r="B38" i="23" s="1"/>
  <c r="N20" i="23"/>
  <c r="O20" i="23"/>
  <c r="P20" i="23"/>
  <c r="Q20" i="23"/>
  <c r="R20" i="23"/>
  <c r="S20" i="23"/>
  <c r="T20" i="23"/>
  <c r="U20" i="23"/>
  <c r="V20" i="23"/>
  <c r="W20" i="23"/>
  <c r="M20" i="23"/>
  <c r="L20" i="23" s="1"/>
  <c r="K20" i="23" s="1"/>
  <c r="J20" i="23" s="1"/>
  <c r="I20" i="23" s="1"/>
  <c r="H20" i="23" s="1"/>
  <c r="G20" i="23" s="1"/>
  <c r="F20" i="23" s="1"/>
  <c r="E20" i="23" s="1"/>
  <c r="D20" i="23" s="1"/>
  <c r="C20" i="23" s="1"/>
  <c r="B20" i="23" s="1"/>
  <c r="M11" i="23"/>
  <c r="L11" i="23" s="1"/>
  <c r="K11" i="23" s="1"/>
  <c r="J11" i="23" s="1"/>
  <c r="I11" i="23" s="1"/>
  <c r="H11" i="23" s="1"/>
  <c r="G11" i="23" s="1"/>
  <c r="F11" i="23" s="1"/>
  <c r="E11" i="23" s="1"/>
  <c r="D11" i="23" s="1"/>
  <c r="C11" i="23" s="1"/>
  <c r="B11" i="23" s="1"/>
  <c r="N11" i="23"/>
  <c r="O11" i="23"/>
  <c r="P11" i="23"/>
  <c r="Q11" i="23"/>
  <c r="R11" i="23"/>
  <c r="S11" i="23"/>
  <c r="T11" i="23"/>
  <c r="U11" i="23"/>
  <c r="V11" i="23"/>
  <c r="M12" i="23"/>
  <c r="L12" i="23" s="1"/>
  <c r="K12" i="23" s="1"/>
  <c r="J12" i="23" s="1"/>
  <c r="I12" i="23" s="1"/>
  <c r="H12" i="23" s="1"/>
  <c r="G12" i="23" s="1"/>
  <c r="F12" i="23" s="1"/>
  <c r="E12" i="23" s="1"/>
  <c r="D12" i="23" s="1"/>
  <c r="C12" i="23" s="1"/>
  <c r="B12" i="23" s="1"/>
  <c r="N12" i="23"/>
  <c r="O12" i="23"/>
  <c r="P12" i="23"/>
  <c r="Q12" i="23"/>
  <c r="R12" i="23"/>
  <c r="S12" i="23"/>
  <c r="T12" i="23"/>
  <c r="U12" i="23"/>
  <c r="V12" i="23"/>
  <c r="N13" i="23"/>
  <c r="O13" i="23"/>
  <c r="P13" i="23"/>
  <c r="Q13" i="23"/>
  <c r="R13" i="23"/>
  <c r="S13" i="23"/>
  <c r="T13" i="23"/>
  <c r="U13" i="23"/>
  <c r="V13" i="23"/>
  <c r="M14" i="23"/>
  <c r="L14" i="23" s="1"/>
  <c r="K14" i="23" s="1"/>
  <c r="J14" i="23" s="1"/>
  <c r="I14" i="23" s="1"/>
  <c r="H14" i="23" s="1"/>
  <c r="G14" i="23" s="1"/>
  <c r="F14" i="23" s="1"/>
  <c r="E14" i="23" s="1"/>
  <c r="D14" i="23" s="1"/>
  <c r="C14" i="23" s="1"/>
  <c r="B14" i="23" s="1"/>
  <c r="N14" i="23"/>
  <c r="O14" i="23"/>
  <c r="P14" i="23"/>
  <c r="Q14" i="23"/>
  <c r="R14" i="23"/>
  <c r="S14" i="23"/>
  <c r="T14" i="23"/>
  <c r="U14" i="23"/>
  <c r="V14" i="23"/>
  <c r="M15" i="23"/>
  <c r="L15" i="23" s="1"/>
  <c r="K15" i="23" s="1"/>
  <c r="J15" i="23" s="1"/>
  <c r="I15" i="23" s="1"/>
  <c r="H15" i="23" s="1"/>
  <c r="G15" i="23" s="1"/>
  <c r="F15" i="23" s="1"/>
  <c r="E15" i="23" s="1"/>
  <c r="D15" i="23" s="1"/>
  <c r="C15" i="23" s="1"/>
  <c r="B15" i="23" s="1"/>
  <c r="N15" i="23"/>
  <c r="O15" i="23"/>
  <c r="P15" i="23"/>
  <c r="Q15" i="23"/>
  <c r="R15" i="23"/>
  <c r="S15" i="23"/>
  <c r="T15" i="23"/>
  <c r="U15" i="23"/>
  <c r="V15" i="23"/>
  <c r="M16" i="23"/>
  <c r="L16" i="23" s="1"/>
  <c r="K16" i="23" s="1"/>
  <c r="J16" i="23" s="1"/>
  <c r="I16" i="23" s="1"/>
  <c r="H16" i="23" s="1"/>
  <c r="G16" i="23" s="1"/>
  <c r="F16" i="23" s="1"/>
  <c r="E16" i="23" s="1"/>
  <c r="D16" i="23" s="1"/>
  <c r="C16" i="23" s="1"/>
  <c r="B16" i="23" s="1"/>
  <c r="N16" i="23"/>
  <c r="O16" i="23"/>
  <c r="P16" i="23"/>
  <c r="Q16" i="23"/>
  <c r="R16" i="23"/>
  <c r="S16" i="23"/>
  <c r="T16" i="23"/>
  <c r="U16" i="23"/>
  <c r="V16" i="23"/>
  <c r="M17" i="23"/>
  <c r="L17" i="23" s="1"/>
  <c r="K17" i="23" s="1"/>
  <c r="J17" i="23" s="1"/>
  <c r="I17" i="23" s="1"/>
  <c r="H17" i="23" s="1"/>
  <c r="G17" i="23" s="1"/>
  <c r="F17" i="23" s="1"/>
  <c r="E17" i="23" s="1"/>
  <c r="D17" i="23" s="1"/>
  <c r="C17" i="23" s="1"/>
  <c r="B17" i="23" s="1"/>
  <c r="N17" i="23"/>
  <c r="O17" i="23"/>
  <c r="P17" i="23"/>
  <c r="Q17" i="23"/>
  <c r="R17" i="23"/>
  <c r="S17" i="23"/>
  <c r="T17" i="23"/>
  <c r="U17" i="23"/>
  <c r="V17" i="23"/>
  <c r="M18" i="23"/>
  <c r="L18" i="23" s="1"/>
  <c r="K18" i="23" s="1"/>
  <c r="J18" i="23" s="1"/>
  <c r="I18" i="23" s="1"/>
  <c r="H18" i="23" s="1"/>
  <c r="G18" i="23" s="1"/>
  <c r="F18" i="23" s="1"/>
  <c r="E18" i="23" s="1"/>
  <c r="D18" i="23" s="1"/>
  <c r="C18" i="23" s="1"/>
  <c r="B18" i="23" s="1"/>
  <c r="N18" i="23"/>
  <c r="O18" i="23"/>
  <c r="P18" i="23"/>
  <c r="Q18" i="23"/>
  <c r="R18" i="23"/>
  <c r="S18" i="23"/>
  <c r="T18" i="23"/>
  <c r="U18" i="23"/>
  <c r="V18" i="23"/>
  <c r="M19" i="23"/>
  <c r="L19" i="23" s="1"/>
  <c r="K19" i="23" s="1"/>
  <c r="J19" i="23" s="1"/>
  <c r="I19" i="23" s="1"/>
  <c r="H19" i="23" s="1"/>
  <c r="G19" i="23" s="1"/>
  <c r="F19" i="23" s="1"/>
  <c r="E19" i="23" s="1"/>
  <c r="D19" i="23" s="1"/>
  <c r="C19" i="23" s="1"/>
  <c r="B19" i="23" s="1"/>
  <c r="N19" i="23"/>
  <c r="O19" i="23"/>
  <c r="P19" i="23"/>
  <c r="Q19" i="23"/>
  <c r="R19" i="23"/>
  <c r="S19" i="23"/>
  <c r="T19" i="23"/>
  <c r="U19" i="23"/>
  <c r="V19" i="23"/>
  <c r="P21" i="23"/>
  <c r="Q21" i="23"/>
  <c r="R21" i="23"/>
  <c r="S21" i="23"/>
  <c r="T21" i="23"/>
  <c r="U21" i="23"/>
  <c r="V21" i="23"/>
  <c r="M22" i="23"/>
  <c r="L22" i="23" s="1"/>
  <c r="K22" i="23" s="1"/>
  <c r="J22" i="23" s="1"/>
  <c r="I22" i="23" s="1"/>
  <c r="H22" i="23" s="1"/>
  <c r="G22" i="23" s="1"/>
  <c r="F22" i="23" s="1"/>
  <c r="E22" i="23" s="1"/>
  <c r="D22" i="23" s="1"/>
  <c r="C22" i="23" s="1"/>
  <c r="B22" i="23" s="1"/>
  <c r="N22" i="23"/>
  <c r="O22" i="23"/>
  <c r="P22" i="23"/>
  <c r="Q22" i="23"/>
  <c r="R22" i="23"/>
  <c r="S22" i="23"/>
  <c r="T22" i="23"/>
  <c r="U22" i="23"/>
  <c r="V22" i="23"/>
  <c r="M24" i="23"/>
  <c r="L24" i="23" s="1"/>
  <c r="K24" i="23" s="1"/>
  <c r="J24" i="23" s="1"/>
  <c r="I24" i="23" s="1"/>
  <c r="H24" i="23" s="1"/>
  <c r="G24" i="23" s="1"/>
  <c r="F24" i="23" s="1"/>
  <c r="E24" i="23" s="1"/>
  <c r="D24" i="23" s="1"/>
  <c r="C24" i="23" s="1"/>
  <c r="B24" i="23" s="1"/>
  <c r="N24" i="23"/>
  <c r="O24" i="23"/>
  <c r="P24" i="23"/>
  <c r="Q24" i="23"/>
  <c r="R24" i="23"/>
  <c r="S24" i="23"/>
  <c r="T24" i="23"/>
  <c r="U24" i="23"/>
  <c r="V24" i="23"/>
  <c r="M25" i="23"/>
  <c r="L25" i="23" s="1"/>
  <c r="K25" i="23" s="1"/>
  <c r="J25" i="23" s="1"/>
  <c r="I25" i="23" s="1"/>
  <c r="H25" i="23" s="1"/>
  <c r="G25" i="23" s="1"/>
  <c r="F25" i="23" s="1"/>
  <c r="E25" i="23" s="1"/>
  <c r="D25" i="23" s="1"/>
  <c r="C25" i="23" s="1"/>
  <c r="B25" i="23" s="1"/>
  <c r="N25" i="23"/>
  <c r="O25" i="23"/>
  <c r="P25" i="23"/>
  <c r="Q25" i="23"/>
  <c r="R25" i="23"/>
  <c r="S25" i="23"/>
  <c r="T25" i="23"/>
  <c r="U25" i="23"/>
  <c r="V25" i="23"/>
  <c r="M26" i="23"/>
  <c r="L26" i="23" s="1"/>
  <c r="K26" i="23" s="1"/>
  <c r="J26" i="23" s="1"/>
  <c r="I26" i="23" s="1"/>
  <c r="H26" i="23" s="1"/>
  <c r="G26" i="23" s="1"/>
  <c r="F26" i="23" s="1"/>
  <c r="E26" i="23" s="1"/>
  <c r="D26" i="23" s="1"/>
  <c r="C26" i="23" s="1"/>
  <c r="B26" i="23" s="1"/>
  <c r="N26" i="23"/>
  <c r="O26" i="23"/>
  <c r="P26" i="23"/>
  <c r="Q26" i="23"/>
  <c r="R26" i="23"/>
  <c r="S26" i="23"/>
  <c r="T26" i="23"/>
  <c r="U26" i="23"/>
  <c r="V26" i="23"/>
  <c r="M27" i="23"/>
  <c r="L27" i="23" s="1"/>
  <c r="K27" i="23" s="1"/>
  <c r="J27" i="23" s="1"/>
  <c r="I27" i="23" s="1"/>
  <c r="H27" i="23" s="1"/>
  <c r="G27" i="23" s="1"/>
  <c r="F27" i="23" s="1"/>
  <c r="E27" i="23" s="1"/>
  <c r="D27" i="23" s="1"/>
  <c r="C27" i="23" s="1"/>
  <c r="B27" i="23" s="1"/>
  <c r="N27" i="23"/>
  <c r="O27" i="23"/>
  <c r="P27" i="23"/>
  <c r="Q27" i="23"/>
  <c r="R27" i="23"/>
  <c r="S27" i="23"/>
  <c r="T27" i="23"/>
  <c r="U27" i="23"/>
  <c r="V27" i="23"/>
  <c r="M28" i="23"/>
  <c r="L28" i="23" s="1"/>
  <c r="K28" i="23" s="1"/>
  <c r="J28" i="23" s="1"/>
  <c r="I28" i="23" s="1"/>
  <c r="H28" i="23" s="1"/>
  <c r="G28" i="23" s="1"/>
  <c r="F28" i="23" s="1"/>
  <c r="E28" i="23" s="1"/>
  <c r="D28" i="23" s="1"/>
  <c r="C28" i="23" s="1"/>
  <c r="B28" i="23" s="1"/>
  <c r="N28" i="23"/>
  <c r="O28" i="23"/>
  <c r="P28" i="23"/>
  <c r="Q28" i="23"/>
  <c r="R28" i="23"/>
  <c r="S28" i="23"/>
  <c r="T28" i="23"/>
  <c r="U28" i="23"/>
  <c r="V28" i="23"/>
  <c r="M29" i="23"/>
  <c r="L29" i="23" s="1"/>
  <c r="K29" i="23" s="1"/>
  <c r="J29" i="23" s="1"/>
  <c r="I29" i="23" s="1"/>
  <c r="H29" i="23" s="1"/>
  <c r="G29" i="23" s="1"/>
  <c r="F29" i="23" s="1"/>
  <c r="E29" i="23" s="1"/>
  <c r="D29" i="23" s="1"/>
  <c r="C29" i="23" s="1"/>
  <c r="B29" i="23" s="1"/>
  <c r="N29" i="23"/>
  <c r="O29" i="23"/>
  <c r="P29" i="23"/>
  <c r="Q29" i="23"/>
  <c r="R29" i="23"/>
  <c r="S29" i="23"/>
  <c r="T29" i="23"/>
  <c r="U29" i="23"/>
  <c r="V29" i="23"/>
  <c r="M30" i="23"/>
  <c r="L30" i="23" s="1"/>
  <c r="K30" i="23" s="1"/>
  <c r="J30" i="23" s="1"/>
  <c r="I30" i="23" s="1"/>
  <c r="H30" i="23" s="1"/>
  <c r="G30" i="23" s="1"/>
  <c r="F30" i="23" s="1"/>
  <c r="E30" i="23" s="1"/>
  <c r="D30" i="23" s="1"/>
  <c r="C30" i="23" s="1"/>
  <c r="B30" i="23" s="1"/>
  <c r="N30" i="23"/>
  <c r="O30" i="23"/>
  <c r="P30" i="23"/>
  <c r="Q30" i="23"/>
  <c r="R30" i="23"/>
  <c r="S30" i="23"/>
  <c r="T30" i="23"/>
  <c r="U30" i="23"/>
  <c r="V30" i="23"/>
  <c r="M31" i="23"/>
  <c r="L31" i="23" s="1"/>
  <c r="K31" i="23" s="1"/>
  <c r="J31" i="23" s="1"/>
  <c r="I31" i="23" s="1"/>
  <c r="H31" i="23" s="1"/>
  <c r="G31" i="23" s="1"/>
  <c r="F31" i="23" s="1"/>
  <c r="E31" i="23" s="1"/>
  <c r="D31" i="23" s="1"/>
  <c r="C31" i="23" s="1"/>
  <c r="B31" i="23" s="1"/>
  <c r="N31" i="23"/>
  <c r="O31" i="23"/>
  <c r="P31" i="23"/>
  <c r="Q31" i="23"/>
  <c r="R31" i="23"/>
  <c r="S31" i="23"/>
  <c r="T31" i="23"/>
  <c r="U31" i="23"/>
  <c r="V31" i="23"/>
  <c r="M32" i="23"/>
  <c r="L32" i="23" s="1"/>
  <c r="K32" i="23" s="1"/>
  <c r="J32" i="23" s="1"/>
  <c r="I32" i="23" s="1"/>
  <c r="H32" i="23" s="1"/>
  <c r="G32" i="23" s="1"/>
  <c r="F32" i="23" s="1"/>
  <c r="E32" i="23" s="1"/>
  <c r="D32" i="23" s="1"/>
  <c r="C32" i="23" s="1"/>
  <c r="B32" i="23" s="1"/>
  <c r="N32" i="23"/>
  <c r="O32" i="23"/>
  <c r="P32" i="23"/>
  <c r="Q32" i="23"/>
  <c r="R32" i="23"/>
  <c r="S32" i="23"/>
  <c r="T32" i="23"/>
  <c r="U32" i="23"/>
  <c r="V32" i="23"/>
  <c r="M33" i="23"/>
  <c r="L33" i="23" s="1"/>
  <c r="K33" i="23" s="1"/>
  <c r="J33" i="23" s="1"/>
  <c r="I33" i="23" s="1"/>
  <c r="H33" i="23" s="1"/>
  <c r="G33" i="23" s="1"/>
  <c r="F33" i="23" s="1"/>
  <c r="E33" i="23" s="1"/>
  <c r="D33" i="23" s="1"/>
  <c r="C33" i="23" s="1"/>
  <c r="B33" i="23" s="1"/>
  <c r="N33" i="23"/>
  <c r="O33" i="23"/>
  <c r="P33" i="23"/>
  <c r="Q33" i="23"/>
  <c r="R33" i="23"/>
  <c r="S33" i="23"/>
  <c r="T33" i="23"/>
  <c r="U33" i="23"/>
  <c r="V33" i="23"/>
  <c r="M34" i="23"/>
  <c r="L34" i="23" s="1"/>
  <c r="K34" i="23" s="1"/>
  <c r="J34" i="23" s="1"/>
  <c r="I34" i="23" s="1"/>
  <c r="H34" i="23" s="1"/>
  <c r="G34" i="23" s="1"/>
  <c r="F34" i="23" s="1"/>
  <c r="E34" i="23" s="1"/>
  <c r="D34" i="23" s="1"/>
  <c r="C34" i="23" s="1"/>
  <c r="B34" i="23" s="1"/>
  <c r="N34" i="23"/>
  <c r="O34" i="23"/>
  <c r="P34" i="23"/>
  <c r="Q34" i="23"/>
  <c r="R34" i="23"/>
  <c r="S34" i="23"/>
  <c r="T34" i="23"/>
  <c r="U34" i="23"/>
  <c r="V34" i="23"/>
  <c r="M35" i="23"/>
  <c r="L35" i="23" s="1"/>
  <c r="K35" i="23" s="1"/>
  <c r="J35" i="23" s="1"/>
  <c r="I35" i="23" s="1"/>
  <c r="H35" i="23" s="1"/>
  <c r="G35" i="23" s="1"/>
  <c r="F35" i="23" s="1"/>
  <c r="E35" i="23" s="1"/>
  <c r="D35" i="23" s="1"/>
  <c r="C35" i="23" s="1"/>
  <c r="B35" i="23" s="1"/>
  <c r="N35" i="23"/>
  <c r="O35" i="23"/>
  <c r="P35" i="23"/>
  <c r="Q35" i="23"/>
  <c r="R35" i="23"/>
  <c r="S35" i="23"/>
  <c r="T35" i="23"/>
  <c r="U35" i="23"/>
  <c r="V35" i="23"/>
  <c r="M36" i="23"/>
  <c r="L36" i="23" s="1"/>
  <c r="K36" i="23" s="1"/>
  <c r="J36" i="23" s="1"/>
  <c r="I36" i="23" s="1"/>
  <c r="H36" i="23" s="1"/>
  <c r="G36" i="23" s="1"/>
  <c r="F36" i="23" s="1"/>
  <c r="E36" i="23" s="1"/>
  <c r="D36" i="23" s="1"/>
  <c r="C36" i="23" s="1"/>
  <c r="B36" i="23" s="1"/>
  <c r="N36" i="23"/>
  <c r="O36" i="23"/>
  <c r="P36" i="23"/>
  <c r="Q36" i="23"/>
  <c r="R36" i="23"/>
  <c r="S36" i="23"/>
  <c r="T36" i="23"/>
  <c r="U36" i="23"/>
  <c r="V36" i="23"/>
  <c r="M37" i="23"/>
  <c r="L37" i="23" s="1"/>
  <c r="K37" i="23" s="1"/>
  <c r="J37" i="23" s="1"/>
  <c r="I37" i="23" s="1"/>
  <c r="H37" i="23" s="1"/>
  <c r="G37" i="23" s="1"/>
  <c r="F37" i="23" s="1"/>
  <c r="E37" i="23" s="1"/>
  <c r="D37" i="23" s="1"/>
  <c r="C37" i="23" s="1"/>
  <c r="B37" i="23" s="1"/>
  <c r="N37" i="23"/>
  <c r="O37" i="23"/>
  <c r="P37" i="23"/>
  <c r="Q37" i="23"/>
  <c r="R37" i="23"/>
  <c r="S37" i="23"/>
  <c r="T37" i="23"/>
  <c r="U37" i="23"/>
  <c r="V37" i="23"/>
  <c r="U38" i="23"/>
  <c r="V38" i="23"/>
  <c r="M39" i="23"/>
  <c r="L39" i="23" s="1"/>
  <c r="K39" i="23" s="1"/>
  <c r="J39" i="23" s="1"/>
  <c r="I39" i="23" s="1"/>
  <c r="H39" i="23" s="1"/>
  <c r="G39" i="23" s="1"/>
  <c r="F39" i="23" s="1"/>
  <c r="E39" i="23" s="1"/>
  <c r="D39" i="23" s="1"/>
  <c r="C39" i="23" s="1"/>
  <c r="B39" i="23" s="1"/>
  <c r="N39" i="23"/>
  <c r="O39" i="23"/>
  <c r="P39" i="23"/>
  <c r="Q39" i="23"/>
  <c r="R39" i="23"/>
  <c r="S39" i="23"/>
  <c r="T39" i="23"/>
  <c r="U39" i="23"/>
  <c r="V39" i="23"/>
  <c r="M40" i="23"/>
  <c r="L40" i="23" s="1"/>
  <c r="K40" i="23" s="1"/>
  <c r="J40" i="23" s="1"/>
  <c r="I40" i="23" s="1"/>
  <c r="H40" i="23" s="1"/>
  <c r="G40" i="23" s="1"/>
  <c r="F40" i="23" s="1"/>
  <c r="E40" i="23" s="1"/>
  <c r="D40" i="23" s="1"/>
  <c r="C40" i="23" s="1"/>
  <c r="B40" i="23" s="1"/>
  <c r="N40" i="23"/>
  <c r="O40" i="23"/>
  <c r="P40" i="23"/>
  <c r="Q40" i="23"/>
  <c r="R40" i="23"/>
  <c r="S40" i="23"/>
  <c r="T40" i="23"/>
  <c r="U40" i="23"/>
  <c r="V40" i="23"/>
  <c r="W11" i="23"/>
  <c r="W12" i="23"/>
  <c r="W13" i="23"/>
  <c r="W14" i="23"/>
  <c r="W15" i="23"/>
  <c r="W16" i="23"/>
  <c r="W17" i="23"/>
  <c r="W18" i="23"/>
  <c r="W19" i="23"/>
  <c r="W21" i="23"/>
  <c r="W22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N38" i="24"/>
  <c r="O38" i="24"/>
  <c r="P38" i="24"/>
  <c r="Q38" i="24"/>
  <c r="R38" i="24"/>
  <c r="S38" i="24"/>
  <c r="T38" i="24"/>
  <c r="M38" i="24"/>
  <c r="L38" i="24" s="1"/>
  <c r="K38" i="24" s="1"/>
  <c r="J38" i="24" s="1"/>
  <c r="I38" i="24" s="1"/>
  <c r="H38" i="24" s="1"/>
  <c r="G38" i="24" s="1"/>
  <c r="F38" i="24" s="1"/>
  <c r="E38" i="24" s="1"/>
  <c r="D38" i="24" s="1"/>
  <c r="C38" i="24" s="1"/>
  <c r="B38" i="24" s="1"/>
  <c r="U20" i="24"/>
  <c r="N20" i="24"/>
  <c r="O20" i="24"/>
  <c r="P20" i="24"/>
  <c r="Q20" i="24"/>
  <c r="R20" i="24"/>
  <c r="S20" i="24"/>
  <c r="T20" i="24"/>
  <c r="M20" i="24"/>
  <c r="L20" i="24" s="1"/>
  <c r="K20" i="24" s="1"/>
  <c r="J20" i="24" s="1"/>
  <c r="I20" i="24" s="1"/>
  <c r="H20" i="24" s="1"/>
  <c r="G20" i="24" s="1"/>
  <c r="F20" i="24" s="1"/>
  <c r="E20" i="24" s="1"/>
  <c r="D20" i="24" s="1"/>
  <c r="C20" i="24" s="1"/>
  <c r="B20" i="24" s="1"/>
  <c r="M11" i="24"/>
  <c r="L11" i="24" s="1"/>
  <c r="K11" i="24" s="1"/>
  <c r="J11" i="24" s="1"/>
  <c r="I11" i="24" s="1"/>
  <c r="H11" i="24" s="1"/>
  <c r="G11" i="24" s="1"/>
  <c r="F11" i="24" s="1"/>
  <c r="E11" i="24" s="1"/>
  <c r="D11" i="24" s="1"/>
  <c r="C11" i="24" s="1"/>
  <c r="B11" i="24" s="1"/>
  <c r="N11" i="24"/>
  <c r="O11" i="24"/>
  <c r="P11" i="24"/>
  <c r="Q11" i="24"/>
  <c r="R11" i="24"/>
  <c r="S11" i="24"/>
  <c r="T11" i="24"/>
  <c r="U11" i="24"/>
  <c r="V11" i="24"/>
  <c r="W11" i="24"/>
  <c r="M12" i="24"/>
  <c r="L12" i="24" s="1"/>
  <c r="K12" i="24" s="1"/>
  <c r="J12" i="24" s="1"/>
  <c r="I12" i="24" s="1"/>
  <c r="H12" i="24" s="1"/>
  <c r="G12" i="24" s="1"/>
  <c r="F12" i="24" s="1"/>
  <c r="E12" i="24" s="1"/>
  <c r="D12" i="24" s="1"/>
  <c r="C12" i="24" s="1"/>
  <c r="B12" i="24" s="1"/>
  <c r="N12" i="24"/>
  <c r="O12" i="24"/>
  <c r="P12" i="24"/>
  <c r="Q12" i="24"/>
  <c r="R12" i="24"/>
  <c r="S12" i="24"/>
  <c r="T12" i="24"/>
  <c r="U12" i="24"/>
  <c r="V12" i="24"/>
  <c r="W12" i="24"/>
  <c r="N13" i="24"/>
  <c r="O13" i="24"/>
  <c r="P13" i="24"/>
  <c r="Q13" i="24"/>
  <c r="R13" i="24"/>
  <c r="S13" i="24"/>
  <c r="T13" i="24"/>
  <c r="U13" i="24"/>
  <c r="V13" i="24"/>
  <c r="W13" i="24"/>
  <c r="M14" i="24"/>
  <c r="L14" i="24" s="1"/>
  <c r="K14" i="24" s="1"/>
  <c r="J14" i="24" s="1"/>
  <c r="I14" i="24" s="1"/>
  <c r="H14" i="24" s="1"/>
  <c r="G14" i="24" s="1"/>
  <c r="F14" i="24" s="1"/>
  <c r="E14" i="24" s="1"/>
  <c r="D14" i="24" s="1"/>
  <c r="C14" i="24" s="1"/>
  <c r="B14" i="24" s="1"/>
  <c r="N14" i="24"/>
  <c r="O14" i="24"/>
  <c r="P14" i="24"/>
  <c r="Q14" i="24"/>
  <c r="R14" i="24"/>
  <c r="S14" i="24"/>
  <c r="T14" i="24"/>
  <c r="U14" i="24"/>
  <c r="V14" i="24"/>
  <c r="W14" i="24"/>
  <c r="M15" i="24"/>
  <c r="L15" i="24" s="1"/>
  <c r="K15" i="24" s="1"/>
  <c r="J15" i="24" s="1"/>
  <c r="I15" i="24" s="1"/>
  <c r="H15" i="24" s="1"/>
  <c r="G15" i="24" s="1"/>
  <c r="F15" i="24" s="1"/>
  <c r="E15" i="24" s="1"/>
  <c r="D15" i="24" s="1"/>
  <c r="C15" i="24" s="1"/>
  <c r="B15" i="24" s="1"/>
  <c r="N15" i="24"/>
  <c r="O15" i="24"/>
  <c r="P15" i="24"/>
  <c r="Q15" i="24"/>
  <c r="R15" i="24"/>
  <c r="S15" i="24"/>
  <c r="T15" i="24"/>
  <c r="U15" i="24"/>
  <c r="V15" i="24"/>
  <c r="W15" i="24"/>
  <c r="M16" i="24"/>
  <c r="L16" i="24" s="1"/>
  <c r="K16" i="24" s="1"/>
  <c r="J16" i="24" s="1"/>
  <c r="I16" i="24" s="1"/>
  <c r="H16" i="24" s="1"/>
  <c r="G16" i="24" s="1"/>
  <c r="F16" i="24" s="1"/>
  <c r="E16" i="24" s="1"/>
  <c r="D16" i="24" s="1"/>
  <c r="C16" i="24" s="1"/>
  <c r="B16" i="24" s="1"/>
  <c r="N16" i="24"/>
  <c r="O16" i="24"/>
  <c r="P16" i="24"/>
  <c r="Q16" i="24"/>
  <c r="R16" i="24"/>
  <c r="S16" i="24"/>
  <c r="T16" i="24"/>
  <c r="U16" i="24"/>
  <c r="V16" i="24"/>
  <c r="W16" i="24"/>
  <c r="M17" i="24"/>
  <c r="L17" i="24" s="1"/>
  <c r="K17" i="24" s="1"/>
  <c r="J17" i="24" s="1"/>
  <c r="I17" i="24" s="1"/>
  <c r="H17" i="24" s="1"/>
  <c r="G17" i="24" s="1"/>
  <c r="F17" i="24" s="1"/>
  <c r="E17" i="24" s="1"/>
  <c r="D17" i="24" s="1"/>
  <c r="C17" i="24" s="1"/>
  <c r="B17" i="24" s="1"/>
  <c r="N17" i="24"/>
  <c r="O17" i="24"/>
  <c r="P17" i="24"/>
  <c r="Q17" i="24"/>
  <c r="R17" i="24"/>
  <c r="S17" i="24"/>
  <c r="T17" i="24"/>
  <c r="U17" i="24"/>
  <c r="V17" i="24"/>
  <c r="W17" i="24"/>
  <c r="M18" i="24"/>
  <c r="L18" i="24" s="1"/>
  <c r="K18" i="24" s="1"/>
  <c r="J18" i="24" s="1"/>
  <c r="I18" i="24" s="1"/>
  <c r="H18" i="24" s="1"/>
  <c r="G18" i="24" s="1"/>
  <c r="F18" i="24" s="1"/>
  <c r="E18" i="24" s="1"/>
  <c r="D18" i="24" s="1"/>
  <c r="C18" i="24" s="1"/>
  <c r="B18" i="24" s="1"/>
  <c r="N18" i="24"/>
  <c r="O18" i="24"/>
  <c r="P18" i="24"/>
  <c r="Q18" i="24"/>
  <c r="R18" i="24"/>
  <c r="S18" i="24"/>
  <c r="T18" i="24"/>
  <c r="U18" i="24"/>
  <c r="V18" i="24"/>
  <c r="W18" i="24"/>
  <c r="M19" i="24"/>
  <c r="L19" i="24" s="1"/>
  <c r="K19" i="24" s="1"/>
  <c r="J19" i="24" s="1"/>
  <c r="I19" i="24" s="1"/>
  <c r="H19" i="24" s="1"/>
  <c r="G19" i="24" s="1"/>
  <c r="F19" i="24" s="1"/>
  <c r="E19" i="24" s="1"/>
  <c r="D19" i="24" s="1"/>
  <c r="C19" i="24" s="1"/>
  <c r="B19" i="24" s="1"/>
  <c r="N19" i="24"/>
  <c r="O19" i="24"/>
  <c r="P19" i="24"/>
  <c r="Q19" i="24"/>
  <c r="R19" i="24"/>
  <c r="S19" i="24"/>
  <c r="T19" i="24"/>
  <c r="U19" i="24"/>
  <c r="V19" i="24"/>
  <c r="W19" i="24"/>
  <c r="V20" i="24"/>
  <c r="W20" i="24"/>
  <c r="P21" i="24"/>
  <c r="Q21" i="24"/>
  <c r="R21" i="24"/>
  <c r="S21" i="24"/>
  <c r="T21" i="24"/>
  <c r="U21" i="24"/>
  <c r="V21" i="24"/>
  <c r="W21" i="24"/>
  <c r="M22" i="24"/>
  <c r="L22" i="24" s="1"/>
  <c r="K22" i="24" s="1"/>
  <c r="J22" i="24" s="1"/>
  <c r="I22" i="24" s="1"/>
  <c r="H22" i="24" s="1"/>
  <c r="G22" i="24" s="1"/>
  <c r="F22" i="24" s="1"/>
  <c r="E22" i="24" s="1"/>
  <c r="D22" i="24" s="1"/>
  <c r="C22" i="24" s="1"/>
  <c r="B22" i="24" s="1"/>
  <c r="N22" i="24"/>
  <c r="O22" i="24"/>
  <c r="P22" i="24"/>
  <c r="Q22" i="24"/>
  <c r="R22" i="24"/>
  <c r="S22" i="24"/>
  <c r="T22" i="24"/>
  <c r="U22" i="24"/>
  <c r="V22" i="24"/>
  <c r="W22" i="24"/>
  <c r="M24" i="24"/>
  <c r="L24" i="24" s="1"/>
  <c r="K24" i="24" s="1"/>
  <c r="J24" i="24" s="1"/>
  <c r="I24" i="24" s="1"/>
  <c r="H24" i="24" s="1"/>
  <c r="G24" i="24" s="1"/>
  <c r="F24" i="24" s="1"/>
  <c r="E24" i="24" s="1"/>
  <c r="D24" i="24" s="1"/>
  <c r="C24" i="24" s="1"/>
  <c r="B24" i="24" s="1"/>
  <c r="N24" i="24"/>
  <c r="O24" i="24"/>
  <c r="P24" i="24"/>
  <c r="Q24" i="24"/>
  <c r="R24" i="24"/>
  <c r="S24" i="24"/>
  <c r="T24" i="24"/>
  <c r="U24" i="24"/>
  <c r="V24" i="24"/>
  <c r="W24" i="24"/>
  <c r="M25" i="24"/>
  <c r="L25" i="24" s="1"/>
  <c r="K25" i="24" s="1"/>
  <c r="J25" i="24" s="1"/>
  <c r="I25" i="24" s="1"/>
  <c r="H25" i="24" s="1"/>
  <c r="G25" i="24" s="1"/>
  <c r="F25" i="24" s="1"/>
  <c r="E25" i="24" s="1"/>
  <c r="D25" i="24" s="1"/>
  <c r="C25" i="24" s="1"/>
  <c r="B25" i="24" s="1"/>
  <c r="N25" i="24"/>
  <c r="O25" i="24"/>
  <c r="P25" i="24"/>
  <c r="Q25" i="24"/>
  <c r="R25" i="24"/>
  <c r="S25" i="24"/>
  <c r="T25" i="24"/>
  <c r="U25" i="24"/>
  <c r="V25" i="24"/>
  <c r="W25" i="24"/>
  <c r="M26" i="24"/>
  <c r="L26" i="24" s="1"/>
  <c r="K26" i="24" s="1"/>
  <c r="J26" i="24" s="1"/>
  <c r="I26" i="24" s="1"/>
  <c r="H26" i="24" s="1"/>
  <c r="G26" i="24" s="1"/>
  <c r="F26" i="24" s="1"/>
  <c r="E26" i="24" s="1"/>
  <c r="D26" i="24" s="1"/>
  <c r="C26" i="24" s="1"/>
  <c r="B26" i="24" s="1"/>
  <c r="N26" i="24"/>
  <c r="O26" i="24"/>
  <c r="P26" i="24"/>
  <c r="Q26" i="24"/>
  <c r="R26" i="24"/>
  <c r="S26" i="24"/>
  <c r="T26" i="24"/>
  <c r="U26" i="24"/>
  <c r="V26" i="24"/>
  <c r="W26" i="24"/>
  <c r="M27" i="24"/>
  <c r="L27" i="24" s="1"/>
  <c r="K27" i="24" s="1"/>
  <c r="J27" i="24" s="1"/>
  <c r="I27" i="24" s="1"/>
  <c r="H27" i="24" s="1"/>
  <c r="G27" i="24" s="1"/>
  <c r="F27" i="24" s="1"/>
  <c r="E27" i="24" s="1"/>
  <c r="D27" i="24" s="1"/>
  <c r="C27" i="24" s="1"/>
  <c r="B27" i="24" s="1"/>
  <c r="N27" i="24"/>
  <c r="O27" i="24"/>
  <c r="P27" i="24"/>
  <c r="Q27" i="24"/>
  <c r="R27" i="24"/>
  <c r="S27" i="24"/>
  <c r="T27" i="24"/>
  <c r="U27" i="24"/>
  <c r="V27" i="24"/>
  <c r="W27" i="24"/>
  <c r="M28" i="24"/>
  <c r="L28" i="24" s="1"/>
  <c r="K28" i="24" s="1"/>
  <c r="J28" i="24" s="1"/>
  <c r="I28" i="24" s="1"/>
  <c r="H28" i="24" s="1"/>
  <c r="G28" i="24" s="1"/>
  <c r="F28" i="24" s="1"/>
  <c r="E28" i="24" s="1"/>
  <c r="D28" i="24" s="1"/>
  <c r="C28" i="24" s="1"/>
  <c r="B28" i="24" s="1"/>
  <c r="N28" i="24"/>
  <c r="O28" i="24"/>
  <c r="P28" i="24"/>
  <c r="Q28" i="24"/>
  <c r="R28" i="24"/>
  <c r="S28" i="24"/>
  <c r="T28" i="24"/>
  <c r="U28" i="24"/>
  <c r="V28" i="24"/>
  <c r="W28" i="24"/>
  <c r="M29" i="24"/>
  <c r="L29" i="24" s="1"/>
  <c r="K29" i="24" s="1"/>
  <c r="J29" i="24" s="1"/>
  <c r="I29" i="24" s="1"/>
  <c r="H29" i="24" s="1"/>
  <c r="G29" i="24" s="1"/>
  <c r="F29" i="24" s="1"/>
  <c r="E29" i="24" s="1"/>
  <c r="D29" i="24" s="1"/>
  <c r="C29" i="24" s="1"/>
  <c r="B29" i="24" s="1"/>
  <c r="N29" i="24"/>
  <c r="O29" i="24"/>
  <c r="P29" i="24"/>
  <c r="Q29" i="24"/>
  <c r="R29" i="24"/>
  <c r="S29" i="24"/>
  <c r="T29" i="24"/>
  <c r="U29" i="24"/>
  <c r="V29" i="24"/>
  <c r="W29" i="24"/>
  <c r="M30" i="24"/>
  <c r="L30" i="24" s="1"/>
  <c r="K30" i="24" s="1"/>
  <c r="J30" i="24" s="1"/>
  <c r="I30" i="24" s="1"/>
  <c r="H30" i="24" s="1"/>
  <c r="G30" i="24" s="1"/>
  <c r="F30" i="24" s="1"/>
  <c r="E30" i="24" s="1"/>
  <c r="D30" i="24" s="1"/>
  <c r="C30" i="24" s="1"/>
  <c r="B30" i="24" s="1"/>
  <c r="N30" i="24"/>
  <c r="O30" i="24"/>
  <c r="P30" i="24"/>
  <c r="Q30" i="24"/>
  <c r="R30" i="24"/>
  <c r="S30" i="24"/>
  <c r="T30" i="24"/>
  <c r="U30" i="24"/>
  <c r="V30" i="24"/>
  <c r="W30" i="24"/>
  <c r="M31" i="24"/>
  <c r="L31" i="24" s="1"/>
  <c r="K31" i="24" s="1"/>
  <c r="J31" i="24" s="1"/>
  <c r="I31" i="24" s="1"/>
  <c r="H31" i="24" s="1"/>
  <c r="G31" i="24" s="1"/>
  <c r="F31" i="24" s="1"/>
  <c r="E31" i="24" s="1"/>
  <c r="D31" i="24" s="1"/>
  <c r="C31" i="24" s="1"/>
  <c r="B31" i="24" s="1"/>
  <c r="N31" i="24"/>
  <c r="O31" i="24"/>
  <c r="P31" i="24"/>
  <c r="Q31" i="24"/>
  <c r="R31" i="24"/>
  <c r="S31" i="24"/>
  <c r="T31" i="24"/>
  <c r="U31" i="24"/>
  <c r="V31" i="24"/>
  <c r="W31" i="24"/>
  <c r="M32" i="24"/>
  <c r="L32" i="24" s="1"/>
  <c r="K32" i="24" s="1"/>
  <c r="J32" i="24" s="1"/>
  <c r="I32" i="24" s="1"/>
  <c r="H32" i="24" s="1"/>
  <c r="G32" i="24" s="1"/>
  <c r="F32" i="24" s="1"/>
  <c r="E32" i="24" s="1"/>
  <c r="D32" i="24" s="1"/>
  <c r="C32" i="24" s="1"/>
  <c r="B32" i="24" s="1"/>
  <c r="N32" i="24"/>
  <c r="O32" i="24"/>
  <c r="P32" i="24"/>
  <c r="Q32" i="24"/>
  <c r="R32" i="24"/>
  <c r="S32" i="24"/>
  <c r="T32" i="24"/>
  <c r="U32" i="24"/>
  <c r="V32" i="24"/>
  <c r="W32" i="24"/>
  <c r="M33" i="24"/>
  <c r="L33" i="24" s="1"/>
  <c r="K33" i="24" s="1"/>
  <c r="J33" i="24" s="1"/>
  <c r="I33" i="24" s="1"/>
  <c r="H33" i="24" s="1"/>
  <c r="G33" i="24" s="1"/>
  <c r="F33" i="24" s="1"/>
  <c r="E33" i="24" s="1"/>
  <c r="D33" i="24" s="1"/>
  <c r="C33" i="24" s="1"/>
  <c r="B33" i="24" s="1"/>
  <c r="N33" i="24"/>
  <c r="O33" i="24"/>
  <c r="P33" i="24"/>
  <c r="Q33" i="24"/>
  <c r="R33" i="24"/>
  <c r="S33" i="24"/>
  <c r="T33" i="24"/>
  <c r="U33" i="24"/>
  <c r="V33" i="24"/>
  <c r="W33" i="24"/>
  <c r="M34" i="24"/>
  <c r="L34" i="24" s="1"/>
  <c r="K34" i="24" s="1"/>
  <c r="J34" i="24" s="1"/>
  <c r="I34" i="24" s="1"/>
  <c r="H34" i="24" s="1"/>
  <c r="G34" i="24" s="1"/>
  <c r="F34" i="24" s="1"/>
  <c r="E34" i="24" s="1"/>
  <c r="D34" i="24" s="1"/>
  <c r="C34" i="24" s="1"/>
  <c r="B34" i="24" s="1"/>
  <c r="N34" i="24"/>
  <c r="O34" i="24"/>
  <c r="P34" i="24"/>
  <c r="Q34" i="24"/>
  <c r="R34" i="24"/>
  <c r="S34" i="24"/>
  <c r="T34" i="24"/>
  <c r="U34" i="24"/>
  <c r="V34" i="24"/>
  <c r="W34" i="24"/>
  <c r="M35" i="24"/>
  <c r="L35" i="24" s="1"/>
  <c r="K35" i="24" s="1"/>
  <c r="J35" i="24" s="1"/>
  <c r="I35" i="24" s="1"/>
  <c r="H35" i="24" s="1"/>
  <c r="G35" i="24" s="1"/>
  <c r="F35" i="24" s="1"/>
  <c r="E35" i="24" s="1"/>
  <c r="D35" i="24" s="1"/>
  <c r="C35" i="24" s="1"/>
  <c r="B35" i="24" s="1"/>
  <c r="N35" i="24"/>
  <c r="O35" i="24"/>
  <c r="P35" i="24"/>
  <c r="Q35" i="24"/>
  <c r="R35" i="24"/>
  <c r="S35" i="24"/>
  <c r="T35" i="24"/>
  <c r="U35" i="24"/>
  <c r="V35" i="24"/>
  <c r="W35" i="24"/>
  <c r="M36" i="24"/>
  <c r="L36" i="24" s="1"/>
  <c r="K36" i="24" s="1"/>
  <c r="J36" i="24" s="1"/>
  <c r="I36" i="24" s="1"/>
  <c r="H36" i="24" s="1"/>
  <c r="G36" i="24" s="1"/>
  <c r="F36" i="24" s="1"/>
  <c r="E36" i="24" s="1"/>
  <c r="D36" i="24" s="1"/>
  <c r="C36" i="24" s="1"/>
  <c r="B36" i="24" s="1"/>
  <c r="N36" i="24"/>
  <c r="O36" i="24"/>
  <c r="P36" i="24"/>
  <c r="Q36" i="24"/>
  <c r="R36" i="24"/>
  <c r="S36" i="24"/>
  <c r="T36" i="24"/>
  <c r="U36" i="24"/>
  <c r="V36" i="24"/>
  <c r="W36" i="24"/>
  <c r="M37" i="24"/>
  <c r="L37" i="24" s="1"/>
  <c r="K37" i="24" s="1"/>
  <c r="J37" i="24" s="1"/>
  <c r="I37" i="24" s="1"/>
  <c r="H37" i="24" s="1"/>
  <c r="G37" i="24" s="1"/>
  <c r="F37" i="24" s="1"/>
  <c r="E37" i="24" s="1"/>
  <c r="D37" i="24" s="1"/>
  <c r="C37" i="24" s="1"/>
  <c r="B37" i="24" s="1"/>
  <c r="N37" i="24"/>
  <c r="O37" i="24"/>
  <c r="P37" i="24"/>
  <c r="Q37" i="24"/>
  <c r="R37" i="24"/>
  <c r="S37" i="24"/>
  <c r="T37" i="24"/>
  <c r="U37" i="24"/>
  <c r="V37" i="24"/>
  <c r="W37" i="24"/>
  <c r="U38" i="24"/>
  <c r="V38" i="24"/>
  <c r="W38" i="24"/>
  <c r="M39" i="24"/>
  <c r="L39" i="24" s="1"/>
  <c r="K39" i="24" s="1"/>
  <c r="J39" i="24" s="1"/>
  <c r="I39" i="24" s="1"/>
  <c r="H39" i="24" s="1"/>
  <c r="G39" i="24" s="1"/>
  <c r="F39" i="24" s="1"/>
  <c r="E39" i="24" s="1"/>
  <c r="D39" i="24" s="1"/>
  <c r="C39" i="24" s="1"/>
  <c r="B39" i="24" s="1"/>
  <c r="N39" i="24"/>
  <c r="O39" i="24"/>
  <c r="P39" i="24"/>
  <c r="Q39" i="24"/>
  <c r="R39" i="24"/>
  <c r="S39" i="24"/>
  <c r="T39" i="24"/>
  <c r="U39" i="24"/>
  <c r="V39" i="24"/>
  <c r="W39" i="24"/>
  <c r="M40" i="24"/>
  <c r="L40" i="24" s="1"/>
  <c r="K40" i="24" s="1"/>
  <c r="J40" i="24" s="1"/>
  <c r="I40" i="24" s="1"/>
  <c r="H40" i="24" s="1"/>
  <c r="G40" i="24" s="1"/>
  <c r="F40" i="24" s="1"/>
  <c r="E40" i="24" s="1"/>
  <c r="D40" i="24" s="1"/>
  <c r="C40" i="24" s="1"/>
  <c r="B40" i="24" s="1"/>
  <c r="N40" i="24"/>
  <c r="O40" i="24"/>
  <c r="P40" i="24"/>
  <c r="Q40" i="24"/>
  <c r="R40" i="24"/>
  <c r="S40" i="24"/>
  <c r="T40" i="24"/>
  <c r="U40" i="24"/>
  <c r="V40" i="24"/>
  <c r="W40" i="24"/>
  <c r="U37" i="22"/>
  <c r="V37" i="22"/>
  <c r="W37" i="22"/>
  <c r="U38" i="22"/>
  <c r="V38" i="22"/>
  <c r="W38" i="22"/>
  <c r="U39" i="22"/>
  <c r="V39" i="22"/>
  <c r="W39" i="22"/>
  <c r="U40" i="22"/>
  <c r="V40" i="22"/>
  <c r="W40" i="22"/>
  <c r="N38" i="22"/>
  <c r="O38" i="22"/>
  <c r="P38" i="22"/>
  <c r="Q38" i="22"/>
  <c r="R38" i="22"/>
  <c r="S38" i="22"/>
  <c r="T38" i="22"/>
  <c r="M38" i="22"/>
  <c r="L38" i="22" s="1"/>
  <c r="K38" i="22" s="1"/>
  <c r="J38" i="22" s="1"/>
  <c r="I38" i="22" s="1"/>
  <c r="H38" i="22" s="1"/>
  <c r="G38" i="22" s="1"/>
  <c r="F38" i="22" s="1"/>
  <c r="E38" i="22" s="1"/>
  <c r="D38" i="22" s="1"/>
  <c r="C38" i="22" s="1"/>
  <c r="B38" i="22" s="1"/>
  <c r="N20" i="22"/>
  <c r="O20" i="22"/>
  <c r="P20" i="22"/>
  <c r="Q20" i="22"/>
  <c r="R20" i="22"/>
  <c r="S20" i="22"/>
  <c r="T20" i="22"/>
  <c r="U20" i="22"/>
  <c r="V20" i="22"/>
  <c r="W20" i="22"/>
  <c r="M20" i="22"/>
  <c r="L20" i="22" s="1"/>
  <c r="K20" i="22" s="1"/>
  <c r="J20" i="22" s="1"/>
  <c r="I20" i="22" s="1"/>
  <c r="H20" i="22" s="1"/>
  <c r="G20" i="22" s="1"/>
  <c r="F20" i="22" s="1"/>
  <c r="E20" i="22" s="1"/>
  <c r="D20" i="22" s="1"/>
  <c r="C20" i="22" s="1"/>
  <c r="B20" i="22" s="1"/>
  <c r="M11" i="22"/>
  <c r="L11" i="22" s="1"/>
  <c r="K11" i="22" s="1"/>
  <c r="J11" i="22" s="1"/>
  <c r="I11" i="22" s="1"/>
  <c r="H11" i="22" s="1"/>
  <c r="G11" i="22" s="1"/>
  <c r="F11" i="22" s="1"/>
  <c r="E11" i="22" s="1"/>
  <c r="D11" i="22" s="1"/>
  <c r="C11" i="22" s="1"/>
  <c r="B11" i="22" s="1"/>
  <c r="N11" i="22"/>
  <c r="O11" i="22"/>
  <c r="P11" i="22"/>
  <c r="Q11" i="22"/>
  <c r="R11" i="22"/>
  <c r="S11" i="22"/>
  <c r="T11" i="22"/>
  <c r="U11" i="22"/>
  <c r="V11" i="22"/>
  <c r="W11" i="22"/>
  <c r="M12" i="22"/>
  <c r="L12" i="22" s="1"/>
  <c r="K12" i="22" s="1"/>
  <c r="J12" i="22" s="1"/>
  <c r="I12" i="22" s="1"/>
  <c r="H12" i="22" s="1"/>
  <c r="G12" i="22" s="1"/>
  <c r="F12" i="22" s="1"/>
  <c r="E12" i="22" s="1"/>
  <c r="D12" i="22" s="1"/>
  <c r="C12" i="22" s="1"/>
  <c r="B12" i="22" s="1"/>
  <c r="N12" i="22"/>
  <c r="O12" i="22"/>
  <c r="P12" i="22"/>
  <c r="Q12" i="22"/>
  <c r="R12" i="22"/>
  <c r="S12" i="22"/>
  <c r="T12" i="22"/>
  <c r="U12" i="22"/>
  <c r="V12" i="22"/>
  <c r="W12" i="22"/>
  <c r="N13" i="22"/>
  <c r="O13" i="22"/>
  <c r="P13" i="22"/>
  <c r="Q13" i="22"/>
  <c r="R13" i="22"/>
  <c r="S13" i="22"/>
  <c r="T13" i="22"/>
  <c r="U13" i="22"/>
  <c r="V13" i="22"/>
  <c r="W13" i="22"/>
  <c r="M14" i="22"/>
  <c r="L14" i="22" s="1"/>
  <c r="K14" i="22" s="1"/>
  <c r="J14" i="22" s="1"/>
  <c r="I14" i="22" s="1"/>
  <c r="H14" i="22" s="1"/>
  <c r="G14" i="22" s="1"/>
  <c r="F14" i="22" s="1"/>
  <c r="E14" i="22" s="1"/>
  <c r="D14" i="22" s="1"/>
  <c r="C14" i="22" s="1"/>
  <c r="B14" i="22" s="1"/>
  <c r="N14" i="22"/>
  <c r="O14" i="22"/>
  <c r="P14" i="22"/>
  <c r="Q14" i="22"/>
  <c r="R14" i="22"/>
  <c r="S14" i="22"/>
  <c r="T14" i="22"/>
  <c r="U14" i="22"/>
  <c r="V14" i="22"/>
  <c r="W14" i="22"/>
  <c r="M15" i="22"/>
  <c r="L15" i="22" s="1"/>
  <c r="K15" i="22" s="1"/>
  <c r="J15" i="22" s="1"/>
  <c r="I15" i="22" s="1"/>
  <c r="H15" i="22" s="1"/>
  <c r="G15" i="22" s="1"/>
  <c r="F15" i="22" s="1"/>
  <c r="E15" i="22" s="1"/>
  <c r="D15" i="22" s="1"/>
  <c r="C15" i="22" s="1"/>
  <c r="B15" i="22" s="1"/>
  <c r="N15" i="22"/>
  <c r="O15" i="22"/>
  <c r="P15" i="22"/>
  <c r="Q15" i="22"/>
  <c r="R15" i="22"/>
  <c r="S15" i="22"/>
  <c r="T15" i="22"/>
  <c r="U15" i="22"/>
  <c r="V15" i="22"/>
  <c r="W15" i="22"/>
  <c r="M16" i="22"/>
  <c r="L16" i="22" s="1"/>
  <c r="K16" i="22" s="1"/>
  <c r="J16" i="22" s="1"/>
  <c r="I16" i="22" s="1"/>
  <c r="H16" i="22" s="1"/>
  <c r="G16" i="22" s="1"/>
  <c r="F16" i="22" s="1"/>
  <c r="E16" i="22" s="1"/>
  <c r="D16" i="22" s="1"/>
  <c r="C16" i="22" s="1"/>
  <c r="B16" i="22" s="1"/>
  <c r="N16" i="22"/>
  <c r="O16" i="22"/>
  <c r="P16" i="22"/>
  <c r="Q16" i="22"/>
  <c r="R16" i="22"/>
  <c r="S16" i="22"/>
  <c r="T16" i="22"/>
  <c r="U16" i="22"/>
  <c r="V16" i="22"/>
  <c r="W16" i="22"/>
  <c r="M17" i="22"/>
  <c r="L17" i="22" s="1"/>
  <c r="K17" i="22" s="1"/>
  <c r="J17" i="22" s="1"/>
  <c r="I17" i="22" s="1"/>
  <c r="H17" i="22" s="1"/>
  <c r="G17" i="22" s="1"/>
  <c r="F17" i="22" s="1"/>
  <c r="E17" i="22" s="1"/>
  <c r="D17" i="22" s="1"/>
  <c r="C17" i="22" s="1"/>
  <c r="B17" i="22" s="1"/>
  <c r="N17" i="22"/>
  <c r="O17" i="22"/>
  <c r="P17" i="22"/>
  <c r="Q17" i="22"/>
  <c r="R17" i="22"/>
  <c r="S17" i="22"/>
  <c r="T17" i="22"/>
  <c r="U17" i="22"/>
  <c r="V17" i="22"/>
  <c r="W17" i="22"/>
  <c r="M18" i="22"/>
  <c r="L18" i="22" s="1"/>
  <c r="K18" i="22" s="1"/>
  <c r="J18" i="22" s="1"/>
  <c r="I18" i="22" s="1"/>
  <c r="H18" i="22" s="1"/>
  <c r="G18" i="22" s="1"/>
  <c r="F18" i="22" s="1"/>
  <c r="E18" i="22" s="1"/>
  <c r="D18" i="22" s="1"/>
  <c r="C18" i="22" s="1"/>
  <c r="B18" i="22" s="1"/>
  <c r="N18" i="22"/>
  <c r="O18" i="22"/>
  <c r="P18" i="22"/>
  <c r="Q18" i="22"/>
  <c r="R18" i="22"/>
  <c r="S18" i="22"/>
  <c r="T18" i="22"/>
  <c r="U18" i="22"/>
  <c r="V18" i="22"/>
  <c r="W18" i="22"/>
  <c r="M19" i="22"/>
  <c r="L19" i="22" s="1"/>
  <c r="K19" i="22" s="1"/>
  <c r="J19" i="22" s="1"/>
  <c r="I19" i="22" s="1"/>
  <c r="H19" i="22" s="1"/>
  <c r="G19" i="22" s="1"/>
  <c r="F19" i="22" s="1"/>
  <c r="E19" i="22" s="1"/>
  <c r="D19" i="22" s="1"/>
  <c r="C19" i="22" s="1"/>
  <c r="B19" i="22" s="1"/>
  <c r="N19" i="22"/>
  <c r="O19" i="22"/>
  <c r="P19" i="22"/>
  <c r="Q19" i="22"/>
  <c r="R19" i="22"/>
  <c r="S19" i="22"/>
  <c r="T19" i="22"/>
  <c r="U19" i="22"/>
  <c r="V19" i="22"/>
  <c r="W19" i="22"/>
  <c r="P21" i="22"/>
  <c r="Q21" i="22"/>
  <c r="R21" i="22"/>
  <c r="S21" i="22"/>
  <c r="T21" i="22"/>
  <c r="U21" i="22"/>
  <c r="V21" i="22"/>
  <c r="W21" i="22"/>
  <c r="M22" i="22"/>
  <c r="L22" i="22" s="1"/>
  <c r="K22" i="22" s="1"/>
  <c r="J22" i="22" s="1"/>
  <c r="I22" i="22" s="1"/>
  <c r="H22" i="22" s="1"/>
  <c r="G22" i="22" s="1"/>
  <c r="F22" i="22" s="1"/>
  <c r="E22" i="22" s="1"/>
  <c r="D22" i="22" s="1"/>
  <c r="C22" i="22" s="1"/>
  <c r="B22" i="22" s="1"/>
  <c r="N22" i="22"/>
  <c r="O22" i="22"/>
  <c r="P22" i="22"/>
  <c r="Q22" i="22"/>
  <c r="R22" i="22"/>
  <c r="S22" i="22"/>
  <c r="T22" i="22"/>
  <c r="U22" i="22"/>
  <c r="V22" i="22"/>
  <c r="W22" i="22"/>
  <c r="M24" i="22"/>
  <c r="L24" i="22" s="1"/>
  <c r="K24" i="22" s="1"/>
  <c r="J24" i="22" s="1"/>
  <c r="I24" i="22" s="1"/>
  <c r="H24" i="22" s="1"/>
  <c r="G24" i="22" s="1"/>
  <c r="F24" i="22" s="1"/>
  <c r="E24" i="22" s="1"/>
  <c r="D24" i="22" s="1"/>
  <c r="C24" i="22" s="1"/>
  <c r="B24" i="22" s="1"/>
  <c r="N24" i="22"/>
  <c r="O24" i="22"/>
  <c r="P24" i="22"/>
  <c r="Q24" i="22"/>
  <c r="R24" i="22"/>
  <c r="S24" i="22"/>
  <c r="T24" i="22"/>
  <c r="U24" i="22"/>
  <c r="V24" i="22"/>
  <c r="W24" i="22"/>
  <c r="M25" i="22"/>
  <c r="L25" i="22" s="1"/>
  <c r="K25" i="22" s="1"/>
  <c r="J25" i="22" s="1"/>
  <c r="I25" i="22" s="1"/>
  <c r="H25" i="22" s="1"/>
  <c r="G25" i="22" s="1"/>
  <c r="F25" i="22" s="1"/>
  <c r="E25" i="22" s="1"/>
  <c r="D25" i="22" s="1"/>
  <c r="C25" i="22" s="1"/>
  <c r="B25" i="22" s="1"/>
  <c r="N25" i="22"/>
  <c r="O25" i="22"/>
  <c r="P25" i="22"/>
  <c r="Q25" i="22"/>
  <c r="R25" i="22"/>
  <c r="S25" i="22"/>
  <c r="T25" i="22"/>
  <c r="U25" i="22"/>
  <c r="V25" i="22"/>
  <c r="W25" i="22"/>
  <c r="M26" i="22"/>
  <c r="L26" i="22" s="1"/>
  <c r="K26" i="22" s="1"/>
  <c r="J26" i="22" s="1"/>
  <c r="I26" i="22" s="1"/>
  <c r="H26" i="22" s="1"/>
  <c r="G26" i="22" s="1"/>
  <c r="F26" i="22" s="1"/>
  <c r="E26" i="22" s="1"/>
  <c r="D26" i="22" s="1"/>
  <c r="C26" i="22" s="1"/>
  <c r="B26" i="22" s="1"/>
  <c r="N26" i="22"/>
  <c r="O26" i="22"/>
  <c r="P26" i="22"/>
  <c r="Q26" i="22"/>
  <c r="R26" i="22"/>
  <c r="S26" i="22"/>
  <c r="T26" i="22"/>
  <c r="U26" i="22"/>
  <c r="V26" i="22"/>
  <c r="W26" i="22"/>
  <c r="M27" i="22"/>
  <c r="L27" i="22" s="1"/>
  <c r="K27" i="22" s="1"/>
  <c r="J27" i="22" s="1"/>
  <c r="I27" i="22" s="1"/>
  <c r="H27" i="22" s="1"/>
  <c r="G27" i="22" s="1"/>
  <c r="F27" i="22" s="1"/>
  <c r="E27" i="22" s="1"/>
  <c r="D27" i="22" s="1"/>
  <c r="C27" i="22" s="1"/>
  <c r="B27" i="22" s="1"/>
  <c r="N27" i="22"/>
  <c r="O27" i="22"/>
  <c r="P27" i="22"/>
  <c r="Q27" i="22"/>
  <c r="R27" i="22"/>
  <c r="S27" i="22"/>
  <c r="T27" i="22"/>
  <c r="U27" i="22"/>
  <c r="V27" i="22"/>
  <c r="W27" i="22"/>
  <c r="M28" i="22"/>
  <c r="L28" i="22" s="1"/>
  <c r="K28" i="22" s="1"/>
  <c r="J28" i="22" s="1"/>
  <c r="I28" i="22" s="1"/>
  <c r="H28" i="22" s="1"/>
  <c r="G28" i="22" s="1"/>
  <c r="F28" i="22" s="1"/>
  <c r="E28" i="22" s="1"/>
  <c r="D28" i="22" s="1"/>
  <c r="C28" i="22" s="1"/>
  <c r="B28" i="22" s="1"/>
  <c r="N28" i="22"/>
  <c r="O28" i="22"/>
  <c r="P28" i="22"/>
  <c r="Q28" i="22"/>
  <c r="R28" i="22"/>
  <c r="S28" i="22"/>
  <c r="T28" i="22"/>
  <c r="U28" i="22"/>
  <c r="V28" i="22"/>
  <c r="W28" i="22"/>
  <c r="M29" i="22"/>
  <c r="L29" i="22" s="1"/>
  <c r="K29" i="22" s="1"/>
  <c r="J29" i="22" s="1"/>
  <c r="I29" i="22" s="1"/>
  <c r="H29" i="22" s="1"/>
  <c r="G29" i="22" s="1"/>
  <c r="F29" i="22" s="1"/>
  <c r="E29" i="22" s="1"/>
  <c r="D29" i="22" s="1"/>
  <c r="C29" i="22" s="1"/>
  <c r="B29" i="22" s="1"/>
  <c r="N29" i="22"/>
  <c r="O29" i="22"/>
  <c r="P29" i="22"/>
  <c r="Q29" i="22"/>
  <c r="R29" i="22"/>
  <c r="S29" i="22"/>
  <c r="T29" i="22"/>
  <c r="U29" i="22"/>
  <c r="V29" i="22"/>
  <c r="W29" i="22"/>
  <c r="M30" i="22"/>
  <c r="L30" i="22" s="1"/>
  <c r="K30" i="22" s="1"/>
  <c r="J30" i="22" s="1"/>
  <c r="I30" i="22" s="1"/>
  <c r="H30" i="22" s="1"/>
  <c r="G30" i="22" s="1"/>
  <c r="F30" i="22" s="1"/>
  <c r="E30" i="22" s="1"/>
  <c r="D30" i="22" s="1"/>
  <c r="C30" i="22" s="1"/>
  <c r="B30" i="22" s="1"/>
  <c r="N30" i="22"/>
  <c r="O30" i="22"/>
  <c r="P30" i="22"/>
  <c r="Q30" i="22"/>
  <c r="R30" i="22"/>
  <c r="S30" i="22"/>
  <c r="T30" i="22"/>
  <c r="U30" i="22"/>
  <c r="V30" i="22"/>
  <c r="W30" i="22"/>
  <c r="M31" i="22"/>
  <c r="L31" i="22" s="1"/>
  <c r="K31" i="22" s="1"/>
  <c r="J31" i="22" s="1"/>
  <c r="I31" i="22" s="1"/>
  <c r="H31" i="22" s="1"/>
  <c r="G31" i="22" s="1"/>
  <c r="F31" i="22" s="1"/>
  <c r="E31" i="22" s="1"/>
  <c r="D31" i="22" s="1"/>
  <c r="C31" i="22" s="1"/>
  <c r="B31" i="22" s="1"/>
  <c r="N31" i="22"/>
  <c r="O31" i="22"/>
  <c r="P31" i="22"/>
  <c r="Q31" i="22"/>
  <c r="R31" i="22"/>
  <c r="S31" i="22"/>
  <c r="T31" i="22"/>
  <c r="U31" i="22"/>
  <c r="V31" i="22"/>
  <c r="W31" i="22"/>
  <c r="M32" i="22"/>
  <c r="L32" i="22" s="1"/>
  <c r="K32" i="22" s="1"/>
  <c r="J32" i="22" s="1"/>
  <c r="I32" i="22" s="1"/>
  <c r="H32" i="22" s="1"/>
  <c r="G32" i="22" s="1"/>
  <c r="F32" i="22" s="1"/>
  <c r="E32" i="22" s="1"/>
  <c r="D32" i="22" s="1"/>
  <c r="C32" i="22" s="1"/>
  <c r="B32" i="22" s="1"/>
  <c r="N32" i="22"/>
  <c r="O32" i="22"/>
  <c r="P32" i="22"/>
  <c r="Q32" i="22"/>
  <c r="R32" i="22"/>
  <c r="S32" i="22"/>
  <c r="T32" i="22"/>
  <c r="U32" i="22"/>
  <c r="V32" i="22"/>
  <c r="W32" i="22"/>
  <c r="M33" i="22"/>
  <c r="L33" i="22" s="1"/>
  <c r="K33" i="22" s="1"/>
  <c r="J33" i="22" s="1"/>
  <c r="I33" i="22" s="1"/>
  <c r="H33" i="22" s="1"/>
  <c r="G33" i="22" s="1"/>
  <c r="F33" i="22" s="1"/>
  <c r="E33" i="22" s="1"/>
  <c r="D33" i="22" s="1"/>
  <c r="C33" i="22" s="1"/>
  <c r="B33" i="22" s="1"/>
  <c r="N33" i="22"/>
  <c r="O33" i="22"/>
  <c r="P33" i="22"/>
  <c r="Q33" i="22"/>
  <c r="R33" i="22"/>
  <c r="S33" i="22"/>
  <c r="T33" i="22"/>
  <c r="U33" i="22"/>
  <c r="V33" i="22"/>
  <c r="W33" i="22"/>
  <c r="M34" i="22"/>
  <c r="L34" i="22" s="1"/>
  <c r="K34" i="22" s="1"/>
  <c r="J34" i="22" s="1"/>
  <c r="I34" i="22" s="1"/>
  <c r="H34" i="22" s="1"/>
  <c r="G34" i="22" s="1"/>
  <c r="F34" i="22" s="1"/>
  <c r="E34" i="22" s="1"/>
  <c r="D34" i="22" s="1"/>
  <c r="C34" i="22" s="1"/>
  <c r="B34" i="22" s="1"/>
  <c r="N34" i="22"/>
  <c r="O34" i="22"/>
  <c r="P34" i="22"/>
  <c r="Q34" i="22"/>
  <c r="R34" i="22"/>
  <c r="S34" i="22"/>
  <c r="T34" i="22"/>
  <c r="U34" i="22"/>
  <c r="V34" i="22"/>
  <c r="W34" i="22"/>
  <c r="M35" i="22"/>
  <c r="L35" i="22" s="1"/>
  <c r="K35" i="22" s="1"/>
  <c r="J35" i="22" s="1"/>
  <c r="I35" i="22" s="1"/>
  <c r="H35" i="22" s="1"/>
  <c r="G35" i="22" s="1"/>
  <c r="F35" i="22" s="1"/>
  <c r="E35" i="22" s="1"/>
  <c r="D35" i="22" s="1"/>
  <c r="C35" i="22" s="1"/>
  <c r="B35" i="22" s="1"/>
  <c r="N35" i="22"/>
  <c r="O35" i="22"/>
  <c r="P35" i="22"/>
  <c r="Q35" i="22"/>
  <c r="R35" i="22"/>
  <c r="S35" i="22"/>
  <c r="T35" i="22"/>
  <c r="U35" i="22"/>
  <c r="V35" i="22"/>
  <c r="W35" i="22"/>
  <c r="M36" i="22"/>
  <c r="L36" i="22" s="1"/>
  <c r="K36" i="22" s="1"/>
  <c r="J36" i="22" s="1"/>
  <c r="I36" i="22" s="1"/>
  <c r="H36" i="22" s="1"/>
  <c r="G36" i="22" s="1"/>
  <c r="F36" i="22" s="1"/>
  <c r="E36" i="22" s="1"/>
  <c r="D36" i="22" s="1"/>
  <c r="C36" i="22" s="1"/>
  <c r="B36" i="22" s="1"/>
  <c r="N36" i="22"/>
  <c r="O36" i="22"/>
  <c r="P36" i="22"/>
  <c r="Q36" i="22"/>
  <c r="R36" i="22"/>
  <c r="S36" i="22"/>
  <c r="T36" i="22"/>
  <c r="U36" i="22"/>
  <c r="V36" i="22"/>
  <c r="W36" i="22"/>
  <c r="M37" i="22"/>
  <c r="L37" i="22" s="1"/>
  <c r="K37" i="22" s="1"/>
  <c r="J37" i="22" s="1"/>
  <c r="I37" i="22" s="1"/>
  <c r="H37" i="22" s="1"/>
  <c r="G37" i="22" s="1"/>
  <c r="F37" i="22" s="1"/>
  <c r="E37" i="22" s="1"/>
  <c r="D37" i="22" s="1"/>
  <c r="C37" i="22" s="1"/>
  <c r="B37" i="22" s="1"/>
  <c r="N37" i="22"/>
  <c r="O37" i="22"/>
  <c r="P37" i="22"/>
  <c r="Q37" i="22"/>
  <c r="R37" i="22"/>
  <c r="S37" i="22"/>
  <c r="T37" i="22"/>
  <c r="M39" i="22"/>
  <c r="L39" i="22" s="1"/>
  <c r="K39" i="22" s="1"/>
  <c r="J39" i="22" s="1"/>
  <c r="I39" i="22" s="1"/>
  <c r="H39" i="22" s="1"/>
  <c r="G39" i="22" s="1"/>
  <c r="F39" i="22" s="1"/>
  <c r="E39" i="22" s="1"/>
  <c r="D39" i="22" s="1"/>
  <c r="C39" i="22" s="1"/>
  <c r="B39" i="22" s="1"/>
  <c r="N39" i="22"/>
  <c r="O39" i="22"/>
  <c r="P39" i="22"/>
  <c r="Q39" i="22"/>
  <c r="R39" i="22"/>
  <c r="S39" i="22"/>
  <c r="T39" i="22"/>
  <c r="M40" i="22"/>
  <c r="L40" i="22" s="1"/>
  <c r="K40" i="22" s="1"/>
  <c r="J40" i="22" s="1"/>
  <c r="I40" i="22" s="1"/>
  <c r="H40" i="22" s="1"/>
  <c r="G40" i="22" s="1"/>
  <c r="F40" i="22" s="1"/>
  <c r="E40" i="22" s="1"/>
  <c r="D40" i="22" s="1"/>
  <c r="C40" i="22" s="1"/>
  <c r="B40" i="22" s="1"/>
  <c r="N40" i="22"/>
  <c r="O40" i="22"/>
  <c r="P40" i="22"/>
  <c r="Q40" i="22"/>
  <c r="R40" i="22"/>
  <c r="S40" i="22"/>
  <c r="T40" i="22"/>
  <c r="M10" i="22"/>
  <c r="L10" i="22" s="1"/>
  <c r="K10" i="22" s="1"/>
  <c r="J10" i="22" s="1"/>
  <c r="I10" i="22" s="1"/>
  <c r="H10" i="22" s="1"/>
  <c r="G10" i="22" s="1"/>
  <c r="F10" i="22" s="1"/>
  <c r="E10" i="22" s="1"/>
  <c r="D10" i="22" s="1"/>
  <c r="C10" i="22" s="1"/>
  <c r="B10" i="22" s="1"/>
  <c r="N10" i="22"/>
  <c r="O10" i="22"/>
  <c r="P10" i="22"/>
  <c r="Q10" i="22"/>
  <c r="R10" i="22"/>
  <c r="S10" i="22"/>
  <c r="T10" i="22"/>
  <c r="U10" i="22"/>
  <c r="L30" i="10" l="1"/>
  <c r="K36" i="25"/>
  <c r="L22" i="10"/>
  <c r="K28" i="25"/>
  <c r="L12" i="10"/>
  <c r="K18" i="25"/>
  <c r="L27" i="10"/>
  <c r="K33" i="25"/>
  <c r="L19" i="10"/>
  <c r="K25" i="25"/>
  <c r="L9" i="10"/>
  <c r="K15" i="25"/>
  <c r="L32" i="10"/>
  <c r="K38" i="25"/>
  <c r="L24" i="10"/>
  <c r="K30" i="25"/>
  <c r="L15" i="10"/>
  <c r="K21" i="25"/>
  <c r="L29" i="10"/>
  <c r="K35" i="25"/>
  <c r="L21" i="10"/>
  <c r="K27" i="25"/>
  <c r="L11" i="10"/>
  <c r="K17" i="25"/>
  <c r="L3" i="10"/>
  <c r="K9" i="25"/>
  <c r="L26" i="10"/>
  <c r="K32" i="25"/>
  <c r="L18" i="10"/>
  <c r="K24" i="25"/>
  <c r="L8" i="10"/>
  <c r="K14" i="25"/>
  <c r="L5" i="10"/>
  <c r="K11" i="25"/>
  <c r="L31" i="10"/>
  <c r="K37" i="25"/>
  <c r="L23" i="10"/>
  <c r="K29" i="25"/>
  <c r="L13" i="10"/>
  <c r="K19" i="25"/>
  <c r="L28" i="10"/>
  <c r="K34" i="25"/>
  <c r="L20" i="10"/>
  <c r="K26" i="25"/>
  <c r="L10" i="10"/>
  <c r="K16" i="25"/>
  <c r="L33" i="10"/>
  <c r="K39" i="25"/>
  <c r="L25" i="10"/>
  <c r="K31" i="25"/>
  <c r="L17" i="10"/>
  <c r="K23" i="25"/>
  <c r="L7" i="10"/>
  <c r="K13" i="25"/>
  <c r="L4" i="10"/>
  <c r="K10" i="25"/>
  <c r="O27" i="10"/>
  <c r="K4" i="10" l="1"/>
  <c r="J10" i="25"/>
  <c r="J39" i="25"/>
  <c r="K33" i="10"/>
  <c r="K13" i="10"/>
  <c r="J19" i="25"/>
  <c r="K8" i="10"/>
  <c r="J14" i="25"/>
  <c r="J17" i="25"/>
  <c r="K11" i="10"/>
  <c r="K24" i="10"/>
  <c r="J30" i="25"/>
  <c r="J33" i="25"/>
  <c r="K27" i="10"/>
  <c r="J13" i="25"/>
  <c r="K7" i="10"/>
  <c r="K10" i="10"/>
  <c r="J16" i="25"/>
  <c r="J29" i="25"/>
  <c r="K23" i="10"/>
  <c r="K18" i="10"/>
  <c r="J24" i="25"/>
  <c r="K21" i="10"/>
  <c r="J27" i="25"/>
  <c r="J38" i="25"/>
  <c r="K32" i="10"/>
  <c r="K12" i="10"/>
  <c r="J18" i="25"/>
  <c r="K17" i="10"/>
  <c r="J23" i="25"/>
  <c r="K20" i="10"/>
  <c r="J26" i="25"/>
  <c r="J37" i="25"/>
  <c r="K31" i="10"/>
  <c r="K26" i="10"/>
  <c r="J32" i="25"/>
  <c r="J35" i="25"/>
  <c r="K29" i="10"/>
  <c r="K9" i="10"/>
  <c r="J15" i="25"/>
  <c r="K22" i="10"/>
  <c r="J28" i="25"/>
  <c r="K25" i="10"/>
  <c r="J31" i="25"/>
  <c r="J34" i="25"/>
  <c r="K28" i="10"/>
  <c r="K5" i="10"/>
  <c r="J11" i="25"/>
  <c r="J9" i="25"/>
  <c r="K3" i="10"/>
  <c r="J21" i="25"/>
  <c r="K15" i="10"/>
  <c r="J25" i="25"/>
  <c r="K19" i="10"/>
  <c r="J36" i="25"/>
  <c r="K30" i="10"/>
  <c r="V34" i="10"/>
  <c r="V23" i="27"/>
  <c r="V23" i="23"/>
  <c r="V41" i="23" s="1"/>
  <c r="V23" i="24"/>
  <c r="V41" i="24" s="1"/>
  <c r="V23" i="26"/>
  <c r="V41" i="26" s="1"/>
  <c r="V22" i="25"/>
  <c r="V40" i="25" s="1"/>
  <c r="V23" i="22"/>
  <c r="V41" i="22" s="1"/>
  <c r="M23" i="27"/>
  <c r="L23" i="27" s="1"/>
  <c r="K23" i="27" s="1"/>
  <c r="J23" i="27" s="1"/>
  <c r="I23" i="27" s="1"/>
  <c r="H23" i="27" s="1"/>
  <c r="G23" i="27" s="1"/>
  <c r="F23" i="27" s="1"/>
  <c r="E23" i="27" s="1"/>
  <c r="D23" i="27" s="1"/>
  <c r="C23" i="27" s="1"/>
  <c r="B23" i="27" s="1"/>
  <c r="M23" i="23"/>
  <c r="L23" i="23" s="1"/>
  <c r="K23" i="23" s="1"/>
  <c r="J23" i="23" s="1"/>
  <c r="I23" i="23" s="1"/>
  <c r="H23" i="23" s="1"/>
  <c r="G23" i="23" s="1"/>
  <c r="F23" i="23" s="1"/>
  <c r="E23" i="23" s="1"/>
  <c r="D23" i="23" s="1"/>
  <c r="C23" i="23" s="1"/>
  <c r="B23" i="23" s="1"/>
  <c r="M23" i="24"/>
  <c r="L23" i="24" s="1"/>
  <c r="K23" i="24" s="1"/>
  <c r="J23" i="24" s="1"/>
  <c r="I23" i="24" s="1"/>
  <c r="H23" i="24" s="1"/>
  <c r="G23" i="24" s="1"/>
  <c r="F23" i="24" s="1"/>
  <c r="E23" i="24" s="1"/>
  <c r="D23" i="24" s="1"/>
  <c r="C23" i="24" s="1"/>
  <c r="B23" i="24" s="1"/>
  <c r="M23" i="26"/>
  <c r="L23" i="26" s="1"/>
  <c r="K23" i="26" s="1"/>
  <c r="J23" i="26" s="1"/>
  <c r="I23" i="26" s="1"/>
  <c r="H23" i="26" s="1"/>
  <c r="G23" i="26" s="1"/>
  <c r="F23" i="26" s="1"/>
  <c r="E23" i="26" s="1"/>
  <c r="D23" i="26" s="1"/>
  <c r="C23" i="26" s="1"/>
  <c r="B23" i="26" s="1"/>
  <c r="M22" i="25"/>
  <c r="L22" i="25" s="1"/>
  <c r="M23" i="22"/>
  <c r="L23" i="22" s="1"/>
  <c r="K23" i="22" s="1"/>
  <c r="J23" i="22" s="1"/>
  <c r="I23" i="22" s="1"/>
  <c r="H23" i="22" s="1"/>
  <c r="G23" i="22" s="1"/>
  <c r="F23" i="22" s="1"/>
  <c r="E23" i="22" s="1"/>
  <c r="D23" i="22" s="1"/>
  <c r="C23" i="22" s="1"/>
  <c r="B23" i="22" s="1"/>
  <c r="R34" i="10"/>
  <c r="R23" i="23"/>
  <c r="R23" i="24"/>
  <c r="R23" i="26"/>
  <c r="R22" i="25"/>
  <c r="R40" i="25" s="1"/>
  <c r="R23" i="22"/>
  <c r="R41" i="22" s="1"/>
  <c r="R23" i="27"/>
  <c r="N23" i="27"/>
  <c r="N23" i="23"/>
  <c r="N23" i="24"/>
  <c r="N23" i="26"/>
  <c r="N22" i="25"/>
  <c r="N23" i="22"/>
  <c r="S34" i="10"/>
  <c r="S23" i="23"/>
  <c r="S23" i="24"/>
  <c r="S23" i="26"/>
  <c r="S22" i="25"/>
  <c r="S40" i="25" s="1"/>
  <c r="S23" i="22"/>
  <c r="S41" i="22" s="1"/>
  <c r="S23" i="27"/>
  <c r="P34" i="10"/>
  <c r="P23" i="26"/>
  <c r="P22" i="25"/>
  <c r="P40" i="25" s="1"/>
  <c r="P23" i="22"/>
  <c r="P41" i="22" s="1"/>
  <c r="P23" i="27"/>
  <c r="P23" i="23"/>
  <c r="P23" i="24"/>
  <c r="U34" i="10"/>
  <c r="U23" i="27"/>
  <c r="U23" i="23"/>
  <c r="U23" i="24"/>
  <c r="U23" i="26"/>
  <c r="U22" i="25"/>
  <c r="U40" i="25" s="1"/>
  <c r="U23" i="22"/>
  <c r="U41" i="22" s="1"/>
  <c r="T34" i="10"/>
  <c r="T23" i="23"/>
  <c r="T23" i="24"/>
  <c r="T23" i="26"/>
  <c r="T22" i="25"/>
  <c r="T40" i="25" s="1"/>
  <c r="T23" i="22"/>
  <c r="T41" i="22" s="1"/>
  <c r="T23" i="27"/>
  <c r="W23" i="26"/>
  <c r="W22" i="25"/>
  <c r="W23" i="22"/>
  <c r="W23" i="27"/>
  <c r="W23" i="23"/>
  <c r="W23" i="24"/>
  <c r="Q34" i="10"/>
  <c r="Q23" i="24"/>
  <c r="Q23" i="26"/>
  <c r="Q22" i="25"/>
  <c r="Q40" i="25" s="1"/>
  <c r="Q23" i="22"/>
  <c r="Q41" i="22" s="1"/>
  <c r="Q23" i="27"/>
  <c r="Q23" i="23"/>
  <c r="O23" i="26"/>
  <c r="O22" i="25"/>
  <c r="O23" i="22"/>
  <c r="O23" i="27"/>
  <c r="O23" i="23"/>
  <c r="O23" i="24"/>
  <c r="O21" i="23"/>
  <c r="O21" i="26"/>
  <c r="O21" i="24"/>
  <c r="O21" i="22"/>
  <c r="O21" i="27"/>
  <c r="O20" i="25"/>
  <c r="M13" i="26"/>
  <c r="L13" i="26" s="1"/>
  <c r="K13" i="26" s="1"/>
  <c r="J13" i="26" s="1"/>
  <c r="I13" i="26" s="1"/>
  <c r="H13" i="26" s="1"/>
  <c r="G13" i="26" s="1"/>
  <c r="F13" i="26" s="1"/>
  <c r="E13" i="26" s="1"/>
  <c r="D13" i="26" s="1"/>
  <c r="C13" i="26" s="1"/>
  <c r="B13" i="26" s="1"/>
  <c r="M13" i="23"/>
  <c r="L13" i="23" s="1"/>
  <c r="K13" i="23" s="1"/>
  <c r="J13" i="23" s="1"/>
  <c r="I13" i="23" s="1"/>
  <c r="H13" i="23" s="1"/>
  <c r="G13" i="23" s="1"/>
  <c r="F13" i="23" s="1"/>
  <c r="E13" i="23" s="1"/>
  <c r="D13" i="23" s="1"/>
  <c r="C13" i="23" s="1"/>
  <c r="B13" i="23" s="1"/>
  <c r="M13" i="22"/>
  <c r="L13" i="22" s="1"/>
  <c r="K13" i="22" s="1"/>
  <c r="J13" i="22" s="1"/>
  <c r="I13" i="22" s="1"/>
  <c r="H13" i="22" s="1"/>
  <c r="G13" i="22" s="1"/>
  <c r="F13" i="22" s="1"/>
  <c r="E13" i="22" s="1"/>
  <c r="D13" i="22" s="1"/>
  <c r="C13" i="22" s="1"/>
  <c r="B13" i="22" s="1"/>
  <c r="M13" i="27"/>
  <c r="L13" i="27" s="1"/>
  <c r="K13" i="27" s="1"/>
  <c r="J13" i="27" s="1"/>
  <c r="I13" i="27" s="1"/>
  <c r="H13" i="27" s="1"/>
  <c r="G13" i="27" s="1"/>
  <c r="F13" i="27" s="1"/>
  <c r="E13" i="27" s="1"/>
  <c r="D13" i="27" s="1"/>
  <c r="C13" i="27" s="1"/>
  <c r="B13" i="27" s="1"/>
  <c r="M12" i="25"/>
  <c r="L12" i="25" s="1"/>
  <c r="M13" i="24"/>
  <c r="L13" i="24" s="1"/>
  <c r="K13" i="24" s="1"/>
  <c r="J13" i="24" s="1"/>
  <c r="I13" i="24" s="1"/>
  <c r="H13" i="24" s="1"/>
  <c r="G13" i="24" s="1"/>
  <c r="F13" i="24" s="1"/>
  <c r="E13" i="24" s="1"/>
  <c r="D13" i="24" s="1"/>
  <c r="C13" i="24" s="1"/>
  <c r="B13" i="24" s="1"/>
  <c r="W34" i="10"/>
  <c r="N34" i="10"/>
  <c r="O34" i="10"/>
  <c r="I36" i="25" l="1"/>
  <c r="J30" i="10"/>
  <c r="J5" i="10"/>
  <c r="I11" i="25"/>
  <c r="J9" i="10"/>
  <c r="I15" i="25"/>
  <c r="I26" i="25"/>
  <c r="J20" i="10"/>
  <c r="J21" i="10"/>
  <c r="I27" i="25"/>
  <c r="I14" i="25"/>
  <c r="J8" i="10"/>
  <c r="J7" i="10"/>
  <c r="I13" i="25"/>
  <c r="J19" i="10"/>
  <c r="I25" i="25"/>
  <c r="J17" i="10"/>
  <c r="I23" i="25"/>
  <c r="J18" i="10"/>
  <c r="I24" i="25"/>
  <c r="J13" i="10"/>
  <c r="I19" i="25"/>
  <c r="L16" i="10"/>
  <c r="K22" i="25"/>
  <c r="I34" i="25"/>
  <c r="J28" i="10"/>
  <c r="I35" i="25"/>
  <c r="J29" i="10"/>
  <c r="J27" i="10"/>
  <c r="I33" i="25"/>
  <c r="J15" i="10"/>
  <c r="I21" i="25"/>
  <c r="J25" i="10"/>
  <c r="I31" i="25"/>
  <c r="J26" i="10"/>
  <c r="I32" i="25"/>
  <c r="I18" i="25"/>
  <c r="J12" i="10"/>
  <c r="I30" i="25"/>
  <c r="J24" i="10"/>
  <c r="J23" i="10"/>
  <c r="I29" i="25"/>
  <c r="I39" i="25"/>
  <c r="J33" i="10"/>
  <c r="L6" i="10"/>
  <c r="K12" i="25"/>
  <c r="J22" i="10"/>
  <c r="I28" i="25"/>
  <c r="J10" i="10"/>
  <c r="I16" i="25"/>
  <c r="I10" i="25"/>
  <c r="J4" i="10"/>
  <c r="J3" i="10"/>
  <c r="I9" i="25"/>
  <c r="J31" i="10"/>
  <c r="I37" i="25"/>
  <c r="I38" i="25"/>
  <c r="J32" i="10"/>
  <c r="J11" i="10"/>
  <c r="I17" i="25"/>
  <c r="W41" i="27"/>
  <c r="W40" i="25"/>
  <c r="W41" i="26"/>
  <c r="W41" i="23"/>
  <c r="V42" i="23" s="1"/>
  <c r="R41" i="25"/>
  <c r="U42" i="22"/>
  <c r="S42" i="22"/>
  <c r="U41" i="25"/>
  <c r="R42" i="22"/>
  <c r="V42" i="26"/>
  <c r="T41" i="25"/>
  <c r="S41" i="25"/>
  <c r="W41" i="24"/>
  <c r="V42" i="24" s="1"/>
  <c r="O40" i="25"/>
  <c r="O41" i="25" s="1"/>
  <c r="Q42" i="22"/>
  <c r="P42" i="22"/>
  <c r="T42" i="22"/>
  <c r="O41" i="22"/>
  <c r="O42" i="22" s="1"/>
  <c r="Q41" i="25"/>
  <c r="W41" i="22"/>
  <c r="P41" i="25"/>
  <c r="N21" i="26"/>
  <c r="N21" i="24"/>
  <c r="N21" i="27"/>
  <c r="N21" i="23"/>
  <c r="N21" i="22"/>
  <c r="N41" i="22" s="1"/>
  <c r="N20" i="25"/>
  <c r="N40" i="25" s="1"/>
  <c r="V16" i="30"/>
  <c r="V17" i="30"/>
  <c r="V18" i="30"/>
  <c r="V19" i="30"/>
  <c r="V20" i="30"/>
  <c r="V21" i="30"/>
  <c r="V22" i="30"/>
  <c r="V15" i="30"/>
  <c r="U16" i="30"/>
  <c r="U17" i="30"/>
  <c r="U18" i="30"/>
  <c r="U19" i="30"/>
  <c r="U20" i="30"/>
  <c r="U21" i="30"/>
  <c r="U22" i="30"/>
  <c r="U15" i="30"/>
  <c r="T16" i="30"/>
  <c r="T17" i="30"/>
  <c r="T18" i="30"/>
  <c r="T19" i="30"/>
  <c r="T20" i="30"/>
  <c r="T21" i="30"/>
  <c r="T22" i="30"/>
  <c r="T15" i="30"/>
  <c r="S16" i="30"/>
  <c r="S17" i="30"/>
  <c r="S18" i="30"/>
  <c r="S19" i="30"/>
  <c r="S20" i="30"/>
  <c r="S21" i="30"/>
  <c r="S22" i="30"/>
  <c r="S15" i="30"/>
  <c r="R16" i="30"/>
  <c r="R17" i="30"/>
  <c r="R18" i="30"/>
  <c r="R19" i="30"/>
  <c r="R20" i="30"/>
  <c r="R21" i="30"/>
  <c r="R22" i="30"/>
  <c r="R15" i="30"/>
  <c r="Q16" i="30"/>
  <c r="Q17" i="30"/>
  <c r="Q18" i="30"/>
  <c r="Q19" i="30"/>
  <c r="Q20" i="30"/>
  <c r="Q21" i="30"/>
  <c r="Q22" i="30"/>
  <c r="Q15" i="30"/>
  <c r="P16" i="30"/>
  <c r="P17" i="30"/>
  <c r="P18" i="30"/>
  <c r="P19" i="30"/>
  <c r="P20" i="30"/>
  <c r="P21" i="30"/>
  <c r="P22" i="30"/>
  <c r="P15" i="30"/>
  <c r="O16" i="30"/>
  <c r="O17" i="30"/>
  <c r="O18" i="30"/>
  <c r="O19" i="30"/>
  <c r="O20" i="30"/>
  <c r="O21" i="30"/>
  <c r="O22" i="30"/>
  <c r="O15" i="30"/>
  <c r="N16" i="30"/>
  <c r="N17" i="30"/>
  <c r="N18" i="30"/>
  <c r="N19" i="30"/>
  <c r="N20" i="30"/>
  <c r="N21" i="30"/>
  <c r="N22" i="30"/>
  <c r="N15" i="30"/>
  <c r="M16" i="30"/>
  <c r="M17" i="30"/>
  <c r="M18" i="30"/>
  <c r="M19" i="30"/>
  <c r="M20" i="30"/>
  <c r="M21" i="30"/>
  <c r="M22" i="30"/>
  <c r="M15" i="30"/>
  <c r="L16" i="30"/>
  <c r="L17" i="30"/>
  <c r="L18" i="30"/>
  <c r="L19" i="30"/>
  <c r="L20" i="30"/>
  <c r="L21" i="30"/>
  <c r="L22" i="30"/>
  <c r="L15" i="30"/>
  <c r="K16" i="30"/>
  <c r="K17" i="30"/>
  <c r="K18" i="30"/>
  <c r="K19" i="30"/>
  <c r="K20" i="30"/>
  <c r="K21" i="30"/>
  <c r="K22" i="30"/>
  <c r="K15" i="30"/>
  <c r="J15" i="30"/>
  <c r="J16" i="30"/>
  <c r="J17" i="30"/>
  <c r="J18" i="30"/>
  <c r="J19" i="30"/>
  <c r="J20" i="30"/>
  <c r="J21" i="30"/>
  <c r="J22" i="30"/>
  <c r="I16" i="30"/>
  <c r="I17" i="30"/>
  <c r="I18" i="30"/>
  <c r="I19" i="30"/>
  <c r="I20" i="30"/>
  <c r="I21" i="30"/>
  <c r="I22" i="30"/>
  <c r="I15" i="30"/>
  <c r="H15" i="30"/>
  <c r="H16" i="30"/>
  <c r="H17" i="30"/>
  <c r="H18" i="30"/>
  <c r="H19" i="30"/>
  <c r="H20" i="30"/>
  <c r="H21" i="30"/>
  <c r="H22" i="30"/>
  <c r="G16" i="30"/>
  <c r="G17" i="30"/>
  <c r="G18" i="30"/>
  <c r="G19" i="30"/>
  <c r="G20" i="30"/>
  <c r="G21" i="30"/>
  <c r="G22" i="30"/>
  <c r="G15" i="30"/>
  <c r="F16" i="30"/>
  <c r="F17" i="30"/>
  <c r="F18" i="30"/>
  <c r="F19" i="30"/>
  <c r="F20" i="30"/>
  <c r="F21" i="30"/>
  <c r="F22" i="30"/>
  <c r="F15" i="30"/>
  <c r="E16" i="30"/>
  <c r="E17" i="30"/>
  <c r="E18" i="30"/>
  <c r="E19" i="30"/>
  <c r="E20" i="30"/>
  <c r="E21" i="30"/>
  <c r="E22" i="30"/>
  <c r="E15" i="30"/>
  <c r="D16" i="30"/>
  <c r="D17" i="30"/>
  <c r="D18" i="30"/>
  <c r="D19" i="30"/>
  <c r="D20" i="30"/>
  <c r="D21" i="30"/>
  <c r="D22" i="30"/>
  <c r="D15" i="30"/>
  <c r="C16" i="30"/>
  <c r="C17" i="30"/>
  <c r="C18" i="30"/>
  <c r="C19" i="30"/>
  <c r="C20" i="30"/>
  <c r="C21" i="30"/>
  <c r="C22" i="30"/>
  <c r="C15" i="30"/>
  <c r="B16" i="30"/>
  <c r="B17" i="30"/>
  <c r="B18" i="30"/>
  <c r="B19" i="30"/>
  <c r="B20" i="30"/>
  <c r="B21" i="30"/>
  <c r="B22" i="30"/>
  <c r="B10" i="28"/>
  <c r="C10" i="28"/>
  <c r="B8" i="28"/>
  <c r="C8" i="28"/>
  <c r="B6" i="28"/>
  <c r="C6" i="28"/>
  <c r="I3" i="10" l="1"/>
  <c r="H9" i="25"/>
  <c r="I15" i="10"/>
  <c r="H21" i="25"/>
  <c r="K16" i="10"/>
  <c r="J22" i="25"/>
  <c r="I19" i="10"/>
  <c r="H25" i="25"/>
  <c r="H30" i="25"/>
  <c r="I24" i="10"/>
  <c r="H26" i="25"/>
  <c r="I20" i="10"/>
  <c r="I11" i="10"/>
  <c r="H17" i="25"/>
  <c r="K6" i="10"/>
  <c r="J12" i="25"/>
  <c r="H33" i="25"/>
  <c r="I27" i="10"/>
  <c r="I13" i="10"/>
  <c r="H19" i="25"/>
  <c r="I7" i="10"/>
  <c r="H13" i="25"/>
  <c r="I9" i="10"/>
  <c r="H15" i="25"/>
  <c r="H18" i="25"/>
  <c r="I12" i="10"/>
  <c r="H10" i="25"/>
  <c r="I4" i="10"/>
  <c r="I26" i="10"/>
  <c r="H32" i="25"/>
  <c r="I18" i="10"/>
  <c r="H24" i="25"/>
  <c r="I5" i="10"/>
  <c r="H11" i="25"/>
  <c r="H38" i="25"/>
  <c r="I32" i="10"/>
  <c r="I10" i="10"/>
  <c r="H16" i="25"/>
  <c r="H39" i="25"/>
  <c r="I33" i="10"/>
  <c r="H35" i="25"/>
  <c r="I29" i="10"/>
  <c r="H14" i="25"/>
  <c r="I8" i="10"/>
  <c r="H37" i="25"/>
  <c r="I31" i="10"/>
  <c r="I23" i="10"/>
  <c r="H29" i="25"/>
  <c r="I25" i="10"/>
  <c r="H31" i="25"/>
  <c r="I17" i="10"/>
  <c r="H23" i="25"/>
  <c r="I21" i="10"/>
  <c r="H27" i="25"/>
  <c r="I22" i="10"/>
  <c r="H28" i="25"/>
  <c r="H34" i="25"/>
  <c r="I28" i="10"/>
  <c r="H36" i="25"/>
  <c r="I30" i="10"/>
  <c r="BB34" i="36"/>
  <c r="X34" i="36" s="1"/>
  <c r="Y34" i="36" s="1"/>
  <c r="Z34" i="36" s="1"/>
  <c r="AA34" i="36" s="1"/>
  <c r="AB34" i="36" s="1"/>
  <c r="AC34" i="36" s="1"/>
  <c r="AD34" i="36" s="1"/>
  <c r="AE34" i="36" s="1"/>
  <c r="AF34" i="36" s="1"/>
  <c r="AG34" i="36" s="1"/>
  <c r="AH34" i="36" s="1"/>
  <c r="AI34" i="36" s="1"/>
  <c r="AJ34" i="36" s="1"/>
  <c r="AK34" i="36" s="1"/>
  <c r="AL34" i="36" s="1"/>
  <c r="AM34" i="36" s="1"/>
  <c r="AN34" i="36" s="1"/>
  <c r="AO34" i="36" s="1"/>
  <c r="AP34" i="36" s="1"/>
  <c r="AQ34" i="36" s="1"/>
  <c r="AR34" i="36" s="1"/>
  <c r="AS34" i="36" s="1"/>
  <c r="AT34" i="36" s="1"/>
  <c r="AU34" i="36" s="1"/>
  <c r="AV34" i="36" s="1"/>
  <c r="AW34" i="36" s="1"/>
  <c r="AX34" i="36" s="1"/>
  <c r="AY34" i="36" s="1"/>
  <c r="V41" i="25"/>
  <c r="N42" i="22"/>
  <c r="N41" i="25"/>
  <c r="V42" i="22"/>
  <c r="M21" i="23"/>
  <c r="L21" i="23" s="1"/>
  <c r="K21" i="23" s="1"/>
  <c r="J21" i="23" s="1"/>
  <c r="I21" i="23" s="1"/>
  <c r="H21" i="23" s="1"/>
  <c r="G21" i="23" s="1"/>
  <c r="F21" i="23" s="1"/>
  <c r="E21" i="23" s="1"/>
  <c r="D21" i="23" s="1"/>
  <c r="C21" i="23" s="1"/>
  <c r="B21" i="23" s="1"/>
  <c r="M21" i="26"/>
  <c r="L21" i="26" s="1"/>
  <c r="K21" i="26" s="1"/>
  <c r="J21" i="26" s="1"/>
  <c r="I21" i="26" s="1"/>
  <c r="H21" i="26" s="1"/>
  <c r="G21" i="26" s="1"/>
  <c r="F21" i="26" s="1"/>
  <c r="E21" i="26" s="1"/>
  <c r="D21" i="26" s="1"/>
  <c r="C21" i="26" s="1"/>
  <c r="B21" i="26" s="1"/>
  <c r="M21" i="24"/>
  <c r="L21" i="24" s="1"/>
  <c r="K21" i="24" s="1"/>
  <c r="J21" i="24" s="1"/>
  <c r="I21" i="24" s="1"/>
  <c r="H21" i="24" s="1"/>
  <c r="G21" i="24" s="1"/>
  <c r="F21" i="24" s="1"/>
  <c r="E21" i="24" s="1"/>
  <c r="D21" i="24" s="1"/>
  <c r="C21" i="24" s="1"/>
  <c r="B21" i="24" s="1"/>
  <c r="M21" i="22"/>
  <c r="L21" i="22" s="1"/>
  <c r="K21" i="22" s="1"/>
  <c r="J21" i="22" s="1"/>
  <c r="I21" i="22" s="1"/>
  <c r="H21" i="22" s="1"/>
  <c r="G21" i="22" s="1"/>
  <c r="F21" i="22" s="1"/>
  <c r="E21" i="22" s="1"/>
  <c r="D21" i="22" s="1"/>
  <c r="C21" i="22" s="1"/>
  <c r="B21" i="22" s="1"/>
  <c r="M20" i="25"/>
  <c r="L20" i="25" s="1"/>
  <c r="M21" i="27"/>
  <c r="L21" i="27" s="1"/>
  <c r="K21" i="27" s="1"/>
  <c r="J21" i="27" s="1"/>
  <c r="I21" i="27" s="1"/>
  <c r="H21" i="27" s="1"/>
  <c r="G21" i="27" s="1"/>
  <c r="F21" i="27" s="1"/>
  <c r="E21" i="27" s="1"/>
  <c r="D21" i="27" s="1"/>
  <c r="C21" i="27" s="1"/>
  <c r="B21" i="27" s="1"/>
  <c r="M34" i="10"/>
  <c r="L10" i="28"/>
  <c r="L8" i="28"/>
  <c r="L6" i="28"/>
  <c r="K10" i="28"/>
  <c r="J10" i="28"/>
  <c r="I10" i="28"/>
  <c r="H10" i="28"/>
  <c r="G10" i="28"/>
  <c r="F10" i="28"/>
  <c r="E10" i="28"/>
  <c r="D10" i="28"/>
  <c r="K8" i="28"/>
  <c r="J8" i="28"/>
  <c r="I8" i="28"/>
  <c r="H8" i="28"/>
  <c r="G8" i="28"/>
  <c r="F8" i="28"/>
  <c r="E8" i="28"/>
  <c r="D8" i="28"/>
  <c r="K6" i="28"/>
  <c r="J6" i="28"/>
  <c r="I6" i="28"/>
  <c r="H6" i="28"/>
  <c r="G6" i="28"/>
  <c r="F6" i="28"/>
  <c r="E6" i="28"/>
  <c r="D6" i="28"/>
  <c r="V10" i="27"/>
  <c r="V41" i="27" s="1"/>
  <c r="V42" i="27" s="1"/>
  <c r="U10" i="27"/>
  <c r="U41" i="27" s="1"/>
  <c r="T10" i="27"/>
  <c r="T41" i="27" s="1"/>
  <c r="S10" i="27"/>
  <c r="S41" i="27" s="1"/>
  <c r="R10" i="27"/>
  <c r="R41" i="27" s="1"/>
  <c r="Q10" i="27"/>
  <c r="Q41" i="27" s="1"/>
  <c r="P10" i="27"/>
  <c r="O10" i="27"/>
  <c r="N10" i="27"/>
  <c r="M10" i="27"/>
  <c r="L10" i="27" s="1"/>
  <c r="K10" i="27" s="1"/>
  <c r="J10" i="27" s="1"/>
  <c r="I10" i="27" s="1"/>
  <c r="H10" i="27" s="1"/>
  <c r="G10" i="27" s="1"/>
  <c r="F10" i="27" s="1"/>
  <c r="E10" i="27" s="1"/>
  <c r="D10" i="27" s="1"/>
  <c r="C10" i="27" s="1"/>
  <c r="B10" i="27" s="1"/>
  <c r="U10" i="26"/>
  <c r="T10" i="26"/>
  <c r="S10" i="26"/>
  <c r="R10" i="26"/>
  <c r="Q10" i="26"/>
  <c r="P10" i="26"/>
  <c r="O10" i="26"/>
  <c r="N10" i="26"/>
  <c r="U10" i="24"/>
  <c r="U41" i="24" s="1"/>
  <c r="U42" i="24" s="1"/>
  <c r="T10" i="24"/>
  <c r="T41" i="24" s="1"/>
  <c r="S10" i="24"/>
  <c r="S41" i="24" s="1"/>
  <c r="R10" i="24"/>
  <c r="R41" i="24" s="1"/>
  <c r="Q10" i="24"/>
  <c r="Q41" i="24" s="1"/>
  <c r="P10" i="24"/>
  <c r="P41" i="24" s="1"/>
  <c r="P42" i="24" s="1"/>
  <c r="O10" i="24"/>
  <c r="O41" i="24" s="1"/>
  <c r="N10" i="24"/>
  <c r="N41" i="24" s="1"/>
  <c r="M10" i="24"/>
  <c r="L10" i="24" s="1"/>
  <c r="K10" i="24" s="1"/>
  <c r="J10" i="24" s="1"/>
  <c r="I10" i="24" s="1"/>
  <c r="H10" i="24" s="1"/>
  <c r="G10" i="24" s="1"/>
  <c r="F10" i="24" s="1"/>
  <c r="E10" i="24" s="1"/>
  <c r="D10" i="24" s="1"/>
  <c r="C10" i="24" s="1"/>
  <c r="B10" i="24" s="1"/>
  <c r="U10" i="23"/>
  <c r="T10" i="23"/>
  <c r="S10" i="23"/>
  <c r="R10" i="23"/>
  <c r="Q10" i="23"/>
  <c r="P10" i="23"/>
  <c r="O10" i="23"/>
  <c r="N10" i="23"/>
  <c r="M10" i="23"/>
  <c r="L10" i="23" s="1"/>
  <c r="K10" i="23" s="1"/>
  <c r="J10" i="23" s="1"/>
  <c r="I10" i="23" s="1"/>
  <c r="H10" i="23" s="1"/>
  <c r="G10" i="23" s="1"/>
  <c r="F10" i="23" s="1"/>
  <c r="E10" i="23" s="1"/>
  <c r="D10" i="23" s="1"/>
  <c r="C10" i="23" s="1"/>
  <c r="B10" i="23" s="1"/>
  <c r="G19" i="25" l="1"/>
  <c r="H13" i="10"/>
  <c r="H11" i="10"/>
  <c r="G17" i="25"/>
  <c r="I22" i="25"/>
  <c r="J16" i="10"/>
  <c r="L14" i="10"/>
  <c r="L34" i="10" s="1"/>
  <c r="K20" i="25"/>
  <c r="G37" i="25"/>
  <c r="H31" i="10"/>
  <c r="H8" i="10"/>
  <c r="G14" i="25"/>
  <c r="G38" i="25"/>
  <c r="H32" i="10"/>
  <c r="H4" i="10"/>
  <c r="G10" i="25"/>
  <c r="G36" i="25"/>
  <c r="H30" i="10"/>
  <c r="G11" i="25"/>
  <c r="H5" i="10"/>
  <c r="H15" i="10"/>
  <c r="G21" i="25"/>
  <c r="G31" i="25"/>
  <c r="H25" i="10"/>
  <c r="G34" i="25"/>
  <c r="H28" i="10"/>
  <c r="G35" i="25"/>
  <c r="H29" i="10"/>
  <c r="H12" i="10"/>
  <c r="G18" i="25"/>
  <c r="G33" i="25"/>
  <c r="H27" i="10"/>
  <c r="H20" i="10"/>
  <c r="G26" i="25"/>
  <c r="H22" i="10"/>
  <c r="G28" i="25"/>
  <c r="H23" i="10"/>
  <c r="G29" i="25"/>
  <c r="H18" i="10"/>
  <c r="G24" i="25"/>
  <c r="G15" i="25"/>
  <c r="H9" i="10"/>
  <c r="H3" i="10"/>
  <c r="G9" i="25"/>
  <c r="G39" i="25"/>
  <c r="H33" i="10"/>
  <c r="J6" i="10"/>
  <c r="I12" i="25"/>
  <c r="H24" i="10"/>
  <c r="G30" i="25"/>
  <c r="G23" i="25"/>
  <c r="H17" i="10"/>
  <c r="G27" i="25"/>
  <c r="H21" i="10"/>
  <c r="H10" i="10"/>
  <c r="G16" i="25"/>
  <c r="H26" i="10"/>
  <c r="G32" i="25"/>
  <c r="H7" i="10"/>
  <c r="G13" i="25"/>
  <c r="H19" i="10"/>
  <c r="G25" i="25"/>
  <c r="T42" i="27"/>
  <c r="Q42" i="27"/>
  <c r="R42" i="24"/>
  <c r="S42" i="24"/>
  <c r="T42" i="24"/>
  <c r="S42" i="27"/>
  <c r="N42" i="24"/>
  <c r="U42" i="27"/>
  <c r="Q42" i="24"/>
  <c r="R42" i="27"/>
  <c r="O42" i="24"/>
  <c r="C37" i="10"/>
  <c r="C38" i="10"/>
  <c r="L41" i="27"/>
  <c r="J41" i="24"/>
  <c r="L41" i="24"/>
  <c r="N41" i="27"/>
  <c r="L41" i="26"/>
  <c r="L40" i="25"/>
  <c r="K41" i="24"/>
  <c r="L41" i="23"/>
  <c r="I41" i="24"/>
  <c r="J41" i="22"/>
  <c r="K41" i="22"/>
  <c r="L41" i="22"/>
  <c r="S41" i="26"/>
  <c r="M41" i="27"/>
  <c r="O41" i="27"/>
  <c r="P41" i="27"/>
  <c r="P42" i="27" s="1"/>
  <c r="P41" i="26"/>
  <c r="Q41" i="26"/>
  <c r="T41" i="26"/>
  <c r="M41" i="26"/>
  <c r="U41" i="26"/>
  <c r="U42" i="26" s="1"/>
  <c r="O41" i="26"/>
  <c r="N41" i="26"/>
  <c r="R41" i="26"/>
  <c r="M40" i="25"/>
  <c r="M41" i="25" s="1"/>
  <c r="Q41" i="23"/>
  <c r="P41" i="23"/>
  <c r="M41" i="24"/>
  <c r="M42" i="24" s="1"/>
  <c r="T41" i="23"/>
  <c r="M41" i="23"/>
  <c r="U41" i="23"/>
  <c r="U42" i="23" s="1"/>
  <c r="S41" i="23"/>
  <c r="O41" i="23"/>
  <c r="N41" i="23"/>
  <c r="R41" i="23"/>
  <c r="M41" i="22"/>
  <c r="M42" i="22" s="1"/>
  <c r="G18" i="10" l="1"/>
  <c r="F24" i="25"/>
  <c r="G4" i="10"/>
  <c r="F10" i="25"/>
  <c r="K14" i="10"/>
  <c r="K34" i="10" s="1"/>
  <c r="J20" i="25"/>
  <c r="K40" i="25"/>
  <c r="K41" i="25" s="1"/>
  <c r="G12" i="10"/>
  <c r="F18" i="25"/>
  <c r="G15" i="10"/>
  <c r="F21" i="25"/>
  <c r="F33" i="25"/>
  <c r="G27" i="10"/>
  <c r="F39" i="25"/>
  <c r="G33" i="10"/>
  <c r="F23" i="25"/>
  <c r="G17" i="10"/>
  <c r="F38" i="25"/>
  <c r="G32" i="10"/>
  <c r="H22" i="25"/>
  <c r="I16" i="10"/>
  <c r="F27" i="25"/>
  <c r="G21" i="10"/>
  <c r="G26" i="10"/>
  <c r="F32" i="25"/>
  <c r="G24" i="10"/>
  <c r="F30" i="25"/>
  <c r="G22" i="10"/>
  <c r="F28" i="25"/>
  <c r="G8" i="10"/>
  <c r="F14" i="25"/>
  <c r="G11" i="10"/>
  <c r="F17" i="25"/>
  <c r="G23" i="10"/>
  <c r="F29" i="25"/>
  <c r="F35" i="25"/>
  <c r="G29" i="10"/>
  <c r="F11" i="25"/>
  <c r="G5" i="10"/>
  <c r="G7" i="10"/>
  <c r="F13" i="25"/>
  <c r="G3" i="10"/>
  <c r="F9" i="25"/>
  <c r="G20" i="10"/>
  <c r="F26" i="25"/>
  <c r="F31" i="25"/>
  <c r="G25" i="10"/>
  <c r="G10" i="10"/>
  <c r="F16" i="25"/>
  <c r="G19" i="10"/>
  <c r="F25" i="25"/>
  <c r="I6" i="10"/>
  <c r="H12" i="25"/>
  <c r="F15" i="25"/>
  <c r="G9" i="10"/>
  <c r="F34" i="25"/>
  <c r="G28" i="10"/>
  <c r="F36" i="25"/>
  <c r="G30" i="10"/>
  <c r="F37" i="25"/>
  <c r="G31" i="10"/>
  <c r="F19" i="25"/>
  <c r="G13" i="10"/>
  <c r="P42" i="23"/>
  <c r="L42" i="23"/>
  <c r="S42" i="23"/>
  <c r="R42" i="26"/>
  <c r="N42" i="26"/>
  <c r="N42" i="23"/>
  <c r="K42" i="24"/>
  <c r="M42" i="23"/>
  <c r="M42" i="27"/>
  <c r="L41" i="25"/>
  <c r="O42" i="26"/>
  <c r="S42" i="26"/>
  <c r="L42" i="26"/>
  <c r="O42" i="27"/>
  <c r="L42" i="22"/>
  <c r="N42" i="27"/>
  <c r="T42" i="23"/>
  <c r="T42" i="26"/>
  <c r="L42" i="24"/>
  <c r="Q42" i="26"/>
  <c r="M42" i="26"/>
  <c r="R42" i="23"/>
  <c r="Q42" i="23"/>
  <c r="O42" i="23"/>
  <c r="P42" i="26"/>
  <c r="L42" i="27"/>
  <c r="I42" i="24"/>
  <c r="J42" i="24"/>
  <c r="J42" i="22"/>
  <c r="K42" i="22"/>
  <c r="L12" i="28"/>
  <c r="I41" i="22"/>
  <c r="I42" i="22" s="1"/>
  <c r="K41" i="27"/>
  <c r="K42" i="27" s="1"/>
  <c r="K41" i="23"/>
  <c r="K42" i="23" s="1"/>
  <c r="H41" i="24"/>
  <c r="H42" i="24" s="1"/>
  <c r="H41" i="22"/>
  <c r="K41" i="26"/>
  <c r="K42" i="26" s="1"/>
  <c r="F21" i="10" l="1"/>
  <c r="E27" i="25"/>
  <c r="E39" i="25"/>
  <c r="F33" i="10"/>
  <c r="J14" i="10"/>
  <c r="J34" i="10" s="1"/>
  <c r="I20" i="25"/>
  <c r="J40" i="25"/>
  <c r="J41" i="25" s="1"/>
  <c r="F3" i="10"/>
  <c r="E9" i="25"/>
  <c r="H16" i="10"/>
  <c r="G22" i="25"/>
  <c r="E33" i="25"/>
  <c r="F27" i="10"/>
  <c r="F4" i="10"/>
  <c r="E10" i="25"/>
  <c r="H6" i="10"/>
  <c r="G12" i="25"/>
  <c r="F5" i="10"/>
  <c r="E11" i="25"/>
  <c r="E34" i="25"/>
  <c r="F28" i="10"/>
  <c r="E16" i="25"/>
  <c r="F10" i="10"/>
  <c r="F23" i="10"/>
  <c r="E29" i="25"/>
  <c r="F24" i="10"/>
  <c r="E30" i="25"/>
  <c r="F15" i="10"/>
  <c r="E21" i="25"/>
  <c r="E37" i="25"/>
  <c r="F31" i="10"/>
  <c r="F20" i="10"/>
  <c r="E26" i="25"/>
  <c r="F8" i="10"/>
  <c r="E14" i="25"/>
  <c r="E35" i="25"/>
  <c r="F29" i="10"/>
  <c r="F7" i="10"/>
  <c r="E13" i="25"/>
  <c r="E38" i="25"/>
  <c r="F32" i="10"/>
  <c r="E24" i="25"/>
  <c r="F18" i="10"/>
  <c r="E36" i="25"/>
  <c r="F30" i="10"/>
  <c r="E28" i="25"/>
  <c r="F22" i="10"/>
  <c r="F13" i="10"/>
  <c r="E19" i="25"/>
  <c r="F9" i="10"/>
  <c r="E15" i="25"/>
  <c r="F11" i="10"/>
  <c r="E17" i="25"/>
  <c r="E32" i="25"/>
  <c r="F26" i="10"/>
  <c r="F12" i="10"/>
  <c r="E18" i="25"/>
  <c r="F19" i="10"/>
  <c r="E25" i="25"/>
  <c r="F25" i="10"/>
  <c r="E31" i="25"/>
  <c r="F17" i="10"/>
  <c r="E23" i="25"/>
  <c r="H42" i="22"/>
  <c r="J41" i="27"/>
  <c r="J42" i="27" s="1"/>
  <c r="J41" i="23"/>
  <c r="J42" i="23" s="1"/>
  <c r="G41" i="24"/>
  <c r="G42" i="24" s="1"/>
  <c r="G41" i="22"/>
  <c r="G42" i="22" s="1"/>
  <c r="J41" i="26"/>
  <c r="J42" i="26" s="1"/>
  <c r="D36" i="25" l="1"/>
  <c r="E30" i="10"/>
  <c r="E15" i="10"/>
  <c r="D21" i="25"/>
  <c r="D16" i="25"/>
  <c r="E10" i="10"/>
  <c r="E4" i="10"/>
  <c r="D10" i="25"/>
  <c r="E19" i="10"/>
  <c r="D25" i="25"/>
  <c r="E9" i="10"/>
  <c r="D15" i="25"/>
  <c r="D35" i="25"/>
  <c r="E29" i="10"/>
  <c r="E8" i="10"/>
  <c r="D14" i="25"/>
  <c r="E24" i="10"/>
  <c r="D30" i="25"/>
  <c r="D34" i="25"/>
  <c r="E28" i="10"/>
  <c r="I14" i="10"/>
  <c r="I34" i="10" s="1"/>
  <c r="H20" i="25"/>
  <c r="I40" i="25"/>
  <c r="I41" i="25" s="1"/>
  <c r="E5" i="10"/>
  <c r="D11" i="25"/>
  <c r="D33" i="25"/>
  <c r="E27" i="10"/>
  <c r="E13" i="10"/>
  <c r="D19" i="25"/>
  <c r="E20" i="10"/>
  <c r="D26" i="25"/>
  <c r="E23" i="10"/>
  <c r="D29" i="25"/>
  <c r="G16" i="10"/>
  <c r="F22" i="25"/>
  <c r="D24" i="25"/>
  <c r="E18" i="10"/>
  <c r="D38" i="25"/>
  <c r="E32" i="10"/>
  <c r="D39" i="25"/>
  <c r="E33" i="10"/>
  <c r="D32" i="25"/>
  <c r="E26" i="10"/>
  <c r="D28" i="25"/>
  <c r="E22" i="10"/>
  <c r="E7" i="10"/>
  <c r="D13" i="25"/>
  <c r="G6" i="10"/>
  <c r="F12" i="25"/>
  <c r="E3" i="10"/>
  <c r="D9" i="25"/>
  <c r="E21" i="10"/>
  <c r="D27" i="25"/>
  <c r="E12" i="10"/>
  <c r="D18" i="25"/>
  <c r="E17" i="10"/>
  <c r="D23" i="25"/>
  <c r="E25" i="10"/>
  <c r="D31" i="25"/>
  <c r="E11" i="10"/>
  <c r="D17" i="25"/>
  <c r="D37" i="25"/>
  <c r="E31" i="10"/>
  <c r="I41" i="27"/>
  <c r="I42" i="27" s="1"/>
  <c r="I41" i="23"/>
  <c r="I42" i="23" s="1"/>
  <c r="F41" i="24"/>
  <c r="F42" i="24" s="1"/>
  <c r="F41" i="22"/>
  <c r="F42" i="22" s="1"/>
  <c r="I41" i="26"/>
  <c r="I42" i="26" s="1"/>
  <c r="C17" i="25" l="1"/>
  <c r="D11" i="10"/>
  <c r="D20" i="10"/>
  <c r="C26" i="25"/>
  <c r="D4" i="10"/>
  <c r="C10" i="25"/>
  <c r="C13" i="25"/>
  <c r="D7" i="10"/>
  <c r="C35" i="25"/>
  <c r="D29" i="10"/>
  <c r="D25" i="10"/>
  <c r="C31" i="25"/>
  <c r="D9" i="10"/>
  <c r="C15" i="25"/>
  <c r="D10" i="10"/>
  <c r="C16" i="25"/>
  <c r="F16" i="10"/>
  <c r="E22" i="25"/>
  <c r="C34" i="25"/>
  <c r="D28" i="10"/>
  <c r="C21" i="25"/>
  <c r="D15" i="10"/>
  <c r="H14" i="10"/>
  <c r="H34" i="10" s="1"/>
  <c r="G20" i="25"/>
  <c r="H40" i="25"/>
  <c r="H41" i="25" s="1"/>
  <c r="D18" i="10"/>
  <c r="C24" i="25"/>
  <c r="D26" i="10"/>
  <c r="C32" i="25"/>
  <c r="C33" i="25"/>
  <c r="D27" i="10"/>
  <c r="D24" i="10"/>
  <c r="C30" i="25"/>
  <c r="C25" i="25"/>
  <c r="D19" i="10"/>
  <c r="D21" i="10"/>
  <c r="C27" i="25"/>
  <c r="C38" i="25"/>
  <c r="D32" i="10"/>
  <c r="C9" i="25"/>
  <c r="D3" i="10"/>
  <c r="D12" i="10"/>
  <c r="C18" i="25"/>
  <c r="E12" i="25"/>
  <c r="F6" i="10"/>
  <c r="C29" i="25"/>
  <c r="D23" i="10"/>
  <c r="D5" i="10"/>
  <c r="C11" i="25"/>
  <c r="D13" i="10"/>
  <c r="C19" i="25"/>
  <c r="D22" i="10"/>
  <c r="C28" i="25"/>
  <c r="D17" i="10"/>
  <c r="C23" i="25"/>
  <c r="C37" i="25"/>
  <c r="D31" i="10"/>
  <c r="C39" i="25"/>
  <c r="D33" i="10"/>
  <c r="D8" i="10"/>
  <c r="C14" i="25"/>
  <c r="C36" i="25"/>
  <c r="D30" i="10"/>
  <c r="H41" i="27"/>
  <c r="H42" i="27" s="1"/>
  <c r="H41" i="23"/>
  <c r="H42" i="23" s="1"/>
  <c r="E41" i="24"/>
  <c r="E42" i="24" s="1"/>
  <c r="E41" i="22"/>
  <c r="E42" i="22" s="1"/>
  <c r="H41" i="26"/>
  <c r="H42" i="26" s="1"/>
  <c r="C22" i="10" l="1"/>
  <c r="B28" i="25"/>
  <c r="B22" i="10" s="1"/>
  <c r="G14" i="10"/>
  <c r="G34" i="10" s="1"/>
  <c r="F20" i="25"/>
  <c r="G40" i="25"/>
  <c r="G41" i="25" s="1"/>
  <c r="C10" i="10"/>
  <c r="B16" i="25"/>
  <c r="B10" i="10" s="1"/>
  <c r="B13" i="25"/>
  <c r="B7" i="10" s="1"/>
  <c r="C7" i="10"/>
  <c r="D12" i="25"/>
  <c r="E6" i="10"/>
  <c r="B38" i="25"/>
  <c r="B32" i="10" s="1"/>
  <c r="C32" i="10"/>
  <c r="B33" i="25"/>
  <c r="B27" i="10" s="1"/>
  <c r="C27" i="10"/>
  <c r="C9" i="10"/>
  <c r="B15" i="25"/>
  <c r="B9" i="10" s="1"/>
  <c r="C4" i="10"/>
  <c r="B10" i="25"/>
  <c r="B4" i="10" s="1"/>
  <c r="C12" i="10"/>
  <c r="B18" i="25"/>
  <c r="B12" i="10" s="1"/>
  <c r="C21" i="10"/>
  <c r="B27" i="25"/>
  <c r="B21" i="10" s="1"/>
  <c r="C26" i="10"/>
  <c r="B32" i="25"/>
  <c r="B26" i="10" s="1"/>
  <c r="B21" i="25"/>
  <c r="B15" i="10" s="1"/>
  <c r="C15" i="10"/>
  <c r="C25" i="10"/>
  <c r="B31" i="25"/>
  <c r="B25" i="10" s="1"/>
  <c r="C20" i="10"/>
  <c r="B26" i="25"/>
  <c r="B20" i="10" s="1"/>
  <c r="C18" i="10"/>
  <c r="B24" i="25"/>
  <c r="B18" i="10" s="1"/>
  <c r="B34" i="25"/>
  <c r="B28" i="10" s="1"/>
  <c r="C28" i="10"/>
  <c r="C13" i="10"/>
  <c r="B19" i="25"/>
  <c r="B13" i="10" s="1"/>
  <c r="C5" i="10"/>
  <c r="B11" i="25"/>
  <c r="B5" i="10" s="1"/>
  <c r="B25" i="25"/>
  <c r="B19" i="10" s="1"/>
  <c r="C19" i="10"/>
  <c r="E16" i="10"/>
  <c r="D22" i="25"/>
  <c r="B39" i="25"/>
  <c r="B33" i="10" s="1"/>
  <c r="C33" i="10"/>
  <c r="B37" i="25"/>
  <c r="B31" i="10" s="1"/>
  <c r="C31" i="10"/>
  <c r="B36" i="25"/>
  <c r="B30" i="10" s="1"/>
  <c r="C30" i="10"/>
  <c r="C17" i="10"/>
  <c r="B23" i="25"/>
  <c r="B17" i="10" s="1"/>
  <c r="C8" i="10"/>
  <c r="B14" i="25"/>
  <c r="B8" i="10" s="1"/>
  <c r="B29" i="25"/>
  <c r="B23" i="10" s="1"/>
  <c r="C23" i="10"/>
  <c r="B9" i="25"/>
  <c r="C3" i="10"/>
  <c r="C24" i="10"/>
  <c r="B30" i="25"/>
  <c r="B24" i="10" s="1"/>
  <c r="B35" i="25"/>
  <c r="B29" i="10" s="1"/>
  <c r="C29" i="10"/>
  <c r="B17" i="25"/>
  <c r="B11" i="10" s="1"/>
  <c r="C11" i="10"/>
  <c r="D41" i="22"/>
  <c r="D42" i="22" s="1"/>
  <c r="G41" i="27"/>
  <c r="G42" i="27" s="1"/>
  <c r="G41" i="23"/>
  <c r="G42" i="23" s="1"/>
  <c r="D41" i="24"/>
  <c r="D42" i="24" s="1"/>
  <c r="G41" i="26"/>
  <c r="G42" i="26" s="1"/>
  <c r="E20" i="25" l="1"/>
  <c r="F14" i="10"/>
  <c r="F34" i="10" s="1"/>
  <c r="F40" i="25"/>
  <c r="F41" i="25" s="1"/>
  <c r="B3" i="10"/>
  <c r="D16" i="10"/>
  <c r="C22" i="25"/>
  <c r="D6" i="10"/>
  <c r="C12" i="25"/>
  <c r="F41" i="27"/>
  <c r="F42" i="27" s="1"/>
  <c r="C41" i="22"/>
  <c r="C42" i="22" s="1"/>
  <c r="B41" i="22"/>
  <c r="F41" i="23"/>
  <c r="F42" i="23" s="1"/>
  <c r="B41" i="24"/>
  <c r="C41" i="24"/>
  <c r="C42" i="24" s="1"/>
  <c r="F41" i="26"/>
  <c r="F42" i="26" s="1"/>
  <c r="C6" i="10" l="1"/>
  <c r="B12" i="25"/>
  <c r="D20" i="25"/>
  <c r="E14" i="10"/>
  <c r="E34" i="10" s="1"/>
  <c r="E40" i="25"/>
  <c r="E41" i="25" s="1"/>
  <c r="C16" i="10"/>
  <c r="B22" i="25"/>
  <c r="B16" i="10" s="1"/>
  <c r="B42" i="22"/>
  <c r="B42" i="24"/>
  <c r="E41" i="27"/>
  <c r="E42" i="27" s="1"/>
  <c r="E41" i="23"/>
  <c r="E42" i="23" s="1"/>
  <c r="E41" i="26"/>
  <c r="E42" i="26" s="1"/>
  <c r="B6" i="10" l="1"/>
  <c r="D14" i="10"/>
  <c r="D34" i="10" s="1"/>
  <c r="C20" i="25"/>
  <c r="D40" i="25"/>
  <c r="D41" i="25" s="1"/>
  <c r="D41" i="26"/>
  <c r="D42" i="26" s="1"/>
  <c r="D41" i="23"/>
  <c r="D42" i="23" s="1"/>
  <c r="D41" i="27"/>
  <c r="D42" i="27" s="1"/>
  <c r="C14" i="10" l="1"/>
  <c r="C34" i="10" s="1"/>
  <c r="B20" i="25"/>
  <c r="C40" i="25"/>
  <c r="C41" i="25" s="1"/>
  <c r="B41" i="27"/>
  <c r="C41" i="27"/>
  <c r="C42" i="27" s="1"/>
  <c r="B41" i="23"/>
  <c r="C41" i="23"/>
  <c r="C42" i="23" s="1"/>
  <c r="B41" i="26"/>
  <c r="C41" i="26"/>
  <c r="C42" i="26" s="1"/>
  <c r="B14" i="10" l="1"/>
  <c r="B34" i="10" s="1"/>
  <c r="B40" i="25"/>
  <c r="B41" i="25" s="1"/>
  <c r="B42" i="27"/>
  <c r="B42" i="26"/>
  <c r="B42" i="23"/>
  <c r="Y40" i="45" l="1"/>
  <c r="Y31" i="39" s="1"/>
  <c r="Y31" i="10" s="1"/>
  <c r="X12" i="45"/>
  <c r="Y12" i="38"/>
  <c r="X3" i="39" l="1"/>
  <c r="X43" i="45"/>
  <c r="W44" i="45" s="1"/>
  <c r="Y12" i="45"/>
  <c r="Y43" i="45" s="1"/>
  <c r="X44" i="45" s="1"/>
  <c r="Y38" i="27"/>
  <c r="Y38" i="23"/>
  <c r="Y38" i="22"/>
  <c r="Y38" i="26"/>
  <c r="Y38" i="24"/>
  <c r="Y37" i="25"/>
  <c r="Y38" i="37"/>
  <c r="Z40" i="45"/>
  <c r="Z31" i="39" s="1"/>
  <c r="Z31" i="10" s="1"/>
  <c r="Y3" i="39"/>
  <c r="Y43" i="38"/>
  <c r="X44" i="38" s="1"/>
  <c r="Z12" i="38"/>
  <c r="Z37" i="25" l="1"/>
  <c r="Z38" i="26"/>
  <c r="Z38" i="37"/>
  <c r="Z38" i="24"/>
  <c r="Z38" i="27"/>
  <c r="Z38" i="23"/>
  <c r="Z38" i="22"/>
  <c r="AA40" i="45"/>
  <c r="AA31" i="39" s="1"/>
  <c r="AA31" i="10" s="1"/>
  <c r="Z12" i="45"/>
  <c r="Z43" i="45" s="1"/>
  <c r="Y44" i="45" s="1"/>
  <c r="X34" i="39"/>
  <c r="X3" i="10"/>
  <c r="Z3" i="39"/>
  <c r="Z3" i="10" s="1"/>
  <c r="Z43" i="38"/>
  <c r="Y44" i="38" s="1"/>
  <c r="AA12" i="38"/>
  <c r="Y34" i="39"/>
  <c r="Y3" i="10"/>
  <c r="AB40" i="45" l="1"/>
  <c r="AB31" i="39" s="1"/>
  <c r="X10" i="26"/>
  <c r="X41" i="26" s="1"/>
  <c r="W42" i="26" s="1"/>
  <c r="X9" i="25"/>
  <c r="X40" i="25" s="1"/>
  <c r="W41" i="25" s="1"/>
  <c r="X10" i="27"/>
  <c r="X41" i="27" s="1"/>
  <c r="W42" i="27" s="1"/>
  <c r="X10" i="23"/>
  <c r="X41" i="23" s="1"/>
  <c r="W42" i="23" s="1"/>
  <c r="X10" i="22"/>
  <c r="X41" i="22" s="1"/>
  <c r="W42" i="22" s="1"/>
  <c r="X10" i="24"/>
  <c r="X41" i="24" s="1"/>
  <c r="W42" i="24" s="1"/>
  <c r="X10" i="37"/>
  <c r="X41" i="37" s="1"/>
  <c r="W42" i="37" s="1"/>
  <c r="X34" i="10"/>
  <c r="AA12" i="45"/>
  <c r="AA43" i="45" s="1"/>
  <c r="AA37" i="25"/>
  <c r="AA38" i="26"/>
  <c r="AA38" i="37"/>
  <c r="AA38" i="27"/>
  <c r="AA38" i="23"/>
  <c r="AA38" i="24"/>
  <c r="AA38" i="22"/>
  <c r="Z10" i="26"/>
  <c r="Z41" i="26" s="1"/>
  <c r="Z10" i="37"/>
  <c r="Z41" i="37" s="1"/>
  <c r="Z10" i="27"/>
  <c r="Z41" i="27" s="1"/>
  <c r="Z10" i="23"/>
  <c r="Z41" i="23" s="1"/>
  <c r="Z9" i="25"/>
  <c r="Z40" i="25" s="1"/>
  <c r="Z10" i="24"/>
  <c r="Z41" i="24" s="1"/>
  <c r="Z10" i="22"/>
  <c r="Z41" i="22" s="1"/>
  <c r="Z34" i="10"/>
  <c r="Y10" i="22"/>
  <c r="Y41" i="22" s="1"/>
  <c r="Y10" i="37"/>
  <c r="Y41" i="37" s="1"/>
  <c r="X42" i="37" s="1"/>
  <c r="Y9" i="25"/>
  <c r="Y40" i="25" s="1"/>
  <c r="Y10" i="26"/>
  <c r="Y41" i="26" s="1"/>
  <c r="X42" i="26" s="1"/>
  <c r="Y10" i="23"/>
  <c r="Y41" i="23" s="1"/>
  <c r="Y34" i="10"/>
  <c r="Y10" i="27"/>
  <c r="Y41" i="27" s="1"/>
  <c r="Y10" i="24"/>
  <c r="Y41" i="24" s="1"/>
  <c r="AA3" i="39"/>
  <c r="AA43" i="38"/>
  <c r="Z44" i="38" s="1"/>
  <c r="AB12" i="38"/>
  <c r="Z34" i="39"/>
  <c r="Z44" i="45" l="1"/>
  <c r="X42" i="24"/>
  <c r="AB12" i="45"/>
  <c r="AB43" i="45" s="1"/>
  <c r="AA44" i="45" s="1"/>
  <c r="AB31" i="10"/>
  <c r="AC40" i="45"/>
  <c r="AC31" i="39" s="1"/>
  <c r="X42" i="27"/>
  <c r="Y42" i="27"/>
  <c r="Y42" i="24"/>
  <c r="X42" i="23"/>
  <c r="Y42" i="23"/>
  <c r="AB3" i="39"/>
  <c r="AB43" i="38"/>
  <c r="AA44" i="38" s="1"/>
  <c r="AC12" i="38"/>
  <c r="X41" i="25"/>
  <c r="Y41" i="25"/>
  <c r="Y42" i="37"/>
  <c r="AA34" i="39"/>
  <c r="AA3" i="10"/>
  <c r="X42" i="22"/>
  <c r="Y42" i="22"/>
  <c r="Y42" i="26"/>
  <c r="AD40" i="45" l="1"/>
  <c r="AD31" i="39" s="1"/>
  <c r="AC12" i="45"/>
  <c r="AC43" i="45" s="1"/>
  <c r="AB44" i="45" s="1"/>
  <c r="AB38" i="22"/>
  <c r="AB38" i="24"/>
  <c r="AB37" i="25"/>
  <c r="AB38" i="26"/>
  <c r="AB38" i="27"/>
  <c r="AB38" i="23"/>
  <c r="AB38" i="37"/>
  <c r="AC31" i="10"/>
  <c r="AB34" i="39"/>
  <c r="AB3" i="10"/>
  <c r="AC3" i="39"/>
  <c r="AC43" i="38"/>
  <c r="AB44" i="38" s="1"/>
  <c r="AD12" i="38"/>
  <c r="AA10" i="22"/>
  <c r="AA41" i="22" s="1"/>
  <c r="Z42" i="22" s="1"/>
  <c r="AA34" i="10"/>
  <c r="AA10" i="26"/>
  <c r="AA41" i="26" s="1"/>
  <c r="AA10" i="23"/>
  <c r="AA41" i="23" s="1"/>
  <c r="Z42" i="23" s="1"/>
  <c r="AA10" i="37"/>
  <c r="AA41" i="37" s="1"/>
  <c r="Z42" i="37" s="1"/>
  <c r="AA9" i="25"/>
  <c r="AA40" i="25" s="1"/>
  <c r="AA10" i="27"/>
  <c r="AA41" i="27" s="1"/>
  <c r="Z42" i="27" s="1"/>
  <c r="AA10" i="24"/>
  <c r="AA41" i="24" s="1"/>
  <c r="Z42" i="24" s="1"/>
  <c r="AC38" i="27" l="1"/>
  <c r="AC38" i="37"/>
  <c r="AC38" i="23"/>
  <c r="AC38" i="24"/>
  <c r="AC38" i="22"/>
  <c r="AC37" i="25"/>
  <c r="AC38" i="26"/>
  <c r="AD12" i="45"/>
  <c r="AD43" i="45" s="1"/>
  <c r="AD31" i="10"/>
  <c r="AE40" i="45"/>
  <c r="AE31" i="39" s="1"/>
  <c r="AD3" i="39"/>
  <c r="AD3" i="10" s="1"/>
  <c r="AD43" i="38"/>
  <c r="AE12" i="38"/>
  <c r="Z41" i="25"/>
  <c r="AC34" i="39"/>
  <c r="AC3" i="10"/>
  <c r="AB10" i="24"/>
  <c r="AB41" i="24" s="1"/>
  <c r="AA42" i="24" s="1"/>
  <c r="AB10" i="22"/>
  <c r="AB41" i="22" s="1"/>
  <c r="AA42" i="22" s="1"/>
  <c r="AB10" i="26"/>
  <c r="AB41" i="26" s="1"/>
  <c r="AA42" i="26" s="1"/>
  <c r="AB9" i="25"/>
  <c r="AB40" i="25" s="1"/>
  <c r="AA41" i="25" s="1"/>
  <c r="AB10" i="37"/>
  <c r="AB41" i="37" s="1"/>
  <c r="AA42" i="37" s="1"/>
  <c r="AB10" i="23"/>
  <c r="AB41" i="23" s="1"/>
  <c r="AA42" i="23" s="1"/>
  <c r="AB34" i="10"/>
  <c r="AB10" i="27"/>
  <c r="AB41" i="27" s="1"/>
  <c r="AA42" i="27" s="1"/>
  <c r="Z42" i="26"/>
  <c r="AE12" i="45" l="1"/>
  <c r="AE43" i="45" s="1"/>
  <c r="AE31" i="10"/>
  <c r="AF40" i="45"/>
  <c r="AF31" i="39" s="1"/>
  <c r="AD38" i="23"/>
  <c r="AD38" i="24"/>
  <c r="AD38" i="37"/>
  <c r="AD38" i="22"/>
  <c r="AD37" i="25"/>
  <c r="AD38" i="26"/>
  <c r="AD38" i="27"/>
  <c r="AF31" i="10"/>
  <c r="AC44" i="45"/>
  <c r="AD44" i="45"/>
  <c r="AC10" i="27"/>
  <c r="AC41" i="27" s="1"/>
  <c r="AB42" i="27" s="1"/>
  <c r="AC10" i="26"/>
  <c r="AC41" i="26" s="1"/>
  <c r="AB42" i="26" s="1"/>
  <c r="AC10" i="23"/>
  <c r="AC41" i="23" s="1"/>
  <c r="AC10" i="37"/>
  <c r="AC41" i="37" s="1"/>
  <c r="AB42" i="37" s="1"/>
  <c r="AC10" i="24"/>
  <c r="AC41" i="24" s="1"/>
  <c r="AC34" i="10"/>
  <c r="AC9" i="25"/>
  <c r="AC40" i="25" s="1"/>
  <c r="AC10" i="22"/>
  <c r="AC41" i="22" s="1"/>
  <c r="AB42" i="22" s="1"/>
  <c r="AE3" i="39"/>
  <c r="AE43" i="38"/>
  <c r="AD10" i="23"/>
  <c r="AD10" i="24"/>
  <c r="AD10" i="37"/>
  <c r="AD41" i="37" s="1"/>
  <c r="AD34" i="10"/>
  <c r="AD10" i="27"/>
  <c r="AD41" i="27" s="1"/>
  <c r="AC42" i="27" s="1"/>
  <c r="AD9" i="25"/>
  <c r="AD40" i="25" s="1"/>
  <c r="AD10" i="26"/>
  <c r="AD41" i="26" s="1"/>
  <c r="AD10" i="22"/>
  <c r="AD41" i="22" s="1"/>
  <c r="AF12" i="38"/>
  <c r="AC44" i="38"/>
  <c r="AD44" i="38"/>
  <c r="AD34" i="39"/>
  <c r="AF38" i="24" l="1"/>
  <c r="AF38" i="26"/>
  <c r="AF38" i="37"/>
  <c r="AF38" i="22"/>
  <c r="AF38" i="27"/>
  <c r="AF37" i="25"/>
  <c r="AF38" i="23"/>
  <c r="AG40" i="45"/>
  <c r="AG31" i="39" s="1"/>
  <c r="AG31" i="10" s="1"/>
  <c r="AD41" i="24"/>
  <c r="AE38" i="24"/>
  <c r="AE38" i="26"/>
  <c r="AE38" i="37"/>
  <c r="AE37" i="25"/>
  <c r="AE38" i="23"/>
  <c r="AE38" i="27"/>
  <c r="AE38" i="22"/>
  <c r="AD41" i="23"/>
  <c r="AF12" i="45"/>
  <c r="AF43" i="45" s="1"/>
  <c r="AC42" i="37"/>
  <c r="AC41" i="25"/>
  <c r="AF3" i="39"/>
  <c r="AF3" i="10" s="1"/>
  <c r="AF43" i="38"/>
  <c r="AE44" i="38" s="1"/>
  <c r="AB42" i="24"/>
  <c r="AC42" i="24"/>
  <c r="AG12" i="38"/>
  <c r="AC42" i="22"/>
  <c r="AB42" i="23"/>
  <c r="AC42" i="23"/>
  <c r="AC42" i="26"/>
  <c r="AE3" i="10"/>
  <c r="AE34" i="39"/>
  <c r="AB41" i="25"/>
  <c r="AG38" i="22" l="1"/>
  <c r="AG38" i="27"/>
  <c r="AG38" i="24"/>
  <c r="AG38" i="37"/>
  <c r="AG37" i="25"/>
  <c r="AG38" i="23"/>
  <c r="AG38" i="26"/>
  <c r="AE44" i="45"/>
  <c r="AG12" i="45"/>
  <c r="AG43" i="45" s="1"/>
  <c r="AH40" i="45"/>
  <c r="AH31" i="39" s="1"/>
  <c r="AG3" i="39"/>
  <c r="AG43" i="38"/>
  <c r="AF44" i="38" s="1"/>
  <c r="AH12" i="38"/>
  <c r="AE10" i="27"/>
  <c r="AE41" i="27" s="1"/>
  <c r="AE10" i="24"/>
  <c r="AE41" i="24" s="1"/>
  <c r="AE9" i="25"/>
  <c r="AE40" i="25" s="1"/>
  <c r="AE34" i="10"/>
  <c r="AE10" i="22"/>
  <c r="AE41" i="22" s="1"/>
  <c r="AD42" i="22" s="1"/>
  <c r="AE10" i="23"/>
  <c r="AE41" i="23" s="1"/>
  <c r="AE10" i="37"/>
  <c r="AE41" i="37" s="1"/>
  <c r="AD42" i="37" s="1"/>
  <c r="AE10" i="26"/>
  <c r="AE41" i="26" s="1"/>
  <c r="AD42" i="26" s="1"/>
  <c r="AF34" i="10"/>
  <c r="AF9" i="25"/>
  <c r="AF40" i="25" s="1"/>
  <c r="AF10" i="26"/>
  <c r="AF41" i="26" s="1"/>
  <c r="AF10" i="27"/>
  <c r="AF41" i="27" s="1"/>
  <c r="AF10" i="23"/>
  <c r="AF41" i="23" s="1"/>
  <c r="AF10" i="24"/>
  <c r="AF41" i="24" s="1"/>
  <c r="AF10" i="37"/>
  <c r="AF41" i="37" s="1"/>
  <c r="AE42" i="37" s="1"/>
  <c r="AF10" i="22"/>
  <c r="AF41" i="22" s="1"/>
  <c r="AF34" i="39"/>
  <c r="AH31" i="10" l="1"/>
  <c r="AI40" i="45"/>
  <c r="AI31" i="39" s="1"/>
  <c r="AI31" i="10" s="1"/>
  <c r="AH12" i="45"/>
  <c r="AH43" i="45" s="1"/>
  <c r="AG44" i="45" s="1"/>
  <c r="AE42" i="22"/>
  <c r="AF44" i="45"/>
  <c r="AE42" i="26"/>
  <c r="AE41" i="25"/>
  <c r="AD41" i="25"/>
  <c r="AD42" i="24"/>
  <c r="AE42" i="24"/>
  <c r="AD42" i="27"/>
  <c r="AE42" i="27"/>
  <c r="AH43" i="38"/>
  <c r="AG44" i="38" s="1"/>
  <c r="AI12" i="38"/>
  <c r="AD42" i="23"/>
  <c r="AE42" i="23"/>
  <c r="AG34" i="39"/>
  <c r="AG3" i="10"/>
  <c r="AI12" i="45" l="1"/>
  <c r="AI43" i="45" s="1"/>
  <c r="AI38" i="27"/>
  <c r="AI38" i="23"/>
  <c r="AI38" i="22"/>
  <c r="AI38" i="37"/>
  <c r="AI38" i="24"/>
  <c r="AI37" i="25"/>
  <c r="AI38" i="26"/>
  <c r="AJ40" i="45"/>
  <c r="AJ31" i="39" s="1"/>
  <c r="AJ31" i="10" s="1"/>
  <c r="AH3" i="39"/>
  <c r="AH34" i="39" s="1"/>
  <c r="AH38" i="26"/>
  <c r="AH38" i="37"/>
  <c r="AH37" i="25"/>
  <c r="AH38" i="27"/>
  <c r="AH38" i="23"/>
  <c r="AH38" i="24"/>
  <c r="AH38" i="22"/>
  <c r="AI3" i="39"/>
  <c r="AI3" i="10" s="1"/>
  <c r="AI43" i="38"/>
  <c r="AH44" i="38" s="1"/>
  <c r="AJ12" i="38"/>
  <c r="AG34" i="10"/>
  <c r="AG10" i="27"/>
  <c r="AG41" i="27" s="1"/>
  <c r="AG10" i="23"/>
  <c r="AG41" i="23" s="1"/>
  <c r="AF42" i="23" s="1"/>
  <c r="AG10" i="22"/>
  <c r="AG41" i="22" s="1"/>
  <c r="AG10" i="24"/>
  <c r="AG41" i="24" s="1"/>
  <c r="AF42" i="24" s="1"/>
  <c r="AG10" i="37"/>
  <c r="AG41" i="37" s="1"/>
  <c r="AF42" i="37" s="1"/>
  <c r="AG10" i="26"/>
  <c r="AG41" i="26" s="1"/>
  <c r="AG9" i="25"/>
  <c r="AG40" i="25" s="1"/>
  <c r="AH3" i="10"/>
  <c r="AJ38" i="24" l="1"/>
  <c r="AJ37" i="25"/>
  <c r="AJ38" i="26"/>
  <c r="AJ38" i="23"/>
  <c r="AJ38" i="37"/>
  <c r="AJ38" i="27"/>
  <c r="AJ38" i="22"/>
  <c r="AK40" i="45"/>
  <c r="AK31" i="39" s="1"/>
  <c r="AK31" i="10" s="1"/>
  <c r="AH44" i="45"/>
  <c r="AJ12" i="45"/>
  <c r="AJ43" i="45" s="1"/>
  <c r="AI44" i="45" s="1"/>
  <c r="AF42" i="27"/>
  <c r="AH9" i="25"/>
  <c r="AH40" i="25" s="1"/>
  <c r="AG41" i="25" s="1"/>
  <c r="AH10" i="23"/>
  <c r="AH41" i="23" s="1"/>
  <c r="AH34" i="10"/>
  <c r="AH10" i="26"/>
  <c r="AH41" i="26" s="1"/>
  <c r="AG42" i="26" s="1"/>
  <c r="AH10" i="27"/>
  <c r="AH41" i="27" s="1"/>
  <c r="AH10" i="22"/>
  <c r="AH41" i="22" s="1"/>
  <c r="AH10" i="24"/>
  <c r="AH41" i="24" s="1"/>
  <c r="AG42" i="24" s="1"/>
  <c r="AH10" i="37"/>
  <c r="AH41" i="37" s="1"/>
  <c r="AG42" i="37" s="1"/>
  <c r="AF41" i="25"/>
  <c r="AJ43" i="38"/>
  <c r="AI44" i="38" s="1"/>
  <c r="AI10" i="22"/>
  <c r="AI41" i="22" s="1"/>
  <c r="AI9" i="25"/>
  <c r="AI40" i="25" s="1"/>
  <c r="AI34" i="10"/>
  <c r="AI10" i="23"/>
  <c r="AI41" i="23" s="1"/>
  <c r="AI10" i="37"/>
  <c r="AI41" i="37" s="1"/>
  <c r="AH42" i="37" s="1"/>
  <c r="AI10" i="26"/>
  <c r="AI41" i="26" s="1"/>
  <c r="AI10" i="27"/>
  <c r="AI41" i="27" s="1"/>
  <c r="AI10" i="24"/>
  <c r="AI41" i="24" s="1"/>
  <c r="AF42" i="26"/>
  <c r="AK12" i="38"/>
  <c r="AF42" i="22"/>
  <c r="AI34" i="39"/>
  <c r="AK12" i="45" l="1"/>
  <c r="AK43" i="45" s="1"/>
  <c r="AK38" i="27"/>
  <c r="AK38" i="37"/>
  <c r="AK38" i="24"/>
  <c r="AK38" i="23"/>
  <c r="AK37" i="25"/>
  <c r="AK38" i="22"/>
  <c r="AK38" i="26"/>
  <c r="AJ3" i="39"/>
  <c r="AJ3" i="10" s="1"/>
  <c r="AL40" i="45"/>
  <c r="AL31" i="39" s="1"/>
  <c r="AH42" i="27"/>
  <c r="AH42" i="24"/>
  <c r="AH42" i="22"/>
  <c r="AJ34" i="39"/>
  <c r="AH42" i="26"/>
  <c r="AG42" i="23"/>
  <c r="AH42" i="23"/>
  <c r="AH41" i="25"/>
  <c r="AG42" i="22"/>
  <c r="AK3" i="39"/>
  <c r="AK43" i="38"/>
  <c r="AJ44" i="38" s="1"/>
  <c r="AL12" i="38"/>
  <c r="AG42" i="27"/>
  <c r="AL31" i="10" l="1"/>
  <c r="AJ44" i="45"/>
  <c r="AM40" i="45"/>
  <c r="AM31" i="39" s="1"/>
  <c r="AL12" i="45"/>
  <c r="AL43" i="45" s="1"/>
  <c r="AK44" i="45" s="1"/>
  <c r="AL43" i="38"/>
  <c r="AK34" i="39"/>
  <c r="AK3" i="10"/>
  <c r="AM12" i="38"/>
  <c r="AJ10" i="23"/>
  <c r="AJ41" i="23" s="1"/>
  <c r="AI42" i="23" s="1"/>
  <c r="AJ10" i="27"/>
  <c r="AJ41" i="27" s="1"/>
  <c r="AJ10" i="24"/>
  <c r="AJ41" i="24" s="1"/>
  <c r="AI42" i="24" s="1"/>
  <c r="AJ9" i="25"/>
  <c r="AJ40" i="25" s="1"/>
  <c r="AJ10" i="37"/>
  <c r="AJ41" i="37" s="1"/>
  <c r="AI42" i="37" s="1"/>
  <c r="AJ10" i="22"/>
  <c r="AJ41" i="22" s="1"/>
  <c r="AI42" i="22" s="1"/>
  <c r="AJ10" i="26"/>
  <c r="AJ41" i="26" s="1"/>
  <c r="AI42" i="26" s="1"/>
  <c r="AJ34" i="10"/>
  <c r="AM12" i="45" l="1"/>
  <c r="AM43" i="45" s="1"/>
  <c r="AM31" i="10"/>
  <c r="AN40" i="45"/>
  <c r="AN31" i="39" s="1"/>
  <c r="AN31" i="10" s="1"/>
  <c r="AL38" i="27"/>
  <c r="AL38" i="23"/>
  <c r="AL37" i="25"/>
  <c r="AL38" i="26"/>
  <c r="AL38" i="24"/>
  <c r="AL38" i="22"/>
  <c r="AL38" i="37"/>
  <c r="AL3" i="39"/>
  <c r="AL3" i="10" s="1"/>
  <c r="AL34" i="10" s="1"/>
  <c r="AN12" i="38"/>
  <c r="AK10" i="23"/>
  <c r="AK41" i="23" s="1"/>
  <c r="AJ42" i="23" s="1"/>
  <c r="AK10" i="24"/>
  <c r="AK41" i="24" s="1"/>
  <c r="AJ42" i="24" s="1"/>
  <c r="AK10" i="22"/>
  <c r="AK41" i="22" s="1"/>
  <c r="AJ42" i="22" s="1"/>
  <c r="AK10" i="37"/>
  <c r="AK41" i="37" s="1"/>
  <c r="AJ42" i="37" s="1"/>
  <c r="AK10" i="26"/>
  <c r="AK41" i="26" s="1"/>
  <c r="AJ42" i="26" s="1"/>
  <c r="AK9" i="25"/>
  <c r="AK40" i="25" s="1"/>
  <c r="AK34" i="10"/>
  <c r="AK10" i="27"/>
  <c r="AK41" i="27" s="1"/>
  <c r="AL10" i="26"/>
  <c r="AL41" i="26" s="1"/>
  <c r="AM3" i="39"/>
  <c r="AM43" i="38"/>
  <c r="AI41" i="25"/>
  <c r="AK44" i="38"/>
  <c r="AL44" i="38"/>
  <c r="AJ42" i="27"/>
  <c r="AI42" i="27"/>
  <c r="AN38" i="22" l="1"/>
  <c r="AN38" i="26"/>
  <c r="AN38" i="24"/>
  <c r="AN37" i="25"/>
  <c r="AN38" i="37"/>
  <c r="AN38" i="27"/>
  <c r="AN38" i="23"/>
  <c r="AL9" i="25"/>
  <c r="AL40" i="25" s="1"/>
  <c r="AK41" i="25" s="1"/>
  <c r="AL10" i="23"/>
  <c r="AL41" i="23" s="1"/>
  <c r="AK42" i="23" s="1"/>
  <c r="AO40" i="45"/>
  <c r="AO31" i="39" s="1"/>
  <c r="AL10" i="22"/>
  <c r="AL41" i="22" s="1"/>
  <c r="AK42" i="22" s="1"/>
  <c r="AL10" i="37"/>
  <c r="AL41" i="37" s="1"/>
  <c r="AO31" i="10"/>
  <c r="AM37" i="25"/>
  <c r="AM38" i="23"/>
  <c r="AM38" i="22"/>
  <c r="AM38" i="24"/>
  <c r="AM38" i="37"/>
  <c r="AM38" i="26"/>
  <c r="AM38" i="27"/>
  <c r="AL44" i="45"/>
  <c r="AM44" i="45"/>
  <c r="AL10" i="24"/>
  <c r="AL41" i="24" s="1"/>
  <c r="AL10" i="27"/>
  <c r="AL41" i="27" s="1"/>
  <c r="AL34" i="39"/>
  <c r="AN12" i="45"/>
  <c r="AN43" i="45" s="1"/>
  <c r="AK42" i="24"/>
  <c r="AK42" i="37"/>
  <c r="AM34" i="39"/>
  <c r="AM3" i="10"/>
  <c r="AK42" i="27"/>
  <c r="AN3" i="39"/>
  <c r="AN43" i="38"/>
  <c r="AM44" i="38" s="1"/>
  <c r="AJ41" i="25"/>
  <c r="AK42" i="26"/>
  <c r="AO12" i="38"/>
  <c r="AO38" i="27" l="1"/>
  <c r="AO38" i="22"/>
  <c r="AO38" i="37"/>
  <c r="AO38" i="24"/>
  <c r="AO37" i="25"/>
  <c r="AO38" i="23"/>
  <c r="AO38" i="26"/>
  <c r="AO12" i="45"/>
  <c r="AO43" i="45" s="1"/>
  <c r="AN44" i="45" s="1"/>
  <c r="AP40" i="45"/>
  <c r="AP31" i="39" s="1"/>
  <c r="AP31" i="10" s="1"/>
  <c r="AM9" i="25"/>
  <c r="AM40" i="25" s="1"/>
  <c r="AM10" i="26"/>
  <c r="AM41" i="26" s="1"/>
  <c r="AL42" i="26" s="1"/>
  <c r="AM10" i="24"/>
  <c r="AM41" i="24" s="1"/>
  <c r="AL42" i="24" s="1"/>
  <c r="AM34" i="10"/>
  <c r="AM10" i="23"/>
  <c r="AM41" i="23" s="1"/>
  <c r="AM10" i="27"/>
  <c r="AM41" i="27" s="1"/>
  <c r="AM10" i="22"/>
  <c r="AM41" i="22" s="1"/>
  <c r="AM10" i="37"/>
  <c r="AM41" i="37" s="1"/>
  <c r="AL42" i="37" s="1"/>
  <c r="AN34" i="39"/>
  <c r="AN3" i="10"/>
  <c r="AO3" i="39"/>
  <c r="AO3" i="10" s="1"/>
  <c r="AO43" i="38"/>
  <c r="AP12" i="38"/>
  <c r="AP38" i="27" l="1"/>
  <c r="AP37" i="25"/>
  <c r="AP38" i="23"/>
  <c r="AP38" i="26"/>
  <c r="AP38" i="37"/>
  <c r="AP38" i="22"/>
  <c r="AP38" i="24"/>
  <c r="AQ40" i="45"/>
  <c r="AQ31" i="39" s="1"/>
  <c r="AP12" i="45"/>
  <c r="AP43" i="45" s="1"/>
  <c r="AQ31" i="10"/>
  <c r="AL42" i="27"/>
  <c r="AO10" i="37"/>
  <c r="AO41" i="37" s="1"/>
  <c r="AO9" i="25"/>
  <c r="AO40" i="25" s="1"/>
  <c r="AO10" i="26"/>
  <c r="AO41" i="26" s="1"/>
  <c r="AO10" i="22"/>
  <c r="AO41" i="22" s="1"/>
  <c r="AO34" i="10"/>
  <c r="AO10" i="24"/>
  <c r="AO41" i="24" s="1"/>
  <c r="AO10" i="27"/>
  <c r="AO41" i="27" s="1"/>
  <c r="AO10" i="23"/>
  <c r="AO41" i="23" s="1"/>
  <c r="AO42" i="23" s="1"/>
  <c r="AQ12" i="38"/>
  <c r="AP43" i="38"/>
  <c r="AO44" i="38" s="1"/>
  <c r="AL42" i="22"/>
  <c r="AO34" i="39"/>
  <c r="AL42" i="23"/>
  <c r="AN10" i="26"/>
  <c r="AN41" i="26" s="1"/>
  <c r="AM42" i="26" s="1"/>
  <c r="AN10" i="27"/>
  <c r="AN41" i="27" s="1"/>
  <c r="AN10" i="23"/>
  <c r="AN41" i="23" s="1"/>
  <c r="AM42" i="23" s="1"/>
  <c r="AN10" i="24"/>
  <c r="AN41" i="24" s="1"/>
  <c r="AM42" i="24" s="1"/>
  <c r="AN34" i="10"/>
  <c r="AN10" i="22"/>
  <c r="AN41" i="22" s="1"/>
  <c r="AN10" i="37"/>
  <c r="AN41" i="37" s="1"/>
  <c r="AM42" i="37" s="1"/>
  <c r="AN9" i="25"/>
  <c r="AN40" i="25" s="1"/>
  <c r="AM41" i="25" s="1"/>
  <c r="AN44" i="38"/>
  <c r="AL41" i="25"/>
  <c r="AQ38" i="27" l="1"/>
  <c r="AQ38" i="23"/>
  <c r="AQ38" i="22"/>
  <c r="AQ37" i="25"/>
  <c r="AQ38" i="24"/>
  <c r="AQ38" i="26"/>
  <c r="AQ38" i="37"/>
  <c r="AO44" i="45"/>
  <c r="AQ12" i="45"/>
  <c r="AQ43" i="45" s="1"/>
  <c r="AP44" i="45" s="1"/>
  <c r="AP3" i="39"/>
  <c r="AP34" i="39" s="1"/>
  <c r="AR40" i="45"/>
  <c r="AR31" i="39" s="1"/>
  <c r="AN42" i="27"/>
  <c r="AN41" i="25"/>
  <c r="AN42" i="26"/>
  <c r="AQ3" i="39"/>
  <c r="AQ43" i="38"/>
  <c r="AP44" i="38" s="1"/>
  <c r="AN42" i="22"/>
  <c r="AP3" i="10"/>
  <c r="AR12" i="38"/>
  <c r="AN42" i="37"/>
  <c r="AM42" i="27"/>
  <c r="AN42" i="23"/>
  <c r="AM42" i="22"/>
  <c r="AN42" i="24"/>
  <c r="AR12" i="45" l="1"/>
  <c r="AR43" i="45" s="1"/>
  <c r="AQ44" i="45" s="1"/>
  <c r="AR31" i="10"/>
  <c r="AS40" i="45"/>
  <c r="AS31" i="39" s="1"/>
  <c r="AQ34" i="39"/>
  <c r="AS12" i="38"/>
  <c r="AQ3" i="10"/>
  <c r="AR3" i="39"/>
  <c r="AR43" i="38"/>
  <c r="AQ44" i="38" s="1"/>
  <c r="AP10" i="23"/>
  <c r="AP10" i="22"/>
  <c r="AP41" i="22" s="1"/>
  <c r="AP9" i="25"/>
  <c r="AP40" i="25" s="1"/>
  <c r="AP10" i="24"/>
  <c r="AP41" i="24" s="1"/>
  <c r="AO42" i="24" s="1"/>
  <c r="AP10" i="26"/>
  <c r="AP41" i="26" s="1"/>
  <c r="AO42" i="26" s="1"/>
  <c r="AP10" i="37"/>
  <c r="AP41" i="37" s="1"/>
  <c r="AO42" i="37" s="1"/>
  <c r="AP10" i="27"/>
  <c r="AP41" i="27" s="1"/>
  <c r="AP34" i="10"/>
  <c r="AT40" i="45" l="1"/>
  <c r="AT31" i="39" s="1"/>
  <c r="AR38" i="27"/>
  <c r="AR38" i="24"/>
  <c r="AR38" i="23"/>
  <c r="AR38" i="22"/>
  <c r="AR37" i="25"/>
  <c r="AR38" i="26"/>
  <c r="AR38" i="37"/>
  <c r="AS31" i="10"/>
  <c r="AS12" i="45"/>
  <c r="AS43" i="45" s="1"/>
  <c r="AR44" i="45" s="1"/>
  <c r="AT12" i="38"/>
  <c r="AQ9" i="25"/>
  <c r="AQ40" i="25" s="1"/>
  <c r="AP41" i="25" s="1"/>
  <c r="AQ10" i="23"/>
  <c r="AQ34" i="10"/>
  <c r="AQ10" i="22"/>
  <c r="AQ41" i="22" s="1"/>
  <c r="AP42" i="22" s="1"/>
  <c r="AQ10" i="26"/>
  <c r="AQ41" i="26" s="1"/>
  <c r="AP42" i="26" s="1"/>
  <c r="AQ10" i="24"/>
  <c r="AQ41" i="24" s="1"/>
  <c r="AP42" i="24" s="1"/>
  <c r="AQ10" i="27"/>
  <c r="AQ41" i="27" s="1"/>
  <c r="AP42" i="27" s="1"/>
  <c r="AQ10" i="37"/>
  <c r="AQ41" i="37" s="1"/>
  <c r="AP42" i="37" s="1"/>
  <c r="AO42" i="27"/>
  <c r="AO42" i="22"/>
  <c r="AR34" i="39"/>
  <c r="AS43" i="38"/>
  <c r="AR44" i="38" s="1"/>
  <c r="AO41" i="25"/>
  <c r="AR3" i="10"/>
  <c r="AS3" i="39" l="1"/>
  <c r="AT12" i="45"/>
  <c r="AT43" i="45" s="1"/>
  <c r="AS44" i="45" s="1"/>
  <c r="AU40" i="45"/>
  <c r="AU31" i="39" s="1"/>
  <c r="AS38" i="37"/>
  <c r="AS38" i="24"/>
  <c r="AS38" i="27"/>
  <c r="AS38" i="22"/>
  <c r="AS38" i="26"/>
  <c r="AS38" i="23"/>
  <c r="AS37" i="25"/>
  <c r="AT31" i="10"/>
  <c r="AR34" i="10"/>
  <c r="AR10" i="22"/>
  <c r="AR41" i="22" s="1"/>
  <c r="AQ42" i="22" s="1"/>
  <c r="AR10" i="37"/>
  <c r="AR41" i="37" s="1"/>
  <c r="AQ42" i="37" s="1"/>
  <c r="AR10" i="26"/>
  <c r="AR41" i="26" s="1"/>
  <c r="AQ42" i="26" s="1"/>
  <c r="AR9" i="25"/>
  <c r="AR40" i="25" s="1"/>
  <c r="AR10" i="27"/>
  <c r="AR41" i="27" s="1"/>
  <c r="AR10" i="23"/>
  <c r="AR10" i="24"/>
  <c r="AR41" i="24" s="1"/>
  <c r="AT3" i="39"/>
  <c r="AT3" i="10" s="1"/>
  <c r="AT43" i="38"/>
  <c r="AS44" i="38" s="1"/>
  <c r="AS34" i="39"/>
  <c r="AU12" i="38"/>
  <c r="AS3" i="10"/>
  <c r="AV40" i="45" l="1"/>
  <c r="AV31" i="39" s="1"/>
  <c r="AU31" i="10"/>
  <c r="AU12" i="45"/>
  <c r="AU43" i="45" s="1"/>
  <c r="AT44" i="45" s="1"/>
  <c r="AT38" i="37"/>
  <c r="AT38" i="27"/>
  <c r="AT38" i="23"/>
  <c r="AT37" i="25"/>
  <c r="AT38" i="24"/>
  <c r="AT38" i="22"/>
  <c r="AT38" i="26"/>
  <c r="AQ42" i="27"/>
  <c r="AU3" i="39"/>
  <c r="AU43" i="38"/>
  <c r="AT44" i="38" s="1"/>
  <c r="AT34" i="10"/>
  <c r="AT10" i="22"/>
  <c r="AT9" i="25"/>
  <c r="AT40" i="25" s="1"/>
  <c r="AT10" i="26"/>
  <c r="AT10" i="23"/>
  <c r="AT10" i="24"/>
  <c r="AT41" i="24" s="1"/>
  <c r="AT10" i="27"/>
  <c r="AT41" i="27" s="1"/>
  <c r="AT10" i="37"/>
  <c r="AV12" i="38"/>
  <c r="AT34" i="39"/>
  <c r="AS10" i="27"/>
  <c r="AS41" i="27" s="1"/>
  <c r="AR42" i="27" s="1"/>
  <c r="AS10" i="23"/>
  <c r="AS10" i="24"/>
  <c r="AS41" i="24" s="1"/>
  <c r="AS10" i="37"/>
  <c r="AS41" i="37" s="1"/>
  <c r="AR42" i="37" s="1"/>
  <c r="AS10" i="26"/>
  <c r="AS41" i="26" s="1"/>
  <c r="AR42" i="26" s="1"/>
  <c r="AS9" i="25"/>
  <c r="AS40" i="25" s="1"/>
  <c r="AS34" i="10"/>
  <c r="AS10" i="22"/>
  <c r="AS41" i="22" s="1"/>
  <c r="AQ42" i="24"/>
  <c r="AQ41" i="25"/>
  <c r="AV12" i="45" l="1"/>
  <c r="AV43" i="45" s="1"/>
  <c r="AT41" i="26"/>
  <c r="AU38" i="27"/>
  <c r="AU38" i="22"/>
  <c r="AU38" i="24"/>
  <c r="AU37" i="25"/>
  <c r="AU38" i="23"/>
  <c r="AU38" i="37"/>
  <c r="AU38" i="26"/>
  <c r="AS42" i="24"/>
  <c r="AT41" i="22"/>
  <c r="AW40" i="45"/>
  <c r="AW31" i="39" s="1"/>
  <c r="AW31" i="10" s="1"/>
  <c r="AT41" i="37"/>
  <c r="AV31" i="10"/>
  <c r="AS42" i="37"/>
  <c r="AS41" i="25"/>
  <c r="AW12" i="38"/>
  <c r="AU34" i="39"/>
  <c r="AU3" i="10"/>
  <c r="AR42" i="24"/>
  <c r="AS42" i="27"/>
  <c r="AV3" i="39"/>
  <c r="AV3" i="10" s="1"/>
  <c r="AV43" i="38"/>
  <c r="AR42" i="22"/>
  <c r="AS42" i="22"/>
  <c r="AS42" i="26"/>
  <c r="AR41" i="25"/>
  <c r="AW37" i="25" l="1"/>
  <c r="AW38" i="26"/>
  <c r="AW38" i="37"/>
  <c r="AW38" i="23"/>
  <c r="AW38" i="22"/>
  <c r="AW38" i="24"/>
  <c r="AW38" i="27"/>
  <c r="AX40" i="45"/>
  <c r="AX31" i="39" s="1"/>
  <c r="AU44" i="45"/>
  <c r="AX31" i="10"/>
  <c r="AV38" i="24"/>
  <c r="AV37" i="25"/>
  <c r="AV38" i="26"/>
  <c r="AV38" i="37"/>
  <c r="AV38" i="27"/>
  <c r="AV38" i="23"/>
  <c r="AV38" i="22"/>
  <c r="AW12" i="45"/>
  <c r="AW43" i="45" s="1"/>
  <c r="AV44" i="45" s="1"/>
  <c r="AU9" i="25"/>
  <c r="AU40" i="25" s="1"/>
  <c r="AU10" i="23"/>
  <c r="AU10" i="27"/>
  <c r="AU41" i="27" s="1"/>
  <c r="AU10" i="24"/>
  <c r="AU41" i="24" s="1"/>
  <c r="AT42" i="24" s="1"/>
  <c r="AU10" i="22"/>
  <c r="AU41" i="22" s="1"/>
  <c r="AU10" i="26"/>
  <c r="AU41" i="26" s="1"/>
  <c r="AT42" i="26" s="1"/>
  <c r="AU10" i="37"/>
  <c r="AU41" i="37" s="1"/>
  <c r="AT42" i="37" s="1"/>
  <c r="AU34" i="10"/>
  <c r="AW3" i="39"/>
  <c r="AW43" i="38"/>
  <c r="AV10" i="26"/>
  <c r="AV41" i="26" s="1"/>
  <c r="AV10" i="22"/>
  <c r="AV41" i="22" s="1"/>
  <c r="AV10" i="27"/>
  <c r="AV41" i="27" s="1"/>
  <c r="AV10" i="23"/>
  <c r="AV10" i="37"/>
  <c r="AV10" i="24"/>
  <c r="AV41" i="24" s="1"/>
  <c r="AV9" i="25"/>
  <c r="AV40" i="25" s="1"/>
  <c r="AV34" i="10"/>
  <c r="AU44" i="38"/>
  <c r="AV44" i="38"/>
  <c r="AX12" i="38"/>
  <c r="AV34" i="39"/>
  <c r="AZ40" i="45" l="1"/>
  <c r="AZ31" i="39" s="1"/>
  <c r="AY40" i="45"/>
  <c r="AY31" i="39" s="1"/>
  <c r="AY31" i="10" s="1"/>
  <c r="AX12" i="45"/>
  <c r="AX43" i="45" s="1"/>
  <c r="AW44" i="45" s="1"/>
  <c r="AX38" i="24"/>
  <c r="AX38" i="23"/>
  <c r="AX38" i="22"/>
  <c r="AX37" i="25"/>
  <c r="AX38" i="26"/>
  <c r="AX38" i="37"/>
  <c r="AX38" i="27"/>
  <c r="AV41" i="37"/>
  <c r="AZ31" i="10"/>
  <c r="AU42" i="37"/>
  <c r="AT42" i="22"/>
  <c r="AU42" i="22"/>
  <c r="AZ12" i="38"/>
  <c r="AY12" i="38"/>
  <c r="AT42" i="27"/>
  <c r="AU42" i="27"/>
  <c r="AU42" i="26"/>
  <c r="AU42" i="24"/>
  <c r="AX3" i="39"/>
  <c r="AX43" i="38"/>
  <c r="AW44" i="38" s="1"/>
  <c r="AW34" i="39"/>
  <c r="AW3" i="10"/>
  <c r="AU41" i="25"/>
  <c r="AT41" i="25"/>
  <c r="AZ38" i="23" l="1"/>
  <c r="AZ38" i="22"/>
  <c r="AZ38" i="24"/>
  <c r="AZ37" i="25"/>
  <c r="AZ38" i="37"/>
  <c r="AZ38" i="26"/>
  <c r="AZ38" i="27"/>
  <c r="AZ12" i="45"/>
  <c r="AZ43" i="45" s="1"/>
  <c r="AY44" i="45" s="1"/>
  <c r="AY12" i="45"/>
  <c r="AY43" i="45" s="1"/>
  <c r="AX44" i="45" s="1"/>
  <c r="AY37" i="25"/>
  <c r="AY38" i="26"/>
  <c r="AY38" i="37"/>
  <c r="AY38" i="27"/>
  <c r="AY38" i="23"/>
  <c r="AY38" i="22"/>
  <c r="AY38" i="24"/>
  <c r="AY3" i="39"/>
  <c r="AY43" i="38"/>
  <c r="AW10" i="24"/>
  <c r="AW41" i="24" s="1"/>
  <c r="AW10" i="22"/>
  <c r="AW41" i="22" s="1"/>
  <c r="AV42" i="22" s="1"/>
  <c r="AW34" i="10"/>
  <c r="AW10" i="27"/>
  <c r="AW41" i="27" s="1"/>
  <c r="AV42" i="27" s="1"/>
  <c r="AW10" i="26"/>
  <c r="AW41" i="26" s="1"/>
  <c r="AW10" i="37"/>
  <c r="AW41" i="37" s="1"/>
  <c r="AV42" i="37" s="1"/>
  <c r="AW9" i="25"/>
  <c r="AW40" i="25" s="1"/>
  <c r="AW10" i="23"/>
  <c r="AZ43" i="38"/>
  <c r="AZ44" i="38" s="1"/>
  <c r="AX34" i="39"/>
  <c r="AX3" i="10"/>
  <c r="AZ3" i="39" l="1"/>
  <c r="AZ34" i="39" s="1"/>
  <c r="AX10" i="24"/>
  <c r="AX41" i="24" s="1"/>
  <c r="AW42" i="24" s="1"/>
  <c r="AX10" i="22"/>
  <c r="AX41" i="22" s="1"/>
  <c r="AX10" i="23"/>
  <c r="AX10" i="26"/>
  <c r="AX41" i="26" s="1"/>
  <c r="AX9" i="25"/>
  <c r="AX40" i="25" s="1"/>
  <c r="AW41" i="25" s="1"/>
  <c r="AX10" i="37"/>
  <c r="AX41" i="37" s="1"/>
  <c r="AX34" i="10"/>
  <c r="AX10" i="27"/>
  <c r="AX41" i="27" s="1"/>
  <c r="AV42" i="26"/>
  <c r="AV42" i="24"/>
  <c r="AX44" i="38"/>
  <c r="AY44" i="38"/>
  <c r="AV41" i="25"/>
  <c r="AY34" i="39"/>
  <c r="AY3" i="10"/>
  <c r="AZ3" i="10" l="1"/>
  <c r="AW42" i="27"/>
  <c r="AW42" i="37"/>
  <c r="AY10" i="26"/>
  <c r="AY41" i="26" s="1"/>
  <c r="AY10" i="27"/>
  <c r="AY41" i="27" s="1"/>
  <c r="AY10" i="23"/>
  <c r="AY10" i="22"/>
  <c r="AY41" i="22" s="1"/>
  <c r="AY9" i="25"/>
  <c r="AY40" i="25" s="1"/>
  <c r="AY34" i="10"/>
  <c r="AY10" i="24"/>
  <c r="AY41" i="24" s="1"/>
  <c r="AY10" i="37"/>
  <c r="AY41" i="37" s="1"/>
  <c r="AW42" i="22"/>
  <c r="AW42" i="26"/>
  <c r="AY42" i="27" l="1"/>
  <c r="AY42" i="26"/>
  <c r="AZ10" i="22"/>
  <c r="AZ41" i="22" s="1"/>
  <c r="AZ42" i="22" s="1"/>
  <c r="AZ9" i="25"/>
  <c r="AZ40" i="25" s="1"/>
  <c r="AY41" i="25" s="1"/>
  <c r="AZ10" i="37"/>
  <c r="AZ41" i="37" s="1"/>
  <c r="AZ42" i="37" s="1"/>
  <c r="AZ10" i="26"/>
  <c r="AZ41" i="26" s="1"/>
  <c r="AZ10" i="27"/>
  <c r="AZ41" i="27" s="1"/>
  <c r="AZ10" i="23"/>
  <c r="AZ10" i="24"/>
  <c r="AZ41" i="24" s="1"/>
  <c r="AZ42" i="24" s="1"/>
  <c r="AZ34" i="10"/>
  <c r="AX42" i="22"/>
  <c r="AX41" i="25"/>
  <c r="AX42" i="26"/>
  <c r="AX42" i="24"/>
  <c r="AX42" i="37"/>
  <c r="AX42" i="27"/>
  <c r="AY42" i="37" l="1"/>
  <c r="AY42" i="24"/>
  <c r="AY42" i="22"/>
</calcChain>
</file>

<file path=xl/sharedStrings.xml><?xml version="1.0" encoding="utf-8"?>
<sst xmlns="http://schemas.openxmlformats.org/spreadsheetml/2006/main" count="823" uniqueCount="105">
  <si>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</si>
  <si>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</si>
  <si>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</si>
  <si>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</si>
  <si>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</si>
  <si>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</si>
  <si>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</si>
  <si>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</si>
  <si>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</si>
  <si>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</si>
  <si>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</si>
  <si>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</si>
  <si>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</si>
  <si>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</si>
  <si>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</si>
  <si>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</si>
  <si>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</si>
  <si>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</si>
  <si>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</si>
  <si>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</si>
  <si>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</si>
  <si>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</si>
  <si>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</si>
  <si>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</si>
  <si>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</si>
  <si>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</si>
  <si>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</si>
  <si>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</si>
  <si>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</si>
  <si>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</si>
  <si>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</si>
  <si>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SUMME</t>
  </si>
  <si>
    <t>Weighted Average</t>
  </si>
  <si>
    <t>Battery type share NiMH</t>
  </si>
  <si>
    <t>Battery type share lead-acid</t>
  </si>
  <si>
    <t>Battery type share NiCd</t>
  </si>
  <si>
    <t>Battery type share Li-primary</t>
  </si>
  <si>
    <t>Battery type share Li-recharg.</t>
  </si>
  <si>
    <t xml:space="preserve">Battery type share other </t>
  </si>
  <si>
    <t>Battery type share zinc-based</t>
  </si>
  <si>
    <t>NiCd</t>
  </si>
  <si>
    <t>NiMH</t>
  </si>
  <si>
    <t>Li</t>
  </si>
  <si>
    <t>Zn</t>
  </si>
  <si>
    <t>Calculated by market assumption for Zn-batteries</t>
  </si>
  <si>
    <t>Lead?</t>
  </si>
  <si>
    <t>Calculated by market assumption for NiMH-batteries</t>
  </si>
  <si>
    <t>Calculated by market assumption for Li primary-batteries</t>
  </si>
  <si>
    <t>Calculated by market assumption for Li rechargeable-batteries</t>
  </si>
  <si>
    <t>Market assumptions given by RECHARGE:</t>
  </si>
  <si>
    <t>Zn-based batteries</t>
  </si>
  <si>
    <t>NiMH batteries</t>
  </si>
  <si>
    <t>Lead-acid batteries</t>
  </si>
  <si>
    <t>NiCd batteries</t>
  </si>
  <si>
    <t>Li primary batteries</t>
  </si>
  <si>
    <t>Li rechargeable batteries</t>
  </si>
  <si>
    <t>Other batteries</t>
  </si>
  <si>
    <t>Summe</t>
  </si>
  <si>
    <t>Share</t>
  </si>
  <si>
    <t>CAGR (2011-2013)</t>
  </si>
  <si>
    <t>CAGR (2011-2015)</t>
  </si>
  <si>
    <t>From Switzerland Tätigkeitsbericht</t>
  </si>
  <si>
    <t>Average estimate</t>
  </si>
  <si>
    <t>Calculated from POM Eurostat and Collection Rate EPBA</t>
  </si>
  <si>
    <t xml:space="preserve">Portable batt. EU collected (tonnes) </t>
  </si>
  <si>
    <t>Calculated by market assumption for NiCd-batteries</t>
  </si>
  <si>
    <t xml:space="preserve">Portable batt. collected (tonnes) </t>
  </si>
  <si>
    <t>Collected Values</t>
  </si>
  <si>
    <t>CAGR</t>
  </si>
  <si>
    <t>BattKey</t>
  </si>
  <si>
    <t>BattZn</t>
  </si>
  <si>
    <t>battNiMH</t>
  </si>
  <si>
    <t>battPb</t>
  </si>
  <si>
    <t>battKey</t>
  </si>
  <si>
    <t>battNiCd</t>
  </si>
  <si>
    <t>battLiPrimary</t>
  </si>
  <si>
    <t>battLiRechargeable</t>
  </si>
  <si>
    <t>battOther</t>
  </si>
  <si>
    <t>BAU Scenario</t>
  </si>
  <si>
    <t>Future prediction</t>
  </si>
  <si>
    <t xml:space="preserve">Portable batt. EU POM (tonnes) </t>
  </si>
  <si>
    <t>EPBA Report</t>
  </si>
  <si>
    <t xml:space="preserve">Portable batt. POM (tonnes) </t>
  </si>
  <si>
    <t>battZn</t>
  </si>
  <si>
    <t>Share of battery types</t>
  </si>
  <si>
    <t>Historic data</t>
  </si>
  <si>
    <t>Data from Source</t>
  </si>
  <si>
    <t>Future predictions 2% market growth</t>
  </si>
  <si>
    <t>CAGR (2015-2020)</t>
  </si>
  <si>
    <t>Assumptions</t>
  </si>
  <si>
    <t>m</t>
  </si>
  <si>
    <t xml:space="preserve">Future predictions </t>
  </si>
  <si>
    <t>Calculated by market assumption for Lead acid-batteries</t>
  </si>
  <si>
    <t>battCd</t>
  </si>
  <si>
    <t>Calculated by market assumption for other batteries</t>
  </si>
  <si>
    <t>Population</t>
  </si>
  <si>
    <t>Alkaline and Zinc batteries</t>
  </si>
  <si>
    <t>Average</t>
  </si>
  <si>
    <t>Nickel metal hydrid batteries</t>
  </si>
  <si>
    <t>Lead acid batteries</t>
  </si>
  <si>
    <t>Nickel cadmium batteries</t>
  </si>
  <si>
    <t>Lithium-Ion Batteries primary</t>
  </si>
  <si>
    <t>Lithium-Ion Batteries rechargeable</t>
  </si>
  <si>
    <t>Red are estimations</t>
  </si>
  <si>
    <t>Overview: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</si>
</sst>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(* #,##0.00_);_(* \(#,##0.00\);_(* &quot;-&quot;??_);_(@_)"/>
    <numFmt numFmtId="165" formatCode="0.0%"/>
    <numFmt numFmtId="166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charset val="186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6F6F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6F6F6"/>
      </patternFill>
    </fill>
    <fill>
      <patternFill patternType="solid">
        <fgColor theme="5" tint="0.79998168889431442"/>
        <bgColor rgb="FFF6F6F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rgb="FFF6F6F6"/>
      </patternFill>
    </fill>
    <fill>
      <patternFill patternType="solid">
        <fgColor theme="3" tint="0.79998168889431442"/>
        <bgColor rgb="FFF6F6F6"/>
      </patternFill>
    </fill>
    <fill>
      <patternFill patternType="solid">
        <fgColor theme="4" tint="0.59999389629810485"/>
        <bgColor rgb="FFF6F6F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6F6F6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0" fontId="5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10" fontId="0" fillId="0" borderId="0" xfId="2" applyNumberFormat="1" applyFont="1"/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Fill="1"/>
    <xf numFmtId="2" fontId="0" fillId="0" borderId="0" xfId="0" applyNumberFormat="1" applyFill="1" applyBorder="1" applyAlignment="1">
      <alignment horizontal="center"/>
    </xf>
    <xf numFmtId="0" fontId="5" fillId="3" borderId="0" xfId="7" applyFill="1"/>
    <xf numFmtId="9" fontId="0" fillId="0" borderId="0" xfId="2" applyFont="1" applyAlignment="1">
      <alignment horizontal="center"/>
    </xf>
    <xf numFmtId="0" fontId="5" fillId="3" borderId="0" xfId="7" applyFill="1" applyAlignment="1">
      <alignment horizontal="center"/>
    </xf>
    <xf numFmtId="165" fontId="1" fillId="0" borderId="0" xfId="8" applyNumberFormat="1" applyFont="1" applyAlignment="1">
      <alignment horizontal="center"/>
    </xf>
    <xf numFmtId="10" fontId="1" fillId="0" borderId="0" xfId="8" applyNumberFormat="1" applyFont="1" applyAlignment="1">
      <alignment horizontal="center"/>
    </xf>
    <xf numFmtId="10" fontId="5" fillId="0" borderId="0" xfId="7" applyNumberFormat="1" applyAlignment="1">
      <alignment horizontal="center"/>
    </xf>
    <xf numFmtId="0" fontId="0" fillId="4" borderId="0" xfId="0" applyFill="1" applyAlignment="1">
      <alignment horizontal="left"/>
    </xf>
    <xf numFmtId="10" fontId="0" fillId="4" borderId="0" xfId="2" applyNumberFormat="1" applyFont="1" applyFill="1" applyAlignment="1">
      <alignment horizontal="center"/>
    </xf>
    <xf numFmtId="10" fontId="0" fillId="4" borderId="0" xfId="2" applyNumberFormat="1" applyFont="1" applyFill="1" applyBorder="1" applyAlignment="1">
      <alignment horizontal="center"/>
    </xf>
    <xf numFmtId="2" fontId="0" fillId="0" borderId="0" xfId="2" applyNumberFormat="1" applyFont="1" applyAlignment="1">
      <alignment horizontal="center"/>
    </xf>
    <xf numFmtId="9" fontId="0" fillId="0" borderId="0" xfId="2" applyFont="1"/>
    <xf numFmtId="0" fontId="6" fillId="0" borderId="0" xfId="0" applyFont="1" applyAlignment="1">
      <alignment horizontal="right" vertical="center"/>
    </xf>
    <xf numFmtId="0" fontId="5" fillId="0" borderId="0" xfId="7" applyFill="1"/>
    <xf numFmtId="0" fontId="0" fillId="0" borderId="0" xfId="0" applyFill="1" applyAlignment="1">
      <alignment horizontal="left"/>
    </xf>
    <xf numFmtId="9" fontId="0" fillId="0" borderId="0" xfId="0" applyNumberFormat="1"/>
    <xf numFmtId="2" fontId="0" fillId="5" borderId="0" xfId="0" applyNumberFormat="1" applyFill="1" applyAlignment="1">
      <alignment horizontal="center"/>
    </xf>
    <xf numFmtId="0" fontId="0" fillId="5" borderId="0" xfId="0" applyFill="1"/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7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2" fontId="0" fillId="0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0" fontId="0" fillId="2" borderId="0" xfId="2" applyNumberFormat="1" applyFont="1" applyFill="1"/>
    <xf numFmtId="2" fontId="0" fillId="7" borderId="0" xfId="0" applyNumberFormat="1" applyFill="1" applyAlignment="1">
      <alignment horizontal="center"/>
    </xf>
    <xf numFmtId="0" fontId="0" fillId="7" borderId="0" xfId="0" applyFill="1"/>
    <xf numFmtId="10" fontId="0" fillId="7" borderId="0" xfId="2" applyNumberFormat="1" applyFont="1" applyFill="1"/>
    <xf numFmtId="0" fontId="0" fillId="6" borderId="0" xfId="0" applyFill="1"/>
    <xf numFmtId="0" fontId="0" fillId="8" borderId="0" xfId="0" applyFill="1"/>
    <xf numFmtId="10" fontId="0" fillId="8" borderId="0" xfId="2" applyNumberFormat="1" applyFont="1" applyFill="1"/>
    <xf numFmtId="2" fontId="0" fillId="8" borderId="0" xfId="0" applyNumberFormat="1" applyFill="1" applyAlignment="1">
      <alignment horizontal="center"/>
    </xf>
    <xf numFmtId="0" fontId="0" fillId="9" borderId="0" xfId="0" applyFill="1"/>
    <xf numFmtId="165" fontId="0" fillId="0" borderId="0" xfId="2" applyNumberFormat="1" applyFont="1"/>
    <xf numFmtId="10" fontId="0" fillId="4" borderId="0" xfId="2" applyNumberFormat="1" applyFont="1" applyFill="1"/>
    <xf numFmtId="10" fontId="0" fillId="0" borderId="0" xfId="2" applyNumberFormat="1" applyFont="1" applyAlignment="1">
      <alignment horizontal="center"/>
    </xf>
    <xf numFmtId="10" fontId="0" fillId="0" borderId="0" xfId="2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11" borderId="0" xfId="0" applyFill="1"/>
    <xf numFmtId="10" fontId="0" fillId="0" borderId="0" xfId="2" applyNumberFormat="1" applyFont="1" applyFill="1"/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/>
    </xf>
    <xf numFmtId="10" fontId="0" fillId="4" borderId="0" xfId="2" applyNumberFormat="1" applyFont="1" applyFill="1" applyAlignment="1">
      <alignment horizontal="right"/>
    </xf>
    <xf numFmtId="10" fontId="0" fillId="0" borderId="0" xfId="2" applyNumberFormat="1" applyFont="1" applyFill="1" applyAlignment="1">
      <alignment horizontal="right"/>
    </xf>
    <xf numFmtId="0" fontId="0" fillId="12" borderId="0" xfId="0" applyFill="1"/>
    <xf numFmtId="10" fontId="0" fillId="0" borderId="0" xfId="2" applyNumberFormat="1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8" borderId="0" xfId="0" applyFill="1" applyAlignment="1">
      <alignment horizontal="center"/>
    </xf>
    <xf numFmtId="10" fontId="0" fillId="5" borderId="0" xfId="2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5" fillId="0" borderId="0" xfId="2" applyNumberFormat="1" applyFont="1" applyFill="1"/>
    <xf numFmtId="10" fontId="1" fillId="4" borderId="0" xfId="8" applyNumberFormat="1" applyFont="1" applyFill="1" applyAlignment="1">
      <alignment horizontal="center"/>
    </xf>
    <xf numFmtId="9" fontId="5" fillId="0" borderId="0" xfId="2" applyFont="1" applyFill="1" applyBorder="1"/>
    <xf numFmtId="9" fontId="5" fillId="0" borderId="0" xfId="2" applyFont="1" applyFill="1"/>
    <xf numFmtId="10" fontId="0" fillId="15" borderId="0" xfId="2" applyNumberFormat="1" applyFont="1" applyFill="1" applyAlignment="1">
      <alignment horizontal="right"/>
    </xf>
    <xf numFmtId="2" fontId="0" fillId="11" borderId="0" xfId="0" applyNumberFormat="1" applyFill="1"/>
    <xf numFmtId="0" fontId="1" fillId="9" borderId="0" xfId="11" applyFill="1"/>
    <xf numFmtId="0" fontId="3" fillId="0" borderId="0" xfId="3"/>
    <xf numFmtId="0" fontId="1" fillId="0" borderId="0" xfId="11" applyFill="1"/>
    <xf numFmtId="0" fontId="1" fillId="15" borderId="0" xfId="11" applyFill="1"/>
    <xf numFmtId="0" fontId="1" fillId="3" borderId="0" xfId="11" applyFill="1"/>
    <xf numFmtId="2" fontId="7" fillId="0" borderId="0" xfId="11" applyNumberFormat="1" applyFont="1" applyFill="1"/>
    <xf numFmtId="165" fontId="1" fillId="0" borderId="0" xfId="12" applyNumberFormat="1" applyFont="1"/>
    <xf numFmtId="0" fontId="7" fillId="0" borderId="0" xfId="11" applyFont="1" applyFill="1"/>
    <xf numFmtId="10" fontId="1" fillId="0" borderId="0" xfId="12" applyNumberFormat="1" applyFont="1"/>
    <xf numFmtId="10" fontId="1" fillId="0" borderId="0" xfId="11" applyNumberFormat="1"/>
    <xf numFmtId="0" fontId="1" fillId="16" borderId="0" xfId="11" applyFill="1"/>
    <xf numFmtId="2" fontId="0" fillId="16" borderId="0" xfId="10" applyNumberFormat="1" applyFont="1" applyFill="1"/>
    <xf numFmtId="10" fontId="0" fillId="16" borderId="0" xfId="10" applyNumberFormat="1" applyFont="1" applyFill="1"/>
    <xf numFmtId="166" fontId="0" fillId="16" borderId="0" xfId="10" applyNumberFormat="1" applyFont="1" applyFill="1"/>
    <xf numFmtId="10" fontId="3" fillId="17" borderId="0" xfId="2" applyNumberFormat="1" applyFont="1" applyFill="1"/>
    <xf numFmtId="0" fontId="1" fillId="8" borderId="0" xfId="11" applyFill="1"/>
    <xf numFmtId="2" fontId="0" fillId="8" borderId="0" xfId="10" applyNumberFormat="1" applyFont="1" applyFill="1"/>
    <xf numFmtId="0" fontId="1" fillId="18" borderId="0" xfId="11" applyFill="1"/>
    <xf numFmtId="0" fontId="1" fillId="19" borderId="0" xfId="11" applyFill="1"/>
    <xf numFmtId="0" fontId="1" fillId="20" borderId="0" xfId="11" applyFill="1"/>
    <xf numFmtId="0" fontId="1" fillId="21" borderId="0" xfId="11" applyFill="1"/>
    <xf numFmtId="10" fontId="0" fillId="16" borderId="0" xfId="2" applyNumberFormat="1" applyFont="1" applyFill="1"/>
    <xf numFmtId="10" fontId="0" fillId="8" borderId="0" xfId="10" applyNumberFormat="1" applyFont="1" applyFill="1"/>
    <xf numFmtId="0" fontId="1" fillId="5" borderId="0" xfId="11" applyFill="1"/>
    <xf numFmtId="0" fontId="1" fillId="22" borderId="0" xfId="11" applyFill="1"/>
    <xf numFmtId="2" fontId="3" fillId="0" borderId="0" xfId="3" applyNumberFormat="1"/>
    <xf numFmtId="165" fontId="3" fillId="0" borderId="0" xfId="2" applyNumberFormat="1" applyFont="1"/>
    <xf numFmtId="0" fontId="1" fillId="23" borderId="0" xfId="11" applyFill="1"/>
    <xf numFmtId="0" fontId="1" fillId="24" borderId="0" xfId="11" applyFill="1"/>
    <xf numFmtId="0" fontId="1" fillId="25" borderId="0" xfId="11" applyFill="1"/>
    <xf numFmtId="0" fontId="1" fillId="6" borderId="0" xfId="11" applyFill="1"/>
    <xf numFmtId="0" fontId="1" fillId="26" borderId="0" xfId="11" applyFill="1"/>
    <xf numFmtId="0" fontId="1" fillId="27" borderId="0" xfId="11" applyFill="1"/>
    <xf numFmtId="0" fontId="1" fillId="28" borderId="0" xfId="11" applyFill="1"/>
    <xf numFmtId="0" fontId="7" fillId="0" borderId="0" xfId="3" applyFont="1"/>
    <xf numFmtId="10" fontId="3" fillId="17" borderId="0" xfId="3" applyNumberFormat="1" applyFill="1"/>
    <xf numFmtId="10" fontId="0" fillId="4" borderId="0" xfId="0" applyNumberFormat="1" applyFill="1"/>
    <xf numFmtId="0" fontId="0" fillId="1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3">
    <cellStyle name="Komma 2" xfId="4" xr:uid="{1149204F-2DB0-486B-BAA1-D318DDBC61B5}"/>
    <cellStyle name="Komma 3" xfId="6" xr:uid="{220E35DA-9AEA-49A9-95EC-B063FFF719C8}"/>
    <cellStyle name="Percent 3" xfId="1" xr:uid="{00000000-0005-0000-0000-000001000000}"/>
    <cellStyle name="Prozent" xfId="2" builtinId="5"/>
    <cellStyle name="Prozent 2" xfId="8" xr:uid="{5639DF1B-336B-43D8-B2A9-FE36F1A8F46A}"/>
    <cellStyle name="Prozent 2 2" xfId="12" xr:uid="{2C94A936-0DE5-4299-9579-8600AADE6824}"/>
    <cellStyle name="Prozent 3" xfId="10" xr:uid="{11B4FA7E-AEDB-4C26-B5B3-A55953C35331}"/>
    <cellStyle name="Standard" xfId="0" builtinId="0"/>
    <cellStyle name="Standard 2" xfId="3" xr:uid="{B2507DD3-4D31-48C7-91E7-A3CE645E1A6B}"/>
    <cellStyle name="Standard 2 2" xfId="5" xr:uid="{0B5441A0-EFE7-42F1-9BB0-BB0568ED1E2A}"/>
    <cellStyle name="Standard 2 3" xfId="9" xr:uid="{1E263060-025A-4F3A-84F1-9984095F93D7}"/>
    <cellStyle name="Standard 3" xfId="7" xr:uid="{00000000-0005-0000-0000-000036000000}"/>
    <cellStyle name="Standard 3 2" xfId="11" xr:uid="{4C8F0CCE-5312-4734-8CC8-461C8B0C8D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Zn-based'!$B$9:$W$9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'Coll. portables Zn-based'!$B$41:$W$41</c:f>
              <c:numCache>
                <c:formatCode>0.00</c:formatCode>
                <c:ptCount val="12"/>
                <c:pt idx="0">
                  <c:v>55581.782842259068</c:v>
                </c:pt>
                <c:pt idx="1">
                  <c:v>56693.418499104249</c:v>
                </c:pt>
                <c:pt idx="2">
                  <c:v>62134.949913726996</c:v>
                </c:pt>
                <c:pt idx="3">
                  <c:v>63040.029352722646</c:v>
                </c:pt>
                <c:pt idx="4">
                  <c:v>66972.869300018239</c:v>
                </c:pt>
                <c:pt idx="5">
                  <c:v>73789.958999482507</c:v>
                </c:pt>
                <c:pt idx="6">
                  <c:v>81352.969533909141</c:v>
                </c:pt>
                <c:pt idx="7">
                  <c:v>81704.770087146739</c:v>
                </c:pt>
                <c:pt idx="8">
                  <c:v>89641.718247723125</c:v>
                </c:pt>
                <c:pt idx="9">
                  <c:v>98269.784082284619</c:v>
                </c:pt>
                <c:pt idx="10">
                  <c:v>91906.160782723528</c:v>
                </c:pt>
                <c:pt idx="11">
                  <c:v>106298.93587384127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B-4F31-9C68-ACA20D688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NiMH'!$L$9:$AZ$9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'Coll. portables NiMH'!$L$41:$AZ$41</c:f>
              <c:numCache>
                <c:formatCode>0.00</c:formatCode>
                <c:ptCount val="41"/>
                <c:pt idx="0">
                  <c:v>1792.4145834158057</c:v>
                </c:pt>
                <c:pt idx="1">
                  <c:v>2276.3665209380742</c:v>
                </c:pt>
                <c:pt idx="2">
                  <c:v>2758.3790377051296</c:v>
                </c:pt>
                <c:pt idx="3">
                  <c:v>3420.8885242096694</c:v>
                </c:pt>
                <c:pt idx="4">
                  <c:v>3376.3294166039186</c:v>
                </c:pt>
                <c:pt idx="5">
                  <c:v>3562.6020765631647</c:v>
                </c:pt>
                <c:pt idx="6">
                  <c:v>3899.1811007933957</c:v>
                </c:pt>
                <c:pt idx="7">
                  <c:v>5306.2420113502976</c:v>
                </c:pt>
                <c:pt idx="8">
                  <c:v>3248.9550734423501</c:v>
                </c:pt>
                <c:pt idx="9">
                  <c:v>3022.977351385452</c:v>
                </c:pt>
                <c:pt idx="10">
                  <c:v>2409.5160280464215</c:v>
                </c:pt>
                <c:pt idx="11">
                  <c:v>2661.1751716270851</c:v>
                </c:pt>
                <c:pt idx="12">
                  <c:v>2742.7012591821021</c:v>
                </c:pt>
                <c:pt idx="13">
                  <c:v>2872.5631544718804</c:v>
                </c:pt>
                <c:pt idx="14">
                  <c:v>2987.9542236023763</c:v>
                </c:pt>
                <c:pt idx="15">
                  <c:v>3128.7235465048052</c:v>
                </c:pt>
                <c:pt idx="16">
                  <c:v>3267.4101269944526</c:v>
                </c:pt>
                <c:pt idx="17">
                  <c:v>3408.0812191888599</c:v>
                </c:pt>
                <c:pt idx="18">
                  <c:v>3558.414549819488</c:v>
                </c:pt>
                <c:pt idx="19">
                  <c:v>3737.5558119814427</c:v>
                </c:pt>
                <c:pt idx="20">
                  <c:v>3942.6817433460069</c:v>
                </c:pt>
                <c:pt idx="21">
                  <c:v>4143.8330848091691</c:v>
                </c:pt>
                <c:pt idx="22">
                  <c:v>4334.8098705166749</c:v>
                </c:pt>
                <c:pt idx="23">
                  <c:v>4513.4651235113533</c:v>
                </c:pt>
                <c:pt idx="24">
                  <c:v>4701.0507403704305</c:v>
                </c:pt>
                <c:pt idx="25">
                  <c:v>4898.123748283675</c:v>
                </c:pt>
                <c:pt idx="26">
                  <c:v>5105.2148058220091</c:v>
                </c:pt>
                <c:pt idx="27">
                  <c:v>5322.8855977780504</c:v>
                </c:pt>
                <c:pt idx="28">
                  <c:v>5551.7306682970748</c:v>
                </c:pt>
                <c:pt idx="29">
                  <c:v>5791.2027972771484</c:v>
                </c:pt>
                <c:pt idx="30">
                  <c:v>6033.3529020811293</c:v>
                </c:pt>
                <c:pt idx="31">
                  <c:v>6233.8491030279001</c:v>
                </c:pt>
                <c:pt idx="32">
                  <c:v>6390.0653116699659</c:v>
                </c:pt>
                <c:pt idx="33">
                  <c:v>6506.8327648132536</c:v>
                </c:pt>
                <c:pt idx="34">
                  <c:v>6625.4188094536039</c:v>
                </c:pt>
                <c:pt idx="35">
                  <c:v>6746.0515295178902</c:v>
                </c:pt>
                <c:pt idx="36">
                  <c:v>6867.2973783892057</c:v>
                </c:pt>
                <c:pt idx="37">
                  <c:v>6989.1262024686512</c:v>
                </c:pt>
                <c:pt idx="38">
                  <c:v>7111.5065783125938</c:v>
                </c:pt>
                <c:pt idx="39">
                  <c:v>7235.8861850803733</c:v>
                </c:pt>
                <c:pt idx="40">
                  <c:v>7362.2991424482007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4-4706-AA86-D2A11D65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69840"/>
        <c:axId val="75193488"/>
      </c:lineChart>
      <c:catAx>
        <c:axId val="1662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93488"/>
        <c:crosses val="autoZero"/>
        <c:auto val="1"/>
        <c:lblAlgn val="ctr"/>
        <c:lblOffset val="100"/>
        <c:noMultiLvlLbl val="0"/>
      </c:catAx>
      <c:valAx>
        <c:axId val="751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2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NiCd-batteries EU collected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NiCd'!$B$9:$W$9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'Coll. portables NiCd'!$B$41:$W$41</c:f>
              <c:numCache>
                <c:formatCode>0.00</c:formatCode>
                <c:ptCount val="22"/>
                <c:pt idx="0">
                  <c:v>6120.6182305469119</c:v>
                </c:pt>
                <c:pt idx="1">
                  <c:v>6732.6800536016026</c:v>
                </c:pt>
                <c:pt idx="2">
                  <c:v>7405.948058961766</c:v>
                </c:pt>
                <c:pt idx="3">
                  <c:v>8220.6023454475617</c:v>
                </c:pt>
                <c:pt idx="4">
                  <c:v>10111.340884900501</c:v>
                </c:pt>
                <c:pt idx="5">
                  <c:v>7987.9592990713945</c:v>
                </c:pt>
                <c:pt idx="6">
                  <c:v>10943.504239727808</c:v>
                </c:pt>
                <c:pt idx="7">
                  <c:v>6675.5375862339652</c:v>
                </c:pt>
                <c:pt idx="8">
                  <c:v>6141.4945793352481</c:v>
                </c:pt>
                <c:pt idx="9">
                  <c:v>4790.3657718814929</c:v>
                </c:pt>
                <c:pt idx="10">
                  <c:v>2922.1231208477102</c:v>
                </c:pt>
                <c:pt idx="11">
                  <c:v>4266.2997564376583</c:v>
                </c:pt>
                <c:pt idx="12">
                  <c:v>4381.0869560640049</c:v>
                </c:pt>
                <c:pt idx="13">
                  <c:v>4805.7886915852396</c:v>
                </c:pt>
                <c:pt idx="14">
                  <c:v>4800.4122134160016</c:v>
                </c:pt>
                <c:pt idx="15">
                  <c:v>5291.0632244154294</c:v>
                </c:pt>
                <c:pt idx="16">
                  <c:v>5725.3453846237599</c:v>
                </c:pt>
                <c:pt idx="17">
                  <c:v>6463.7336174376342</c:v>
                </c:pt>
                <c:pt idx="18">
                  <c:v>6017.8824704410672</c:v>
                </c:pt>
                <c:pt idx="19">
                  <c:v>4782.1224979573708</c:v>
                </c:pt>
                <c:pt idx="20">
                  <c:v>5965.7669983544283</c:v>
                </c:pt>
                <c:pt idx="21">
                  <c:v>5377.1124695050348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5-4D14-A6E6-58A0E7CF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722431"/>
        <c:axId val="1469912751"/>
      </c:lineChart>
      <c:catAx>
        <c:axId val="13957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9912751"/>
        <c:crosses val="autoZero"/>
        <c:auto val="1"/>
        <c:lblAlgn val="ctr"/>
        <c:lblOffset val="100"/>
        <c:noMultiLvlLbl val="0"/>
      </c:catAx>
      <c:valAx>
        <c:axId val="14699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7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NiCd'!$L$9:$AZ$9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'Coll. portables NiCd'!$L$41:$AZ$41</c:f>
              <c:numCache>
                <c:formatCode>0.00</c:formatCode>
                <c:ptCount val="41"/>
                <c:pt idx="0">
                  <c:v>2922.1231208477102</c:v>
                </c:pt>
                <c:pt idx="1">
                  <c:v>4266.2997564376583</c:v>
                </c:pt>
                <c:pt idx="2">
                  <c:v>4381.0869560640049</c:v>
                </c:pt>
                <c:pt idx="3">
                  <c:v>4805.7886915852396</c:v>
                </c:pt>
                <c:pt idx="4">
                  <c:v>4800.4122134160016</c:v>
                </c:pt>
                <c:pt idx="5">
                  <c:v>5291.0632244154294</c:v>
                </c:pt>
                <c:pt idx="6">
                  <c:v>5725.3453846237599</c:v>
                </c:pt>
                <c:pt idx="7">
                  <c:v>6463.7336174376342</c:v>
                </c:pt>
                <c:pt idx="8">
                  <c:v>6017.8824704410672</c:v>
                </c:pt>
                <c:pt idx="9">
                  <c:v>4782.1224979573708</c:v>
                </c:pt>
                <c:pt idx="10">
                  <c:v>5965.7669983544283</c:v>
                </c:pt>
                <c:pt idx="11">
                  <c:v>5377.1124695050348</c:v>
                </c:pt>
                <c:pt idx="12">
                  <c:v>4378.7576619065749</c:v>
                </c:pt>
                <c:pt idx="13">
                  <c:v>4174.9991700788232</c:v>
                </c:pt>
                <c:pt idx="14">
                  <c:v>3947.9174435534915</c:v>
                </c:pt>
                <c:pt idx="15">
                  <c:v>3739.2176245503947</c:v>
                </c:pt>
                <c:pt idx="16">
                  <c:v>3532.1296053196265</c:v>
                </c:pt>
                <c:pt idx="17">
                  <c:v>3332.4400467182095</c:v>
                </c:pt>
                <c:pt idx="18">
                  <c:v>3147.2292496664995</c:v>
                </c:pt>
                <c:pt idx="19">
                  <c:v>2990.0534566779929</c:v>
                </c:pt>
                <c:pt idx="20">
                  <c:v>2853.0042378004187</c:v>
                </c:pt>
                <c:pt idx="21">
                  <c:v>2712.2666075595093</c:v>
                </c:pt>
                <c:pt idx="22">
                  <c:v>2566.3719854986607</c:v>
                </c:pt>
                <c:pt idx="23">
                  <c:v>2417.0134764364293</c:v>
                </c:pt>
                <c:pt idx="24">
                  <c:v>2277.1065283191606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E-4C75-90B1-3CE936FD6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202688"/>
        <c:axId val="2051070240"/>
      </c:lineChart>
      <c:catAx>
        <c:axId val="2502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1070240"/>
        <c:crosses val="autoZero"/>
        <c:auto val="1"/>
        <c:lblAlgn val="ctr"/>
        <c:lblOffset val="100"/>
        <c:noMultiLvlLbl val="0"/>
      </c:catAx>
      <c:valAx>
        <c:axId val="20510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020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collected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Other'!$B$9:$V$9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'Coll. portables Other'!$B$41:$V$41</c:f>
              <c:numCache>
                <c:formatCode>0.00</c:formatCode>
                <c:ptCount val="21"/>
                <c:pt idx="0">
                  <c:v>339.69894694367377</c:v>
                </c:pt>
                <c:pt idx="1">
                  <c:v>346.49292588254724</c:v>
                </c:pt>
                <c:pt idx="2">
                  <c:v>353.42278440019828</c:v>
                </c:pt>
                <c:pt idx="3">
                  <c:v>360.49124008820218</c:v>
                </c:pt>
                <c:pt idx="4">
                  <c:v>367.70106488996618</c:v>
                </c:pt>
                <c:pt idx="5">
                  <c:v>375.0550861877656</c:v>
                </c:pt>
                <c:pt idx="6">
                  <c:v>382.55618791152096</c:v>
                </c:pt>
                <c:pt idx="7">
                  <c:v>390.20731166975122</c:v>
                </c:pt>
                <c:pt idx="8">
                  <c:v>398.01145790314638</c:v>
                </c:pt>
                <c:pt idx="9">
                  <c:v>405.97168706120937</c:v>
                </c:pt>
                <c:pt idx="10">
                  <c:v>414.09112080243347</c:v>
                </c:pt>
                <c:pt idx="11">
                  <c:v>422.37294321848219</c:v>
                </c:pt>
                <c:pt idx="12">
                  <c:v>623.76584866840687</c:v>
                </c:pt>
                <c:pt idx="13">
                  <c:v>726.27274232649165</c:v>
                </c:pt>
                <c:pt idx="14">
                  <c:v>760.64330296115952</c:v>
                </c:pt>
                <c:pt idx="15">
                  <c:v>718.87752344105991</c:v>
                </c:pt>
                <c:pt idx="16">
                  <c:v>931.89051243796382</c:v>
                </c:pt>
                <c:pt idx="17">
                  <c:v>782.07360207202271</c:v>
                </c:pt>
                <c:pt idx="18">
                  <c:v>917.48515963226498</c:v>
                </c:pt>
                <c:pt idx="19">
                  <c:v>3145.4142583369626</c:v>
                </c:pt>
                <c:pt idx="20">
                  <c:v>1629.7783756374056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C-4E7A-ABBF-AF6BBDC3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Other'!$L$9:$AZ$9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'Coll. portables Other'!$L$41:$AZ$41</c:f>
              <c:numCache>
                <c:formatCode>0.00</c:formatCode>
                <c:ptCount val="41"/>
                <c:pt idx="0">
                  <c:v>414.09112080243347</c:v>
                </c:pt>
                <c:pt idx="1">
                  <c:v>422.37294321848219</c:v>
                </c:pt>
                <c:pt idx="2">
                  <c:v>623.76584866840687</c:v>
                </c:pt>
                <c:pt idx="3">
                  <c:v>726.27274232649165</c:v>
                </c:pt>
                <c:pt idx="4">
                  <c:v>760.64330296115952</c:v>
                </c:pt>
                <c:pt idx="5">
                  <c:v>718.87752344105991</c:v>
                </c:pt>
                <c:pt idx="6">
                  <c:v>931.89051243796382</c:v>
                </c:pt>
                <c:pt idx="7">
                  <c:v>782.07360207202271</c:v>
                </c:pt>
                <c:pt idx="8">
                  <c:v>917.48515963226498</c:v>
                </c:pt>
                <c:pt idx="9">
                  <c:v>3145.4142583369626</c:v>
                </c:pt>
                <c:pt idx="10">
                  <c:v>1629.7783756374056</c:v>
                </c:pt>
                <c:pt idx="11">
                  <c:v>1075.4224939010069</c:v>
                </c:pt>
                <c:pt idx="12">
                  <c:v>1289.8198687878107</c:v>
                </c:pt>
                <c:pt idx="13">
                  <c:v>1368.714506426059</c:v>
                </c:pt>
                <c:pt idx="14">
                  <c:v>1466.8381658793026</c:v>
                </c:pt>
                <c:pt idx="15">
                  <c:v>1574.53581389648</c:v>
                </c:pt>
                <c:pt idx="16">
                  <c:v>1685.6449140331331</c:v>
                </c:pt>
                <c:pt idx="17">
                  <c:v>1802.3929119962872</c:v>
                </c:pt>
                <c:pt idx="18">
                  <c:v>1929.1818489860907</c:v>
                </c:pt>
                <c:pt idx="19">
                  <c:v>2077.2147768698114</c:v>
                </c:pt>
                <c:pt idx="20">
                  <c:v>2246.2729624654235</c:v>
                </c:pt>
                <c:pt idx="21">
                  <c:v>2420.1938465713565</c:v>
                </c:pt>
                <c:pt idx="22">
                  <c:v>2595.3446805977837</c:v>
                </c:pt>
                <c:pt idx="23">
                  <c:v>2770.2066776398001</c:v>
                </c:pt>
                <c:pt idx="24">
                  <c:v>2957.8361373944995</c:v>
                </c:pt>
                <c:pt idx="25">
                  <c:v>3159.2647081216442</c:v>
                </c:pt>
                <c:pt idx="26">
                  <c:v>3375.5719861143875</c:v>
                </c:pt>
                <c:pt idx="27">
                  <c:v>3607.9256322593037</c:v>
                </c:pt>
                <c:pt idx="28">
                  <c:v>3857.5887363398351</c:v>
                </c:pt>
                <c:pt idx="29">
                  <c:v>4125.0897348059798</c:v>
                </c:pt>
                <c:pt idx="30">
                  <c:v>4405.5531670227829</c:v>
                </c:pt>
                <c:pt idx="31">
                  <c:v>4666.3261957581453</c:v>
                </c:pt>
                <c:pt idx="32">
                  <c:v>4903.4437433912763</c:v>
                </c:pt>
                <c:pt idx="33">
                  <c:v>5118.4991549101296</c:v>
                </c:pt>
                <c:pt idx="34">
                  <c:v>5342.7323514814834</c:v>
                </c:pt>
                <c:pt idx="35">
                  <c:v>5576.6941594271784</c:v>
                </c:pt>
                <c:pt idx="36">
                  <c:v>5819.5595744854127</c:v>
                </c:pt>
                <c:pt idx="37">
                  <c:v>6071.6151744210856</c:v>
                </c:pt>
                <c:pt idx="38">
                  <c:v>6333.1541978831046</c:v>
                </c:pt>
                <c:pt idx="39">
                  <c:v>6605.8280419731063</c:v>
                </c:pt>
                <c:pt idx="40">
                  <c:v>6890.1089259673336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F-4805-8584-AC865261B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765040"/>
        <c:axId val="71231872"/>
      </c:lineChart>
      <c:catAx>
        <c:axId val="19027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231872"/>
        <c:crosses val="autoZero"/>
        <c:auto val="1"/>
        <c:lblAlgn val="ctr"/>
        <c:lblOffset val="100"/>
        <c:noMultiLvlLbl val="0"/>
      </c:catAx>
      <c:valAx>
        <c:axId val="71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7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Historic</a:t>
            </a:r>
            <a:r>
              <a:rPr lang="de-DE" baseline="0"/>
              <a:t> b</a:t>
            </a:r>
            <a:r>
              <a:rPr lang="de-DE"/>
              <a:t>attery Shares Portables</a:t>
            </a:r>
            <a:r>
              <a:rPr lang="de-DE" baseline="0"/>
              <a:t> of GU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6320015548466295E-2"/>
          <c:y val="0.11104790419161677"/>
          <c:w val="0.8733769607216848"/>
          <c:h val="0.55825239285209105"/>
        </c:manualLayout>
      </c:layout>
      <c:areaChart>
        <c:grouping val="percentStacked"/>
        <c:varyColors val="0"/>
        <c:ser>
          <c:idx val="0"/>
          <c:order val="0"/>
          <c:tx>
            <c:strRef>
              <c:f>'Weighted Average'!$A$53</c:f>
              <c:strCache>
                <c:ptCount val="1"/>
                <c:pt idx="0">
                  <c:v>Alkaline and Zinc batteries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'Weighted Average'!$B$52:$X$52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Average'!$B$53:$X$53</c:f>
              <c:numCache>
                <c:formatCode>0.00</c:formatCode>
                <c:ptCount val="23"/>
                <c:pt idx="0">
                  <c:v>64.293241077760882</c:v>
                </c:pt>
                <c:pt idx="1">
                  <c:v>65.604677338852909</c:v>
                </c:pt>
                <c:pt idx="2">
                  <c:v>66.942473215906759</c:v>
                </c:pt>
                <c:pt idx="3">
                  <c:v>68.306433146971571</c:v>
                </c:pt>
                <c:pt idx="4">
                  <c:v>69.697474423265476</c:v>
                </c:pt>
                <c:pt idx="5">
                  <c:v>71.116527688691988</c:v>
                </c:pt>
                <c:pt idx="6">
                  <c:v>72.562817016128989</c:v>
                </c:pt>
                <c:pt idx="7">
                  <c:v>74.036945563891322</c:v>
                </c:pt>
                <c:pt idx="8">
                  <c:v>75.540225835870203</c:v>
                </c:pt>
                <c:pt idx="9">
                  <c:v>77.072854057266056</c:v>
                </c:pt>
                <c:pt idx="10">
                  <c:v>78.637334063589407</c:v>
                </c:pt>
                <c:pt idx="11">
                  <c:v>80.255101907184098</c:v>
                </c:pt>
                <c:pt idx="12">
                  <c:v>80.085396016719059</c:v>
                </c:pt>
                <c:pt idx="13">
                  <c:v>78.963645669588914</c:v>
                </c:pt>
                <c:pt idx="14">
                  <c:v>78.818944259061183</c:v>
                </c:pt>
                <c:pt idx="15">
                  <c:v>79.459443291085336</c:v>
                </c:pt>
                <c:pt idx="16">
                  <c:v>78.678583905801815</c:v>
                </c:pt>
                <c:pt idx="17">
                  <c:v>78.13270964786318</c:v>
                </c:pt>
                <c:pt idx="18">
                  <c:v>80.184876546870626</c:v>
                </c:pt>
                <c:pt idx="19">
                  <c:v>79.828123330346784</c:v>
                </c:pt>
                <c:pt idx="20">
                  <c:v>75.583568656928676</c:v>
                </c:pt>
                <c:pt idx="21">
                  <c:v>79.810813797676431</c:v>
                </c:pt>
                <c:pt idx="22">
                  <c:v>81.532687913622809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7-4F2D-B401-2641D7F98C0A}"/>
            </c:ext>
          </c:extLst>
        </c:ser>
        <c:ser>
          <c:idx val="1"/>
          <c:order val="1"/>
          <c:tx>
            <c:strRef>
              <c:f>'Weighted Average'!$A$54</c:f>
              <c:strCache>
                <c:ptCount val="1"/>
                <c:pt idx="0">
                  <c:v>Nickel metal hydrid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'Weighted Average'!$B$52:$X$52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Average'!$B$54:$X$54</c:f>
              <c:numCache>
                <c:formatCode>0.00</c:formatCode>
                <c:ptCount val="23"/>
                <c:pt idx="0">
                  <c:v>8.9262246331306123</c:v>
                </c:pt>
                <c:pt idx="1">
                  <c:v>8.1157558963133507</c:v>
                </c:pt>
                <c:pt idx="2">
                  <c:v>7.3793968731450486</c:v>
                </c:pt>
                <c:pt idx="3">
                  <c:v>6.7111778245480025</c:v>
                </c:pt>
                <c:pt idx="4">
                  <c:v>6.1042190000367604</c:v>
                </c:pt>
                <c:pt idx="5">
                  <c:v>5.552450757921302</c:v>
                </c:pt>
                <c:pt idx="6">
                  <c:v>5.0519503189416453</c:v>
                </c:pt>
                <c:pt idx="7">
                  <c:v>4.5977423199917249</c:v>
                </c:pt>
                <c:pt idx="8">
                  <c:v>4.184897190246935</c:v>
                </c:pt>
                <c:pt idx="9">
                  <c:v>3.8098163121161348</c:v>
                </c:pt>
                <c:pt idx="10">
                  <c:v>3.4679441824927411</c:v>
                </c:pt>
                <c:pt idx="11">
                  <c:v>3.16558708769979</c:v>
                </c:pt>
                <c:pt idx="12">
                  <c:v>3.4860278301873509</c:v>
                </c:pt>
                <c:pt idx="13">
                  <c:v>4.2143127018606732</c:v>
                </c:pt>
                <c:pt idx="14">
                  <c:v>3.9189791322813248</c:v>
                </c:pt>
                <c:pt idx="15">
                  <c:v>3.7897041756016008</c:v>
                </c:pt>
                <c:pt idx="16">
                  <c:v>3.7560056655828316</c:v>
                </c:pt>
                <c:pt idx="17">
                  <c:v>5.0606192472778195</c:v>
                </c:pt>
                <c:pt idx="18">
                  <c:v>2.9020101246554737</c:v>
                </c:pt>
                <c:pt idx="19">
                  <c:v>2.4556745604445283</c:v>
                </c:pt>
                <c:pt idx="20">
                  <c:v>1.9815844616376532</c:v>
                </c:pt>
                <c:pt idx="21">
                  <c:v>1.9980496922170532</c:v>
                </c:pt>
                <c:pt idx="22">
                  <c:v>1.9140003671498675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7-4F2D-B401-2641D7F98C0A}"/>
            </c:ext>
          </c:extLst>
        </c:ser>
        <c:ser>
          <c:idx val="2"/>
          <c:order val="2"/>
          <c:tx>
            <c:strRef>
              <c:f>'Weighted Average'!$A$55</c:f>
              <c:strCache>
                <c:ptCount val="1"/>
                <c:pt idx="0">
                  <c:v>Lead acid batteries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'Weighted Average'!$B$52:$X$52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Average'!$B$55:$X$55</c:f>
              <c:numCache>
                <c:formatCode>0.00</c:formatCode>
                <c:ptCount val="23"/>
                <c:pt idx="0">
                  <c:v>5.5425833850815396</c:v>
                </c:pt>
                <c:pt idx="1">
                  <c:v>5.6560611376639773</c:v>
                </c:pt>
                <c:pt idx="2">
                  <c:v>5.772074114660148</c:v>
                </c:pt>
                <c:pt idx="3">
                  <c:v>5.8910719331257528</c:v>
                </c:pt>
                <c:pt idx="4">
                  <c:v>6.0129075789546453</c:v>
                </c:pt>
                <c:pt idx="5">
                  <c:v>6.1374339492559864</c:v>
                </c:pt>
                <c:pt idx="6">
                  <c:v>6.2654369322700418</c:v>
                </c:pt>
                <c:pt idx="7">
                  <c:v>6.3969618114368316</c:v>
                </c:pt>
                <c:pt idx="8">
                  <c:v>6.5316767027342078</c:v>
                </c:pt>
                <c:pt idx="9">
                  <c:v>6.6698629786043382</c:v>
                </c:pt>
                <c:pt idx="10">
                  <c:v>6.8105582147017714</c:v>
                </c:pt>
                <c:pt idx="11">
                  <c:v>6.9614943389746591</c:v>
                </c:pt>
                <c:pt idx="12">
                  <c:v>6.587549158489618</c:v>
                </c:pt>
                <c:pt idx="13">
                  <c:v>6.0833119250852317</c:v>
                </c:pt>
                <c:pt idx="14">
                  <c:v>5.3684127329124944</c:v>
                </c:pt>
                <c:pt idx="15">
                  <c:v>5.1039153885696047</c:v>
                </c:pt>
                <c:pt idx="16">
                  <c:v>4.7398620678878896</c:v>
                </c:pt>
                <c:pt idx="17">
                  <c:v>4.0889991716850638</c:v>
                </c:pt>
                <c:pt idx="18">
                  <c:v>4.0892278727162132</c:v>
                </c:pt>
                <c:pt idx="19">
                  <c:v>5.3519320713152556</c:v>
                </c:pt>
                <c:pt idx="20">
                  <c:v>5.9286347517730498</c:v>
                </c:pt>
                <c:pt idx="21">
                  <c:v>5.9778965117932685</c:v>
                </c:pt>
                <c:pt idx="22">
                  <c:v>4.7630909770507737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7-4F2D-B401-2641D7F98C0A}"/>
            </c:ext>
          </c:extLst>
        </c:ser>
        <c:ser>
          <c:idx val="3"/>
          <c:order val="3"/>
          <c:tx>
            <c:strRef>
              <c:f>'Weighted Average'!$A$56</c:f>
              <c:strCache>
                <c:ptCount val="1"/>
                <c:pt idx="0">
                  <c:v>Nickel cadmium batteries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'Weighted Average'!$B$52:$X$52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Average'!$B$56:$X$56</c:f>
              <c:numCache>
                <c:formatCode>0.00</c:formatCode>
                <c:ptCount val="23"/>
                <c:pt idx="0">
                  <c:v>17.243563420215995</c:v>
                </c:pt>
                <c:pt idx="1">
                  <c:v>15.675811237404298</c:v>
                </c:pt>
                <c:pt idx="2">
                  <c:v>14.250515411768491</c:v>
                </c:pt>
                <c:pt idx="3">
                  <c:v>12.954606750569852</c:v>
                </c:pt>
                <c:pt idx="4">
                  <c:v>11.77642867999432</c:v>
                </c:pt>
                <c:pt idx="5">
                  <c:v>10.705355773775798</c:v>
                </c:pt>
                <c:pt idx="6">
                  <c:v>9.7314820416181096</c:v>
                </c:pt>
                <c:pt idx="7">
                  <c:v>8.8460198232740073</c:v>
                </c:pt>
                <c:pt idx="8">
                  <c:v>8.041043161507293</c:v>
                </c:pt>
                <c:pt idx="9">
                  <c:v>7.3092102063093254</c:v>
                </c:pt>
                <c:pt idx="10">
                  <c:v>6.6440449899783944</c:v>
                </c:pt>
                <c:pt idx="11">
                  <c:v>6.0390962990270785</c:v>
                </c:pt>
                <c:pt idx="12">
                  <c:v>5.6439734722289563</c:v>
                </c:pt>
                <c:pt idx="13">
                  <c:v>6.0143513139336902</c:v>
                </c:pt>
                <c:pt idx="14">
                  <c:v>5.6414198175693944</c:v>
                </c:pt>
                <c:pt idx="15">
                  <c:v>5.6964489652819896</c:v>
                </c:pt>
                <c:pt idx="16">
                  <c:v>5.5330198041866367</c:v>
                </c:pt>
                <c:pt idx="17">
                  <c:v>6.1818861448625109</c:v>
                </c:pt>
                <c:pt idx="18">
                  <c:v>5.3866582658683679</c:v>
                </c:pt>
                <c:pt idx="19">
                  <c:v>3.8846922084220386</c:v>
                </c:pt>
                <c:pt idx="20">
                  <c:v>4.9062430164760382</c:v>
                </c:pt>
                <c:pt idx="21">
                  <c:v>4.0372155990551049</c:v>
                </c:pt>
                <c:pt idx="22">
                  <c:v>3.0557260819024652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7-4F2D-B401-2641D7F98C0A}"/>
            </c:ext>
          </c:extLst>
        </c:ser>
        <c:ser>
          <c:idx val="4"/>
          <c:order val="4"/>
          <c:tx>
            <c:strRef>
              <c:f>'Weighted Average'!$A$57</c:f>
              <c:strCache>
                <c:ptCount val="1"/>
                <c:pt idx="0">
                  <c:v>Lithium-Ion Batteries primary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'Weighted Average'!$B$52:$X$52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Average'!$B$57:$X$57</c:f>
              <c:numCache>
                <c:formatCode>0.00</c:formatCode>
                <c:ptCount val="23"/>
                <c:pt idx="0">
                  <c:v>0.46442418343488162</c:v>
                </c:pt>
                <c:pt idx="1">
                  <c:v>0.47390222799477721</c:v>
                </c:pt>
                <c:pt idx="2">
                  <c:v>0.483573702035487</c:v>
                </c:pt>
                <c:pt idx="3">
                  <c:v>0.49344255309743568</c:v>
                </c:pt>
                <c:pt idx="4">
                  <c:v>0.50351280928309761</c:v>
                </c:pt>
                <c:pt idx="5">
                  <c:v>0.51378858090112001</c:v>
                </c:pt>
                <c:pt idx="6">
                  <c:v>0.52427406214399996</c:v>
                </c:pt>
                <c:pt idx="7">
                  <c:v>0.53497353279999993</c:v>
                </c:pt>
                <c:pt idx="8">
                  <c:v>0.54589135999999994</c:v>
                </c:pt>
                <c:pt idx="9">
                  <c:v>0.55703199999999997</c:v>
                </c:pt>
                <c:pt idx="10">
                  <c:v>0.56840000000000002</c:v>
                </c:pt>
                <c:pt idx="11">
                  <c:v>0.57713199348180333</c:v>
                </c:pt>
                <c:pt idx="12">
                  <c:v>0.84074150644338785</c:v>
                </c:pt>
                <c:pt idx="13">
                  <c:v>0.6275727107092246</c:v>
                </c:pt>
                <c:pt idx="14">
                  <c:v>0.69920756475993873</c:v>
                </c:pt>
                <c:pt idx="15">
                  <c:v>0.82553302132085293</c:v>
                </c:pt>
                <c:pt idx="16">
                  <c:v>1.0022550739163119</c:v>
                </c:pt>
                <c:pt idx="17">
                  <c:v>1.1206659338907843</c:v>
                </c:pt>
                <c:pt idx="18">
                  <c:v>1.1707441805247345</c:v>
                </c:pt>
                <c:pt idx="19">
                  <c:v>1.0669340851738907</c:v>
                </c:pt>
                <c:pt idx="20">
                  <c:v>0.79787234042553201</c:v>
                </c:pt>
                <c:pt idx="21">
                  <c:v>1.271256682645153</c:v>
                </c:pt>
                <c:pt idx="22">
                  <c:v>0.85487469544314532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F7-4F2D-B401-2641D7F98C0A}"/>
            </c:ext>
          </c:extLst>
        </c:ser>
        <c:ser>
          <c:idx val="5"/>
          <c:order val="5"/>
          <c:tx>
            <c:strRef>
              <c:f>'Weighted Average'!$A$58</c:f>
              <c:strCache>
                <c:ptCount val="1"/>
                <c:pt idx="0">
                  <c:v>Lithium-Ion Batteries rechargeable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'Weighted Average'!$B$52:$X$52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Average'!$B$58:$X$58</c:f>
              <c:numCache>
                <c:formatCode>0.00</c:formatCode>
                <c:ptCount val="23"/>
                <c:pt idx="0">
                  <c:v>1.8683576948840623</c:v>
                </c:pt>
                <c:pt idx="1">
                  <c:v>1.9065342702674213</c:v>
                </c:pt>
                <c:pt idx="2">
                  <c:v>1.9455181928485361</c:v>
                </c:pt>
                <c:pt idx="3">
                  <c:v>1.9853771510925677</c:v>
                </c:pt>
                <c:pt idx="4">
                  <c:v>2.0261022397009167</c:v>
                </c:pt>
                <c:pt idx="5">
                  <c:v>2.0676847463821328</c:v>
                </c:pt>
                <c:pt idx="6">
                  <c:v>2.1102362554191543</c:v>
                </c:pt>
                <c:pt idx="7">
                  <c:v>2.1537732385888999</c:v>
                </c:pt>
                <c:pt idx="8">
                  <c:v>2.1982638385697495</c:v>
                </c:pt>
                <c:pt idx="9">
                  <c:v>2.2437553536817467</c:v>
                </c:pt>
                <c:pt idx="10">
                  <c:v>2.2901352157536938</c:v>
                </c:pt>
                <c:pt idx="11">
                  <c:v>2.342172306242591</c:v>
                </c:pt>
                <c:pt idx="12">
                  <c:v>2.3796640780994669</c:v>
                </c:pt>
                <c:pt idx="13">
                  <c:v>3.0122513424922759</c:v>
                </c:pt>
                <c:pt idx="14">
                  <c:v>4.4681275151059072</c:v>
                </c:pt>
                <c:pt idx="15">
                  <c:v>4.2094101187907746</c:v>
                </c:pt>
                <c:pt idx="16">
                  <c:v>5.3167908195474958</c:v>
                </c:pt>
                <c:pt idx="17">
                  <c:v>4.623562812492402</c:v>
                </c:pt>
                <c:pt idx="18">
                  <c:v>5.4479024612713127</c:v>
                </c:pt>
                <c:pt idx="19">
                  <c:v>4.8575092267604827</c:v>
                </c:pt>
                <c:pt idx="20">
                  <c:v>9.3894114539950841</c:v>
                </c:pt>
                <c:pt idx="21">
                  <c:v>7.7263120087306083</c:v>
                </c:pt>
                <c:pt idx="22">
                  <c:v>6.9795162097638475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F7-4F2D-B401-2641D7F98C0A}"/>
            </c:ext>
          </c:extLst>
        </c:ser>
        <c:ser>
          <c:idx val="6"/>
          <c:order val="6"/>
          <c:tx>
            <c:strRef>
              <c:f>'Weighted Average'!$A$59</c:f>
              <c:strCache>
                <c:ptCount val="1"/>
                <c:pt idx="0">
                  <c:v>Other batteries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'Weighted Average'!$B$52:$X$52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Average'!$B$59:$X$59</c:f>
              <c:numCache>
                <c:formatCode>0.00</c:formatCode>
                <c:ptCount val="23"/>
                <c:pt idx="0">
                  <c:v>0.75815519699821654</c:v>
                </c:pt>
                <c:pt idx="1">
                  <c:v>0.74347284956580628</c:v>
                </c:pt>
                <c:pt idx="2">
                  <c:v>0.72904830145258093</c:v>
                </c:pt>
                <c:pt idx="3">
                  <c:v>0.71481351098110557</c:v>
                </c:pt>
                <c:pt idx="4">
                  <c:v>0.70080714535044808</c:v>
                </c:pt>
                <c:pt idx="5">
                  <c:v>0.68706173914026802</c:v>
                </c:pt>
                <c:pt idx="6">
                  <c:v>0.67346782861483123</c:v>
                </c:pt>
                <c:pt idx="7">
                  <c:v>0.66003817971509215</c:v>
                </c:pt>
                <c:pt idx="8">
                  <c:v>0.64683472530963737</c:v>
                </c:pt>
                <c:pt idx="9">
                  <c:v>0.63383091920329404</c:v>
                </c:pt>
                <c:pt idx="10">
                  <c:v>0.62115697718840734</c:v>
                </c:pt>
                <c:pt idx="11">
                  <c:v>0.6040192651367412</c:v>
                </c:pt>
                <c:pt idx="12">
                  <c:v>0.81549775624301657</c:v>
                </c:pt>
                <c:pt idx="13">
                  <c:v>0.91211386120278592</c:v>
                </c:pt>
                <c:pt idx="14">
                  <c:v>0.9031321684865401</c:v>
                </c:pt>
                <c:pt idx="15">
                  <c:v>0.78228585008893003</c:v>
                </c:pt>
                <c:pt idx="16">
                  <c:v>0.90437925883560788</c:v>
                </c:pt>
                <c:pt idx="17">
                  <c:v>0.75328065193794314</c:v>
                </c:pt>
                <c:pt idx="18">
                  <c:v>0.82259183244776812</c:v>
                </c:pt>
                <c:pt idx="19">
                  <c:v>2.5551345175370095</c:v>
                </c:pt>
                <c:pt idx="20">
                  <c:v>1.340328708124251</c:v>
                </c:pt>
                <c:pt idx="21">
                  <c:v>0.8074431198110209</c:v>
                </c:pt>
                <c:pt idx="22">
                  <c:v>0.90010375506709672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F7-4F2D-B401-2641D7F9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03103"/>
        <c:axId val="1246882879"/>
      </c:areaChart>
      <c:catAx>
        <c:axId val="1253803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82879"/>
        <c:crosses val="autoZero"/>
        <c:auto val="1"/>
        <c:lblAlgn val="ctr"/>
        <c:lblOffset val="100"/>
        <c:noMultiLvlLbl val="0"/>
      </c:catAx>
      <c:valAx>
        <c:axId val="12468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380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45968255359264"/>
          <c:y val="0.76945966335046456"/>
          <c:w val="0.85986661831774447"/>
          <c:h val="0.13946158509434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'Weighted Average'!$A$53</c:f>
              <c:strCache>
                <c:ptCount val="1"/>
                <c:pt idx="0">
                  <c:v>Alkaline and Zinc batteries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'Weighted Average'!$B$52:$AZ$52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Average'!$B$53:$AZ$53</c:f>
              <c:numCache>
                <c:formatCode>0.00</c:formatCode>
                <c:ptCount val="51"/>
                <c:pt idx="0">
                  <c:v>64.293241077760882</c:v>
                </c:pt>
                <c:pt idx="1">
                  <c:v>65.604677338852909</c:v>
                </c:pt>
                <c:pt idx="2">
                  <c:v>66.942473215906759</c:v>
                </c:pt>
                <c:pt idx="3">
                  <c:v>68.306433146971571</c:v>
                </c:pt>
                <c:pt idx="4">
                  <c:v>69.697474423265476</c:v>
                </c:pt>
                <c:pt idx="5">
                  <c:v>71.116527688691988</c:v>
                </c:pt>
                <c:pt idx="6">
                  <c:v>72.562817016128989</c:v>
                </c:pt>
                <c:pt idx="7">
                  <c:v>74.036945563891322</c:v>
                </c:pt>
                <c:pt idx="8">
                  <c:v>75.540225835870203</c:v>
                </c:pt>
                <c:pt idx="9">
                  <c:v>77.072854057266056</c:v>
                </c:pt>
                <c:pt idx="10">
                  <c:v>78.637334063589407</c:v>
                </c:pt>
                <c:pt idx="11">
                  <c:v>80.255101907184098</c:v>
                </c:pt>
                <c:pt idx="12">
                  <c:v>80.085396016719059</c:v>
                </c:pt>
                <c:pt idx="13">
                  <c:v>78.963645669588914</c:v>
                </c:pt>
                <c:pt idx="14">
                  <c:v>78.818944259061183</c:v>
                </c:pt>
                <c:pt idx="15">
                  <c:v>79.459443291085336</c:v>
                </c:pt>
                <c:pt idx="16">
                  <c:v>78.678583905801815</c:v>
                </c:pt>
                <c:pt idx="17">
                  <c:v>78.13270964786318</c:v>
                </c:pt>
                <c:pt idx="18">
                  <c:v>80.184876546870626</c:v>
                </c:pt>
                <c:pt idx="19">
                  <c:v>79.828123330346784</c:v>
                </c:pt>
                <c:pt idx="20">
                  <c:v>75.583568656928676</c:v>
                </c:pt>
                <c:pt idx="21">
                  <c:v>79.810813797676431</c:v>
                </c:pt>
                <c:pt idx="22">
                  <c:v>81.532687913622809</c:v>
                </c:pt>
                <c:pt idx="23" formatCode="0.00%">
                  <c:v>0.81125334999999998</c:v>
                </c:pt>
                <c:pt idx="24" formatCode="0.00%">
                  <c:v>0.80719708324999995</c:v>
                </c:pt>
                <c:pt idx="25" formatCode="0.00%">
                  <c:v>0.80316109783374989</c:v>
                </c:pt>
                <c:pt idx="26" formatCode="0.00%">
                  <c:v>0.79914529234458109</c:v>
                </c:pt>
                <c:pt idx="27" formatCode="0.00%">
                  <c:v>0.79514956588285823</c:v>
                </c:pt>
                <c:pt idx="28" formatCode="0.00%">
                  <c:v>0.79117381805344389</c:v>
                </c:pt>
                <c:pt idx="29" formatCode="0.00%">
                  <c:v>0.78721794896317665</c:v>
                </c:pt>
                <c:pt idx="30" formatCode="0.00%">
                  <c:v>0.7832818592183608</c:v>
                </c:pt>
                <c:pt idx="31" formatCode="0.00%">
                  <c:v>0.77936544992226897</c:v>
                </c:pt>
                <c:pt idx="32" formatCode="0.00%">
                  <c:v>0.77546862267265759</c:v>
                </c:pt>
                <c:pt idx="33" formatCode="0.00%">
                  <c:v>0.7715912795592943</c:v>
                </c:pt>
                <c:pt idx="34" formatCode="0.00%">
                  <c:v>0.76773332316149778</c:v>
                </c:pt>
                <c:pt idx="35" formatCode="0.00%">
                  <c:v>0.76389465654569033</c:v>
                </c:pt>
                <c:pt idx="36" formatCode="0.00%">
                  <c:v>0.75625570998023339</c:v>
                </c:pt>
                <c:pt idx="37" formatCode="0.00%">
                  <c:v>0.74869315288043103</c:v>
                </c:pt>
                <c:pt idx="38" formatCode="0.00%">
                  <c:v>0.74120622135162673</c:v>
                </c:pt>
                <c:pt idx="39" formatCode="0.00%">
                  <c:v>0.73379415913811041</c:v>
                </c:pt>
                <c:pt idx="40" formatCode="0.00%">
                  <c:v>0.72645621754672929</c:v>
                </c:pt>
                <c:pt idx="41" formatCode="0.00%">
                  <c:v>0.71919165537126195</c:v>
                </c:pt>
                <c:pt idx="42" formatCode="0.00%">
                  <c:v>0.7119997388175493</c:v>
                </c:pt>
                <c:pt idx="43" formatCode="0.00%">
                  <c:v>0.70487974142937382</c:v>
                </c:pt>
                <c:pt idx="44" formatCode="0.00%">
                  <c:v>0.69783094401508006</c:v>
                </c:pt>
                <c:pt idx="45" formatCode="0.00%">
                  <c:v>0.69085263457492929</c:v>
                </c:pt>
                <c:pt idx="46" formatCode="0.00%">
                  <c:v>0.68394410822917995</c:v>
                </c:pt>
                <c:pt idx="47" formatCode="0.00%">
                  <c:v>0.67710466714688811</c:v>
                </c:pt>
                <c:pt idx="48" formatCode="0.00%">
                  <c:v>0.67033362047541922</c:v>
                </c:pt>
                <c:pt idx="49" formatCode="0.00%">
                  <c:v>0.66363028427066506</c:v>
                </c:pt>
                <c:pt idx="50" formatCode="0.00%">
                  <c:v>0.6569939814279584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1-4273-9DE5-9B4610800904}"/>
            </c:ext>
          </c:extLst>
        </c:ser>
        <c:ser>
          <c:idx val="1"/>
          <c:order val="1"/>
          <c:tx>
            <c:strRef>
              <c:f>'Weighted Average'!$A$54</c:f>
              <c:strCache>
                <c:ptCount val="1"/>
                <c:pt idx="0">
                  <c:v>Nickel metal hydrid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'Weighted Average'!$B$52:$AZ$52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Average'!$B$54:$AZ$54</c:f>
              <c:numCache>
                <c:formatCode>0.00</c:formatCode>
                <c:ptCount val="51"/>
                <c:pt idx="0">
                  <c:v>8.9262246331306123</c:v>
                </c:pt>
                <c:pt idx="1">
                  <c:v>8.1157558963133507</c:v>
                </c:pt>
                <c:pt idx="2">
                  <c:v>7.3793968731450486</c:v>
                </c:pt>
                <c:pt idx="3">
                  <c:v>6.7111778245480025</c:v>
                </c:pt>
                <c:pt idx="4">
                  <c:v>6.1042190000367604</c:v>
                </c:pt>
                <c:pt idx="5">
                  <c:v>5.552450757921302</c:v>
                </c:pt>
                <c:pt idx="6">
                  <c:v>5.0519503189416453</c:v>
                </c:pt>
                <c:pt idx="7">
                  <c:v>4.5977423199917249</c:v>
                </c:pt>
                <c:pt idx="8">
                  <c:v>4.184897190246935</c:v>
                </c:pt>
                <c:pt idx="9">
                  <c:v>3.8098163121161348</c:v>
                </c:pt>
                <c:pt idx="10">
                  <c:v>3.4679441824927411</c:v>
                </c:pt>
                <c:pt idx="11">
                  <c:v>3.16558708769979</c:v>
                </c:pt>
                <c:pt idx="12">
                  <c:v>3.4860278301873509</c:v>
                </c:pt>
                <c:pt idx="13">
                  <c:v>4.2143127018606732</c:v>
                </c:pt>
                <c:pt idx="14">
                  <c:v>3.9189791322813248</c:v>
                </c:pt>
                <c:pt idx="15">
                  <c:v>3.7897041756016008</c:v>
                </c:pt>
                <c:pt idx="16">
                  <c:v>3.7560056655828316</c:v>
                </c:pt>
                <c:pt idx="17">
                  <c:v>5.0606192472778195</c:v>
                </c:pt>
                <c:pt idx="18">
                  <c:v>2.9020101246554737</c:v>
                </c:pt>
                <c:pt idx="19">
                  <c:v>2.4556745604445283</c:v>
                </c:pt>
                <c:pt idx="20">
                  <c:v>1.9815844616376532</c:v>
                </c:pt>
                <c:pt idx="21">
                  <c:v>1.9980496922170532</c:v>
                </c:pt>
                <c:pt idx="22">
                  <c:v>1.9140003671498675</c:v>
                </c:pt>
                <c:pt idx="23" formatCode="0.00%">
                  <c:v>1.8948599999999999E-2</c:v>
                </c:pt>
                <c:pt idx="24" formatCode="0.00%">
                  <c:v>1.8759114E-2</c:v>
                </c:pt>
                <c:pt idx="25" formatCode="0.00%">
                  <c:v>1.8665318430000001E-2</c:v>
                </c:pt>
                <c:pt idx="26" formatCode="0.00%">
                  <c:v>1.8571991837850001E-2</c:v>
                </c:pt>
                <c:pt idx="27" formatCode="0.00%">
                  <c:v>1.8479131878660751E-2</c:v>
                </c:pt>
                <c:pt idx="28" formatCode="0.00%">
                  <c:v>1.8386736219267449E-2</c:v>
                </c:pt>
                <c:pt idx="29" formatCode="0.00%">
                  <c:v>1.8294802538171111E-2</c:v>
                </c:pt>
                <c:pt idx="30" formatCode="0.00%">
                  <c:v>1.8203328525480254E-2</c:v>
                </c:pt>
                <c:pt idx="31" formatCode="0.00%">
                  <c:v>1.8112311882852852E-2</c:v>
                </c:pt>
                <c:pt idx="32" formatCode="0.00%">
                  <c:v>1.8021750323438588E-2</c:v>
                </c:pt>
                <c:pt idx="33" formatCode="0.00%">
                  <c:v>1.7931641571821394E-2</c:v>
                </c:pt>
                <c:pt idx="34" formatCode="0.00%">
                  <c:v>1.7841983363962286E-2</c:v>
                </c:pt>
                <c:pt idx="35" formatCode="0.00%">
                  <c:v>1.7752773447142475E-2</c:v>
                </c:pt>
                <c:pt idx="36" formatCode="0.00%">
                  <c:v>1.7664009579906763E-2</c:v>
                </c:pt>
                <c:pt idx="37" formatCode="0.00%">
                  <c:v>1.7575689532007228E-2</c:v>
                </c:pt>
                <c:pt idx="38" formatCode="0.00%">
                  <c:v>1.7487811084347191E-2</c:v>
                </c:pt>
                <c:pt idx="39" formatCode="0.00%">
                  <c:v>1.7400372028925457E-2</c:v>
                </c:pt>
                <c:pt idx="40" formatCode="0.00%">
                  <c:v>1.7313370168780828E-2</c:v>
                </c:pt>
                <c:pt idx="41" formatCode="0.00%">
                  <c:v>1.7226803317936922E-2</c:v>
                </c:pt>
                <c:pt idx="42" formatCode="0.00%">
                  <c:v>1.7140669301347236E-2</c:v>
                </c:pt>
                <c:pt idx="43" formatCode="0.00%">
                  <c:v>1.70549659548405E-2</c:v>
                </c:pt>
                <c:pt idx="44" formatCode="0.00%">
                  <c:v>1.6969691125066296E-2</c:v>
                </c:pt>
                <c:pt idx="45" formatCode="0.00%">
                  <c:v>1.6884842669440965E-2</c:v>
                </c:pt>
                <c:pt idx="46" formatCode="0.00%">
                  <c:v>1.6800418456093761E-2</c:v>
                </c:pt>
                <c:pt idx="47" formatCode="0.00%">
                  <c:v>1.6716416363813293E-2</c:v>
                </c:pt>
                <c:pt idx="48" formatCode="0.00%">
                  <c:v>1.6632834281994226E-2</c:v>
                </c:pt>
                <c:pt idx="49" formatCode="0.00%">
                  <c:v>1.6549670110584256E-2</c:v>
                </c:pt>
                <c:pt idx="50" formatCode="0.00%">
                  <c:v>1.6466921760031335E-2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1-4273-9DE5-9B4610800904}"/>
            </c:ext>
          </c:extLst>
        </c:ser>
        <c:ser>
          <c:idx val="2"/>
          <c:order val="2"/>
          <c:tx>
            <c:strRef>
              <c:f>'Weighted Average'!$A$55</c:f>
              <c:strCache>
                <c:ptCount val="1"/>
                <c:pt idx="0">
                  <c:v>Lead acid batteries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'Weighted Average'!$B$52:$AZ$52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Average'!$B$55:$AZ$55</c:f>
              <c:numCache>
                <c:formatCode>0.00</c:formatCode>
                <c:ptCount val="51"/>
                <c:pt idx="0">
                  <c:v>5.5425833850815396</c:v>
                </c:pt>
                <c:pt idx="1">
                  <c:v>5.6560611376639773</c:v>
                </c:pt>
                <c:pt idx="2">
                  <c:v>5.772074114660148</c:v>
                </c:pt>
                <c:pt idx="3">
                  <c:v>5.8910719331257528</c:v>
                </c:pt>
                <c:pt idx="4">
                  <c:v>6.0129075789546453</c:v>
                </c:pt>
                <c:pt idx="5">
                  <c:v>6.1374339492559864</c:v>
                </c:pt>
                <c:pt idx="6">
                  <c:v>6.2654369322700418</c:v>
                </c:pt>
                <c:pt idx="7">
                  <c:v>6.3969618114368316</c:v>
                </c:pt>
                <c:pt idx="8">
                  <c:v>6.5316767027342078</c:v>
                </c:pt>
                <c:pt idx="9">
                  <c:v>6.6698629786043382</c:v>
                </c:pt>
                <c:pt idx="10">
                  <c:v>6.8105582147017714</c:v>
                </c:pt>
                <c:pt idx="11">
                  <c:v>6.9614943389746591</c:v>
                </c:pt>
                <c:pt idx="12">
                  <c:v>6.587549158489618</c:v>
                </c:pt>
                <c:pt idx="13">
                  <c:v>6.0833119250852317</c:v>
                </c:pt>
                <c:pt idx="14">
                  <c:v>5.3684127329124944</c:v>
                </c:pt>
                <c:pt idx="15">
                  <c:v>5.1039153885696047</c:v>
                </c:pt>
                <c:pt idx="16">
                  <c:v>4.7398620678878896</c:v>
                </c:pt>
                <c:pt idx="17">
                  <c:v>4.0889991716850638</c:v>
                </c:pt>
                <c:pt idx="18">
                  <c:v>4.0892278727162132</c:v>
                </c:pt>
                <c:pt idx="19">
                  <c:v>5.3519320713152556</c:v>
                </c:pt>
                <c:pt idx="20">
                  <c:v>5.9286347517730498</c:v>
                </c:pt>
                <c:pt idx="21">
                  <c:v>5.9778965117932685</c:v>
                </c:pt>
                <c:pt idx="22">
                  <c:v>4.7630909770507737</c:v>
                </c:pt>
                <c:pt idx="23" formatCode="0.00%">
                  <c:v>4.6677400000000001E-2</c:v>
                </c:pt>
                <c:pt idx="24" formatCode="0.00%">
                  <c:v>4.5277077999999998E-2</c:v>
                </c:pt>
                <c:pt idx="25" formatCode="0.00%">
                  <c:v>4.3465994879999997E-2</c:v>
                </c:pt>
                <c:pt idx="26" formatCode="0.00%">
                  <c:v>4.1292695136E-2</c:v>
                </c:pt>
                <c:pt idx="27" formatCode="0.00%">
                  <c:v>3.8815133427840001E-2</c:v>
                </c:pt>
                <c:pt idx="28" formatCode="0.00%">
                  <c:v>3.6098074087891202E-2</c:v>
                </c:pt>
                <c:pt idx="29" formatCode="0.00%">
                  <c:v>3.3210228160859903E-2</c:v>
                </c:pt>
                <c:pt idx="30" formatCode="0.00%">
                  <c:v>3.0221307626382511E-2</c:v>
                </c:pt>
                <c:pt idx="31" formatCode="0.00%">
                  <c:v>2.7199176863744259E-2</c:v>
                </c:pt>
                <c:pt idx="32" formatCode="0.00%">
                  <c:v>2.4479259177369834E-2</c:v>
                </c:pt>
                <c:pt idx="33" formatCode="0.00%">
                  <c:v>2.203133325963285E-2</c:v>
                </c:pt>
                <c:pt idx="34" formatCode="0.00%">
                  <c:v>1.9828199933669566E-2</c:v>
                </c:pt>
                <c:pt idx="35" formatCode="0.00%">
                  <c:v>1.7845379940302608E-2</c:v>
                </c:pt>
                <c:pt idx="36" formatCode="0.00%">
                  <c:v>1.6060841946272348E-2</c:v>
                </c:pt>
                <c:pt idx="37" formatCode="0.00%">
                  <c:v>1.4454757751645113E-2</c:v>
                </c:pt>
                <c:pt idx="38" formatCode="0.00%">
                  <c:v>1.3009281976480602E-2</c:v>
                </c:pt>
                <c:pt idx="39" formatCode="0.00%">
                  <c:v>1.1708353778832541E-2</c:v>
                </c:pt>
                <c:pt idx="40" formatCode="0.00%">
                  <c:v>1.0537518400949287E-2</c:v>
                </c:pt>
                <c:pt idx="41" formatCode="0.00%">
                  <c:v>9.4837665608543589E-3</c:v>
                </c:pt>
                <c:pt idx="42" formatCode="0.00%">
                  <c:v>8.5353899047689238E-3</c:v>
                </c:pt>
                <c:pt idx="43" formatCode="0.00%">
                  <c:v>7.6818509142920315E-3</c:v>
                </c:pt>
                <c:pt idx="44" formatCode="0.00%">
                  <c:v>6.9136658228628285E-3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1-4273-9DE5-9B4610800904}"/>
            </c:ext>
          </c:extLst>
        </c:ser>
        <c:ser>
          <c:idx val="3"/>
          <c:order val="3"/>
          <c:tx>
            <c:strRef>
              <c:f>'Weighted Average'!$A$56</c:f>
              <c:strCache>
                <c:ptCount val="1"/>
                <c:pt idx="0">
                  <c:v>Nickel cadmium batteries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'Weighted Average'!$B$52:$AZ$52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Average'!$B$56:$AZ$56</c:f>
              <c:numCache>
                <c:formatCode>0.00</c:formatCode>
                <c:ptCount val="51"/>
                <c:pt idx="0">
                  <c:v>17.243563420215995</c:v>
                </c:pt>
                <c:pt idx="1">
                  <c:v>15.675811237404298</c:v>
                </c:pt>
                <c:pt idx="2">
                  <c:v>14.250515411768491</c:v>
                </c:pt>
                <c:pt idx="3">
                  <c:v>12.954606750569852</c:v>
                </c:pt>
                <c:pt idx="4">
                  <c:v>11.77642867999432</c:v>
                </c:pt>
                <c:pt idx="5">
                  <c:v>10.705355773775798</c:v>
                </c:pt>
                <c:pt idx="6">
                  <c:v>9.7314820416181096</c:v>
                </c:pt>
                <c:pt idx="7">
                  <c:v>8.8460198232740073</c:v>
                </c:pt>
                <c:pt idx="8">
                  <c:v>8.041043161507293</c:v>
                </c:pt>
                <c:pt idx="9">
                  <c:v>7.3092102063093254</c:v>
                </c:pt>
                <c:pt idx="10">
                  <c:v>6.6440449899783944</c:v>
                </c:pt>
                <c:pt idx="11">
                  <c:v>6.0390962990270785</c:v>
                </c:pt>
                <c:pt idx="12">
                  <c:v>5.6439734722289563</c:v>
                </c:pt>
                <c:pt idx="13">
                  <c:v>6.0143513139336902</c:v>
                </c:pt>
                <c:pt idx="14">
                  <c:v>5.6414198175693944</c:v>
                </c:pt>
                <c:pt idx="15">
                  <c:v>5.6964489652819896</c:v>
                </c:pt>
                <c:pt idx="16">
                  <c:v>5.5330198041866367</c:v>
                </c:pt>
                <c:pt idx="17">
                  <c:v>6.1818861448625109</c:v>
                </c:pt>
                <c:pt idx="18">
                  <c:v>5.3866582658683679</c:v>
                </c:pt>
                <c:pt idx="19">
                  <c:v>3.8846922084220386</c:v>
                </c:pt>
                <c:pt idx="20">
                  <c:v>4.9062430164760382</c:v>
                </c:pt>
                <c:pt idx="21">
                  <c:v>4.0372155990551049</c:v>
                </c:pt>
                <c:pt idx="22">
                  <c:v>3.0557260819024652</c:v>
                </c:pt>
                <c:pt idx="23" formatCode="0.00%">
                  <c:v>2.7540000000000002E-2</c:v>
                </c:pt>
                <c:pt idx="24" formatCode="0.00%">
                  <c:v>2.4786000000000002E-2</c:v>
                </c:pt>
                <c:pt idx="25" formatCode="0.00%">
                  <c:v>2.2307400000000002E-2</c:v>
                </c:pt>
                <c:pt idx="26" formatCode="0.00%">
                  <c:v>2.0076660000000003E-2</c:v>
                </c:pt>
                <c:pt idx="27" formatCode="0.00%">
                  <c:v>1.8068994000000001E-2</c:v>
                </c:pt>
                <c:pt idx="28" formatCode="0.00%">
                  <c:v>1.6262094600000002E-2</c:v>
                </c:pt>
                <c:pt idx="29" formatCode="0.00%">
                  <c:v>1.4635885140000002E-2</c:v>
                </c:pt>
                <c:pt idx="30" formatCode="0.00%">
                  <c:v>1.3172296626000002E-2</c:v>
                </c:pt>
                <c:pt idx="31" formatCode="0.00%">
                  <c:v>1.1855066963400001E-2</c:v>
                </c:pt>
                <c:pt idx="32" formatCode="0.00%">
                  <c:v>1.0669560267060001E-2</c:v>
                </c:pt>
                <c:pt idx="33" formatCode="0.00%">
                  <c:v>9.6026042403540013E-3</c:v>
                </c:pt>
                <c:pt idx="34" formatCode="0.00%">
                  <c:v>8.6423438163186015E-3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1-4273-9DE5-9B4610800904}"/>
            </c:ext>
          </c:extLst>
        </c:ser>
        <c:ser>
          <c:idx val="4"/>
          <c:order val="4"/>
          <c:tx>
            <c:strRef>
              <c:f>'Weighted Average'!$A$57</c:f>
              <c:strCache>
                <c:ptCount val="1"/>
                <c:pt idx="0">
                  <c:v>Lithium-Ion Batteries primary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'Weighted Average'!$B$52:$AZ$52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Average'!$B$57:$AZ$57</c:f>
              <c:numCache>
                <c:formatCode>0.00</c:formatCode>
                <c:ptCount val="51"/>
                <c:pt idx="0">
                  <c:v>0.46442418343488162</c:v>
                </c:pt>
                <c:pt idx="1">
                  <c:v>0.47390222799477721</c:v>
                </c:pt>
                <c:pt idx="2">
                  <c:v>0.483573702035487</c:v>
                </c:pt>
                <c:pt idx="3">
                  <c:v>0.49344255309743568</c:v>
                </c:pt>
                <c:pt idx="4">
                  <c:v>0.50351280928309761</c:v>
                </c:pt>
                <c:pt idx="5">
                  <c:v>0.51378858090112001</c:v>
                </c:pt>
                <c:pt idx="6">
                  <c:v>0.52427406214399996</c:v>
                </c:pt>
                <c:pt idx="7">
                  <c:v>0.53497353279999993</c:v>
                </c:pt>
                <c:pt idx="8">
                  <c:v>0.54589135999999994</c:v>
                </c:pt>
                <c:pt idx="9">
                  <c:v>0.55703199999999997</c:v>
                </c:pt>
                <c:pt idx="10">
                  <c:v>0.56840000000000002</c:v>
                </c:pt>
                <c:pt idx="11">
                  <c:v>0.57713199348180333</c:v>
                </c:pt>
                <c:pt idx="12">
                  <c:v>0.84074150644338785</c:v>
                </c:pt>
                <c:pt idx="13">
                  <c:v>0.6275727107092246</c:v>
                </c:pt>
                <c:pt idx="14">
                  <c:v>0.69920756475993873</c:v>
                </c:pt>
                <c:pt idx="15">
                  <c:v>0.82553302132085293</c:v>
                </c:pt>
                <c:pt idx="16">
                  <c:v>1.0022550739163119</c:v>
                </c:pt>
                <c:pt idx="17">
                  <c:v>1.1206659338907843</c:v>
                </c:pt>
                <c:pt idx="18">
                  <c:v>1.1707441805247345</c:v>
                </c:pt>
                <c:pt idx="19">
                  <c:v>1.0669340851738907</c:v>
                </c:pt>
                <c:pt idx="20">
                  <c:v>0.79787234042553201</c:v>
                </c:pt>
                <c:pt idx="21">
                  <c:v>1.271256682645153</c:v>
                </c:pt>
                <c:pt idx="22">
                  <c:v>0.85487469544314532</c:v>
                </c:pt>
                <c:pt idx="23" formatCode="0.00%">
                  <c:v>8.8920000000000006E-3</c:v>
                </c:pt>
                <c:pt idx="24" formatCode="0.00%">
                  <c:v>9.2476800000000012E-3</c:v>
                </c:pt>
                <c:pt idx="25" formatCode="0.00%">
                  <c:v>9.7100640000000009E-3</c:v>
                </c:pt>
                <c:pt idx="26" formatCode="0.00%">
                  <c:v>1.0195567200000002E-2</c:v>
                </c:pt>
                <c:pt idx="27" formatCode="0.00%">
                  <c:v>1.0705345560000003E-2</c:v>
                </c:pt>
                <c:pt idx="28" formatCode="0.00%">
                  <c:v>1.1240612838000003E-2</c:v>
                </c:pt>
                <c:pt idx="29" formatCode="0.00%">
                  <c:v>1.1802643479900003E-2</c:v>
                </c:pt>
                <c:pt idx="30" formatCode="0.00%">
                  <c:v>1.2392775653895004E-2</c:v>
                </c:pt>
                <c:pt idx="31" formatCode="0.00%">
                  <c:v>1.3260269949667655E-2</c:v>
                </c:pt>
                <c:pt idx="32" formatCode="0.00%">
                  <c:v>1.4188488846144392E-2</c:v>
                </c:pt>
                <c:pt idx="33" formatCode="0.00%">
                  <c:v>1.5181683065374499E-2</c:v>
                </c:pt>
                <c:pt idx="34" formatCode="0.00%">
                  <c:v>1.6244400879950716E-2</c:v>
                </c:pt>
                <c:pt idx="35" formatCode="0.00%">
                  <c:v>1.7381508941547268E-2</c:v>
                </c:pt>
                <c:pt idx="36" formatCode="0.00%">
                  <c:v>1.877202965687105E-2</c:v>
                </c:pt>
                <c:pt idx="37" formatCode="0.00%">
                  <c:v>2.0273792029420735E-2</c:v>
                </c:pt>
                <c:pt idx="38" formatCode="0.00%">
                  <c:v>2.1895695391774394E-2</c:v>
                </c:pt>
                <c:pt idx="39" formatCode="0.00%">
                  <c:v>2.3647351023116346E-2</c:v>
                </c:pt>
                <c:pt idx="40" formatCode="0.00%">
                  <c:v>2.5539139104965653E-2</c:v>
                </c:pt>
                <c:pt idx="41" formatCode="0.00%">
                  <c:v>2.7582270233362904E-2</c:v>
                </c:pt>
                <c:pt idx="42" formatCode="0.00%">
                  <c:v>2.9788851852031936E-2</c:v>
                </c:pt>
                <c:pt idx="43" formatCode="0.00%">
                  <c:v>3.217196000019449E-2</c:v>
                </c:pt>
                <c:pt idx="44" formatCode="0.00%">
                  <c:v>3.4745716800210047E-2</c:v>
                </c:pt>
                <c:pt idx="45" formatCode="0.00%">
                  <c:v>3.7525374144226853E-2</c:v>
                </c:pt>
                <c:pt idx="46" formatCode="0.00%">
                  <c:v>4.0902657817207269E-2</c:v>
                </c:pt>
                <c:pt idx="47" formatCode="0.00%">
                  <c:v>4.4583897020755922E-2</c:v>
                </c:pt>
                <c:pt idx="48" formatCode="0.00%">
                  <c:v>4.8596447752623957E-2</c:v>
                </c:pt>
                <c:pt idx="49" formatCode="0.00%">
                  <c:v>5.297012805036011E-2</c:v>
                </c:pt>
                <c:pt idx="50" formatCode="0.00%">
                  <c:v>5.7737439574892517E-2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B1-4273-9DE5-9B4610800904}"/>
            </c:ext>
          </c:extLst>
        </c:ser>
        <c:ser>
          <c:idx val="5"/>
          <c:order val="5"/>
          <c:tx>
            <c:strRef>
              <c:f>'Weighted Average'!$A$58</c:f>
              <c:strCache>
                <c:ptCount val="1"/>
                <c:pt idx="0">
                  <c:v>Lithium-Ion Batteries rechargeable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'Weighted Average'!$B$52:$AZ$52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Average'!$B$58:$AZ$58</c:f>
              <c:numCache>
                <c:formatCode>0.00</c:formatCode>
                <c:ptCount val="51"/>
                <c:pt idx="0">
                  <c:v>1.8683576948840623</c:v>
                </c:pt>
                <c:pt idx="1">
                  <c:v>1.9065342702674213</c:v>
                </c:pt>
                <c:pt idx="2">
                  <c:v>1.9455181928485361</c:v>
                </c:pt>
                <c:pt idx="3">
                  <c:v>1.9853771510925677</c:v>
                </c:pt>
                <c:pt idx="4">
                  <c:v>2.0261022397009167</c:v>
                </c:pt>
                <c:pt idx="5">
                  <c:v>2.0676847463821328</c:v>
                </c:pt>
                <c:pt idx="6">
                  <c:v>2.1102362554191543</c:v>
                </c:pt>
                <c:pt idx="7">
                  <c:v>2.1537732385888999</c:v>
                </c:pt>
                <c:pt idx="8">
                  <c:v>2.1982638385697495</c:v>
                </c:pt>
                <c:pt idx="9">
                  <c:v>2.2437553536817467</c:v>
                </c:pt>
                <c:pt idx="10">
                  <c:v>2.2901352157536938</c:v>
                </c:pt>
                <c:pt idx="11">
                  <c:v>2.342172306242591</c:v>
                </c:pt>
                <c:pt idx="12">
                  <c:v>2.3796640780994669</c:v>
                </c:pt>
                <c:pt idx="13">
                  <c:v>3.0122513424922759</c:v>
                </c:pt>
                <c:pt idx="14">
                  <c:v>4.4681275151059072</c:v>
                </c:pt>
                <c:pt idx="15">
                  <c:v>4.2094101187907746</c:v>
                </c:pt>
                <c:pt idx="16">
                  <c:v>5.3167908195474958</c:v>
                </c:pt>
                <c:pt idx="17">
                  <c:v>4.623562812492402</c:v>
                </c:pt>
                <c:pt idx="18">
                  <c:v>5.4479024612713127</c:v>
                </c:pt>
                <c:pt idx="19">
                  <c:v>4.8575092267604827</c:v>
                </c:pt>
                <c:pt idx="20">
                  <c:v>9.3894114539950841</c:v>
                </c:pt>
                <c:pt idx="21">
                  <c:v>7.7263120087306083</c:v>
                </c:pt>
                <c:pt idx="22">
                  <c:v>6.9795162097638475</c:v>
                </c:pt>
                <c:pt idx="23" formatCode="0.00%">
                  <c:v>7.3289999999999994E-2</c:v>
                </c:pt>
                <c:pt idx="24" formatCode="0.00%">
                  <c:v>7.6954499999999995E-2</c:v>
                </c:pt>
                <c:pt idx="25" formatCode="0.00%">
                  <c:v>8.0802224999999991E-2</c:v>
                </c:pt>
                <c:pt idx="26" formatCode="0.00%">
                  <c:v>8.4842336249999997E-2</c:v>
                </c:pt>
                <c:pt idx="27" formatCode="0.00%">
                  <c:v>8.9084453062499999E-2</c:v>
                </c:pt>
                <c:pt idx="28" formatCode="0.00%">
                  <c:v>9.3538675715625005E-2</c:v>
                </c:pt>
                <c:pt idx="29" formatCode="0.00%">
                  <c:v>9.8215609501406259E-2</c:v>
                </c:pt>
                <c:pt idx="30" formatCode="0.00%">
                  <c:v>0.10312638997647658</c:v>
                </c:pt>
                <c:pt idx="31" formatCode="0.00%">
                  <c:v>0.10828270947530041</c:v>
                </c:pt>
                <c:pt idx="32" formatCode="0.00%">
                  <c:v>0.11369684494906543</c:v>
                </c:pt>
                <c:pt idx="33" formatCode="0.00%">
                  <c:v>0.1193816871965187</c:v>
                </c:pt>
                <c:pt idx="34" formatCode="0.00%">
                  <c:v>0.12535077155634464</c:v>
                </c:pt>
                <c:pt idx="35" formatCode="0.00%">
                  <c:v>0.13161831013416186</c:v>
                </c:pt>
                <c:pt idx="36" formatCode="0.00%">
                  <c:v>0.13819922564086995</c:v>
                </c:pt>
                <c:pt idx="37" formatCode="0.00%">
                  <c:v>0.14510918692291344</c:v>
                </c:pt>
                <c:pt idx="38" formatCode="0.00%">
                  <c:v>0.1523646462690591</c:v>
                </c:pt>
                <c:pt idx="39" formatCode="0.00%">
                  <c:v>0.15998287858251206</c:v>
                </c:pt>
                <c:pt idx="40" formatCode="0.00%">
                  <c:v>0.16798202251163766</c:v>
                </c:pt>
                <c:pt idx="41" formatCode="0.00%">
                  <c:v>0.17638112363721953</c:v>
                </c:pt>
                <c:pt idx="42" formatCode="0.00%">
                  <c:v>0.18520017981908049</c:v>
                </c:pt>
                <c:pt idx="43" formatCode="0.00%">
                  <c:v>0.19446018881003452</c:v>
                </c:pt>
                <c:pt idx="44" formatCode="0.00%">
                  <c:v>0.20418319825053624</c:v>
                </c:pt>
                <c:pt idx="45" formatCode="0.00%">
                  <c:v>0.21439235816306307</c:v>
                </c:pt>
                <c:pt idx="46" formatCode="0.00%">
                  <c:v>0.22511197607121622</c:v>
                </c:pt>
                <c:pt idx="47" formatCode="0.00%">
                  <c:v>0.23186533535335271</c:v>
                </c:pt>
                <c:pt idx="48" formatCode="0.00%">
                  <c:v>0.23882129541395331</c:v>
                </c:pt>
                <c:pt idx="49" formatCode="0.00%">
                  <c:v>0.24598593427637191</c:v>
                </c:pt>
                <c:pt idx="50" formatCode="0.00%">
                  <c:v>0.25336551230466309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B1-4273-9DE5-9B4610800904}"/>
            </c:ext>
          </c:extLst>
        </c:ser>
        <c:ser>
          <c:idx val="6"/>
          <c:order val="6"/>
          <c:tx>
            <c:strRef>
              <c:f>'Weighted Average'!$A$59</c:f>
              <c:strCache>
                <c:ptCount val="1"/>
                <c:pt idx="0">
                  <c:v>Other batteries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'Weighted Average'!$B$52:$AZ$52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Average'!$B$59:$AZ$59</c:f>
              <c:numCache>
                <c:formatCode>0.00</c:formatCode>
                <c:ptCount val="51"/>
                <c:pt idx="0">
                  <c:v>0.75815519699821654</c:v>
                </c:pt>
                <c:pt idx="1">
                  <c:v>0.74347284956580628</c:v>
                </c:pt>
                <c:pt idx="2">
                  <c:v>0.72904830145258093</c:v>
                </c:pt>
                <c:pt idx="3">
                  <c:v>0.71481351098110557</c:v>
                </c:pt>
                <c:pt idx="4">
                  <c:v>0.70080714535044808</c:v>
                </c:pt>
                <c:pt idx="5">
                  <c:v>0.68706173914026802</c:v>
                </c:pt>
                <c:pt idx="6">
                  <c:v>0.67346782861483123</c:v>
                </c:pt>
                <c:pt idx="7">
                  <c:v>0.66003817971509215</c:v>
                </c:pt>
                <c:pt idx="8">
                  <c:v>0.64683472530963737</c:v>
                </c:pt>
                <c:pt idx="9">
                  <c:v>0.63383091920329404</c:v>
                </c:pt>
                <c:pt idx="10">
                  <c:v>0.62115697718840734</c:v>
                </c:pt>
                <c:pt idx="11">
                  <c:v>0.6040192651367412</c:v>
                </c:pt>
                <c:pt idx="12">
                  <c:v>0.81549775624301657</c:v>
                </c:pt>
                <c:pt idx="13">
                  <c:v>0.91211386120278592</c:v>
                </c:pt>
                <c:pt idx="14">
                  <c:v>0.9031321684865401</c:v>
                </c:pt>
                <c:pt idx="15">
                  <c:v>0.78228585008893003</c:v>
                </c:pt>
                <c:pt idx="16">
                  <c:v>0.90437925883560788</c:v>
                </c:pt>
                <c:pt idx="17">
                  <c:v>0.75328065193794314</c:v>
                </c:pt>
                <c:pt idx="18">
                  <c:v>0.82259183244776812</c:v>
                </c:pt>
                <c:pt idx="19">
                  <c:v>2.5551345175370095</c:v>
                </c:pt>
                <c:pt idx="20">
                  <c:v>1.340328708124251</c:v>
                </c:pt>
                <c:pt idx="21">
                  <c:v>0.8074431198110209</c:v>
                </c:pt>
                <c:pt idx="22">
                  <c:v>0.90010375506709672</c:v>
                </c:pt>
                <c:pt idx="23" formatCode="0.00%">
                  <c:v>9.0286000000000012E-3</c:v>
                </c:pt>
                <c:pt idx="24" formatCode="0.00%">
                  <c:v>9.2091720000000016E-3</c:v>
                </c:pt>
                <c:pt idx="25" formatCode="0.00%">
                  <c:v>9.3933554400000008E-3</c:v>
                </c:pt>
                <c:pt idx="26" formatCode="0.00%">
                  <c:v>9.5812225488000006E-3</c:v>
                </c:pt>
                <c:pt idx="27" formatCode="0.00%">
                  <c:v>9.7728469997759998E-3</c:v>
                </c:pt>
                <c:pt idx="28" formatCode="0.00%">
                  <c:v>9.9683039397715206E-3</c:v>
                </c:pt>
                <c:pt idx="29" formatCode="0.00%">
                  <c:v>1.016767001856695E-2</c:v>
                </c:pt>
                <c:pt idx="30" formatCode="0.00%">
                  <c:v>1.0371023418938289E-2</c:v>
                </c:pt>
                <c:pt idx="31" formatCode="0.00%">
                  <c:v>1.0578443887317055E-2</c:v>
                </c:pt>
                <c:pt idx="32" formatCode="0.00%">
                  <c:v>1.0790012765063396E-2</c:v>
                </c:pt>
                <c:pt idx="33" formatCode="0.00%">
                  <c:v>1.1005813020364665E-2</c:v>
                </c:pt>
                <c:pt idx="34" formatCode="0.00%">
                  <c:v>1.1225929280771959E-2</c:v>
                </c:pt>
                <c:pt idx="35" formatCode="0.00%">
                  <c:v>1.1450447866387398E-2</c:v>
                </c:pt>
                <c:pt idx="36" formatCode="0.00%">
                  <c:v>1.1679456823715146E-2</c:v>
                </c:pt>
                <c:pt idx="37" formatCode="0.00%">
                  <c:v>1.1913045960189449E-2</c:v>
                </c:pt>
                <c:pt idx="38" formatCode="0.00%">
                  <c:v>1.2151306879393238E-2</c:v>
                </c:pt>
                <c:pt idx="39" formatCode="0.00%">
                  <c:v>1.2394333016981103E-2</c:v>
                </c:pt>
                <c:pt idx="40" formatCode="0.00%">
                  <c:v>1.2642219677320725E-2</c:v>
                </c:pt>
                <c:pt idx="41" formatCode="0.00%">
                  <c:v>1.289506407086714E-2</c:v>
                </c:pt>
                <c:pt idx="42" formatCode="0.00%">
                  <c:v>1.3152965352284482E-2</c:v>
                </c:pt>
                <c:pt idx="43" formatCode="0.00%">
                  <c:v>1.3416024659330172E-2</c:v>
                </c:pt>
                <c:pt idx="44" formatCode="0.00%">
                  <c:v>1.3684345152516776E-2</c:v>
                </c:pt>
                <c:pt idx="45" formatCode="0.00%">
                  <c:v>1.3958032055567112E-2</c:v>
                </c:pt>
                <c:pt idx="46" formatCode="0.00%">
                  <c:v>1.4237192696678454E-2</c:v>
                </c:pt>
                <c:pt idx="47" formatCode="0.00%">
                  <c:v>1.4521936550612022E-2</c:v>
                </c:pt>
                <c:pt idx="48" formatCode="0.00%">
                  <c:v>1.4812375281624263E-2</c:v>
                </c:pt>
                <c:pt idx="49" formatCode="0.00%">
                  <c:v>1.5108622787256748E-2</c:v>
                </c:pt>
                <c:pt idx="50" formatCode="0.00%">
                  <c:v>1.5410795243001882E-2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B1-4273-9DE5-9B4610800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718927"/>
        <c:axId val="1739648591"/>
      </c:areaChart>
      <c:catAx>
        <c:axId val="182171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648591"/>
        <c:crosses val="autoZero"/>
        <c:auto val="1"/>
        <c:lblAlgn val="ctr"/>
        <c:lblOffset val="100"/>
        <c:noMultiLvlLbl val="0"/>
      </c:catAx>
      <c:valAx>
        <c:axId val="173964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171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Zn-based'!$B$11:$W$11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Zn-based'!$B$43:$W$43</c:f>
              <c:numCache>
                <c:formatCode>0.00</c:formatCode>
                <c:ptCount val="22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A-4739-A287-8463F1CA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Zn-based'!$B$11:$AZ$11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Zn-based'!$B$43:$AZ$43</c:f>
              <c:numCache>
                <c:formatCode>0.00</c:formatCode>
                <c:ptCount val="51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  <c:pt idx="22">
                  <c:v>193165.33837640219</c:v>
                </c:pt>
                <c:pt idx="23">
                  <c:v>197028.64514393019</c:v>
                </c:pt>
                <c:pt idx="24">
                  <c:v>200969.21804680873</c:v>
                </c:pt>
                <c:pt idx="25">
                  <c:v>204988.60240774491</c:v>
                </c:pt>
                <c:pt idx="26">
                  <c:v>209088.37445589984</c:v>
                </c:pt>
                <c:pt idx="27">
                  <c:v>213270.14194501791</c:v>
                </c:pt>
                <c:pt idx="28">
                  <c:v>217535.54478391822</c:v>
                </c:pt>
                <c:pt idx="29">
                  <c:v>221886.25567959659</c:v>
                </c:pt>
                <c:pt idx="30">
                  <c:v>226323.98079318856</c:v>
                </c:pt>
                <c:pt idx="31">
                  <c:v>230850.46040905223</c:v>
                </c:pt>
                <c:pt idx="32">
                  <c:v>235467.46961723329</c:v>
                </c:pt>
                <c:pt idx="33">
                  <c:v>240176.81900957791</c:v>
                </c:pt>
                <c:pt idx="34">
                  <c:v>244980.35538976954</c:v>
                </c:pt>
                <c:pt idx="35">
                  <c:v>249879.96249756496</c:v>
                </c:pt>
                <c:pt idx="36">
                  <c:v>254877.56174751624</c:v>
                </c:pt>
                <c:pt idx="37">
                  <c:v>259975.11298246655</c:v>
                </c:pt>
                <c:pt idx="38">
                  <c:v>265174.6152421158</c:v>
                </c:pt>
                <c:pt idx="39">
                  <c:v>270478.10754695826</c:v>
                </c:pt>
                <c:pt idx="40">
                  <c:v>273182.88862242777</c:v>
                </c:pt>
                <c:pt idx="41">
                  <c:v>275914.71750865201</c:v>
                </c:pt>
                <c:pt idx="42">
                  <c:v>278673.86468373856</c:v>
                </c:pt>
                <c:pt idx="43">
                  <c:v>281460.60333057598</c:v>
                </c:pt>
                <c:pt idx="44">
                  <c:v>284275.20936388173</c:v>
                </c:pt>
                <c:pt idx="45">
                  <c:v>287117.96145752055</c:v>
                </c:pt>
                <c:pt idx="46">
                  <c:v>289989.14107209572</c:v>
                </c:pt>
                <c:pt idx="47">
                  <c:v>292889.03248281672</c:v>
                </c:pt>
                <c:pt idx="48">
                  <c:v>295817.92280764482</c:v>
                </c:pt>
                <c:pt idx="49">
                  <c:v>298776.10203572136</c:v>
                </c:pt>
                <c:pt idx="50">
                  <c:v>301763.86305607855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D-48BD-AE1E-5B24C8BD2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61871"/>
        <c:axId val="1511691247"/>
      </c:lineChart>
      <c:catAx>
        <c:axId val="14522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691247"/>
        <c:crosses val="autoZero"/>
        <c:auto val="1"/>
        <c:lblAlgn val="ctr"/>
        <c:lblOffset val="100"/>
        <c:noMultiLvlLbl val="0"/>
      </c:catAx>
      <c:valAx>
        <c:axId val="15116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2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Li-Rechargeab'!$B$11:$W$11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Li-Rechargeab'!$B$43:$W$43</c:f>
              <c:numCache>
                <c:formatCode>0.00</c:formatCode>
                <c:ptCount val="22"/>
                <c:pt idx="0">
                  <c:v>2471.5335021797841</c:v>
                </c:pt>
                <c:pt idx="1">
                  <c:v>3311.8548929209128</c:v>
                </c:pt>
                <c:pt idx="2">
                  <c:v>4437.885556514022</c:v>
                </c:pt>
                <c:pt idx="3">
                  <c:v>6656.8283347710312</c:v>
                </c:pt>
                <c:pt idx="4">
                  <c:v>9985.2425021565468</c:v>
                </c:pt>
                <c:pt idx="5">
                  <c:v>12181.995852630989</c:v>
                </c:pt>
                <c:pt idx="6">
                  <c:v>14374.755106104563</c:v>
                </c:pt>
                <c:pt idx="7">
                  <c:v>17105.958576264431</c:v>
                </c:pt>
                <c:pt idx="8">
                  <c:v>23093.044077956984</c:v>
                </c:pt>
                <c:pt idx="9">
                  <c:v>17088.852617688168</c:v>
                </c:pt>
                <c:pt idx="10">
                  <c:v>28709.272397716122</c:v>
                </c:pt>
                <c:pt idx="11">
                  <c:v>37609.146841008114</c:v>
                </c:pt>
                <c:pt idx="12">
                  <c:v>38378.973910727749</c:v>
                </c:pt>
                <c:pt idx="13">
                  <c:v>35420.070410485409</c:v>
                </c:pt>
                <c:pt idx="14">
                  <c:v>37558.62119460712</c:v>
                </c:pt>
                <c:pt idx="15">
                  <c:v>39148.542686479544</c:v>
                </c:pt>
                <c:pt idx="16">
                  <c:v>45321.741450907379</c:v>
                </c:pt>
                <c:pt idx="17">
                  <c:v>53342.198737117949</c:v>
                </c:pt>
                <c:pt idx="18">
                  <c:v>54587.347169016633</c:v>
                </c:pt>
                <c:pt idx="19">
                  <c:v>64771.502364082153</c:v>
                </c:pt>
                <c:pt idx="20">
                  <c:v>74937.227378128446</c:v>
                </c:pt>
                <c:pt idx="21">
                  <c:v>81678.377529574995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A-4CA6-BBAA-0404D6000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Zn-based'!$L$9:$AZ$9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'Coll. portables Zn-based'!$L$41:$AZ$41</c:f>
              <c:numCache>
                <c:formatCode>0.00</c:formatCode>
                <c:ptCount val="41"/>
                <c:pt idx="0">
                  <c:v>55581.782842259068</c:v>
                </c:pt>
                <c:pt idx="1">
                  <c:v>56693.418499104249</c:v>
                </c:pt>
                <c:pt idx="2">
                  <c:v>62134.949913726996</c:v>
                </c:pt>
                <c:pt idx="3">
                  <c:v>63040.029352722646</c:v>
                </c:pt>
                <c:pt idx="4">
                  <c:v>66972.869300018239</c:v>
                </c:pt>
                <c:pt idx="5">
                  <c:v>73789.958999482507</c:v>
                </c:pt>
                <c:pt idx="6">
                  <c:v>81352.969533909141</c:v>
                </c:pt>
                <c:pt idx="7">
                  <c:v>81704.770087146739</c:v>
                </c:pt>
                <c:pt idx="8">
                  <c:v>89641.718247723125</c:v>
                </c:pt>
                <c:pt idx="9">
                  <c:v>98269.784082284619</c:v>
                </c:pt>
                <c:pt idx="10">
                  <c:v>91906.160782723528</c:v>
                </c:pt>
                <c:pt idx="11">
                  <c:v>106298.93587384127</c:v>
                </c:pt>
                <c:pt idx="12">
                  <c:v>116833.73192774576</c:v>
                </c:pt>
                <c:pt idx="13">
                  <c:v>122984.09814719186</c:v>
                </c:pt>
                <c:pt idx="14">
                  <c:v>128570.46095974234</c:v>
                </c:pt>
                <c:pt idx="15">
                  <c:v>134627.70795221324</c:v>
                </c:pt>
                <c:pt idx="16">
                  <c:v>140595.33538158747</c:v>
                </c:pt>
                <c:pt idx="17">
                  <c:v>146648.355546448</c:v>
                </c:pt>
                <c:pt idx="18">
                  <c:v>153117.13792072755</c:v>
                </c:pt>
                <c:pt idx="19">
                  <c:v>160825.5139296827</c:v>
                </c:pt>
                <c:pt idx="20">
                  <c:v>169651.99973793651</c:v>
                </c:pt>
                <c:pt idx="21">
                  <c:v>178307.46055132514</c:v>
                </c:pt>
                <c:pt idx="22">
                  <c:v>186525.11434838388</c:v>
                </c:pt>
                <c:pt idx="23">
                  <c:v>194212.57757956831</c:v>
                </c:pt>
                <c:pt idx="24">
                  <c:v>202284.31075354968</c:v>
                </c:pt>
                <c:pt idx="25">
                  <c:v>210764.28252486431</c:v>
                </c:pt>
                <c:pt idx="26">
                  <c:v>218571.43080189056</c:v>
                </c:pt>
                <c:pt idx="27">
                  <c:v>226745.47097368739</c:v>
                </c:pt>
                <c:pt idx="28">
                  <c:v>235305.45308175293</c:v>
                </c:pt>
                <c:pt idx="29">
                  <c:v>244221.83502525301</c:v>
                </c:pt>
                <c:pt idx="30">
                  <c:v>253155.02906959906</c:v>
                </c:pt>
                <c:pt idx="31">
                  <c:v>260253.29093257536</c:v>
                </c:pt>
                <c:pt idx="32">
                  <c:v>265434.4910894754</c:v>
                </c:pt>
                <c:pt idx="33">
                  <c:v>268926.63456088601</c:v>
                </c:pt>
                <c:pt idx="34">
                  <c:v>272451.76286484796</c:v>
                </c:pt>
                <c:pt idx="35">
                  <c:v>276018.4126903665</c:v>
                </c:pt>
                <c:pt idx="36">
                  <c:v>279567.29730760807</c:v>
                </c:pt>
                <c:pt idx="37">
                  <c:v>283097.15838464547</c:v>
                </c:pt>
                <c:pt idx="38">
                  <c:v>286606.71241314634</c:v>
                </c:pt>
                <c:pt idx="39">
                  <c:v>290154.01357662125</c:v>
                </c:pt>
                <c:pt idx="40">
                  <c:v>293739.55233096844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E-4BB0-89C8-1422F4D91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35248"/>
        <c:axId val="528295920"/>
      </c:lineChart>
      <c:catAx>
        <c:axId val="53313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295920"/>
        <c:crosses val="autoZero"/>
        <c:auto val="1"/>
        <c:lblAlgn val="ctr"/>
        <c:lblOffset val="100"/>
        <c:noMultiLvlLbl val="0"/>
      </c:catAx>
      <c:valAx>
        <c:axId val="5282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13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Li-rechargeable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Li-Rechargeab'!$B$11:$AZ$11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Li-Rechargeab'!$B$43:$AZ$43</c:f>
              <c:numCache>
                <c:formatCode>0.00</c:formatCode>
                <c:ptCount val="51"/>
                <c:pt idx="0">
                  <c:v>2471.5335021797841</c:v>
                </c:pt>
                <c:pt idx="1">
                  <c:v>3311.8548929209128</c:v>
                </c:pt>
                <c:pt idx="2">
                  <c:v>4437.885556514022</c:v>
                </c:pt>
                <c:pt idx="3">
                  <c:v>6656.8283347710312</c:v>
                </c:pt>
                <c:pt idx="4">
                  <c:v>9985.2425021565468</c:v>
                </c:pt>
                <c:pt idx="5">
                  <c:v>12181.995852630989</c:v>
                </c:pt>
                <c:pt idx="6">
                  <c:v>14374.755106104563</c:v>
                </c:pt>
                <c:pt idx="7">
                  <c:v>17105.958576264431</c:v>
                </c:pt>
                <c:pt idx="8">
                  <c:v>23093.044077956984</c:v>
                </c:pt>
                <c:pt idx="9">
                  <c:v>17088.852617688168</c:v>
                </c:pt>
                <c:pt idx="10">
                  <c:v>28709.272397716122</c:v>
                </c:pt>
                <c:pt idx="11">
                  <c:v>37609.146841008114</c:v>
                </c:pt>
                <c:pt idx="12">
                  <c:v>38378.973910727749</c:v>
                </c:pt>
                <c:pt idx="13">
                  <c:v>35420.070410485409</c:v>
                </c:pt>
                <c:pt idx="14">
                  <c:v>37558.62119460712</c:v>
                </c:pt>
                <c:pt idx="15">
                  <c:v>39148.542686479544</c:v>
                </c:pt>
                <c:pt idx="16">
                  <c:v>45321.741450907379</c:v>
                </c:pt>
                <c:pt idx="17">
                  <c:v>53342.198737117949</c:v>
                </c:pt>
                <c:pt idx="18">
                  <c:v>54587.347169016633</c:v>
                </c:pt>
                <c:pt idx="19">
                  <c:v>64771.502364082153</c:v>
                </c:pt>
                <c:pt idx="20">
                  <c:v>74937.227378128446</c:v>
                </c:pt>
                <c:pt idx="21">
                  <c:v>81678.377529574995</c:v>
                </c:pt>
                <c:pt idx="22">
                  <c:v>89846.215282532503</c:v>
                </c:pt>
                <c:pt idx="23">
                  <c:v>98830.836810785739</c:v>
                </c:pt>
                <c:pt idx="24">
                  <c:v>108713.92049186432</c:v>
                </c:pt>
                <c:pt idx="25">
                  <c:v>119585.31254105076</c:v>
                </c:pt>
                <c:pt idx="26">
                  <c:v>131543.84379515584</c:v>
                </c:pt>
                <c:pt idx="27">
                  <c:v>144698.22817467141</c:v>
                </c:pt>
                <c:pt idx="28">
                  <c:v>159168.05099213854</c:v>
                </c:pt>
                <c:pt idx="29">
                  <c:v>175084.85609135241</c:v>
                </c:pt>
                <c:pt idx="30">
                  <c:v>192593.34170048768</c:v>
                </c:pt>
                <c:pt idx="31">
                  <c:v>204148.94220251686</c:v>
                </c:pt>
                <c:pt idx="32">
                  <c:v>216397.87873466796</c:v>
                </c:pt>
                <c:pt idx="33">
                  <c:v>229381.75145874798</c:v>
                </c:pt>
                <c:pt idx="34">
                  <c:v>243144.65654627295</c:v>
                </c:pt>
                <c:pt idx="35">
                  <c:v>257733.33593904926</c:v>
                </c:pt>
                <c:pt idx="36">
                  <c:v>273197.33609539224</c:v>
                </c:pt>
                <c:pt idx="37">
                  <c:v>289589.1762611157</c:v>
                </c:pt>
                <c:pt idx="38">
                  <c:v>306964.52683678269</c:v>
                </c:pt>
                <c:pt idx="39">
                  <c:v>325382.39844698965</c:v>
                </c:pt>
                <c:pt idx="40">
                  <c:v>344905.34235380904</c:v>
                </c:pt>
                <c:pt idx="41">
                  <c:v>351803.44920088525</c:v>
                </c:pt>
                <c:pt idx="42">
                  <c:v>358839.51818490284</c:v>
                </c:pt>
                <c:pt idx="43">
                  <c:v>366016.30854860111</c:v>
                </c:pt>
                <c:pt idx="44">
                  <c:v>373336.63471957296</c:v>
                </c:pt>
                <c:pt idx="45">
                  <c:v>380803.36741396447</c:v>
                </c:pt>
                <c:pt idx="46">
                  <c:v>388419.43476224371</c:v>
                </c:pt>
                <c:pt idx="47">
                  <c:v>396187.82345748873</c:v>
                </c:pt>
                <c:pt idx="48">
                  <c:v>404111.5799266384</c:v>
                </c:pt>
                <c:pt idx="49">
                  <c:v>412193.81152517104</c:v>
                </c:pt>
                <c:pt idx="50">
                  <c:v>420437.68775567459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A-4606-B9BD-2F97D518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002287"/>
        <c:axId val="1787198303"/>
      </c:lineChart>
      <c:catAx>
        <c:axId val="188700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7198303"/>
        <c:crosses val="autoZero"/>
        <c:auto val="1"/>
        <c:lblAlgn val="ctr"/>
        <c:lblOffset val="100"/>
        <c:noMultiLvlLbl val="0"/>
      </c:catAx>
      <c:valAx>
        <c:axId val="17871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00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Li-Primary'!$B$11:$W$11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Li-Primary'!$B$43:$W$43</c:f>
              <c:numCache>
                <c:formatCode>0.00</c:formatCode>
                <c:ptCount val="22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8-4CA4-9EF9-BFC402312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Li-Primary batteries EU POM</a:t>
            </a:r>
            <a:r>
              <a:rPr lang="de-DE" sz="1200" b="0" i="0" baseline="0">
                <a:effectLst/>
              </a:rPr>
              <a:t> </a:t>
            </a:r>
            <a:r>
              <a:rPr lang="de-DE" sz="1600" b="0" i="0" baseline="0">
                <a:effectLst/>
              </a:rPr>
              <a:t>BAU Scenario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Li-Primary'!$B$11:$AZ$11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Li-Primary'!$B$43:$AZ$43</c:f>
              <c:numCache>
                <c:formatCode>0.00</c:formatCode>
                <c:ptCount val="51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  <c:pt idx="22">
                  <c:v>7343.1607584354515</c:v>
                </c:pt>
                <c:pt idx="23">
                  <c:v>7857.1820115259343</c:v>
                </c:pt>
                <c:pt idx="24">
                  <c:v>8407.1847523327469</c:v>
                </c:pt>
                <c:pt idx="25">
                  <c:v>8995.6876849960408</c:v>
                </c:pt>
                <c:pt idx="26">
                  <c:v>9625.3858229457637</c:v>
                </c:pt>
                <c:pt idx="27">
                  <c:v>10299.162830551968</c:v>
                </c:pt>
                <c:pt idx="28">
                  <c:v>11020.104228690605</c:v>
                </c:pt>
                <c:pt idx="29">
                  <c:v>11791.51152469895</c:v>
                </c:pt>
                <c:pt idx="30">
                  <c:v>12381.087100933893</c:v>
                </c:pt>
                <c:pt idx="31">
                  <c:v>13000.141455980591</c:v>
                </c:pt>
                <c:pt idx="32">
                  <c:v>13650.148528779619</c:v>
                </c:pt>
                <c:pt idx="33">
                  <c:v>14332.655955218597</c:v>
                </c:pt>
                <c:pt idx="34">
                  <c:v>15049.288752979532</c:v>
                </c:pt>
                <c:pt idx="35">
                  <c:v>15801.753190628513</c:v>
                </c:pt>
                <c:pt idx="36">
                  <c:v>16591.840850159933</c:v>
                </c:pt>
                <c:pt idx="37">
                  <c:v>17421.43289266793</c:v>
                </c:pt>
                <c:pt idx="38">
                  <c:v>18292.504537301331</c:v>
                </c:pt>
                <c:pt idx="39">
                  <c:v>18841.279673420369</c:v>
                </c:pt>
                <c:pt idx="40">
                  <c:v>19406.518063622978</c:v>
                </c:pt>
                <c:pt idx="41">
                  <c:v>19988.713605531666</c:v>
                </c:pt>
                <c:pt idx="42">
                  <c:v>20588.37501369762</c:v>
                </c:pt>
                <c:pt idx="43">
                  <c:v>21206.026264108543</c:v>
                </c:pt>
                <c:pt idx="44">
                  <c:v>21842.207052031801</c:v>
                </c:pt>
                <c:pt idx="45">
                  <c:v>22497.473263592754</c:v>
                </c:pt>
                <c:pt idx="46">
                  <c:v>22722.447996228686</c:v>
                </c:pt>
                <c:pt idx="47">
                  <c:v>22949.672476190972</c:v>
                </c:pt>
                <c:pt idx="48">
                  <c:v>23179.169200952878</c:v>
                </c:pt>
                <c:pt idx="49">
                  <c:v>23410.960892962405</c:v>
                </c:pt>
                <c:pt idx="50">
                  <c:v>23645.070501892027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F-4267-8317-DA56F6B22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19007"/>
        <c:axId val="1984420431"/>
      </c:lineChart>
      <c:catAx>
        <c:axId val="18815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20431"/>
        <c:crosses val="autoZero"/>
        <c:auto val="1"/>
        <c:lblAlgn val="ctr"/>
        <c:lblOffset val="100"/>
        <c:noMultiLvlLbl val="0"/>
      </c:catAx>
      <c:valAx>
        <c:axId val="19844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51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 batteries</a:t>
            </a:r>
            <a:r>
              <a:rPr lang="de-DE" baseline="0"/>
              <a:t> EU POM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Lead-acid'!$B$43:$W$43</c:f>
              <c:numCache>
                <c:formatCode>0.00</c:formatCode>
                <c:ptCount val="22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052-8453-B6F5F2128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Lead-acid batteries EU POM</a:t>
            </a:r>
            <a:r>
              <a:rPr lang="de-DE" sz="1100" b="0" i="0" baseline="0">
                <a:effectLst/>
              </a:rPr>
              <a:t> </a:t>
            </a:r>
            <a:r>
              <a:rPr lang="de-DE"/>
              <a:t>BAU</a:t>
            </a:r>
            <a:r>
              <a:rPr lang="de-DE" baseline="0"/>
              <a:t>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Lead-acid'!$B$11:$AZ$11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Lead-acid'!$B$43:$AZ$43</c:f>
              <c:numCache>
                <c:formatCode>0.00</c:formatCode>
                <c:ptCount val="51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  <c:pt idx="22">
                  <c:v>8807.6329618542786</c:v>
                </c:pt>
                <c:pt idx="23">
                  <c:v>8983.7856210913651</c:v>
                </c:pt>
                <c:pt idx="24">
                  <c:v>9163.4613335131926</c:v>
                </c:pt>
                <c:pt idx="25">
                  <c:v>9255.095946848327</c:v>
                </c:pt>
                <c:pt idx="26">
                  <c:v>4627.5479734241635</c:v>
                </c:pt>
                <c:pt idx="27">
                  <c:v>1156.8869933560409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5-4AB1-BA12-051D2326C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42751"/>
        <c:axId val="1454012335"/>
      </c:lineChart>
      <c:catAx>
        <c:axId val="15589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2335"/>
        <c:crosses val="autoZero"/>
        <c:auto val="1"/>
        <c:lblAlgn val="ctr"/>
        <c:lblOffset val="100"/>
        <c:noMultiLvlLbl val="0"/>
      </c:catAx>
      <c:valAx>
        <c:axId val="14540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NiMH'!$B$11:$W$11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NiMH'!$B$43:$W$43</c:f>
              <c:numCache>
                <c:formatCode>0.00</c:formatCode>
                <c:ptCount val="22"/>
                <c:pt idx="0">
                  <c:v>4903.833332798511</c:v>
                </c:pt>
                <c:pt idx="1">
                  <c:v>5590.369999390301</c:v>
                </c:pt>
                <c:pt idx="2">
                  <c:v>6373.0217993049437</c:v>
                </c:pt>
                <c:pt idx="3">
                  <c:v>7265.2448512076353</c:v>
                </c:pt>
                <c:pt idx="4">
                  <c:v>7701.1595422800947</c:v>
                </c:pt>
                <c:pt idx="5">
                  <c:v>9549.4378324273166</c:v>
                </c:pt>
                <c:pt idx="6">
                  <c:v>10886.35912896714</c:v>
                </c:pt>
                <c:pt idx="7">
                  <c:v>8600.2237118840421</c:v>
                </c:pt>
                <c:pt idx="8">
                  <c:v>9976.2595057854887</c:v>
                </c:pt>
                <c:pt idx="9">
                  <c:v>8579.583174975518</c:v>
                </c:pt>
                <c:pt idx="10">
                  <c:v>10810.274800469151</c:v>
                </c:pt>
                <c:pt idx="11">
                  <c:v>13729.048996595826</c:v>
                </c:pt>
                <c:pt idx="12">
                  <c:v>12034.105659340918</c:v>
                </c:pt>
                <c:pt idx="13">
                  <c:v>13096.462830142867</c:v>
                </c:pt>
                <c:pt idx="14">
                  <c:v>12276.836881610037</c:v>
                </c:pt>
                <c:pt idx="15">
                  <c:v>11722.475878595735</c:v>
                </c:pt>
                <c:pt idx="16">
                  <c:v>10607.44012051463</c:v>
                </c:pt>
                <c:pt idx="17">
                  <c:v>11282.641688771449</c:v>
                </c:pt>
                <c:pt idx="18">
                  <c:v>10777.650239587412</c:v>
                </c:pt>
                <c:pt idx="19">
                  <c:v>10797.727199176108</c:v>
                </c:pt>
                <c:pt idx="20">
                  <c:v>11112.365878589235</c:v>
                </c:pt>
                <c:pt idx="21">
                  <c:v>9396.5005990551072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6-43F0-8A3B-4D1F21F5D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93967"/>
        <c:axId val="1560330447"/>
      </c:lineChart>
      <c:catAx>
        <c:axId val="14683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30447"/>
        <c:crosses val="autoZero"/>
        <c:auto val="1"/>
        <c:lblAlgn val="ctr"/>
        <c:lblOffset val="100"/>
        <c:noMultiLvlLbl val="0"/>
      </c:catAx>
      <c:valAx>
        <c:axId val="15603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NiMH'!$B$11:$AZ$11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NiMH'!$B$43:$AZ$43</c:f>
              <c:numCache>
                <c:formatCode>0.00</c:formatCode>
                <c:ptCount val="51"/>
                <c:pt idx="0">
                  <c:v>4903.833332798511</c:v>
                </c:pt>
                <c:pt idx="1">
                  <c:v>5590.369999390301</c:v>
                </c:pt>
                <c:pt idx="2">
                  <c:v>6373.0217993049437</c:v>
                </c:pt>
                <c:pt idx="3">
                  <c:v>7265.2448512076353</c:v>
                </c:pt>
                <c:pt idx="4">
                  <c:v>7701.1595422800947</c:v>
                </c:pt>
                <c:pt idx="5">
                  <c:v>9549.4378324273166</c:v>
                </c:pt>
                <c:pt idx="6">
                  <c:v>10886.35912896714</c:v>
                </c:pt>
                <c:pt idx="7">
                  <c:v>8600.2237118840421</c:v>
                </c:pt>
                <c:pt idx="8">
                  <c:v>9976.2595057854887</c:v>
                </c:pt>
                <c:pt idx="9">
                  <c:v>8579.583174975518</c:v>
                </c:pt>
                <c:pt idx="10">
                  <c:v>10810.274800469151</c:v>
                </c:pt>
                <c:pt idx="11">
                  <c:v>13729.048996595826</c:v>
                </c:pt>
                <c:pt idx="12">
                  <c:v>12034.105659340918</c:v>
                </c:pt>
                <c:pt idx="13">
                  <c:v>13096.462830142867</c:v>
                </c:pt>
                <c:pt idx="14">
                  <c:v>12276.836881610037</c:v>
                </c:pt>
                <c:pt idx="15">
                  <c:v>11722.475878595735</c:v>
                </c:pt>
                <c:pt idx="16">
                  <c:v>10607.44012051463</c:v>
                </c:pt>
                <c:pt idx="17">
                  <c:v>11282.641688771449</c:v>
                </c:pt>
                <c:pt idx="18">
                  <c:v>10777.650239587412</c:v>
                </c:pt>
                <c:pt idx="19">
                  <c:v>10797.727199176108</c:v>
                </c:pt>
                <c:pt idx="20">
                  <c:v>11112.365878589235</c:v>
                </c:pt>
                <c:pt idx="21">
                  <c:v>9396.5005990551072</c:v>
                </c:pt>
                <c:pt idx="22">
                  <c:v>9208.5705870740039</c:v>
                </c:pt>
                <c:pt idx="23">
                  <c:v>9024.3991753325245</c:v>
                </c:pt>
                <c:pt idx="24">
                  <c:v>8843.9111918258732</c:v>
                </c:pt>
                <c:pt idx="25">
                  <c:v>8667.0329679893584</c:v>
                </c:pt>
                <c:pt idx="26">
                  <c:v>8493.6923086295683</c:v>
                </c:pt>
                <c:pt idx="27">
                  <c:v>8323.8184624569767</c:v>
                </c:pt>
                <c:pt idx="28">
                  <c:v>8157.3420932078379</c:v>
                </c:pt>
                <c:pt idx="29">
                  <c:v>7994.1952513436827</c:v>
                </c:pt>
                <c:pt idx="30">
                  <c:v>7834.3113463168074</c:v>
                </c:pt>
                <c:pt idx="31">
                  <c:v>7677.6251193904718</c:v>
                </c:pt>
                <c:pt idx="32">
                  <c:v>7524.0726170026619</c:v>
                </c:pt>
                <c:pt idx="33">
                  <c:v>7373.5911646626082</c:v>
                </c:pt>
                <c:pt idx="34">
                  <c:v>7226.1193413693582</c:v>
                </c:pt>
                <c:pt idx="35">
                  <c:v>7081.5969545419712</c:v>
                </c:pt>
                <c:pt idx="36">
                  <c:v>6939.965015451131</c:v>
                </c:pt>
                <c:pt idx="37">
                  <c:v>6801.1657151421086</c:v>
                </c:pt>
                <c:pt idx="38">
                  <c:v>6665.1424008392669</c:v>
                </c:pt>
                <c:pt idx="39">
                  <c:v>6531.8395528224801</c:v>
                </c:pt>
                <c:pt idx="40">
                  <c:v>6466.5211572942562</c:v>
                </c:pt>
                <c:pt idx="41">
                  <c:v>6401.8559457213114</c:v>
                </c:pt>
                <c:pt idx="42">
                  <c:v>6337.837386264101</c:v>
                </c:pt>
                <c:pt idx="43">
                  <c:v>6274.4590124014585</c:v>
                </c:pt>
                <c:pt idx="44">
                  <c:v>6211.7144222774441</c:v>
                </c:pt>
                <c:pt idx="45">
                  <c:v>6149.597278054669</c:v>
                </c:pt>
                <c:pt idx="46">
                  <c:v>6088.1013052741237</c:v>
                </c:pt>
                <c:pt idx="47">
                  <c:v>6027.2202922213819</c:v>
                </c:pt>
                <c:pt idx="48">
                  <c:v>5966.9480892991687</c:v>
                </c:pt>
                <c:pt idx="49">
                  <c:v>5907.2786084061763</c:v>
                </c:pt>
                <c:pt idx="50">
                  <c:v>5848.2058223221147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E-4CDC-975B-5909AEFE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00639"/>
        <c:axId val="1454015247"/>
      </c:lineChart>
      <c:catAx>
        <c:axId val="15063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5247"/>
        <c:crosses val="autoZero"/>
        <c:auto val="1"/>
        <c:lblAlgn val="ctr"/>
        <c:lblOffset val="100"/>
        <c:noMultiLvlLbl val="0"/>
      </c:catAx>
      <c:valAx>
        <c:axId val="14540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NiCd-batteries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NiCd'!$B$11:$W$11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NiCd'!$B$43:$W$43</c:f>
              <c:numCache>
                <c:formatCode>0.00</c:formatCode>
                <c:ptCount val="22"/>
                <c:pt idx="0">
                  <c:v>10790.550082086596</c:v>
                </c:pt>
                <c:pt idx="1">
                  <c:v>11869.605090295256</c:v>
                </c:pt>
                <c:pt idx="2">
                  <c:v>13056.565599324782</c:v>
                </c:pt>
                <c:pt idx="3">
                  <c:v>14492.787815250507</c:v>
                </c:pt>
                <c:pt idx="4">
                  <c:v>17826.129012758127</c:v>
                </c:pt>
                <c:pt idx="5">
                  <c:v>14082.641920078922</c:v>
                </c:pt>
                <c:pt idx="6">
                  <c:v>19293.219430508121</c:v>
                </c:pt>
                <c:pt idx="7">
                  <c:v>11768.863852609955</c:v>
                </c:pt>
                <c:pt idx="8">
                  <c:v>10827.354744401158</c:v>
                </c:pt>
                <c:pt idx="9">
                  <c:v>8445.3367006329026</c:v>
                </c:pt>
                <c:pt idx="10">
                  <c:v>5151.6553873860721</c:v>
                </c:pt>
                <c:pt idx="11">
                  <c:v>7521.4168655836629</c:v>
                </c:pt>
                <c:pt idx="12">
                  <c:v>6221.0976416929343</c:v>
                </c:pt>
                <c:pt idx="13">
                  <c:v>4714.1320610382336</c:v>
                </c:pt>
                <c:pt idx="14">
                  <c:v>3906.368614234194</c:v>
                </c:pt>
                <c:pt idx="15">
                  <c:v>3272.6014963098369</c:v>
                </c:pt>
                <c:pt idx="16">
                  <c:v>2628.7653452494492</c:v>
                </c:pt>
                <c:pt idx="17">
                  <c:v>1798.4057194364161</c:v>
                </c:pt>
                <c:pt idx="18">
                  <c:v>1574.7603562042907</c:v>
                </c:pt>
                <c:pt idx="19">
                  <c:v>1508.0972976905305</c:v>
                </c:pt>
                <c:pt idx="20">
                  <c:v>1297.367891357816</c:v>
                </c:pt>
                <c:pt idx="21">
                  <c:v>1369.1625716516446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B-4038-9472-D83B1400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722431"/>
        <c:axId val="1469912751"/>
      </c:lineChart>
      <c:catAx>
        <c:axId val="13957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9912751"/>
        <c:crosses val="autoZero"/>
        <c:auto val="1"/>
        <c:lblAlgn val="ctr"/>
        <c:lblOffset val="100"/>
        <c:noMultiLvlLbl val="0"/>
      </c:catAx>
      <c:valAx>
        <c:axId val="14699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7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NiCd-batteries</a:t>
            </a:r>
            <a:r>
              <a:rPr lang="de-DE" baseline="0"/>
              <a:t> EU POM BAU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NiCd'!$B$11:$AZ$11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NiCd'!$B$43:$AZ$43</c:f>
              <c:numCache>
                <c:formatCode>0.00</c:formatCode>
                <c:ptCount val="51"/>
                <c:pt idx="0">
                  <c:v>10790.550082086596</c:v>
                </c:pt>
                <c:pt idx="1">
                  <c:v>11869.605090295256</c:v>
                </c:pt>
                <c:pt idx="2">
                  <c:v>13056.565599324782</c:v>
                </c:pt>
                <c:pt idx="3">
                  <c:v>14492.787815250507</c:v>
                </c:pt>
                <c:pt idx="4">
                  <c:v>17826.129012758127</c:v>
                </c:pt>
                <c:pt idx="5">
                  <c:v>14082.641920078922</c:v>
                </c:pt>
                <c:pt idx="6">
                  <c:v>19293.219430508121</c:v>
                </c:pt>
                <c:pt idx="7">
                  <c:v>11768.863852609955</c:v>
                </c:pt>
                <c:pt idx="8">
                  <c:v>10827.354744401158</c:v>
                </c:pt>
                <c:pt idx="9">
                  <c:v>8445.3367006329026</c:v>
                </c:pt>
                <c:pt idx="10">
                  <c:v>5151.6553873860721</c:v>
                </c:pt>
                <c:pt idx="11">
                  <c:v>7521.4168655836629</c:v>
                </c:pt>
                <c:pt idx="12">
                  <c:v>6221.0976416929343</c:v>
                </c:pt>
                <c:pt idx="13">
                  <c:v>4714.1320610382336</c:v>
                </c:pt>
                <c:pt idx="14">
                  <c:v>3906.368614234194</c:v>
                </c:pt>
                <c:pt idx="15">
                  <c:v>3272.6014963098369</c:v>
                </c:pt>
                <c:pt idx="16">
                  <c:v>2628.7653452494492</c:v>
                </c:pt>
                <c:pt idx="17">
                  <c:v>1798.4057194364161</c:v>
                </c:pt>
                <c:pt idx="18">
                  <c:v>1574.7603562042907</c:v>
                </c:pt>
                <c:pt idx="19">
                  <c:v>1508.0972976905305</c:v>
                </c:pt>
                <c:pt idx="20">
                  <c:v>1297.367891357816</c:v>
                </c:pt>
                <c:pt idx="21">
                  <c:v>1369.1625716516446</c:v>
                </c:pt>
                <c:pt idx="22">
                  <c:v>1095.3300573213162</c:v>
                </c:pt>
                <c:pt idx="23">
                  <c:v>547.66502866065809</c:v>
                </c:pt>
                <c:pt idx="24">
                  <c:v>136.91625716516452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B-4408-8F4F-251DA7C32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307151"/>
        <c:axId val="1984496287"/>
      </c:lineChart>
      <c:catAx>
        <c:axId val="18793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96287"/>
        <c:crosses val="autoZero"/>
        <c:auto val="1"/>
        <c:lblAlgn val="ctr"/>
        <c:lblOffset val="100"/>
        <c:noMultiLvlLbl val="0"/>
      </c:catAx>
      <c:valAx>
        <c:axId val="19844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93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Other'!$B$11:$W$11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Other'!$B$43:$W$43</c:f>
              <c:numCache>
                <c:formatCode>0.00</c:formatCode>
                <c:ptCount val="22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C-44AF-8A51-E4720343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collected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Li-Rechargeable'!$B$9:$W$9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'Coll. portables Li-Rechargeable'!$B$41:$W$41</c:f>
              <c:numCache>
                <c:formatCode>0.00</c:formatCode>
                <c:ptCount val="12"/>
                <c:pt idx="0">
                  <c:v>1268.892151896292</c:v>
                </c:pt>
                <c:pt idx="1">
                  <c:v>1662.2487189841427</c:v>
                </c:pt>
                <c:pt idx="2">
                  <c:v>1884.7749315648471</c:v>
                </c:pt>
                <c:pt idx="3">
                  <c:v>2435.4497828885724</c:v>
                </c:pt>
                <c:pt idx="4">
                  <c:v>3875.9130140422931</c:v>
                </c:pt>
                <c:pt idx="5">
                  <c:v>3925.3695933550143</c:v>
                </c:pt>
                <c:pt idx="6">
                  <c:v>5504.8581470759045</c:v>
                </c:pt>
                <c:pt idx="7">
                  <c:v>4852.6368402310491</c:v>
                </c:pt>
                <c:pt idx="8">
                  <c:v>6093.2702749812943</c:v>
                </c:pt>
                <c:pt idx="9">
                  <c:v>5979.6768729748401</c:v>
                </c:pt>
                <c:pt idx="10">
                  <c:v>11417.094668589887</c:v>
                </c:pt>
                <c:pt idx="11">
                  <c:v>10290.569732058739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D-482B-BEF8-4BAB3807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Other'!$B$11:$AZ$11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Other'!$B$43:$AZ$43</c:f>
              <c:numCache>
                <c:formatCode>0.00</c:formatCode>
                <c:ptCount val="51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  <c:pt idx="22">
                  <c:v>1157.4806682191791</c:v>
                </c:pt>
                <c:pt idx="23">
                  <c:v>1226.9295083123295</c:v>
                </c:pt>
                <c:pt idx="24">
                  <c:v>1300.5452788110695</c:v>
                </c:pt>
                <c:pt idx="25">
                  <c:v>1378.5779955397336</c:v>
                </c:pt>
                <c:pt idx="26">
                  <c:v>1461.2926752721175</c:v>
                </c:pt>
                <c:pt idx="27">
                  <c:v>1548.9702357884446</c:v>
                </c:pt>
                <c:pt idx="28">
                  <c:v>1641.9084499357514</c:v>
                </c:pt>
                <c:pt idx="29">
                  <c:v>1740.4229569318966</c:v>
                </c:pt>
                <c:pt idx="30">
                  <c:v>1844.8483343478099</c:v>
                </c:pt>
                <c:pt idx="31">
                  <c:v>1955.5392344086786</c:v>
                </c:pt>
                <c:pt idx="32">
                  <c:v>2053.316196129113</c:v>
                </c:pt>
                <c:pt idx="33">
                  <c:v>2155.9820059355684</c:v>
                </c:pt>
                <c:pt idx="34">
                  <c:v>2263.7811062323472</c:v>
                </c:pt>
                <c:pt idx="35">
                  <c:v>2376.9701615439644</c:v>
                </c:pt>
                <c:pt idx="36">
                  <c:v>2495.8186696211619</c:v>
                </c:pt>
                <c:pt idx="37">
                  <c:v>2620.6096031022198</c:v>
                </c:pt>
                <c:pt idx="38">
                  <c:v>2751.6400832573313</c:v>
                </c:pt>
                <c:pt idx="39">
                  <c:v>2889.2220874201989</c:v>
                </c:pt>
                <c:pt idx="40">
                  <c:v>3033.6831917912077</c:v>
                </c:pt>
                <c:pt idx="41">
                  <c:v>3185.3673513807685</c:v>
                </c:pt>
                <c:pt idx="42">
                  <c:v>3280.9283719221917</c:v>
                </c:pt>
                <c:pt idx="43">
                  <c:v>3379.3562230798575</c:v>
                </c:pt>
                <c:pt idx="44">
                  <c:v>3480.7369097722531</c:v>
                </c:pt>
                <c:pt idx="45">
                  <c:v>3585.1590170654208</c:v>
                </c:pt>
                <c:pt idx="46">
                  <c:v>3692.7137875773838</c:v>
                </c:pt>
                <c:pt idx="47">
                  <c:v>3803.4952012047061</c:v>
                </c:pt>
                <c:pt idx="48">
                  <c:v>3917.6000572408457</c:v>
                </c:pt>
                <c:pt idx="49">
                  <c:v>4035.1280589580724</c:v>
                </c:pt>
                <c:pt idx="50">
                  <c:v>4156.1819007268132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B-40DA-9FE3-176D6041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23135"/>
        <c:axId val="1878166719"/>
      </c:lineChart>
      <c:catAx>
        <c:axId val="19835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8166719"/>
        <c:crosses val="autoZero"/>
        <c:auto val="1"/>
        <c:lblAlgn val="ctr"/>
        <c:lblOffset val="100"/>
        <c:noMultiLvlLbl val="0"/>
      </c:catAx>
      <c:valAx>
        <c:axId val="18781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5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collected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679-475A-A1CF-F9125BA6B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collected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NiMH'!$B$9:$W$9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'Coll. portables NiMH'!$B$41:$W$41</c:f>
              <c:numCache>
                <c:formatCode>0.00</c:formatCode>
                <c:ptCount val="22"/>
                <c:pt idx="0">
                  <c:v>813.08778385236997</c:v>
                </c:pt>
                <c:pt idx="1">
                  <c:v>926.92007359170202</c:v>
                </c:pt>
                <c:pt idx="2">
                  <c:v>1056.6888838945401</c:v>
                </c:pt>
                <c:pt idx="3">
                  <c:v>1204.6253276397756</c:v>
                </c:pt>
                <c:pt idx="4">
                  <c:v>1276.9028472981622</c:v>
                </c:pt>
                <c:pt idx="5">
                  <c:v>1583.3595306497214</c:v>
                </c:pt>
                <c:pt idx="6">
                  <c:v>1805.029864940682</c:v>
                </c:pt>
                <c:pt idx="7">
                  <c:v>1425.9735933031386</c:v>
                </c:pt>
                <c:pt idx="8">
                  <c:v>1654.1293682316407</c:v>
                </c:pt>
                <c:pt idx="9">
                  <c:v>1422.5512566792111</c:v>
                </c:pt>
                <c:pt idx="10">
                  <c:v>1792.4145834158057</c:v>
                </c:pt>
                <c:pt idx="11">
                  <c:v>2276.3665209380742</c:v>
                </c:pt>
                <c:pt idx="12">
                  <c:v>2758.3790377051296</c:v>
                </c:pt>
                <c:pt idx="13">
                  <c:v>3420.8885242096694</c:v>
                </c:pt>
                <c:pt idx="14">
                  <c:v>3376.3294166039186</c:v>
                </c:pt>
                <c:pt idx="15">
                  <c:v>3562.6020765631647</c:v>
                </c:pt>
                <c:pt idx="16">
                  <c:v>3899.1811007933957</c:v>
                </c:pt>
                <c:pt idx="17">
                  <c:v>5306.2420113502976</c:v>
                </c:pt>
                <c:pt idx="18">
                  <c:v>3248.9550734423501</c:v>
                </c:pt>
                <c:pt idx="19">
                  <c:v>3022.977351385452</c:v>
                </c:pt>
                <c:pt idx="20">
                  <c:v>2409.5160280464215</c:v>
                </c:pt>
                <c:pt idx="21">
                  <c:v>2661.1751716270851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A-40DD-A3F2-831619A2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93967"/>
        <c:axId val="1560330447"/>
      </c:lineChart>
      <c:catAx>
        <c:axId val="14683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30447"/>
        <c:crosses val="autoZero"/>
        <c:auto val="1"/>
        <c:lblAlgn val="ctr"/>
        <c:lblOffset val="100"/>
        <c:noMultiLvlLbl val="0"/>
      </c:catAx>
      <c:valAx>
        <c:axId val="15603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</a:t>
            </a:r>
            <a:r>
              <a:rPr lang="de-DE" baseline="0"/>
              <a:t> batteries EU collected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Lead-acid'!$B$9:$W$9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'Coll. portables Lead-acid'!$B$41:$W$41</c:f>
              <c:numCache>
                <c:formatCode>0.00</c:formatCode>
                <c:ptCount val="12"/>
                <c:pt idx="0">
                  <c:v>4869.6465374645131</c:v>
                </c:pt>
                <c:pt idx="1">
                  <c:v>4967.039468213804</c:v>
                </c:pt>
                <c:pt idx="2">
                  <c:v>5205.292017236</c:v>
                </c:pt>
                <c:pt idx="3">
                  <c:v>4958.3919054934941</c:v>
                </c:pt>
                <c:pt idx="4">
                  <c:v>4633.8721157745995</c:v>
                </c:pt>
                <c:pt idx="5">
                  <c:v>4809.7170588214276</c:v>
                </c:pt>
                <c:pt idx="6">
                  <c:v>4927.9751227558136</c:v>
                </c:pt>
                <c:pt idx="7">
                  <c:v>4369.9032515126382</c:v>
                </c:pt>
                <c:pt idx="8">
                  <c:v>4594.2868240140278</c:v>
                </c:pt>
                <c:pt idx="9">
                  <c:v>6588.3198443081783</c:v>
                </c:pt>
                <c:pt idx="10">
                  <c:v>7208.9485638297856</c:v>
                </c:pt>
                <c:pt idx="11">
                  <c:v>7961.8789451069651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D-4BAD-904C-D899D4B6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NiCd-batteries EU collected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NiCd'!$B$9:$W$9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'Coll. portables NiCd'!$B$41:$W$41</c:f>
              <c:numCache>
                <c:formatCode>0.00</c:formatCode>
                <c:ptCount val="22"/>
                <c:pt idx="0">
                  <c:v>6120.6182305469119</c:v>
                </c:pt>
                <c:pt idx="1">
                  <c:v>6732.6800536016026</c:v>
                </c:pt>
                <c:pt idx="2">
                  <c:v>7405.948058961766</c:v>
                </c:pt>
                <c:pt idx="3">
                  <c:v>8220.6023454475617</c:v>
                </c:pt>
                <c:pt idx="4">
                  <c:v>10111.340884900501</c:v>
                </c:pt>
                <c:pt idx="5">
                  <c:v>7987.9592990713945</c:v>
                </c:pt>
                <c:pt idx="6">
                  <c:v>10943.504239727808</c:v>
                </c:pt>
                <c:pt idx="7">
                  <c:v>6675.5375862339652</c:v>
                </c:pt>
                <c:pt idx="8">
                  <c:v>6141.4945793352481</c:v>
                </c:pt>
                <c:pt idx="9">
                  <c:v>4790.3657718814929</c:v>
                </c:pt>
                <c:pt idx="10">
                  <c:v>2922.1231208477102</c:v>
                </c:pt>
                <c:pt idx="11">
                  <c:v>4266.2997564376583</c:v>
                </c:pt>
                <c:pt idx="12">
                  <c:v>4381.0869560640049</c:v>
                </c:pt>
                <c:pt idx="13">
                  <c:v>4805.7886915852396</c:v>
                </c:pt>
                <c:pt idx="14">
                  <c:v>4800.4122134160016</c:v>
                </c:pt>
                <c:pt idx="15">
                  <c:v>5291.0632244154294</c:v>
                </c:pt>
                <c:pt idx="16">
                  <c:v>5725.3453846237599</c:v>
                </c:pt>
                <c:pt idx="17">
                  <c:v>6463.7336174376342</c:v>
                </c:pt>
                <c:pt idx="18">
                  <c:v>6017.8824704410672</c:v>
                </c:pt>
                <c:pt idx="19">
                  <c:v>4782.1224979573708</c:v>
                </c:pt>
                <c:pt idx="20">
                  <c:v>5965.7669983544283</c:v>
                </c:pt>
                <c:pt idx="21">
                  <c:v>5377.1124695050348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E-464E-8A20-F8EB4A13E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722431"/>
        <c:axId val="1469912751"/>
      </c:lineChart>
      <c:catAx>
        <c:axId val="13957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9912751"/>
        <c:crosses val="autoZero"/>
        <c:auto val="1"/>
        <c:lblAlgn val="ctr"/>
        <c:lblOffset val="100"/>
        <c:noMultiLvlLbl val="0"/>
      </c:catAx>
      <c:valAx>
        <c:axId val="14699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7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collected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Li-Primary'!$B$8:$W$8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'Coll. portables Li-Primary'!$B$40:$W$40</c:f>
              <c:numCache>
                <c:formatCode>0.00</c:formatCode>
                <c:ptCount val="12"/>
                <c:pt idx="0">
                  <c:v>311.6496199397061</c:v>
                </c:pt>
                <c:pt idx="1">
                  <c:v>408.26100212101488</c:v>
                </c:pt>
                <c:pt idx="2">
                  <c:v>653.98878422791211</c:v>
                </c:pt>
                <c:pt idx="3">
                  <c:v>502.3567503562731</c:v>
                </c:pt>
                <c:pt idx="4">
                  <c:v>595.63436098904197</c:v>
                </c:pt>
                <c:pt idx="5">
                  <c:v>767.76469708788375</c:v>
                </c:pt>
                <c:pt idx="6">
                  <c:v>1036.8649461287901</c:v>
                </c:pt>
                <c:pt idx="7">
                  <c:v>1173.28792348256</c:v>
                </c:pt>
                <c:pt idx="8">
                  <c:v>1309.1041209647221</c:v>
                </c:pt>
                <c:pt idx="9">
                  <c:v>1313.414092752575</c:v>
                </c:pt>
                <c:pt idx="10">
                  <c:v>978.23756991650282</c:v>
                </c:pt>
                <c:pt idx="11">
                  <c:v>1693.1694610990614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2-4D2F-976C-23E53EBF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collected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Li-Rechargeable'!$B$9:$W$9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'Coll. portables Li-Rechargeable'!$B$41:$W$41</c:f>
              <c:numCache>
                <c:formatCode>0.00</c:formatCode>
                <c:ptCount val="12"/>
                <c:pt idx="0">
                  <c:v>1268.892151896292</c:v>
                </c:pt>
                <c:pt idx="1">
                  <c:v>1662.2487189841427</c:v>
                </c:pt>
                <c:pt idx="2">
                  <c:v>1884.7749315648471</c:v>
                </c:pt>
                <c:pt idx="3">
                  <c:v>2435.4497828885724</c:v>
                </c:pt>
                <c:pt idx="4">
                  <c:v>3875.9130140422931</c:v>
                </c:pt>
                <c:pt idx="5">
                  <c:v>3925.3695933550143</c:v>
                </c:pt>
                <c:pt idx="6">
                  <c:v>5504.8581470759045</c:v>
                </c:pt>
                <c:pt idx="7">
                  <c:v>4852.6368402310491</c:v>
                </c:pt>
                <c:pt idx="8">
                  <c:v>6093.2702749812943</c:v>
                </c:pt>
                <c:pt idx="9">
                  <c:v>5979.6768729748401</c:v>
                </c:pt>
                <c:pt idx="10">
                  <c:v>11417.094668589887</c:v>
                </c:pt>
                <c:pt idx="11">
                  <c:v>10290.569732058739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A-4E68-9039-E8034856A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collected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Other'!$B$9:$V$9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'Coll. portables Other'!$B$41:$V$41</c:f>
              <c:numCache>
                <c:formatCode>0.00</c:formatCode>
                <c:ptCount val="21"/>
                <c:pt idx="0">
                  <c:v>339.69894694367377</c:v>
                </c:pt>
                <c:pt idx="1">
                  <c:v>346.49292588254724</c:v>
                </c:pt>
                <c:pt idx="2">
                  <c:v>353.42278440019828</c:v>
                </c:pt>
                <c:pt idx="3">
                  <c:v>360.49124008820218</c:v>
                </c:pt>
                <c:pt idx="4">
                  <c:v>367.70106488996618</c:v>
                </c:pt>
                <c:pt idx="5">
                  <c:v>375.0550861877656</c:v>
                </c:pt>
                <c:pt idx="6">
                  <c:v>382.55618791152096</c:v>
                </c:pt>
                <c:pt idx="7">
                  <c:v>390.20731166975122</c:v>
                </c:pt>
                <c:pt idx="8">
                  <c:v>398.01145790314638</c:v>
                </c:pt>
                <c:pt idx="9">
                  <c:v>405.97168706120937</c:v>
                </c:pt>
                <c:pt idx="10">
                  <c:v>414.09112080243347</c:v>
                </c:pt>
                <c:pt idx="11">
                  <c:v>422.37294321848219</c:v>
                </c:pt>
                <c:pt idx="12">
                  <c:v>623.76584866840687</c:v>
                </c:pt>
                <c:pt idx="13">
                  <c:v>726.27274232649165</c:v>
                </c:pt>
                <c:pt idx="14">
                  <c:v>760.64330296115952</c:v>
                </c:pt>
                <c:pt idx="15">
                  <c:v>718.87752344105991</c:v>
                </c:pt>
                <c:pt idx="16">
                  <c:v>931.89051243796382</c:v>
                </c:pt>
                <c:pt idx="17">
                  <c:v>782.07360207202271</c:v>
                </c:pt>
                <c:pt idx="18">
                  <c:v>917.48515963226498</c:v>
                </c:pt>
                <c:pt idx="19">
                  <c:v>3145.4142583369626</c:v>
                </c:pt>
                <c:pt idx="20">
                  <c:v>1629.7783756374056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3-4EEF-B526-FF3639A7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Battery</a:t>
            </a:r>
            <a:r>
              <a:rPr lang="de-DE" baseline="0"/>
              <a:t> type share of non-embedded </a:t>
            </a:r>
            <a:r>
              <a:rPr lang="de-DE"/>
              <a:t>batteries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'Overview Values'!$A$15</c:f>
              <c:strCache>
                <c:ptCount val="1"/>
                <c:pt idx="0">
                  <c:v>Zn-based batteries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'Overview Values'!$B$14:$V$14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'Overview Values'!$B$15:$V$15</c:f>
              <c:numCache>
                <c:formatCode>0.00%</c:formatCode>
                <c:ptCount val="21"/>
                <c:pt idx="0">
                  <c:v>0.81521708577862173</c:v>
                </c:pt>
                <c:pt idx="1">
                  <c:v>0.80699103047763665</c:v>
                </c:pt>
                <c:pt idx="2">
                  <c:v>0.79810839719241433</c:v>
                </c:pt>
                <c:pt idx="3">
                  <c:v>0.78713912859720669</c:v>
                </c:pt>
                <c:pt idx="4">
                  <c:v>0.76019297623452364</c:v>
                </c:pt>
                <c:pt idx="5">
                  <c:v>0.77857706107109381</c:v>
                </c:pt>
                <c:pt idx="6">
                  <c:v>0.80436256283615759</c:v>
                </c:pt>
                <c:pt idx="7">
                  <c:v>0.82958563856775625</c:v>
                </c:pt>
                <c:pt idx="8">
                  <c:v>0.8296429687478567</c:v>
                </c:pt>
                <c:pt idx="9">
                  <c:v>0.84398957476009862</c:v>
                </c:pt>
                <c:pt idx="10">
                  <c:v>0.83882628366848155</c:v>
                </c:pt>
                <c:pt idx="11">
                  <c:v>0.80193917033829376</c:v>
                </c:pt>
                <c:pt idx="12">
                  <c:v>0.8002834304809765</c:v>
                </c:pt>
                <c:pt idx="13">
                  <c:v>0.78910566211455002</c:v>
                </c:pt>
                <c:pt idx="14">
                  <c:v>0.78778135735290145</c:v>
                </c:pt>
                <c:pt idx="15">
                  <c:v>0.79459653577220046</c:v>
                </c:pt>
                <c:pt idx="16">
                  <c:v>0.78694024665077789</c:v>
                </c:pt>
                <c:pt idx="17">
                  <c:v>0.78073008092993901</c:v>
                </c:pt>
                <c:pt idx="18">
                  <c:v>0.80164238439324642</c:v>
                </c:pt>
                <c:pt idx="19">
                  <c:v>0.79828123330346801</c:v>
                </c:pt>
                <c:pt idx="20">
                  <c:v>0.75633280135853753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D-4894-B072-8B73CE8FA32A}"/>
            </c:ext>
          </c:extLst>
        </c:ser>
        <c:ser>
          <c:idx val="1"/>
          <c:order val="1"/>
          <c:tx>
            <c:strRef>
              <c:f>'Overview Values'!$A$16</c:f>
              <c:strCache>
                <c:ptCount val="1"/>
                <c:pt idx="0">
                  <c:v>NiMH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'Overview Values'!$B$14:$V$14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'Overview Values'!$B$16:$V$16</c:f>
              <c:numCache>
                <c:formatCode>0.00%</c:formatCode>
                <c:ptCount val="21"/>
                <c:pt idx="0">
                  <c:v>9.9978471771241598E-3</c:v>
                </c:pt>
                <c:pt idx="1">
                  <c:v>1.1277934107679874E-2</c:v>
                </c:pt>
                <c:pt idx="2">
                  <c:v>1.2710140456154283E-2</c:v>
                </c:pt>
                <c:pt idx="3">
                  <c:v>1.4284583950838594E-2</c:v>
                </c:pt>
                <c:pt idx="4">
                  <c:v>1.4382625385490703E-2</c:v>
                </c:pt>
                <c:pt idx="5">
                  <c:v>1.8994523520470926E-2</c:v>
                </c:pt>
                <c:pt idx="6">
                  <c:v>2.2361774992451459E-2</c:v>
                </c:pt>
                <c:pt idx="7">
                  <c:v>1.8679117522675381E-2</c:v>
                </c:pt>
                <c:pt idx="8">
                  <c:v>2.1793809777332918E-2</c:v>
                </c:pt>
                <c:pt idx="9">
                  <c:v>1.9059005066954109E-2</c:v>
                </c:pt>
                <c:pt idx="10">
                  <c:v>2.5085890919168945E-2</c:v>
                </c:pt>
                <c:pt idx="11">
                  <c:v>3.2196016540943347E-2</c:v>
                </c:pt>
                <c:pt idx="12">
                  <c:v>3.5523235431213045E-2</c:v>
                </c:pt>
                <c:pt idx="13">
                  <c:v>4.2816563369918757E-2</c:v>
                </c:pt>
                <c:pt idx="14">
                  <c:v>3.9711631024426777E-2</c:v>
                </c:pt>
                <c:pt idx="15">
                  <c:v>3.8360867542996856E-2</c:v>
                </c:pt>
                <c:pt idx="16">
                  <c:v>3.7716685391679342E-2</c:v>
                </c:pt>
                <c:pt idx="17">
                  <c:v>5.0702794918069991E-2</c:v>
                </c:pt>
                <c:pt idx="18">
                  <c:v>2.9054340675596459E-2</c:v>
                </c:pt>
                <c:pt idx="19">
                  <c:v>2.4556745604445283E-2</c:v>
                </c:pt>
                <c:pt idx="20">
                  <c:v>1.9828877540853815E-2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D-4894-B072-8B73CE8FA32A}"/>
            </c:ext>
          </c:extLst>
        </c:ser>
        <c:ser>
          <c:idx val="2"/>
          <c:order val="2"/>
          <c:tx>
            <c:strRef>
              <c:f>'Overview Values'!$A$17</c:f>
              <c:strCache>
                <c:ptCount val="1"/>
                <c:pt idx="0">
                  <c:v>Lead-acid batteries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'Overview Values'!$B$14:$V$14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'Overview Values'!$B$17:$V$17</c:f>
              <c:numCache>
                <c:formatCode>0.00%</c:formatCode>
                <c:ptCount val="21"/>
                <c:pt idx="0">
                  <c:v>7.1418502701588366E-2</c:v>
                </c:pt>
                <c:pt idx="1">
                  <c:v>7.0697844900144385E-2</c:v>
                </c:pt>
                <c:pt idx="2">
                  <c:v>6.9919666448852502E-2</c:v>
                </c:pt>
                <c:pt idx="3">
                  <c:v>6.8958684702434575E-2</c:v>
                </c:pt>
                <c:pt idx="4">
                  <c:v>6.6598020421859971E-2</c:v>
                </c:pt>
                <c:pt idx="5">
                  <c:v>6.8208589968881697E-2</c:v>
                </c:pt>
                <c:pt idx="6">
                  <c:v>7.0467573446529375E-2</c:v>
                </c:pt>
                <c:pt idx="7">
                  <c:v>7.2677284618810581E-2</c:v>
                </c:pt>
                <c:pt idx="8">
                  <c:v>7.2682307128389731E-2</c:v>
                </c:pt>
                <c:pt idx="9">
                  <c:v>7.3939166360265735E-2</c:v>
                </c:pt>
                <c:pt idx="10">
                  <c:v>7.3486827314374031E-2</c:v>
                </c:pt>
                <c:pt idx="11">
                  <c:v>7.0255267955544251E-2</c:v>
                </c:pt>
                <c:pt idx="12">
                  <c:v>6.7035848659055999E-2</c:v>
                </c:pt>
                <c:pt idx="13">
                  <c:v>6.2058674040355304E-2</c:v>
                </c:pt>
                <c:pt idx="14">
                  <c:v>5.45019861844903E-2</c:v>
                </c:pt>
                <c:pt idx="15">
                  <c:v>5.1788705662049732E-2</c:v>
                </c:pt>
                <c:pt idx="16">
                  <c:v>4.7667843783486243E-2</c:v>
                </c:pt>
                <c:pt idx="17">
                  <c:v>4.1749961763284188E-2</c:v>
                </c:pt>
                <c:pt idx="18">
                  <c:v>4.1084468543898411E-2</c:v>
                </c:pt>
                <c:pt idx="19">
                  <c:v>5.351932071315256E-2</c:v>
                </c:pt>
                <c:pt idx="20">
                  <c:v>5.9325340278558562E-2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D-4894-B072-8B73CE8FA32A}"/>
            </c:ext>
          </c:extLst>
        </c:ser>
        <c:ser>
          <c:idx val="3"/>
          <c:order val="3"/>
          <c:tx>
            <c:strRef>
              <c:f>'Overview Values'!$A$18</c:f>
              <c:strCache>
                <c:ptCount val="1"/>
                <c:pt idx="0">
                  <c:v>NiCd batteries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'Overview Values'!$B$14:$V$14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'Overview Values'!$B$18:$V$18</c:f>
              <c:numCache>
                <c:formatCode>0.00%</c:formatCode>
                <c:ptCount val="21"/>
                <c:pt idx="0">
                  <c:v>9.6913364943480323E-2</c:v>
                </c:pt>
                <c:pt idx="1">
                  <c:v>0.10446304324603459</c:v>
                </c:pt>
                <c:pt idx="2">
                  <c:v>0.11249660403062217</c:v>
                </c:pt>
                <c:pt idx="3">
                  <c:v>0.12217014883763665</c:v>
                </c:pt>
                <c:pt idx="4">
                  <c:v>0.15016641213603096</c:v>
                </c:pt>
                <c:pt idx="5">
                  <c:v>0.12456363157123919</c:v>
                </c:pt>
                <c:pt idx="6">
                  <c:v>9.2054922120073782E-2</c:v>
                </c:pt>
                <c:pt idx="7">
                  <c:v>6.6937219196741199E-2</c:v>
                </c:pt>
                <c:pt idx="8">
                  <c:v>6.0743526043546645E-2</c:v>
                </c:pt>
                <c:pt idx="9">
                  <c:v>4.9637750127279161E-2</c:v>
                </c:pt>
                <c:pt idx="10">
                  <c:v>3.4782301231530116E-2</c:v>
                </c:pt>
                <c:pt idx="11">
                  <c:v>6.0347602994969579E-2</c:v>
                </c:pt>
                <c:pt idx="12">
                  <c:v>5.642719952778142E-2</c:v>
                </c:pt>
                <c:pt idx="13">
                  <c:v>6.0156276845416107E-2</c:v>
                </c:pt>
                <c:pt idx="14">
                  <c:v>5.6465320106342157E-2</c:v>
                </c:pt>
                <c:pt idx="15">
                  <c:v>5.6975990388823762E-2</c:v>
                </c:pt>
                <c:pt idx="16">
                  <c:v>5.5381982762546085E-2</c:v>
                </c:pt>
                <c:pt idx="17">
                  <c:v>6.1764273391332107E-2</c:v>
                </c:pt>
                <c:pt idx="18">
                  <c:v>5.3816529781264527E-2</c:v>
                </c:pt>
                <c:pt idx="19">
                  <c:v>3.8846922084220387E-2</c:v>
                </c:pt>
                <c:pt idx="20">
                  <c:v>4.9094698632715622E-2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D-4894-B072-8B73CE8FA32A}"/>
            </c:ext>
          </c:extLst>
        </c:ser>
        <c:ser>
          <c:idx val="4"/>
          <c:order val="4"/>
          <c:tx>
            <c:strRef>
              <c:f>'Overview Values'!$A$19</c:f>
              <c:strCache>
                <c:ptCount val="1"/>
                <c:pt idx="0">
                  <c:v>Li primary batteries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'Overview Values'!$B$14:$V$14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'Overview Values'!$B$19:$V$19</c:f>
              <c:numCache>
                <c:formatCode>0.00%</c:formatCode>
                <c:ptCount val="21"/>
                <c:pt idx="0">
                  <c:v>7.4798377584055694E-5</c:v>
                </c:pt>
                <c:pt idx="1">
                  <c:v>1.0994354911523314E-4</c:v>
                </c:pt>
                <c:pt idx="2">
                  <c:v>1.6145260814749444E-4</c:v>
                </c:pt>
                <c:pt idx="3">
                  <c:v>3.1209783638249256E-4</c:v>
                </c:pt>
                <c:pt idx="4">
                  <c:v>5.9077101621922402E-4</c:v>
                </c:pt>
                <c:pt idx="5">
                  <c:v>7.6020094430535032E-4</c:v>
                </c:pt>
                <c:pt idx="6">
                  <c:v>9.3862231091367421E-4</c:v>
                </c:pt>
                <c:pt idx="7">
                  <c:v>1.1712276212566763E-3</c:v>
                </c:pt>
                <c:pt idx="8">
                  <c:v>1.7659729077933218E-3</c:v>
                </c:pt>
                <c:pt idx="9">
                  <c:v>1.3972863371377962E-3</c:v>
                </c:pt>
                <c:pt idx="10">
                  <c:v>4.2530105289678025E-3</c:v>
                </c:pt>
                <c:pt idx="11">
                  <c:v>5.7748783436275446E-3</c:v>
                </c:pt>
                <c:pt idx="12">
                  <c:v>8.4230935110157501E-3</c:v>
                </c:pt>
                <c:pt idx="13">
                  <c:v>6.2881600075281579E-3</c:v>
                </c:pt>
                <c:pt idx="14">
                  <c:v>7.0061634316697999E-3</c:v>
                </c:pt>
                <c:pt idx="15">
                  <c:v>8.2674979954836855E-3</c:v>
                </c:pt>
                <c:pt idx="16">
                  <c:v>1.0029734961871888E-2</c:v>
                </c:pt>
                <c:pt idx="17">
                  <c:v>1.121125661281515E-2</c:v>
                </c:pt>
                <c:pt idx="18">
                  <c:v>1.1706962015382542E-2</c:v>
                </c:pt>
                <c:pt idx="19">
                  <c:v>1.0669340851738906E-2</c:v>
                </c:pt>
                <c:pt idx="20">
                  <c:v>8.0503108316999535E-3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D-4894-B072-8B73CE8FA32A}"/>
            </c:ext>
          </c:extLst>
        </c:ser>
        <c:ser>
          <c:idx val="5"/>
          <c:order val="5"/>
          <c:tx>
            <c:strRef>
              <c:f>'Overview Values'!$A$20</c:f>
              <c:strCache>
                <c:ptCount val="1"/>
                <c:pt idx="0">
                  <c:v>Li rechargeable batteries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'Overview Values'!$B$14:$V$14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'Overview Values'!$B$20:$V$20</c:f>
              <c:numCache>
                <c:formatCode>0.00%</c:formatCode>
                <c:ptCount val="21"/>
                <c:pt idx="0">
                  <c:v>3.0453786456858297E-4</c:v>
                </c:pt>
                <c:pt idx="1">
                  <c:v>4.4762967797019946E-4</c:v>
                </c:pt>
                <c:pt idx="2">
                  <c:v>6.5734624335952313E-4</c:v>
                </c:pt>
                <c:pt idx="3">
                  <c:v>1.270690778307197E-3</c:v>
                </c:pt>
                <c:pt idx="4">
                  <c:v>2.4052947341837131E-3</c:v>
                </c:pt>
                <c:pt idx="5">
                  <c:v>3.0951202378903114E-3</c:v>
                </c:pt>
                <c:pt idx="6">
                  <c:v>3.8215539351887096E-3</c:v>
                </c:pt>
                <c:pt idx="7">
                  <c:v>4.7685948575612053E-3</c:v>
                </c:pt>
                <c:pt idx="8">
                  <c:v>7.1900706351682954E-3</c:v>
                </c:pt>
                <c:pt idx="9">
                  <c:v>5.6889816470231626E-3</c:v>
                </c:pt>
                <c:pt idx="10">
                  <c:v>1.7315920295517807E-2</c:v>
                </c:pt>
                <c:pt idx="11">
                  <c:v>2.3512129216109803E-2</c:v>
                </c:pt>
                <c:pt idx="12">
                  <c:v>2.4272564463387415E-2</c:v>
                </c:pt>
                <c:pt idx="13">
                  <c:v>3.0483367633762089E-2</c:v>
                </c:pt>
                <c:pt idx="14">
                  <c:v>4.5585876241330259E-2</c:v>
                </c:pt>
                <c:pt idx="15">
                  <c:v>4.2268835417571871E-2</c:v>
                </c:pt>
                <c:pt idx="16">
                  <c:v>5.3249031947542297E-2</c:v>
                </c:pt>
                <c:pt idx="17">
                  <c:v>4.6368126694090864E-2</c:v>
                </c:pt>
                <c:pt idx="18">
                  <c:v>5.4490389069374666E-2</c:v>
                </c:pt>
                <c:pt idx="19">
                  <c:v>4.8575092267604834E-2</c:v>
                </c:pt>
                <c:pt idx="20">
                  <c:v>9.3955868905073861E-2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D-4894-B072-8B73CE8FA32A}"/>
            </c:ext>
          </c:extLst>
        </c:ser>
        <c:ser>
          <c:idx val="6"/>
          <c:order val="6"/>
          <c:tx>
            <c:strRef>
              <c:f>'Overview Values'!$A$21</c:f>
              <c:strCache>
                <c:ptCount val="1"/>
                <c:pt idx="0">
                  <c:v>Other batteries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'Overview Values'!$B$14:$V$14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'Overview Values'!$B$21:$V$21</c:f>
              <c:numCache>
                <c:formatCode>0.00%</c:formatCode>
                <c:ptCount val="21"/>
                <c:pt idx="0">
                  <c:v>6.073863157032666E-3</c:v>
                </c:pt>
                <c:pt idx="1">
                  <c:v>6.0125740414191924E-3</c:v>
                </c:pt>
                <c:pt idx="2">
                  <c:v>5.9463930204497716E-3</c:v>
                </c:pt>
                <c:pt idx="3">
                  <c:v>5.8646652971938371E-3</c:v>
                </c:pt>
                <c:pt idx="4">
                  <c:v>5.6639000716917571E-3</c:v>
                </c:pt>
                <c:pt idx="5">
                  <c:v>5.8008726861186978E-3</c:v>
                </c:pt>
                <c:pt idx="6">
                  <c:v>5.9929903586854261E-3</c:v>
                </c:pt>
                <c:pt idx="7">
                  <c:v>6.1809176151987983E-3</c:v>
                </c:pt>
                <c:pt idx="8">
                  <c:v>6.1813447599124872E-3</c:v>
                </c:pt>
                <c:pt idx="9">
                  <c:v>6.2882357012413129E-3</c:v>
                </c:pt>
                <c:pt idx="10">
                  <c:v>6.2497660419597555E-3</c:v>
                </c:pt>
                <c:pt idx="11">
                  <c:v>5.9749346105116173E-3</c:v>
                </c:pt>
                <c:pt idx="12">
                  <c:v>8.0346279265698945E-3</c:v>
                </c:pt>
                <c:pt idx="13">
                  <c:v>9.0912959884696352E-3</c:v>
                </c:pt>
                <c:pt idx="14">
                  <c:v>8.9476656588391781E-3</c:v>
                </c:pt>
                <c:pt idx="15">
                  <c:v>7.7415672208737399E-3</c:v>
                </c:pt>
                <c:pt idx="16">
                  <c:v>9.0144745020965394E-3</c:v>
                </c:pt>
                <c:pt idx="17">
                  <c:v>7.4735056904686563E-3</c:v>
                </c:pt>
                <c:pt idx="18">
                  <c:v>8.2049255212369807E-3</c:v>
                </c:pt>
                <c:pt idx="19">
                  <c:v>2.5551345175370093E-2</c:v>
                </c:pt>
                <c:pt idx="20">
                  <c:v>1.3412102452560717E-2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D-4894-B072-8B73CE8F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40480"/>
        <c:axId val="1636162080"/>
      </c:areaChart>
      <c:catAx>
        <c:axId val="16386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6162080"/>
        <c:crosses val="autoZero"/>
        <c:auto val="1"/>
        <c:lblAlgn val="ctr"/>
        <c:lblOffset val="100"/>
        <c:noMultiLvlLbl val="0"/>
      </c:catAx>
      <c:valAx>
        <c:axId val="163616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64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Li-Rechargeable'!$L$9:$AZ$9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'Coll. portables Li-Rechargeable'!$L$41:$AZ$41</c:f>
              <c:numCache>
                <c:formatCode>0.00</c:formatCode>
                <c:ptCount val="41"/>
                <c:pt idx="0">
                  <c:v>1268.892151896292</c:v>
                </c:pt>
                <c:pt idx="1">
                  <c:v>1662.2487189841427</c:v>
                </c:pt>
                <c:pt idx="2">
                  <c:v>1884.7749315648471</c:v>
                </c:pt>
                <c:pt idx="3">
                  <c:v>2435.4497828885724</c:v>
                </c:pt>
                <c:pt idx="4">
                  <c:v>3875.9130140422931</c:v>
                </c:pt>
                <c:pt idx="5">
                  <c:v>3925.3695933550143</c:v>
                </c:pt>
                <c:pt idx="6">
                  <c:v>5504.8581470759045</c:v>
                </c:pt>
                <c:pt idx="7">
                  <c:v>4852.6368402310491</c:v>
                </c:pt>
                <c:pt idx="8">
                  <c:v>6093.2702749812943</c:v>
                </c:pt>
                <c:pt idx="9">
                  <c:v>5979.6768729748401</c:v>
                </c:pt>
                <c:pt idx="10">
                  <c:v>11417.094668589887</c:v>
                </c:pt>
                <c:pt idx="11">
                  <c:v>10290.569732058739</c:v>
                </c:pt>
                <c:pt idx="12">
                  <c:v>10001.423315036545</c:v>
                </c:pt>
                <c:pt idx="13">
                  <c:v>11110.59147331434</c:v>
                </c:pt>
                <c:pt idx="14">
                  <c:v>12257.323203015292</c:v>
                </c:pt>
                <c:pt idx="15">
                  <c:v>13544.254544361353</c:v>
                </c:pt>
                <c:pt idx="16">
                  <c:v>14926.493134470948</c:v>
                </c:pt>
                <c:pt idx="17">
                  <c:v>16429.724805125494</c:v>
                </c:pt>
                <c:pt idx="18">
                  <c:v>18102.689931915927</c:v>
                </c:pt>
                <c:pt idx="19">
                  <c:v>20065.060628742791</c:v>
                </c:pt>
                <c:pt idx="20">
                  <c:v>22336.274074727651</c:v>
                </c:pt>
                <c:pt idx="21">
                  <c:v>24773.506382767409</c:v>
                </c:pt>
                <c:pt idx="22">
                  <c:v>27347.743525822814</c:v>
                </c:pt>
                <c:pt idx="23">
                  <c:v>30048.842956696368</c:v>
                </c:pt>
                <c:pt idx="24">
                  <c:v>33027.737186506012</c:v>
                </c:pt>
                <c:pt idx="25">
                  <c:v>36314.481931321752</c:v>
                </c:pt>
                <c:pt idx="26">
                  <c:v>39942.048814187183</c:v>
                </c:pt>
                <c:pt idx="27">
                  <c:v>43947.04399907816</c:v>
                </c:pt>
                <c:pt idx="28">
                  <c:v>48370.117642298821</c:v>
                </c:pt>
                <c:pt idx="29">
                  <c:v>53245.602589607908</c:v>
                </c:pt>
                <c:pt idx="30">
                  <c:v>58538.274936532194</c:v>
                </c:pt>
                <c:pt idx="31">
                  <c:v>63826.891680598463</c:v>
                </c:pt>
                <c:pt idx="32">
                  <c:v>69042.88414711607</c:v>
                </c:pt>
                <c:pt idx="33">
                  <c:v>74190.703830856044</c:v>
                </c:pt>
                <c:pt idx="34">
                  <c:v>79718.551875422665</c:v>
                </c:pt>
                <c:pt idx="35">
                  <c:v>85656.818012315183</c:v>
                </c:pt>
                <c:pt idx="36">
                  <c:v>92016.212998382311</c:v>
                </c:pt>
                <c:pt idx="37">
                  <c:v>96942.79297028872</c:v>
                </c:pt>
                <c:pt idx="38">
                  <c:v>102110.03035219524</c:v>
                </c:pt>
                <c:pt idx="39">
                  <c:v>107550.55609332933</c:v>
                </c:pt>
                <c:pt idx="40">
                  <c:v>113278.77311557841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BB5-9921-F0EF4A10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34080"/>
        <c:axId val="2133849920"/>
      </c:lineChart>
      <c:catAx>
        <c:axId val="21377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849920"/>
        <c:crosses val="autoZero"/>
        <c:auto val="1"/>
        <c:lblAlgn val="ctr"/>
        <c:lblOffset val="100"/>
        <c:noMultiLvlLbl val="0"/>
      </c:catAx>
      <c:valAx>
        <c:axId val="21338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77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collected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Li-Primary'!$B$8:$W$8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'Coll. portables Li-Primary'!$B$40:$W$40</c:f>
              <c:numCache>
                <c:formatCode>0.00</c:formatCode>
                <c:ptCount val="12"/>
                <c:pt idx="0">
                  <c:v>311.6496199397061</c:v>
                </c:pt>
                <c:pt idx="1">
                  <c:v>408.26100212101488</c:v>
                </c:pt>
                <c:pt idx="2">
                  <c:v>653.98878422791211</c:v>
                </c:pt>
                <c:pt idx="3">
                  <c:v>502.3567503562731</c:v>
                </c:pt>
                <c:pt idx="4">
                  <c:v>595.63436098904197</c:v>
                </c:pt>
                <c:pt idx="5">
                  <c:v>767.76469708788375</c:v>
                </c:pt>
                <c:pt idx="6">
                  <c:v>1036.8649461287901</c:v>
                </c:pt>
                <c:pt idx="7">
                  <c:v>1173.28792348256</c:v>
                </c:pt>
                <c:pt idx="8">
                  <c:v>1309.1041209647221</c:v>
                </c:pt>
                <c:pt idx="9">
                  <c:v>1313.414092752575</c:v>
                </c:pt>
                <c:pt idx="10">
                  <c:v>978.23756991650282</c:v>
                </c:pt>
                <c:pt idx="11">
                  <c:v>1693.1694610990614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4-4194-A54F-F5A04877E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Li-Primary'!$L$8:$AZ$8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'Coll. portables Li-Primary'!$L$40:$AZ$40</c:f>
              <c:numCache>
                <c:formatCode>0.00</c:formatCode>
                <c:ptCount val="41"/>
                <c:pt idx="0">
                  <c:v>311.6496199397061</c:v>
                </c:pt>
                <c:pt idx="1">
                  <c:v>408.26100212101488</c:v>
                </c:pt>
                <c:pt idx="2">
                  <c:v>653.98878422791211</c:v>
                </c:pt>
                <c:pt idx="3">
                  <c:v>502.3567503562731</c:v>
                </c:pt>
                <c:pt idx="4">
                  <c:v>595.63436098904197</c:v>
                </c:pt>
                <c:pt idx="5">
                  <c:v>767.76469708788375</c:v>
                </c:pt>
                <c:pt idx="6">
                  <c:v>1036.8649461287901</c:v>
                </c:pt>
                <c:pt idx="7">
                  <c:v>1173.28792348256</c:v>
                </c:pt>
                <c:pt idx="8">
                  <c:v>1309.1041209647221</c:v>
                </c:pt>
                <c:pt idx="9">
                  <c:v>1313.414092752575</c:v>
                </c:pt>
                <c:pt idx="10">
                  <c:v>978.23756991650282</c:v>
                </c:pt>
                <c:pt idx="11">
                  <c:v>1693.1694610990614</c:v>
                </c:pt>
                <c:pt idx="12">
                  <c:v>1225.0080741239699</c:v>
                </c:pt>
                <c:pt idx="13">
                  <c:v>1348.0062679862342</c:v>
                </c:pt>
                <c:pt idx="14">
                  <c:v>1472.9717253449826</c:v>
                </c:pt>
                <c:pt idx="15">
                  <c:v>1627.6232301528778</c:v>
                </c:pt>
                <c:pt idx="16">
                  <c:v>1793.7278785488093</c:v>
                </c:pt>
                <c:pt idx="17">
                  <c:v>1974.3723562087071</c:v>
                </c:pt>
                <c:pt idx="18">
                  <c:v>2175.4138306347299</c:v>
                </c:pt>
                <c:pt idx="19">
                  <c:v>2411.2333895381316</c:v>
                </c:pt>
                <c:pt idx="20">
                  <c:v>2684.1668133166672</c:v>
                </c:pt>
                <c:pt idx="21">
                  <c:v>3033.7565787476265</c:v>
                </c:pt>
                <c:pt idx="22">
                  <c:v>3412.7873482961049</c:v>
                </c:pt>
                <c:pt idx="23">
                  <c:v>3821.2896882485852</c:v>
                </c:pt>
                <c:pt idx="24">
                  <c:v>4280.1156814108444</c:v>
                </c:pt>
                <c:pt idx="25">
                  <c:v>4795.6890781649381</c:v>
                </c:pt>
                <c:pt idx="26">
                  <c:v>5425.4524323063579</c:v>
                </c:pt>
                <c:pt idx="27">
                  <c:v>6140.0194518244107</c:v>
                </c:pt>
                <c:pt idx="28">
                  <c:v>6951.0702639628034</c:v>
                </c:pt>
                <c:pt idx="29">
                  <c:v>7870.3262875996697</c:v>
                </c:pt>
                <c:pt idx="30">
                  <c:v>8899.8639510084849</c:v>
                </c:pt>
                <c:pt idx="31">
                  <c:v>9981.1733715384635</c:v>
                </c:pt>
                <c:pt idx="32">
                  <c:v>11105.325325842636</c:v>
                </c:pt>
                <c:pt idx="33">
                  <c:v>12274.287969370775</c:v>
                </c:pt>
                <c:pt idx="34">
                  <c:v>13565.652075777569</c:v>
                </c:pt>
                <c:pt idx="35">
                  <c:v>14992.624604051109</c:v>
                </c:pt>
                <c:pt idx="36">
                  <c:v>16719.268959361842</c:v>
                </c:pt>
                <c:pt idx="37">
                  <c:v>18640.507396697049</c:v>
                </c:pt>
                <c:pt idx="38">
                  <c:v>20777.815254825819</c:v>
                </c:pt>
                <c:pt idx="39">
                  <c:v>23159.725554674998</c:v>
                </c:pt>
                <c:pt idx="40">
                  <c:v>25814.193330361533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4-4E24-A2B1-664CB174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26736"/>
        <c:axId val="2133835360"/>
      </c:lineChart>
      <c:catAx>
        <c:axId val="844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835360"/>
        <c:crosses val="autoZero"/>
        <c:auto val="1"/>
        <c:lblAlgn val="ctr"/>
        <c:lblOffset val="100"/>
        <c:noMultiLvlLbl val="0"/>
      </c:catAx>
      <c:valAx>
        <c:axId val="21338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42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</a:t>
            </a:r>
            <a:r>
              <a:rPr lang="de-DE" baseline="0"/>
              <a:t> batteries EU collected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Lead-acid'!$B$9:$W$9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'Coll. portables Lead-acid'!$B$41:$W$41</c:f>
              <c:numCache>
                <c:formatCode>0.00</c:formatCode>
                <c:ptCount val="12"/>
                <c:pt idx="0">
                  <c:v>4869.6465374645131</c:v>
                </c:pt>
                <c:pt idx="1">
                  <c:v>4967.039468213804</c:v>
                </c:pt>
                <c:pt idx="2">
                  <c:v>5205.292017236</c:v>
                </c:pt>
                <c:pt idx="3">
                  <c:v>4958.3919054934941</c:v>
                </c:pt>
                <c:pt idx="4">
                  <c:v>4633.8721157745995</c:v>
                </c:pt>
                <c:pt idx="5">
                  <c:v>4809.7170588214276</c:v>
                </c:pt>
                <c:pt idx="6">
                  <c:v>4927.9751227558136</c:v>
                </c:pt>
                <c:pt idx="7">
                  <c:v>4369.9032515126382</c:v>
                </c:pt>
                <c:pt idx="8">
                  <c:v>4594.2868240140278</c:v>
                </c:pt>
                <c:pt idx="9">
                  <c:v>6588.3198443081783</c:v>
                </c:pt>
                <c:pt idx="10">
                  <c:v>7208.9485638297856</c:v>
                </c:pt>
                <c:pt idx="11">
                  <c:v>7961.8789451069651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1-4424-95D4-A09AD9CE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Lead-acid'!$L$9:$AZ$9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'Coll. portables Lead-acid'!$L$41:$AZ$41</c:f>
              <c:numCache>
                <c:formatCode>0.00</c:formatCode>
                <c:ptCount val="41"/>
                <c:pt idx="0">
                  <c:v>4869.6465374645131</c:v>
                </c:pt>
                <c:pt idx="1">
                  <c:v>4967.039468213804</c:v>
                </c:pt>
                <c:pt idx="2">
                  <c:v>5205.292017236</c:v>
                </c:pt>
                <c:pt idx="3">
                  <c:v>4958.3919054934941</c:v>
                </c:pt>
                <c:pt idx="4">
                  <c:v>4633.8721157745995</c:v>
                </c:pt>
                <c:pt idx="5">
                  <c:v>4809.7170588214276</c:v>
                </c:pt>
                <c:pt idx="6">
                  <c:v>4927.9751227558136</c:v>
                </c:pt>
                <c:pt idx="7">
                  <c:v>4369.9032515126382</c:v>
                </c:pt>
                <c:pt idx="8">
                  <c:v>4594.2868240140278</c:v>
                </c:pt>
                <c:pt idx="9">
                  <c:v>6588.3198443081783</c:v>
                </c:pt>
                <c:pt idx="10">
                  <c:v>7208.9485638297856</c:v>
                </c:pt>
                <c:pt idx="11">
                  <c:v>7961.8789451069651</c:v>
                </c:pt>
                <c:pt idx="12">
                  <c:v>6825.3569040894381</c:v>
                </c:pt>
                <c:pt idx="13">
                  <c:v>7076.1839601102856</c:v>
                </c:pt>
                <c:pt idx="14">
                  <c:v>7211.7391281098971</c:v>
                </c:pt>
                <c:pt idx="15">
                  <c:v>7285.8698962637136</c:v>
                </c:pt>
                <c:pt idx="16">
                  <c:v>7264.7119079221002</c:v>
                </c:pt>
                <c:pt idx="17">
                  <c:v>7158.622392239693</c:v>
                </c:pt>
                <c:pt idx="18">
                  <c:v>6986.1181736108911</c:v>
                </c:pt>
                <c:pt idx="19">
                  <c:v>6784.7182838334274</c:v>
                </c:pt>
                <c:pt idx="20">
                  <c:v>6545.6709014396147</c:v>
                </c:pt>
                <c:pt idx="21">
                  <c:v>6222.7754080506083</c:v>
                </c:pt>
                <c:pt idx="22">
                  <c:v>5888.048186251428</c:v>
                </c:pt>
                <c:pt idx="23">
                  <c:v>5545.3737402419138</c:v>
                </c:pt>
                <c:pt idx="24">
                  <c:v>5224.3840876270024</c:v>
                </c:pt>
                <c:pt idx="25">
                  <c:v>4923.6745764257357</c:v>
                </c:pt>
                <c:pt idx="26">
                  <c:v>4641.8706764825902</c:v>
                </c:pt>
                <c:pt idx="27">
                  <c:v>4377.6957777664702</c:v>
                </c:pt>
                <c:pt idx="28">
                  <c:v>4129.9639716486463</c:v>
                </c:pt>
                <c:pt idx="29">
                  <c:v>3896.7816919528677</c:v>
                </c:pt>
                <c:pt idx="30">
                  <c:v>3672.1081225272287</c:v>
                </c:pt>
                <c:pt idx="31">
                  <c:v>3431.8827804314992</c:v>
                </c:pt>
                <c:pt idx="32">
                  <c:v>3182.0052060484595</c:v>
                </c:pt>
                <c:pt idx="33">
                  <c:v>2930.7897392395294</c:v>
                </c:pt>
                <c:pt idx="34">
                  <c:v>2699.2790409373442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7-4851-A591-9166EAD2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23136"/>
        <c:axId val="161787520"/>
      </c:lineChart>
      <c:catAx>
        <c:axId val="844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7520"/>
        <c:crosses val="autoZero"/>
        <c:auto val="1"/>
        <c:lblAlgn val="ctr"/>
        <c:lblOffset val="100"/>
        <c:noMultiLvlLbl val="0"/>
      </c:catAx>
      <c:valAx>
        <c:axId val="1617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4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'Coll. portables NiMH'!$B$9:$W$9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'Coll. portables NiMH'!$B$41:$W$41</c:f>
              <c:numCache>
                <c:formatCode>0.00</c:formatCode>
                <c:ptCount val="22"/>
                <c:pt idx="0">
                  <c:v>813.08778385236997</c:v>
                </c:pt>
                <c:pt idx="1">
                  <c:v>926.92007359170202</c:v>
                </c:pt>
                <c:pt idx="2">
                  <c:v>1056.6888838945401</c:v>
                </c:pt>
                <c:pt idx="3">
                  <c:v>1204.6253276397756</c:v>
                </c:pt>
                <c:pt idx="4">
                  <c:v>1276.9028472981622</c:v>
                </c:pt>
                <c:pt idx="5">
                  <c:v>1583.3595306497214</c:v>
                </c:pt>
                <c:pt idx="6">
                  <c:v>1805.029864940682</c:v>
                </c:pt>
                <c:pt idx="7">
                  <c:v>1425.9735933031386</c:v>
                </c:pt>
                <c:pt idx="8">
                  <c:v>1654.1293682316407</c:v>
                </c:pt>
                <c:pt idx="9">
                  <c:v>1422.5512566792111</c:v>
                </c:pt>
                <c:pt idx="10">
                  <c:v>1792.4145834158057</c:v>
                </c:pt>
                <c:pt idx="11">
                  <c:v>2276.3665209380742</c:v>
                </c:pt>
                <c:pt idx="12">
                  <c:v>2758.3790377051296</c:v>
                </c:pt>
                <c:pt idx="13">
                  <c:v>3420.8885242096694</c:v>
                </c:pt>
                <c:pt idx="14">
                  <c:v>3376.3294166039186</c:v>
                </c:pt>
                <c:pt idx="15">
                  <c:v>3562.6020765631647</c:v>
                </c:pt>
                <c:pt idx="16">
                  <c:v>3899.1811007933957</c:v>
                </c:pt>
                <c:pt idx="17">
                  <c:v>5306.2420113502976</c:v>
                </c:pt>
                <c:pt idx="18">
                  <c:v>3248.9550734423501</c:v>
                </c:pt>
                <c:pt idx="19">
                  <c:v>3022.977351385452</c:v>
                </c:pt>
                <c:pt idx="20">
                  <c:v>2409.5160280464215</c:v>
                </c:pt>
                <c:pt idx="21">
                  <c:v>2661.1751716270851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3-43C4-A603-8865B6E5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93967"/>
        <c:axId val="1560330447"/>
      </c:lineChart>
      <c:catAx>
        <c:axId val="14683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30447"/>
        <c:crosses val="autoZero"/>
        <c:auto val="1"/>
        <c:lblAlgn val="ctr"/>
        <c:lblOffset val="100"/>
        <c:noMultiLvlLbl val="0"/>
      </c:catAx>
      <c:valAx>
        <c:axId val="15603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26534</xdr:colOff>
      <xdr:row>43</xdr:row>
      <xdr:rowOff>7483</xdr:rowOff>
    </xdr:from>
    <xdr:to>
      <xdr:col>18</xdr:col>
      <xdr:colOff>649288</xdr:colOff>
      <xdr:row>58</xdr:row>
      <xdr:rowOff>51933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7E0266-41A0-48D5-AFBE-0E359A5B1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74837</xdr:colOff>
      <xdr:row>42</xdr:row>
      <xdr:rowOff>148316</xdr:rowOff>
    </xdr:from>
    <xdr:to>
      <xdr:col>24</xdr:col>
      <xdr:colOff>758370</xdr:colOff>
      <xdr:row>58</xdr:row>
      <xdr:rowOff>48530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67470CF-256B-47AA-8A1C-38C7CCB24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305707</xdr:colOff>
      <xdr:row>45</xdr:row>
      <xdr:rowOff>41841</xdr:rowOff>
    </xdr:from>
    <xdr:to>
      <xdr:col>10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05FDED-EB3C-48C7-B9F4-4A62803A7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680357</xdr:colOff>
      <xdr:row>45</xdr:row>
      <xdr:rowOff>2721</xdr:rowOff>
    </xdr:from>
    <xdr:to>
      <xdr:col>16</xdr:col>
      <xdr:colOff>541111</xdr:colOff>
      <xdr:row>60</xdr:row>
      <xdr:rowOff>92529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6AD99B-4D71-4502-88CA-A4EC78F9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475794</xdr:colOff>
      <xdr:row>45</xdr:row>
      <xdr:rowOff>13154</xdr:rowOff>
    </xdr:from>
    <xdr:to>
      <xdr:col>9</xdr:col>
      <xdr:colOff>322941</xdr:colOff>
      <xdr:row>60</xdr:row>
      <xdr:rowOff>112487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A44C72-C0E0-4423-B865-9219EE86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598714</xdr:colOff>
      <xdr:row>45</xdr:row>
      <xdr:rowOff>19504</xdr:rowOff>
    </xdr:from>
    <xdr:to>
      <xdr:col>17</xdr:col>
      <xdr:colOff>598714</xdr:colOff>
      <xdr:row>65</xdr:row>
      <xdr:rowOff>136071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537AAF-C966-4FEF-8A7B-88C65B0D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45</xdr:row>
      <xdr:rowOff>2720</xdr:rowOff>
    </xdr:from>
    <xdr:to>
      <xdr:col>10</xdr:col>
      <xdr:colOff>654504</xdr:colOff>
      <xdr:row>60</xdr:row>
      <xdr:rowOff>27667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8D2D41-B768-45E3-9E7C-52BA57DAE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274862</xdr:colOff>
      <xdr:row>44</xdr:row>
      <xdr:rowOff>162832</xdr:rowOff>
    </xdr:from>
    <xdr:to>
      <xdr:col>18</xdr:col>
      <xdr:colOff>710746</xdr:colOff>
      <xdr:row>66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F68C28A-DF8C-4FB2-98D1-51B48D48F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651555</xdr:colOff>
      <xdr:row>45</xdr:row>
      <xdr:rowOff>11111</xdr:rowOff>
    </xdr:from>
    <xdr:to>
      <xdr:col>9</xdr:col>
      <xdr:colOff>505052</xdr:colOff>
      <xdr:row>60</xdr:row>
      <xdr:rowOff>36511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90DC5B4-C5B3-42D4-A8F3-41397672F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755196</xdr:colOff>
      <xdr:row>46</xdr:row>
      <xdr:rowOff>37193</xdr:rowOff>
    </xdr:from>
    <xdr:to>
      <xdr:col>18</xdr:col>
      <xdr:colOff>204106</xdr:colOff>
      <xdr:row>66</xdr:row>
      <xdr:rowOff>108857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ACE782C-68FA-42F4-8154-A2A115441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460601</xdr:colOff>
      <xdr:row>45</xdr:row>
      <xdr:rowOff>12019</xdr:rowOff>
    </xdr:from>
    <xdr:to>
      <xdr:col>9</xdr:col>
      <xdr:colOff>317273</xdr:colOff>
      <xdr:row>60</xdr:row>
      <xdr:rowOff>56469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841088-FD5B-4ED0-AED7-FD6A96EF2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703942</xdr:colOff>
      <xdr:row>45</xdr:row>
      <xdr:rowOff>49893</xdr:rowOff>
    </xdr:from>
    <xdr:to>
      <xdr:col>16</xdr:col>
      <xdr:colOff>666750</xdr:colOff>
      <xdr:row>63</xdr:row>
      <xdr:rowOff>149679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20CAF9-E8C8-4F55-AB4C-D5A07A6CE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686254</xdr:colOff>
      <xdr:row>45</xdr:row>
      <xdr:rowOff>18141</xdr:rowOff>
    </xdr:from>
    <xdr:to>
      <xdr:col>10</xdr:col>
      <xdr:colOff>305254</xdr:colOff>
      <xdr:row>60</xdr:row>
      <xdr:rowOff>25852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7AF691-34F3-4FFC-9C19-1A1975B15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677180</xdr:colOff>
      <xdr:row>44</xdr:row>
      <xdr:rowOff>173263</xdr:rowOff>
    </xdr:from>
    <xdr:to>
      <xdr:col>18</xdr:col>
      <xdr:colOff>544285</xdr:colOff>
      <xdr:row>65</xdr:row>
      <xdr:rowOff>136070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8F0995B-8006-4861-B797-C90F574C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23813</xdr:rowOff>
    </xdr:from>
    <xdr:to>
      <xdr:col>6</xdr:col>
      <xdr:colOff>371475</xdr:colOff>
      <xdr:row>16</xdr:row>
      <xdr:rowOff>36400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7F839536-CAE7-4E67-9481-BB9866419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559593</xdr:colOff>
      <xdr:row>1</xdr:row>
      <xdr:rowOff>59531</xdr:rowOff>
    </xdr:from>
    <xdr:to>
      <xdr:col>12</xdr:col>
      <xdr:colOff>569118</xdr:colOff>
      <xdr:row>16</xdr:row>
      <xdr:rowOff>72118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D5135A4A-8945-40E4-9110-C75D4756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11906</xdr:colOff>
      <xdr:row>1</xdr:row>
      <xdr:rowOff>71438</xdr:rowOff>
    </xdr:from>
    <xdr:to>
      <xdr:col>19</xdr:col>
      <xdr:colOff>2381</xdr:colOff>
      <xdr:row>16</xdr:row>
      <xdr:rowOff>64521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A69EC33B-98A7-4DD3-A298-C8042A770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404812</xdr:colOff>
      <xdr:row>17</xdr:row>
      <xdr:rowOff>142875</xdr:rowOff>
    </xdr:from>
    <xdr:to>
      <xdr:col>6</xdr:col>
      <xdr:colOff>395287</xdr:colOff>
      <xdr:row>32</xdr:row>
      <xdr:rowOff>155462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3F0A0C26-432E-4204-95AB-203C3CE8B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642938</xdr:colOff>
      <xdr:row>17</xdr:row>
      <xdr:rowOff>142875</xdr:rowOff>
    </xdr:from>
    <xdr:to>
      <xdr:col>12</xdr:col>
      <xdr:colOff>642938</xdr:colOff>
      <xdr:row>33</xdr:row>
      <xdr:rowOff>31751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CCB9F27D-9BD2-4E8C-A0AF-EABD7BCC3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71438</xdr:colOff>
      <xdr:row>18</xdr:row>
      <xdr:rowOff>11907</xdr:rowOff>
    </xdr:from>
    <xdr:to>
      <xdr:col>19</xdr:col>
      <xdr:colOff>77788</xdr:colOff>
      <xdr:row>33</xdr:row>
      <xdr:rowOff>76202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60895B74-0A82-4B1F-B964-9FBF2E782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321469</xdr:colOff>
      <xdr:row>34</xdr:row>
      <xdr:rowOff>35718</xdr:rowOff>
    </xdr:from>
    <xdr:to>
      <xdr:col>6</xdr:col>
      <xdr:colOff>311944</xdr:colOff>
      <xdr:row>47</xdr:row>
      <xdr:rowOff>21318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0FF6990F-8304-4DDF-98F5-302D09948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23</xdr:row>
      <xdr:rowOff>28575</xdr:rowOff>
    </xdr:from>
    <xdr:to>
      <xdr:col>7</xdr:col>
      <xdr:colOff>25400</xdr:colOff>
      <xdr:row>41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E614F2-A0B0-45E5-B01D-04115281C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557893</xdr:colOff>
      <xdr:row>43</xdr:row>
      <xdr:rowOff>29935</xdr:rowOff>
    </xdr:from>
    <xdr:to>
      <xdr:col>19</xdr:col>
      <xdr:colOff>400956</xdr:colOff>
      <xdr:row>58</xdr:row>
      <xdr:rowOff>119743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75EE08-F350-496E-B974-C19F95A3F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646337</xdr:colOff>
      <xdr:row>43</xdr:row>
      <xdr:rowOff>73932</xdr:rowOff>
    </xdr:from>
    <xdr:to>
      <xdr:col>25</xdr:col>
      <xdr:colOff>567870</xdr:colOff>
      <xdr:row>58</xdr:row>
      <xdr:rowOff>160564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B116A2-916A-4511-B480-42F75AD57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635905</xdr:colOff>
      <xdr:row>42</xdr:row>
      <xdr:rowOff>67581</xdr:rowOff>
    </xdr:from>
    <xdr:to>
      <xdr:col>24</xdr:col>
      <xdr:colOff>210909</xdr:colOff>
      <xdr:row>57</xdr:row>
      <xdr:rowOff>160564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01DB34A-9AEF-41CE-A906-ED2788708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523874</xdr:colOff>
      <xdr:row>42</xdr:row>
      <xdr:rowOff>57150</xdr:rowOff>
    </xdr:from>
    <xdr:to>
      <xdr:col>18</xdr:col>
      <xdr:colOff>360588</xdr:colOff>
      <xdr:row>57</xdr:row>
      <xdr:rowOff>143782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09746E-EF00-4F79-B18E-151FC3F3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279854</xdr:colOff>
      <xdr:row>43</xdr:row>
      <xdr:rowOff>43542</xdr:rowOff>
    </xdr:from>
    <xdr:to>
      <xdr:col>19</xdr:col>
      <xdr:colOff>113394</xdr:colOff>
      <xdr:row>58</xdr:row>
      <xdr:rowOff>62138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F31EEF3-181C-4681-A743-A0D6CDEC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643164</xdr:colOff>
      <xdr:row>43</xdr:row>
      <xdr:rowOff>2721</xdr:rowOff>
    </xdr:from>
    <xdr:to>
      <xdr:col>25</xdr:col>
      <xdr:colOff>564696</xdr:colOff>
      <xdr:row>58</xdr:row>
      <xdr:rowOff>92528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8C6EDF-DDB8-45E9-AA42-C7A862A0B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338591</xdr:colOff>
      <xdr:row>42</xdr:row>
      <xdr:rowOff>164873</xdr:rowOff>
    </xdr:from>
    <xdr:to>
      <xdr:col>12</xdr:col>
      <xdr:colOff>256948</xdr:colOff>
      <xdr:row>58</xdr:row>
      <xdr:rowOff>22905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9D2C0D3-2A52-45C6-B966-49D917C7A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462188</xdr:colOff>
      <xdr:row>42</xdr:row>
      <xdr:rowOff>128360</xdr:rowOff>
    </xdr:from>
    <xdr:to>
      <xdr:col>18</xdr:col>
      <xdr:colOff>298902</xdr:colOff>
      <xdr:row>58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523B9F-23C4-43FD-BCA0-C77C6B37F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439736</xdr:colOff>
      <xdr:row>42</xdr:row>
      <xdr:rowOff>124052</xdr:rowOff>
    </xdr:from>
    <xdr:to>
      <xdr:col>12</xdr:col>
      <xdr:colOff>358093</xdr:colOff>
      <xdr:row>57</xdr:row>
      <xdr:rowOff>158977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7096FE4-27A8-4C64-B2CB-F8CFD7FDA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516617</xdr:colOff>
      <xdr:row>42</xdr:row>
      <xdr:rowOff>111579</xdr:rowOff>
    </xdr:from>
    <xdr:to>
      <xdr:col>18</xdr:col>
      <xdr:colOff>353332</xdr:colOff>
      <xdr:row>58</xdr:row>
      <xdr:rowOff>21318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524996-2D7D-40A7-8B4B-B08C19F53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373290</xdr:colOff>
      <xdr:row>44</xdr:row>
      <xdr:rowOff>55789</xdr:rowOff>
    </xdr:from>
    <xdr:to>
      <xdr:col>9</xdr:col>
      <xdr:colOff>699861</xdr:colOff>
      <xdr:row>57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7B1C070-A6A2-42C6-A1DC-95834E7DF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197304</xdr:colOff>
      <xdr:row>44</xdr:row>
      <xdr:rowOff>53974</xdr:rowOff>
    </xdr:from>
    <xdr:to>
      <xdr:col>16</xdr:col>
      <xdr:colOff>197304</xdr:colOff>
      <xdr:row>59</xdr:row>
      <xdr:rowOff>150131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116755-735C-4E9A-B13C-3CA50E2A6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184149</xdr:colOff>
      <xdr:row>62</xdr:row>
      <xdr:rowOff>152399</xdr:rowOff>
    </xdr:from>
    <xdr:to>
      <xdr:col>5</xdr:col>
      <xdr:colOff>371475</xdr:colOff>
      <xdr:row>87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37564E-FFE4-4C35-9A2E-DF53CAB4A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468311</xdr:colOff>
      <xdr:row>62</xdr:row>
      <xdr:rowOff>169862</xdr:rowOff>
    </xdr:from>
    <xdr:to>
      <xdr:col>12</xdr:col>
      <xdr:colOff>358775</xdr:colOff>
      <xdr:row>87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6E7191-A5E7-443D-9E35-BC0786452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295502</xdr:colOff>
      <xdr:row>44</xdr:row>
      <xdr:rowOff>157162</xdr:rowOff>
    </xdr:from>
    <xdr:to>
      <xdr:col>9</xdr:col>
      <xdr:colOff>142647</xdr:colOff>
      <xdr:row>60</xdr:row>
      <xdr:rowOff>27894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189D88-F058-404B-B4DF-2F063C287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288924</xdr:colOff>
      <xdr:row>44</xdr:row>
      <xdr:rowOff>159657</xdr:rowOff>
    </xdr:from>
    <xdr:to>
      <xdr:col>17</xdr:col>
      <xdr:colOff>748392</xdr:colOff>
      <xdr:row>63</xdr:row>
      <xdr:rowOff>122465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8896E72-ED7B-4F1A-97E7-2F30D5B78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isel\Desktop\Portables%20of%20GU\POM_Portable_batteries_SPLITTED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M_por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stat POM Portables GU"/>
      <sheetName val="Overview Graphics"/>
      <sheetName val="Overview Values"/>
      <sheetName val="Market assumptions"/>
      <sheetName val="POM Portables Zn-based"/>
      <sheetName val="POM Portables NiMH"/>
      <sheetName val="POM Portables Li-Primary"/>
      <sheetName val="POM Portables Lead-acid"/>
      <sheetName val="POM Portables NiCd"/>
      <sheetName val="POM Portables Li-Rechargeable"/>
      <sheetName val="POM Portables Other"/>
    </sheetNames>
    <sheetDataSet>
      <sheetData sheetId="0">
        <row r="3">
          <cell r="M3">
            <v>3613.8815199999999</v>
          </cell>
          <cell r="N3">
            <v>3717.17967</v>
          </cell>
          <cell r="O3">
            <v>3891.5479999999998</v>
          </cell>
          <cell r="P3">
            <v>4086.6320000000001</v>
          </cell>
          <cell r="Q3">
            <v>4547.2908499999994</v>
          </cell>
          <cell r="R3">
            <v>4708.0496800000001</v>
          </cell>
          <cell r="S3">
            <v>4745.6249200000002</v>
          </cell>
          <cell r="T3">
            <v>5449.4412599999996</v>
          </cell>
          <cell r="U3">
            <v>5760.4455499999995</v>
          </cell>
          <cell r="V3">
            <v>6346.9841100000003</v>
          </cell>
          <cell r="W3">
            <v>6139</v>
          </cell>
        </row>
        <row r="4">
          <cell r="M4">
            <v>4401</v>
          </cell>
          <cell r="N4">
            <v>4259</v>
          </cell>
          <cell r="O4">
            <v>4398</v>
          </cell>
          <cell r="P4">
            <v>4222</v>
          </cell>
          <cell r="Q4">
            <v>4566</v>
          </cell>
          <cell r="R4">
            <v>4585</v>
          </cell>
          <cell r="S4">
            <v>4786</v>
          </cell>
          <cell r="T4">
            <v>4920</v>
          </cell>
          <cell r="U4">
            <v>5413</v>
          </cell>
          <cell r="V4">
            <v>5611</v>
          </cell>
          <cell r="W4">
            <v>6239</v>
          </cell>
        </row>
        <row r="5">
          <cell r="M5">
            <v>624</v>
          </cell>
          <cell r="N5">
            <v>602.38300000000004</v>
          </cell>
          <cell r="O5">
            <v>677</v>
          </cell>
          <cell r="P5">
            <v>730</v>
          </cell>
          <cell r="Q5">
            <v>760</v>
          </cell>
          <cell r="R5">
            <v>750</v>
          </cell>
          <cell r="S5">
            <v>815</v>
          </cell>
          <cell r="T5">
            <v>690</v>
          </cell>
          <cell r="U5">
            <v>942</v>
          </cell>
          <cell r="V5">
            <v>940</v>
          </cell>
          <cell r="W5">
            <v>1002</v>
          </cell>
        </row>
        <row r="6">
          <cell r="M6">
            <v>331.74</v>
          </cell>
          <cell r="N6">
            <v>406.8</v>
          </cell>
          <cell r="O6">
            <v>393.58</v>
          </cell>
          <cell r="P6">
            <v>347</v>
          </cell>
          <cell r="Q6">
            <v>266</v>
          </cell>
          <cell r="R6">
            <v>395</v>
          </cell>
          <cell r="S6">
            <v>568</v>
          </cell>
          <cell r="T6">
            <v>674</v>
          </cell>
          <cell r="U6">
            <v>906</v>
          </cell>
          <cell r="V6">
            <v>1052</v>
          </cell>
          <cell r="W6">
            <v>1049</v>
          </cell>
        </row>
        <row r="7">
          <cell r="M7">
            <v>275.60000000000002</v>
          </cell>
          <cell r="N7">
            <v>258</v>
          </cell>
          <cell r="O7">
            <v>200.2</v>
          </cell>
          <cell r="P7">
            <v>190</v>
          </cell>
          <cell r="Q7">
            <v>206</v>
          </cell>
          <cell r="R7">
            <v>211</v>
          </cell>
          <cell r="S7">
            <v>233</v>
          </cell>
          <cell r="T7">
            <v>202</v>
          </cell>
          <cell r="U7">
            <v>175</v>
          </cell>
          <cell r="V7">
            <v>203</v>
          </cell>
          <cell r="W7">
            <v>197</v>
          </cell>
        </row>
        <row r="8">
          <cell r="M8">
            <v>3385.8</v>
          </cell>
          <cell r="N8">
            <v>3738.7250999999997</v>
          </cell>
          <cell r="O8">
            <v>3671</v>
          </cell>
          <cell r="P8">
            <v>3971</v>
          </cell>
          <cell r="Q8">
            <v>3965</v>
          </cell>
          <cell r="R8">
            <v>4047</v>
          </cell>
          <cell r="S8">
            <v>4064</v>
          </cell>
          <cell r="T8">
            <v>4048</v>
          </cell>
          <cell r="U8">
            <v>4293</v>
          </cell>
          <cell r="V8">
            <v>4963</v>
          </cell>
          <cell r="W8">
            <v>5206</v>
          </cell>
        </row>
        <row r="9">
          <cell r="M9">
            <v>3382</v>
          </cell>
          <cell r="N9">
            <v>3704</v>
          </cell>
          <cell r="O9">
            <v>3132</v>
          </cell>
          <cell r="P9">
            <v>3517</v>
          </cell>
          <cell r="Q9">
            <v>3689</v>
          </cell>
          <cell r="R9">
            <v>3938</v>
          </cell>
          <cell r="S9">
            <v>3695</v>
          </cell>
          <cell r="T9">
            <v>4475</v>
          </cell>
          <cell r="U9">
            <v>4034</v>
          </cell>
          <cell r="V9">
            <v>4932</v>
          </cell>
          <cell r="W9">
            <v>5114</v>
          </cell>
        </row>
        <row r="10">
          <cell r="M10">
            <v>477.12200000000001</v>
          </cell>
          <cell r="N10">
            <v>520.66800000000001</v>
          </cell>
          <cell r="O10">
            <v>466.04700000000003</v>
          </cell>
          <cell r="P10">
            <v>448.50200000000001</v>
          </cell>
          <cell r="Q10">
            <v>464</v>
          </cell>
          <cell r="R10">
            <v>479</v>
          </cell>
          <cell r="S10">
            <v>489</v>
          </cell>
          <cell r="T10">
            <v>483</v>
          </cell>
          <cell r="U10">
            <v>475</v>
          </cell>
          <cell r="V10">
            <v>542</v>
          </cell>
          <cell r="W10">
            <v>520</v>
          </cell>
        </row>
        <row r="11">
          <cell r="M11">
            <v>2763</v>
          </cell>
          <cell r="N11">
            <v>2752</v>
          </cell>
          <cell r="O11">
            <v>2703</v>
          </cell>
          <cell r="P11">
            <v>2651</v>
          </cell>
          <cell r="Q11">
            <v>2864</v>
          </cell>
          <cell r="R11">
            <v>3026</v>
          </cell>
          <cell r="S11">
            <v>3180</v>
          </cell>
          <cell r="T11">
            <v>3460</v>
          </cell>
          <cell r="U11">
            <v>3616</v>
          </cell>
          <cell r="V11">
            <v>3626</v>
          </cell>
          <cell r="W11">
            <v>4066</v>
          </cell>
        </row>
        <row r="12">
          <cell r="M12">
            <v>33458</v>
          </cell>
          <cell r="N12">
            <v>33353</v>
          </cell>
          <cell r="O12">
            <v>32227</v>
          </cell>
          <cell r="P12">
            <v>30363</v>
          </cell>
          <cell r="Q12">
            <v>31409</v>
          </cell>
          <cell r="R12">
            <v>29936</v>
          </cell>
          <cell r="S12">
            <v>31482</v>
          </cell>
          <cell r="T12">
            <v>31329</v>
          </cell>
          <cell r="U12">
            <v>33003</v>
          </cell>
          <cell r="V12">
            <v>35268</v>
          </cell>
          <cell r="W12">
            <v>37694</v>
          </cell>
        </row>
        <row r="13">
          <cell r="M13">
            <v>43337.197</v>
          </cell>
          <cell r="N13">
            <v>43548.455000000002</v>
          </cell>
          <cell r="O13">
            <v>42440.931000000004</v>
          </cell>
          <cell r="P13">
            <v>43994.175000000003</v>
          </cell>
          <cell r="Q13">
            <v>43902</v>
          </cell>
          <cell r="R13">
            <v>45511</v>
          </cell>
          <cell r="S13">
            <v>50643</v>
          </cell>
          <cell r="T13">
            <v>52159</v>
          </cell>
          <cell r="U13">
            <v>55905</v>
          </cell>
          <cell r="V13">
            <v>65368</v>
          </cell>
          <cell r="W13">
            <v>63211</v>
          </cell>
        </row>
        <row r="14">
          <cell r="M14">
            <v>1850</v>
          </cell>
          <cell r="N14">
            <v>1589</v>
          </cell>
          <cell r="O14">
            <v>1587</v>
          </cell>
          <cell r="P14">
            <v>1535</v>
          </cell>
          <cell r="Q14">
            <v>1675</v>
          </cell>
          <cell r="R14">
            <v>1599</v>
          </cell>
          <cell r="S14">
            <v>1692</v>
          </cell>
          <cell r="T14">
            <v>1646</v>
          </cell>
          <cell r="U14">
            <v>1798</v>
          </cell>
          <cell r="V14">
            <v>1850</v>
          </cell>
          <cell r="W14">
            <v>2872</v>
          </cell>
        </row>
        <row r="15">
          <cell r="M15">
            <v>2043</v>
          </cell>
          <cell r="N15">
            <v>1569.4</v>
          </cell>
          <cell r="O15">
            <v>1547.7</v>
          </cell>
          <cell r="P15">
            <v>1589.6146666666666</v>
          </cell>
          <cell r="Q15">
            <v>1804</v>
          </cell>
          <cell r="R15">
            <v>1684</v>
          </cell>
          <cell r="S15">
            <v>2357</v>
          </cell>
          <cell r="T15">
            <v>2842</v>
          </cell>
          <cell r="U15">
            <v>2920</v>
          </cell>
          <cell r="V15">
            <v>2507</v>
          </cell>
          <cell r="W15">
            <v>3173</v>
          </cell>
        </row>
        <row r="16">
          <cell r="M16">
            <v>187.3</v>
          </cell>
          <cell r="N16">
            <v>165.5</v>
          </cell>
          <cell r="O16">
            <v>206</v>
          </cell>
          <cell r="P16">
            <v>184.5</v>
          </cell>
          <cell r="Q16">
            <v>169.5</v>
          </cell>
          <cell r="R16">
            <v>221.4</v>
          </cell>
          <cell r="S16">
            <v>263.7</v>
          </cell>
          <cell r="T16">
            <v>254.8</v>
          </cell>
          <cell r="U16">
            <v>169</v>
          </cell>
          <cell r="V16">
            <v>311.8</v>
          </cell>
          <cell r="W16">
            <v>339.9</v>
          </cell>
        </row>
        <row r="17">
          <cell r="M17">
            <v>2096</v>
          </cell>
          <cell r="N17">
            <v>1951</v>
          </cell>
          <cell r="O17">
            <v>1913</v>
          </cell>
          <cell r="P17">
            <v>2378</v>
          </cell>
          <cell r="Q17">
            <v>2703</v>
          </cell>
          <cell r="R17">
            <v>1968</v>
          </cell>
          <cell r="S17">
            <v>2991</v>
          </cell>
          <cell r="T17">
            <v>2336</v>
          </cell>
          <cell r="U17">
            <v>2666</v>
          </cell>
          <cell r="V17">
            <v>3543</v>
          </cell>
          <cell r="W17">
            <v>3692</v>
          </cell>
        </row>
        <row r="18">
          <cell r="M18">
            <v>29507.046999999999</v>
          </cell>
          <cell r="N18">
            <v>29432.988000000001</v>
          </cell>
          <cell r="O18">
            <v>26534.035</v>
          </cell>
          <cell r="P18">
            <v>24567.642</v>
          </cell>
          <cell r="Q18">
            <v>24524.115000000002</v>
          </cell>
          <cell r="R18">
            <v>24652.037</v>
          </cell>
          <cell r="S18">
            <v>25607.565999999999</v>
          </cell>
          <cell r="T18">
            <v>24232.886999999999</v>
          </cell>
          <cell r="U18">
            <v>25746.094000000001</v>
          </cell>
          <cell r="V18">
            <v>28164.453000000001</v>
          </cell>
          <cell r="W18">
            <v>32356</v>
          </cell>
        </row>
        <row r="19">
          <cell r="M19">
            <v>1151.087</v>
          </cell>
          <cell r="N19">
            <v>482.54500000000002</v>
          </cell>
          <cell r="O19">
            <v>515.55200000000002</v>
          </cell>
          <cell r="P19">
            <v>552.99800000000005</v>
          </cell>
          <cell r="Q19">
            <v>508.988</v>
          </cell>
          <cell r="R19">
            <v>425.37099999999998</v>
          </cell>
          <cell r="S19">
            <v>490.63799999999998</v>
          </cell>
          <cell r="T19">
            <v>521.79300000000001</v>
          </cell>
          <cell r="U19">
            <v>565.18899999999996</v>
          </cell>
          <cell r="V19">
            <v>666.61400000000003</v>
          </cell>
          <cell r="W19">
            <v>685</v>
          </cell>
        </row>
        <row r="20">
          <cell r="M20">
            <v>708</v>
          </cell>
          <cell r="N20">
            <v>782</v>
          </cell>
          <cell r="O20">
            <v>795</v>
          </cell>
          <cell r="P20">
            <v>686</v>
          </cell>
          <cell r="Q20">
            <v>700.005</v>
          </cell>
          <cell r="R20">
            <v>747.65700000000004</v>
          </cell>
          <cell r="S20">
            <v>831.51199999999994</v>
          </cell>
          <cell r="T20">
            <v>762.03800000000001</v>
          </cell>
          <cell r="U20">
            <v>750.01499999999999</v>
          </cell>
          <cell r="V20">
            <v>817</v>
          </cell>
          <cell r="W20">
            <v>929</v>
          </cell>
        </row>
        <row r="21">
          <cell r="M21">
            <v>182.7</v>
          </cell>
          <cell r="N21">
            <v>186.7</v>
          </cell>
          <cell r="O21">
            <v>182.6</v>
          </cell>
          <cell r="P21">
            <v>171.1</v>
          </cell>
          <cell r="Q21">
            <v>172</v>
          </cell>
          <cell r="R21">
            <v>196</v>
          </cell>
          <cell r="S21">
            <v>201</v>
          </cell>
          <cell r="T21">
            <v>209</v>
          </cell>
          <cell r="U21">
            <v>242</v>
          </cell>
          <cell r="V21">
            <v>261</v>
          </cell>
          <cell r="W21">
            <v>285</v>
          </cell>
        </row>
        <row r="22">
          <cell r="M22">
            <v>87.31</v>
          </cell>
          <cell r="N22">
            <v>104.27</v>
          </cell>
          <cell r="O22">
            <v>88.98</v>
          </cell>
          <cell r="P22">
            <v>102.65</v>
          </cell>
          <cell r="Q22">
            <v>73.900000000000006</v>
          </cell>
          <cell r="R22">
            <v>75.400000000000006</v>
          </cell>
          <cell r="S22">
            <v>68.099999999999994</v>
          </cell>
          <cell r="T22">
            <v>80.5</v>
          </cell>
          <cell r="U22">
            <v>171.6</v>
          </cell>
          <cell r="V22">
            <v>143.1</v>
          </cell>
          <cell r="W22">
            <v>164</v>
          </cell>
        </row>
        <row r="23">
          <cell r="M23">
            <v>7777</v>
          </cell>
          <cell r="N23">
            <v>7424</v>
          </cell>
          <cell r="O23">
            <v>6789</v>
          </cell>
          <cell r="P23">
            <v>7697</v>
          </cell>
          <cell r="Q23">
            <v>8300</v>
          </cell>
          <cell r="R23">
            <v>8780</v>
          </cell>
          <cell r="S23">
            <v>8890</v>
          </cell>
          <cell r="T23">
            <v>9580</v>
          </cell>
          <cell r="U23">
            <v>8760</v>
          </cell>
          <cell r="V23">
            <v>10890</v>
          </cell>
          <cell r="W23">
            <v>11871</v>
          </cell>
        </row>
        <row r="24">
          <cell r="M24">
            <v>2750.7799999999997</v>
          </cell>
          <cell r="N24">
            <v>2686</v>
          </cell>
          <cell r="O24">
            <v>2923</v>
          </cell>
          <cell r="P24">
            <v>3104.7</v>
          </cell>
          <cell r="Q24">
            <v>1965</v>
          </cell>
          <cell r="R24">
            <v>2230</v>
          </cell>
          <cell r="S24">
            <v>3599</v>
          </cell>
          <cell r="T24">
            <v>3122</v>
          </cell>
          <cell r="U24">
            <v>4367</v>
          </cell>
          <cell r="V24">
            <v>3526</v>
          </cell>
          <cell r="W24">
            <v>3530</v>
          </cell>
        </row>
        <row r="25">
          <cell r="M25">
            <v>9998</v>
          </cell>
          <cell r="N25">
            <v>10599</v>
          </cell>
          <cell r="O25">
            <v>11264</v>
          </cell>
          <cell r="P25">
            <v>11799</v>
          </cell>
          <cell r="Q25">
            <v>12304</v>
          </cell>
          <cell r="R25">
            <v>12813</v>
          </cell>
          <cell r="S25">
            <v>13426</v>
          </cell>
          <cell r="T25">
            <v>13338</v>
          </cell>
          <cell r="U25">
            <v>19400</v>
          </cell>
          <cell r="V25">
            <v>19557</v>
          </cell>
          <cell r="W25">
            <v>20846</v>
          </cell>
        </row>
        <row r="26">
          <cell r="M26">
            <v>1700</v>
          </cell>
          <cell r="N26">
            <v>1730.37</v>
          </cell>
          <cell r="O26">
            <v>1726.78</v>
          </cell>
          <cell r="P26">
            <v>1820</v>
          </cell>
          <cell r="Q26">
            <v>1547</v>
          </cell>
          <cell r="R26">
            <v>1778</v>
          </cell>
          <cell r="S26">
            <v>2241</v>
          </cell>
          <cell r="T26">
            <v>2456</v>
          </cell>
          <cell r="U26">
            <v>2586</v>
          </cell>
          <cell r="V26">
            <v>2432</v>
          </cell>
          <cell r="W26">
            <v>2870</v>
          </cell>
        </row>
        <row r="27">
          <cell r="M27">
            <v>2696.41</v>
          </cell>
          <cell r="N27">
            <v>2739.56</v>
          </cell>
          <cell r="O27">
            <v>1737</v>
          </cell>
          <cell r="P27">
            <v>1737</v>
          </cell>
          <cell r="Q27">
            <v>2646</v>
          </cell>
          <cell r="R27">
            <v>2340</v>
          </cell>
          <cell r="S27">
            <v>3625</v>
          </cell>
          <cell r="T27">
            <v>2802</v>
          </cell>
          <cell r="U27">
            <v>4276</v>
          </cell>
          <cell r="V27">
            <v>4964</v>
          </cell>
          <cell r="W27">
            <v>6874</v>
          </cell>
        </row>
        <row r="28">
          <cell r="M28">
            <v>980</v>
          </cell>
          <cell r="N28">
            <v>1000</v>
          </cell>
          <cell r="O28">
            <v>950</v>
          </cell>
          <cell r="P28">
            <v>842</v>
          </cell>
          <cell r="Q28">
            <v>939</v>
          </cell>
          <cell r="R28">
            <v>1236</v>
          </cell>
          <cell r="S28">
            <v>1460</v>
          </cell>
          <cell r="T28">
            <v>1534</v>
          </cell>
          <cell r="U28">
            <v>1748</v>
          </cell>
          <cell r="V28">
            <v>2030</v>
          </cell>
          <cell r="W28">
            <v>2270</v>
          </cell>
        </row>
        <row r="29">
          <cell r="M29">
            <v>670</v>
          </cell>
          <cell r="N29">
            <v>722</v>
          </cell>
          <cell r="O29">
            <v>720</v>
          </cell>
          <cell r="P29">
            <v>719</v>
          </cell>
          <cell r="Q29">
            <v>663</v>
          </cell>
          <cell r="R29">
            <v>872</v>
          </cell>
          <cell r="S29">
            <v>790</v>
          </cell>
          <cell r="T29">
            <v>823</v>
          </cell>
          <cell r="U29">
            <v>833</v>
          </cell>
          <cell r="V29">
            <v>826</v>
          </cell>
          <cell r="W29">
            <v>884</v>
          </cell>
        </row>
        <row r="30">
          <cell r="M30">
            <v>11063.232</v>
          </cell>
          <cell r="N30">
            <v>10514</v>
          </cell>
          <cell r="O30">
            <v>10622</v>
          </cell>
          <cell r="P30">
            <v>10815</v>
          </cell>
          <cell r="Q30">
            <v>12669</v>
          </cell>
          <cell r="R30">
            <v>11915</v>
          </cell>
          <cell r="S30">
            <v>12017</v>
          </cell>
          <cell r="T30">
            <v>12774</v>
          </cell>
          <cell r="U30">
            <v>12948</v>
          </cell>
          <cell r="V30">
            <v>14364</v>
          </cell>
          <cell r="W30">
            <v>15547</v>
          </cell>
        </row>
        <row r="31">
          <cell r="M31">
            <v>5708</v>
          </cell>
          <cell r="N31">
            <v>5640.7999999999993</v>
          </cell>
          <cell r="O31">
            <v>5601.2</v>
          </cell>
          <cell r="P31">
            <v>6041.6</v>
          </cell>
          <cell r="Q31">
            <v>5811.9000000000005</v>
          </cell>
          <cell r="R31">
            <v>6013.8000000000011</v>
          </cell>
          <cell r="S31">
            <v>6904</v>
          </cell>
          <cell r="T31">
            <v>6833.5</v>
          </cell>
          <cell r="U31">
            <v>7386</v>
          </cell>
          <cell r="V31">
            <v>7558</v>
          </cell>
          <cell r="W31">
            <v>8875</v>
          </cell>
        </row>
        <row r="32">
          <cell r="M32">
            <v>3535</v>
          </cell>
          <cell r="N32">
            <v>3527</v>
          </cell>
          <cell r="O32">
            <v>3599</v>
          </cell>
          <cell r="P32">
            <v>3828</v>
          </cell>
          <cell r="Q32">
            <v>4040</v>
          </cell>
          <cell r="R32">
            <v>4125</v>
          </cell>
          <cell r="S32">
            <v>4180</v>
          </cell>
          <cell r="T32">
            <v>4539</v>
          </cell>
          <cell r="U32">
            <v>4885</v>
          </cell>
          <cell r="V32">
            <v>5762</v>
          </cell>
          <cell r="W32">
            <v>6615</v>
          </cell>
        </row>
        <row r="33">
          <cell r="M33">
            <v>37181.567999999999</v>
          </cell>
          <cell r="N33">
            <v>35377.061999999998</v>
          </cell>
          <cell r="O33">
            <v>37276.79</v>
          </cell>
          <cell r="P33">
            <v>37657.976999999999</v>
          </cell>
          <cell r="Q33">
            <v>37950.137000000002</v>
          </cell>
          <cell r="R33">
            <v>38918.51</v>
          </cell>
          <cell r="S33">
            <v>39013.525999999998</v>
          </cell>
          <cell r="T33">
            <v>38165.735000000001</v>
          </cell>
          <cell r="U33">
            <v>37748.826999999997</v>
          </cell>
          <cell r="V33">
            <v>40367.79</v>
          </cell>
          <cell r="W33">
            <v>43473.63</v>
          </cell>
        </row>
      </sheetData>
      <sheetData sheetId="1"/>
      <sheetData sheetId="2"/>
      <sheetData sheetId="3"/>
      <sheetData sheetId="4">
        <row r="12">
          <cell r="B12">
            <v>2006.7310978929265</v>
          </cell>
          <cell r="C12">
            <v>2046.8657198507851</v>
          </cell>
          <cell r="D12">
            <v>2087.803034247801</v>
          </cell>
          <cell r="E12">
            <v>2129.559094932757</v>
          </cell>
          <cell r="F12">
            <v>2172.1502768314122</v>
          </cell>
          <cell r="G12">
            <v>2215.5932823680405</v>
          </cell>
          <cell r="H12">
            <v>2259.9051480154012</v>
          </cell>
          <cell r="I12">
            <v>2305.1032509757092</v>
          </cell>
          <cell r="J12">
            <v>2351.2053159952234</v>
          </cell>
          <cell r="K12">
            <v>2398.229422315128</v>
          </cell>
          <cell r="L12">
            <v>2446.1940107614305</v>
          </cell>
        </row>
        <row r="13">
          <cell r="B13">
            <v>2443.8055074441863</v>
          </cell>
          <cell r="C13">
            <v>2492.6816175930703</v>
          </cell>
          <cell r="D13">
            <v>2542.5352499449318</v>
          </cell>
          <cell r="E13">
            <v>2593.3859549438307</v>
          </cell>
          <cell r="F13">
            <v>2645.2536740427072</v>
          </cell>
          <cell r="G13">
            <v>2698.1587475235615</v>
          </cell>
          <cell r="H13">
            <v>2752.1219224740325</v>
          </cell>
          <cell r="I13">
            <v>2807.1643609235134</v>
          </cell>
          <cell r="J13">
            <v>2863.3076481419839</v>
          </cell>
          <cell r="K13">
            <v>2920.5738011048238</v>
          </cell>
          <cell r="L13">
            <v>2978.9852771269202</v>
          </cell>
        </row>
        <row r="14">
          <cell r="B14">
            <v>346.49730439563103</v>
          </cell>
          <cell r="C14">
            <v>353.42725048354367</v>
          </cell>
          <cell r="D14">
            <v>360.49579549321453</v>
          </cell>
          <cell r="E14">
            <v>367.70571140307885</v>
          </cell>
          <cell r="F14">
            <v>375.05982563114043</v>
          </cell>
          <cell r="G14">
            <v>382.56102214376324</v>
          </cell>
          <cell r="H14">
            <v>390.21224258663852</v>
          </cell>
          <cell r="I14">
            <v>398.01648743837131</v>
          </cell>
          <cell r="J14">
            <v>405.97681718713875</v>
          </cell>
          <cell r="K14">
            <v>414.09635353088152</v>
          </cell>
          <cell r="L14">
            <v>422.37828060149917</v>
          </cell>
        </row>
        <row r="15">
          <cell r="B15">
            <v>184.20996115417736</v>
          </cell>
          <cell r="C15">
            <v>187.8941603772609</v>
          </cell>
          <cell r="D15">
            <v>191.65204358480614</v>
          </cell>
          <cell r="E15">
            <v>195.48508445650225</v>
          </cell>
          <cell r="F15">
            <v>199.39478614563231</v>
          </cell>
          <cell r="G15">
            <v>203.38268186854495</v>
          </cell>
          <cell r="H15">
            <v>207.45033550591586</v>
          </cell>
          <cell r="I15">
            <v>211.59934221603419</v>
          </cell>
          <cell r="J15">
            <v>215.83132906035488</v>
          </cell>
          <cell r="K15">
            <v>220.14795564156196</v>
          </cell>
          <cell r="L15">
            <v>224.5509147543932</v>
          </cell>
        </row>
        <row r="16">
          <cell r="B16">
            <v>153.03630944140374</v>
          </cell>
          <cell r="C16">
            <v>156.09703563023183</v>
          </cell>
          <cell r="D16">
            <v>159.21897634283647</v>
          </cell>
          <cell r="E16">
            <v>162.4033558696932</v>
          </cell>
          <cell r="F16">
            <v>165.65142298708707</v>
          </cell>
          <cell r="G16">
            <v>168.9644514468288</v>
          </cell>
          <cell r="H16">
            <v>172.34374047576537</v>
          </cell>
          <cell r="I16">
            <v>175.79061528528069</v>
          </cell>
          <cell r="J16">
            <v>179.30642759098632</v>
          </cell>
          <cell r="K16">
            <v>182.89255614280606</v>
          </cell>
          <cell r="L16">
            <v>186.55040726566219</v>
          </cell>
        </row>
        <row r="17">
          <cell r="B17">
            <v>1880.0810468312945</v>
          </cell>
          <cell r="C17">
            <v>1917.6826677679205</v>
          </cell>
          <cell r="D17">
            <v>1956.0363211232789</v>
          </cell>
          <cell r="E17">
            <v>1995.1570475457445</v>
          </cell>
          <cell r="F17">
            <v>2035.0601884966595</v>
          </cell>
          <cell r="G17">
            <v>2075.7613922665928</v>
          </cell>
          <cell r="H17">
            <v>2117.2766201119248</v>
          </cell>
          <cell r="I17">
            <v>2159.6221525141632</v>
          </cell>
          <cell r="J17">
            <v>2202.8145955644463</v>
          </cell>
          <cell r="K17">
            <v>2246.8708874757353</v>
          </cell>
          <cell r="L17">
            <v>2291.80830522525</v>
          </cell>
        </row>
        <row r="18">
          <cell r="B18">
            <v>1877.9709670929876</v>
          </cell>
          <cell r="C18">
            <v>1915.5303864348475</v>
          </cell>
          <cell r="D18">
            <v>1953.8409941635446</v>
          </cell>
          <cell r="E18">
            <v>1992.9178140468155</v>
          </cell>
          <cell r="F18">
            <v>2032.7761703277517</v>
          </cell>
          <cell r="G18">
            <v>2073.4316937343069</v>
          </cell>
          <cell r="H18">
            <v>2114.9003276089929</v>
          </cell>
          <cell r="I18">
            <v>2157.1983341611726</v>
          </cell>
          <cell r="J18">
            <v>2200.342300844396</v>
          </cell>
          <cell r="K18">
            <v>2244.3491468612842</v>
          </cell>
          <cell r="L18">
            <v>2289.2361297985099</v>
          </cell>
        </row>
        <row r="19">
          <cell r="B19">
            <v>264.93828023694283</v>
          </cell>
          <cell r="C19">
            <v>270.23704584168166</v>
          </cell>
          <cell r="D19">
            <v>275.64178675851531</v>
          </cell>
          <cell r="E19">
            <v>281.15462249368562</v>
          </cell>
          <cell r="F19">
            <v>286.77771494355932</v>
          </cell>
          <cell r="G19">
            <v>292.51326924243051</v>
          </cell>
          <cell r="H19">
            <v>298.36353462727914</v>
          </cell>
          <cell r="I19">
            <v>304.33080531982472</v>
          </cell>
          <cell r="J19">
            <v>310.41742142622121</v>
          </cell>
          <cell r="K19">
            <v>316.62576985474561</v>
          </cell>
          <cell r="L19">
            <v>322.95828525184055</v>
          </cell>
        </row>
        <row r="20">
          <cell r="B20">
            <v>1534.2500834056548</v>
          </cell>
          <cell r="C20">
            <v>1564.9350850737678</v>
          </cell>
          <cell r="D20">
            <v>1596.2337867752433</v>
          </cell>
          <cell r="E20">
            <v>1628.1584625107482</v>
          </cell>
          <cell r="F20">
            <v>1660.7216317609632</v>
          </cell>
          <cell r="G20">
            <v>1693.9360643961825</v>
          </cell>
          <cell r="H20">
            <v>1727.8147856841063</v>
          </cell>
          <cell r="I20">
            <v>1762.3710813977884</v>
          </cell>
          <cell r="J20">
            <v>1797.6185030257443</v>
          </cell>
          <cell r="K20">
            <v>1833.5708730862593</v>
          </cell>
          <cell r="L20">
            <v>1870.2422905479846</v>
          </cell>
        </row>
        <row r="21">
          <cell r="B21">
            <v>19420.357545800838</v>
          </cell>
          <cell r="C21">
            <v>19808.764696716855</v>
          </cell>
          <cell r="D21">
            <v>20204.939990651194</v>
          </cell>
          <cell r="E21">
            <v>20609.038790464219</v>
          </cell>
          <cell r="F21">
            <v>21021.219566273503</v>
          </cell>
          <cell r="G21">
            <v>21441.643957598975</v>
          </cell>
          <cell r="H21">
            <v>21870.476836750957</v>
          </cell>
          <cell r="I21">
            <v>22307.886373485977</v>
          </cell>
          <cell r="J21">
            <v>22754.044100955696</v>
          </cell>
          <cell r="K21">
            <v>23209.124982974812</v>
          </cell>
          <cell r="L21">
            <v>23673.307482634307</v>
          </cell>
        </row>
        <row r="22">
          <cell r="B22">
            <v>23105.154067495303</v>
          </cell>
          <cell r="C22">
            <v>23567.257148845209</v>
          </cell>
          <cell r="D22">
            <v>24038.602291822113</v>
          </cell>
          <cell r="E22">
            <v>24519.374337658555</v>
          </cell>
          <cell r="F22">
            <v>25009.761824411726</v>
          </cell>
          <cell r="G22">
            <v>25509.95706089996</v>
          </cell>
          <cell r="H22">
            <v>26020.15620211796</v>
          </cell>
          <cell r="I22">
            <v>26540.559326160321</v>
          </cell>
          <cell r="J22">
            <v>27071.370512683527</v>
          </cell>
          <cell r="K22">
            <v>27612.797922937196</v>
          </cell>
          <cell r="L22">
            <v>28165.053881395939</v>
          </cell>
        </row>
        <row r="23">
          <cell r="B23">
            <v>1027.2756620703806</v>
          </cell>
          <cell r="C23">
            <v>1047.8211753117882</v>
          </cell>
          <cell r="D23">
            <v>1068.777598818024</v>
          </cell>
          <cell r="E23">
            <v>1090.1531507943844</v>
          </cell>
          <cell r="F23">
            <v>1111.9562138102722</v>
          </cell>
          <cell r="G23">
            <v>1134.1953380864777</v>
          </cell>
          <cell r="H23">
            <v>1156.8792448482072</v>
          </cell>
          <cell r="I23">
            <v>1180.0168297451714</v>
          </cell>
          <cell r="J23">
            <v>1203.6171663400748</v>
          </cell>
          <cell r="K23">
            <v>1227.6895096668763</v>
          </cell>
          <cell r="L23">
            <v>1252.2432998602139</v>
          </cell>
        </row>
        <row r="24">
          <cell r="B24">
            <v>1134.4455014106959</v>
          </cell>
          <cell r="C24">
            <v>1157.1344114389099</v>
          </cell>
          <cell r="D24">
            <v>1180.2770996676882</v>
          </cell>
          <cell r="E24">
            <v>1203.882641661042</v>
          </cell>
          <cell r="F24">
            <v>1227.9602944942628</v>
          </cell>
          <cell r="G24">
            <v>1252.5195003841482</v>
          </cell>
          <cell r="H24">
            <v>1277.5698903918312</v>
          </cell>
          <cell r="I24">
            <v>1303.1212881996678</v>
          </cell>
          <cell r="J24">
            <v>1329.1837139636611</v>
          </cell>
          <cell r="K24">
            <v>1355.7673882429344</v>
          </cell>
          <cell r="L24">
            <v>1382.882736007793</v>
          </cell>
        </row>
        <row r="25">
          <cell r="B25">
            <v>104.00471973285529</v>
          </cell>
          <cell r="C25">
            <v>106.0848141275124</v>
          </cell>
          <cell r="D25">
            <v>108.20651041006265</v>
          </cell>
          <cell r="E25">
            <v>110.37064061826391</v>
          </cell>
          <cell r="F25">
            <v>112.57805343062918</v>
          </cell>
          <cell r="G25">
            <v>114.82961449924177</v>
          </cell>
          <cell r="H25">
            <v>117.12620678922661</v>
          </cell>
          <cell r="I25">
            <v>119.46873092501114</v>
          </cell>
          <cell r="J25">
            <v>121.85810554351137</v>
          </cell>
          <cell r="K25">
            <v>124.2952676543816</v>
          </cell>
          <cell r="L25">
            <v>126.78117300746923</v>
          </cell>
        </row>
        <row r="26">
          <cell r="B26">
            <v>1163.8755609186583</v>
          </cell>
          <cell r="C26">
            <v>1187.1530721370314</v>
          </cell>
          <cell r="D26">
            <v>1210.8961335797719</v>
          </cell>
          <cell r="E26">
            <v>1235.1140562513674</v>
          </cell>
          <cell r="F26">
            <v>1259.8163373763948</v>
          </cell>
          <cell r="G26">
            <v>1285.0126641239228</v>
          </cell>
          <cell r="H26">
            <v>1310.7129174064014</v>
          </cell>
          <cell r="I26">
            <v>1336.9271757545293</v>
          </cell>
          <cell r="J26">
            <v>1363.66571926962</v>
          </cell>
          <cell r="K26">
            <v>1390.9390336550125</v>
          </cell>
          <cell r="L26">
            <v>1418.7578143281128</v>
          </cell>
        </row>
        <row r="27">
          <cell r="B27">
            <v>16384.795266306399</v>
          </cell>
          <cell r="C27">
            <v>16712.491171632526</v>
          </cell>
          <cell r="D27">
            <v>17046.740995065178</v>
          </cell>
          <cell r="E27">
            <v>17387.675814966482</v>
          </cell>
          <cell r="F27">
            <v>17735.429331265812</v>
          </cell>
          <cell r="G27">
            <v>18090.13791789113</v>
          </cell>
          <cell r="H27">
            <v>18451.940676248953</v>
          </cell>
          <cell r="I27">
            <v>18820.97948977393</v>
          </cell>
          <cell r="J27">
            <v>19197.399079569408</v>
          </cell>
          <cell r="K27">
            <v>19581.347061160795</v>
          </cell>
          <cell r="L27">
            <v>19972.974002384013</v>
          </cell>
        </row>
        <row r="28">
          <cell r="B28">
            <v>639.18035677059879</v>
          </cell>
          <cell r="C28">
            <v>651.9639639060108</v>
          </cell>
          <cell r="D28">
            <v>665.00324318413107</v>
          </cell>
          <cell r="E28">
            <v>678.30330804781374</v>
          </cell>
          <cell r="F28">
            <v>691.86937420877007</v>
          </cell>
          <cell r="G28">
            <v>705.70676169294552</v>
          </cell>
          <cell r="H28">
            <v>719.82089692680449</v>
          </cell>
          <cell r="I28">
            <v>734.21731486534065</v>
          </cell>
          <cell r="J28">
            <v>748.90166116264743</v>
          </cell>
          <cell r="K28">
            <v>763.87969438590039</v>
          </cell>
          <cell r="L28">
            <v>779.15728827361841</v>
          </cell>
        </row>
        <row r="29">
          <cell r="B29">
            <v>393.14117229504302</v>
          </cell>
          <cell r="C29">
            <v>401.00399574094388</v>
          </cell>
          <cell r="D29">
            <v>409.02407565576277</v>
          </cell>
          <cell r="E29">
            <v>417.20455716887801</v>
          </cell>
          <cell r="F29">
            <v>425.54864831225558</v>
          </cell>
          <cell r="G29">
            <v>434.05962127850069</v>
          </cell>
          <cell r="H29">
            <v>442.74081370407072</v>
          </cell>
          <cell r="I29">
            <v>451.59562997815215</v>
          </cell>
          <cell r="J29">
            <v>460.62754257771519</v>
          </cell>
          <cell r="K29">
            <v>469.84009342926947</v>
          </cell>
          <cell r="L29">
            <v>479.23689529785486</v>
          </cell>
        </row>
        <row r="30">
          <cell r="B30">
            <v>101.45041268122081</v>
          </cell>
          <cell r="C30">
            <v>103.47942093484522</v>
          </cell>
          <cell r="D30">
            <v>105.54900935354213</v>
          </cell>
          <cell r="E30">
            <v>107.65998954061298</v>
          </cell>
          <cell r="F30">
            <v>109.81318933142525</v>
          </cell>
          <cell r="G30">
            <v>112.00945311805376</v>
          </cell>
          <cell r="H30">
            <v>114.24964218041484</v>
          </cell>
          <cell r="I30">
            <v>116.53463502402313</v>
          </cell>
          <cell r="J30">
            <v>118.8653277245036</v>
          </cell>
          <cell r="K30">
            <v>121.24263427899368</v>
          </cell>
          <cell r="L30">
            <v>123.66748696457356</v>
          </cell>
        </row>
        <row r="31">
          <cell r="B31">
            <v>48.481858408305378</v>
          </cell>
          <cell r="C31">
            <v>49.451495576471487</v>
          </cell>
          <cell r="D31">
            <v>50.440525488000915</v>
          </cell>
          <cell r="E31">
            <v>51.449335997760933</v>
          </cell>
          <cell r="F31">
            <v>52.478322717716154</v>
          </cell>
          <cell r="G31">
            <v>53.527889172070481</v>
          </cell>
          <cell r="H31">
            <v>54.598446955511889</v>
          </cell>
          <cell r="I31">
            <v>55.690415894622127</v>
          </cell>
          <cell r="J31">
            <v>56.804224212514569</v>
          </cell>
          <cell r="K31">
            <v>57.940308696764859</v>
          </cell>
          <cell r="L31">
            <v>59.099114870700156</v>
          </cell>
        </row>
        <row r="32">
          <cell r="B32">
            <v>4318.4447696872157</v>
          </cell>
          <cell r="C32">
            <v>4404.8136650809602</v>
          </cell>
          <cell r="D32">
            <v>4492.9099383825796</v>
          </cell>
          <cell r="E32">
            <v>4582.7681371502313</v>
          </cell>
          <cell r="F32">
            <v>4674.4234998932361</v>
          </cell>
          <cell r="G32">
            <v>4767.9119698911009</v>
          </cell>
          <cell r="H32">
            <v>4863.2702092889231</v>
          </cell>
          <cell r="I32">
            <v>4960.5356134747017</v>
          </cell>
          <cell r="J32">
            <v>5059.7463257441959</v>
          </cell>
          <cell r="K32">
            <v>5160.9412522590801</v>
          </cell>
          <cell r="L32">
            <v>5264.1600773042619</v>
          </cell>
        </row>
        <row r="33">
          <cell r="B33">
            <v>1527.464511194574</v>
          </cell>
          <cell r="C33">
            <v>1558.0138014184656</v>
          </cell>
          <cell r="D33">
            <v>1589.1740774468349</v>
          </cell>
          <cell r="E33">
            <v>1620.9575589957717</v>
          </cell>
          <cell r="F33">
            <v>1653.3767101756871</v>
          </cell>
          <cell r="G33">
            <v>1686.4442443792009</v>
          </cell>
          <cell r="H33">
            <v>1720.1731292667848</v>
          </cell>
          <cell r="I33">
            <v>1754.5765918521206</v>
          </cell>
          <cell r="J33">
            <v>1789.6681236891629</v>
          </cell>
          <cell r="K33">
            <v>1825.4614861629461</v>
          </cell>
          <cell r="L33">
            <v>1861.970715886205</v>
          </cell>
        </row>
        <row r="34">
          <cell r="B34">
            <v>5551.7308483133338</v>
          </cell>
          <cell r="C34">
            <v>5662.7654652796009</v>
          </cell>
          <cell r="D34">
            <v>5776.0207745851931</v>
          </cell>
          <cell r="E34">
            <v>5891.5411900768968</v>
          </cell>
          <cell r="F34">
            <v>6009.3720138784347</v>
          </cell>
          <cell r="G34">
            <v>6129.5594541560031</v>
          </cell>
          <cell r="H34">
            <v>6252.1506432391234</v>
          </cell>
          <cell r="I34">
            <v>6377.1936561039056</v>
          </cell>
          <cell r="J34">
            <v>6504.737529225984</v>
          </cell>
          <cell r="K34">
            <v>6634.8322798105037</v>
          </cell>
          <cell r="L34">
            <v>6767.5289254067138</v>
          </cell>
        </row>
        <row r="35">
          <cell r="B35">
            <v>943.98304082143102</v>
          </cell>
          <cell r="C35">
            <v>962.86270163785969</v>
          </cell>
          <cell r="D35">
            <v>982.11995567061695</v>
          </cell>
          <cell r="E35">
            <v>1001.7623547840293</v>
          </cell>
          <cell r="F35">
            <v>1021.7976018797099</v>
          </cell>
          <cell r="G35">
            <v>1042.2335539173041</v>
          </cell>
          <cell r="H35">
            <v>1063.0782249956503</v>
          </cell>
          <cell r="I35">
            <v>1084.3397894955633</v>
          </cell>
          <cell r="J35">
            <v>1106.0265852854745</v>
          </cell>
          <cell r="K35">
            <v>1128.147116991184</v>
          </cell>
          <cell r="L35">
            <v>1150.7100593310076</v>
          </cell>
        </row>
        <row r="36">
          <cell r="B36">
            <v>1497.2737124125376</v>
          </cell>
          <cell r="C36">
            <v>1527.2191866607884</v>
          </cell>
          <cell r="D36">
            <v>1557.7635703940041</v>
          </cell>
          <cell r="E36">
            <v>1588.9188418018841</v>
          </cell>
          <cell r="F36">
            <v>1620.6972186379219</v>
          </cell>
          <cell r="G36">
            <v>1653.1111630106805</v>
          </cell>
          <cell r="H36">
            <v>1686.1733862708941</v>
          </cell>
          <cell r="I36">
            <v>1719.8968539963121</v>
          </cell>
          <cell r="J36">
            <v>1754.2947910762384</v>
          </cell>
          <cell r="K36">
            <v>1789.3806868977633</v>
          </cell>
          <cell r="L36">
            <v>1825.1683006357187</v>
          </cell>
        </row>
        <row r="37">
          <cell r="B37">
            <v>544.17845882647191</v>
          </cell>
          <cell r="C37">
            <v>555.06202800300139</v>
          </cell>
          <cell r="D37">
            <v>566.16326856306148</v>
          </cell>
          <cell r="E37">
            <v>577.48653393432267</v>
          </cell>
          <cell r="F37">
            <v>589.03626461300917</v>
          </cell>
          <cell r="G37">
            <v>600.81698990526934</v>
          </cell>
          <cell r="H37">
            <v>612.83332970337472</v>
          </cell>
          <cell r="I37">
            <v>625.08999629744221</v>
          </cell>
          <cell r="J37">
            <v>637.59179622339104</v>
          </cell>
          <cell r="K37">
            <v>650.3436321478589</v>
          </cell>
          <cell r="L37">
            <v>663.3505047908161</v>
          </cell>
        </row>
        <row r="38">
          <cell r="B38">
            <v>372.04037491197568</v>
          </cell>
          <cell r="C38">
            <v>379.48118241021518</v>
          </cell>
          <cell r="D38">
            <v>387.07080605841952</v>
          </cell>
          <cell r="E38">
            <v>394.81222217958793</v>
          </cell>
          <cell r="F38">
            <v>402.70846662317967</v>
          </cell>
          <cell r="G38">
            <v>410.76263595564325</v>
          </cell>
          <cell r="H38">
            <v>418.97788867475612</v>
          </cell>
          <cell r="I38">
            <v>427.35744644825127</v>
          </cell>
          <cell r="J38">
            <v>435.90459537721631</v>
          </cell>
          <cell r="K38">
            <v>444.62268728476067</v>
          </cell>
          <cell r="L38">
            <v>453.51514103045588</v>
          </cell>
        </row>
        <row r="39">
          <cell r="B39">
            <v>6358.7684609140351</v>
          </cell>
          <cell r="C39">
            <v>6485.9438301323162</v>
          </cell>
          <cell r="D39">
            <v>6615.6627067349627</v>
          </cell>
          <cell r="E39">
            <v>6747.9759608696622</v>
          </cell>
          <cell r="F39">
            <v>6882.935480087056</v>
          </cell>
          <cell r="G39">
            <v>7020.5941896887971</v>
          </cell>
          <cell r="H39">
            <v>7161.0060734825729</v>
          </cell>
          <cell r="I39">
            <v>7304.2261949522244</v>
          </cell>
          <cell r="J39">
            <v>7450.3107188512695</v>
          </cell>
          <cell r="K39">
            <v>7599.3169332282951</v>
          </cell>
          <cell r="L39">
            <v>7751.3032718928607</v>
          </cell>
        </row>
        <row r="40">
          <cell r="B40">
            <v>2703.2085006964535</v>
          </cell>
          <cell r="C40">
            <v>2757.2726707103825</v>
          </cell>
          <cell r="D40">
            <v>2812.4181241245901</v>
          </cell>
          <cell r="E40">
            <v>2868.6664866070819</v>
          </cell>
          <cell r="F40">
            <v>2926.0398163392238</v>
          </cell>
          <cell r="G40">
            <v>2984.5606126660082</v>
          </cell>
          <cell r="H40">
            <v>3044.2518249193286</v>
          </cell>
          <cell r="I40">
            <v>3105.136861417715</v>
          </cell>
          <cell r="J40">
            <v>3167.2395986460692</v>
          </cell>
          <cell r="K40">
            <v>3230.5843906189907</v>
          </cell>
          <cell r="L40">
            <v>3295.1960784313706</v>
          </cell>
        </row>
        <row r="41">
          <cell r="B41">
            <v>1962.9294407669167</v>
          </cell>
          <cell r="C41">
            <v>2002.188029582255</v>
          </cell>
          <cell r="D41">
            <v>2042.2317901739002</v>
          </cell>
          <cell r="E41">
            <v>2083.0764259773782</v>
          </cell>
          <cell r="F41">
            <v>2124.7379544969258</v>
          </cell>
          <cell r="G41">
            <v>2167.2327135868645</v>
          </cell>
          <cell r="H41">
            <v>2210.577367858602</v>
          </cell>
          <cell r="I41">
            <v>2254.7889152157741</v>
          </cell>
          <cell r="J41">
            <v>2299.8846935200895</v>
          </cell>
          <cell r="K41">
            <v>2345.8823873904912</v>
          </cell>
          <cell r="L41">
            <v>2392.8000351383012</v>
          </cell>
        </row>
        <row r="42">
          <cell r="B42">
            <v>20646.335072440474</v>
          </cell>
          <cell r="C42">
            <v>21059.261773889284</v>
          </cell>
          <cell r="D42">
            <v>21480.447009367072</v>
          </cell>
          <cell r="E42">
            <v>21910.055949554415</v>
          </cell>
          <cell r="F42">
            <v>22348.257068545503</v>
          </cell>
          <cell r="G42">
            <v>22795.222209916414</v>
          </cell>
          <cell r="H42">
            <v>23251.126654114742</v>
          </cell>
          <cell r="I42">
            <v>23716.149187197036</v>
          </cell>
          <cell r="J42">
            <v>24190.472170940975</v>
          </cell>
          <cell r="K42">
            <v>24674.281614359796</v>
          </cell>
          <cell r="L42">
            <v>25167.767246646992</v>
          </cell>
        </row>
      </sheetData>
      <sheetData sheetId="5">
        <row r="12">
          <cell r="B12">
            <v>81.322174884061937</v>
          </cell>
          <cell r="C12">
            <v>92.707279367830594</v>
          </cell>
          <cell r="D12">
            <v>105.68629847932687</v>
          </cell>
          <cell r="E12">
            <v>120.48238026643261</v>
          </cell>
          <cell r="F12">
            <v>127.71132308241857</v>
          </cell>
          <cell r="G12">
            <v>158.36204062219903</v>
          </cell>
          <cell r="H12">
            <v>180.5327263093069</v>
          </cell>
          <cell r="I12">
            <v>142.62085378435245</v>
          </cell>
          <cell r="J12">
            <v>165.44019038984882</v>
          </cell>
          <cell r="K12">
            <v>142.27856373526998</v>
          </cell>
          <cell r="L12">
            <v>179.27099030644018</v>
          </cell>
        </row>
        <row r="13">
          <cell r="B13">
            <v>99.034484026127259</v>
          </cell>
          <cell r="C13">
            <v>112.89931178978507</v>
          </cell>
          <cell r="D13">
            <v>128.70521544035498</v>
          </cell>
          <cell r="E13">
            <v>146.72394560200468</v>
          </cell>
          <cell r="F13">
            <v>155.52738233812497</v>
          </cell>
          <cell r="G13">
            <v>192.85395409927497</v>
          </cell>
          <cell r="H13">
            <v>219.85350767317345</v>
          </cell>
          <cell r="I13">
            <v>173.68427106180704</v>
          </cell>
          <cell r="J13">
            <v>201.47375443169614</v>
          </cell>
          <cell r="K13">
            <v>173.26742881125867</v>
          </cell>
          <cell r="L13">
            <v>218.31696030218592</v>
          </cell>
        </row>
        <row r="14">
          <cell r="B14">
            <v>14.041699166621997</v>
          </cell>
          <cell r="C14">
            <v>16.007537049949075</v>
          </cell>
          <cell r="D14">
            <v>18.248592236941946</v>
          </cell>
          <cell r="E14">
            <v>20.803395150113815</v>
          </cell>
          <cell r="F14">
            <v>22.051598859120645</v>
          </cell>
          <cell r="G14">
            <v>27.3439825853096</v>
          </cell>
          <cell r="H14">
            <v>31.172140147252943</v>
          </cell>
          <cell r="I14">
            <v>24.625990716329827</v>
          </cell>
          <cell r="J14">
            <v>28.566149230942596</v>
          </cell>
          <cell r="K14">
            <v>24.566888338610632</v>
          </cell>
          <cell r="L14">
            <v>30.954279306649397</v>
          </cell>
        </row>
        <row r="15">
          <cell r="B15">
            <v>7.4650533357935611</v>
          </cell>
          <cell r="C15">
            <v>8.5101608028046591</v>
          </cell>
          <cell r="D15">
            <v>9.7015833151973112</v>
          </cell>
          <cell r="E15">
            <v>11.059804979324934</v>
          </cell>
          <cell r="F15">
            <v>11.72339327808443</v>
          </cell>
          <cell r="G15">
            <v>14.537007664824692</v>
          </cell>
          <cell r="H15">
            <v>16.572188737900149</v>
          </cell>
          <cell r="I15">
            <v>13.092029102941117</v>
          </cell>
          <cell r="J15">
            <v>15.186753759411694</v>
          </cell>
          <cell r="K15">
            <v>13.060608233094056</v>
          </cell>
          <cell r="L15">
            <v>16.456366373698511</v>
          </cell>
        </row>
        <row r="16">
          <cell r="B16">
            <v>6.2017504652580495</v>
          </cell>
          <cell r="C16">
            <v>7.0699955303941762</v>
          </cell>
          <cell r="D16">
            <v>8.05979490464936</v>
          </cell>
          <cell r="E16">
            <v>9.1881661913002688</v>
          </cell>
          <cell r="F16">
            <v>9.7394561627782856</v>
          </cell>
          <cell r="G16">
            <v>12.076925641845074</v>
          </cell>
          <cell r="H16">
            <v>13.767695231703383</v>
          </cell>
          <cell r="I16">
            <v>10.876479233045673</v>
          </cell>
          <cell r="J16">
            <v>12.61671591033298</v>
          </cell>
          <cell r="K16">
            <v>10.850375682886362</v>
          </cell>
          <cell r="L16">
            <v>13.671473360436817</v>
          </cell>
        </row>
        <row r="17">
          <cell r="B17">
            <v>76.189719612738401</v>
          </cell>
          <cell r="C17">
            <v>86.856280358521772</v>
          </cell>
          <cell r="D17">
            <v>99.016159608714815</v>
          </cell>
          <cell r="E17">
            <v>112.87842195393488</v>
          </cell>
          <cell r="F17">
            <v>119.65112727117098</v>
          </cell>
          <cell r="G17">
            <v>148.36739781625201</v>
          </cell>
          <cell r="H17">
            <v>169.13883351052726</v>
          </cell>
          <cell r="I17">
            <v>133.61967847331655</v>
          </cell>
          <cell r="J17">
            <v>154.99882702904719</v>
          </cell>
          <cell r="K17">
            <v>133.29899124498058</v>
          </cell>
          <cell r="L17">
            <v>167.95672896867555</v>
          </cell>
        </row>
        <row r="18">
          <cell r="B18">
            <v>76.104209265249338</v>
          </cell>
          <cell r="C18">
            <v>86.758798562384243</v>
          </cell>
          <cell r="D18">
            <v>98.905030361118023</v>
          </cell>
          <cell r="E18">
            <v>112.75173461167454</v>
          </cell>
          <cell r="F18">
            <v>119.51683868837502</v>
          </cell>
          <cell r="G18">
            <v>148.20087997358502</v>
          </cell>
          <cell r="H18">
            <v>168.94900316988691</v>
          </cell>
          <cell r="I18">
            <v>133.46971250421066</v>
          </cell>
          <cell r="J18">
            <v>154.82486650488437</v>
          </cell>
          <cell r="K18">
            <v>133.14938519420056</v>
          </cell>
          <cell r="L18">
            <v>167.76822534469272</v>
          </cell>
        </row>
        <row r="19">
          <cell r="B19">
            <v>10.736544214386255</v>
          </cell>
          <cell r="C19">
            <v>12.239660404400329</v>
          </cell>
          <cell r="D19">
            <v>13.953212861016373</v>
          </cell>
          <cell r="E19">
            <v>15.906662661558665</v>
          </cell>
          <cell r="F19">
            <v>16.861062421252186</v>
          </cell>
          <cell r="G19">
            <v>20.907717402352709</v>
          </cell>
          <cell r="H19">
            <v>23.834797838682086</v>
          </cell>
          <cell r="I19">
            <v>18.829490292558848</v>
          </cell>
          <cell r="J19">
            <v>21.84220873936826</v>
          </cell>
          <cell r="K19">
            <v>18.784299515856702</v>
          </cell>
          <cell r="L19">
            <v>23.668217389979446</v>
          </cell>
        </row>
        <row r="20">
          <cell r="B20">
            <v>62.175023713744508</v>
          </cell>
          <cell r="C20">
            <v>70.879527033668737</v>
          </cell>
          <cell r="D20">
            <v>80.80266081838235</v>
          </cell>
          <cell r="E20">
            <v>92.115033332955875</v>
          </cell>
          <cell r="F20">
            <v>97.64193533293323</v>
          </cell>
          <cell r="G20">
            <v>121.07599981283721</v>
          </cell>
          <cell r="H20">
            <v>138.02663978663441</v>
          </cell>
          <cell r="I20">
            <v>109.04104543144119</v>
          </cell>
          <cell r="J20">
            <v>126.48761270047177</v>
          </cell>
          <cell r="K20">
            <v>108.77934692240572</v>
          </cell>
          <cell r="L20">
            <v>137.06197712223121</v>
          </cell>
        </row>
        <row r="21">
          <cell r="B21">
            <v>752.89610691801067</v>
          </cell>
          <cell r="C21">
            <v>858.30156188653211</v>
          </cell>
          <cell r="D21">
            <v>978.46378055064656</v>
          </cell>
          <cell r="E21">
            <v>1115.448709827737</v>
          </cell>
          <cell r="F21">
            <v>1182.3756324174012</v>
          </cell>
          <cell r="G21">
            <v>1466.1457841975775</v>
          </cell>
          <cell r="H21">
            <v>1671.4061939852384</v>
          </cell>
          <cell r="I21">
            <v>1320.4108932483384</v>
          </cell>
          <cell r="J21">
            <v>1531.6766361680725</v>
          </cell>
          <cell r="K21">
            <v>1317.2419071045424</v>
          </cell>
          <cell r="L21">
            <v>1659.7248029517234</v>
          </cell>
        </row>
        <row r="22">
          <cell r="B22">
            <v>975.20494070293819</v>
          </cell>
          <cell r="C22">
            <v>1111.7336324013495</v>
          </cell>
          <cell r="D22">
            <v>1267.3763409375383</v>
          </cell>
          <cell r="E22">
            <v>1444.8090286687936</v>
          </cell>
          <cell r="F22">
            <v>1531.4975703889213</v>
          </cell>
          <cell r="G22">
            <v>1899.0569872822623</v>
          </cell>
          <cell r="H22">
            <v>2164.9249655017788</v>
          </cell>
          <cell r="I22">
            <v>1710.2907227464052</v>
          </cell>
          <cell r="J22">
            <v>1983.9372383858299</v>
          </cell>
          <cell r="K22">
            <v>1706.1860250118136</v>
          </cell>
          <cell r="L22">
            <v>2149.7943915148853</v>
          </cell>
        </row>
        <row r="23">
          <cell r="B23">
            <v>41.630037593350472</v>
          </cell>
          <cell r="C23">
            <v>47.458242856419531</v>
          </cell>
          <cell r="D23">
            <v>54.102396856318258</v>
          </cell>
          <cell r="E23">
            <v>61.67673241620281</v>
          </cell>
          <cell r="F23">
            <v>65.377336361174983</v>
          </cell>
          <cell r="G23">
            <v>81.067897087856977</v>
          </cell>
          <cell r="H23">
            <v>92.417402680156954</v>
          </cell>
          <cell r="I23">
            <v>73.009748117323994</v>
          </cell>
          <cell r="J23">
            <v>84.691307816095829</v>
          </cell>
          <cell r="K23">
            <v>72.834524721842413</v>
          </cell>
          <cell r="L23">
            <v>91.771501149521441</v>
          </cell>
        </row>
        <row r="24">
          <cell r="B24">
            <v>45.973063136872995</v>
          </cell>
          <cell r="C24">
            <v>52.409291976035213</v>
          </cell>
          <cell r="D24">
            <v>59.746592852680138</v>
          </cell>
          <cell r="E24">
            <v>68.111115852055349</v>
          </cell>
          <cell r="F24">
            <v>72.197782803178669</v>
          </cell>
          <cell r="G24">
            <v>89.52525067594155</v>
          </cell>
          <cell r="H24">
            <v>102.05878577057335</v>
          </cell>
          <cell r="I24">
            <v>80.626440758752949</v>
          </cell>
          <cell r="J24">
            <v>93.526671280153408</v>
          </cell>
          <cell r="K24">
            <v>80.432937300931926</v>
          </cell>
          <cell r="L24">
            <v>101.34550099917423</v>
          </cell>
        </row>
        <row r="25">
          <cell r="B25">
            <v>4.2147600222889432</v>
          </cell>
          <cell r="C25">
            <v>4.8048264254093951</v>
          </cell>
          <cell r="D25">
            <v>5.4775021249667102</v>
          </cell>
          <cell r="E25">
            <v>6.2443524224620486</v>
          </cell>
          <cell r="F25">
            <v>6.6190135678097715</v>
          </cell>
          <cell r="G25">
            <v>8.207576824084116</v>
          </cell>
          <cell r="H25">
            <v>9.3566375794558923</v>
          </cell>
          <cell r="I25">
            <v>7.3917436877701546</v>
          </cell>
          <cell r="J25">
            <v>8.574422677813379</v>
          </cell>
          <cell r="K25">
            <v>7.3740035029195061</v>
          </cell>
          <cell r="L25">
            <v>9.2912444136785783</v>
          </cell>
        </row>
        <row r="26">
          <cell r="B26">
            <v>47.165707457114912</v>
          </cell>
          <cell r="C26">
            <v>53.768906501110997</v>
          </cell>
          <cell r="D26">
            <v>61.29655341126653</v>
          </cell>
          <cell r="E26">
            <v>69.878070888843837</v>
          </cell>
          <cell r="F26">
            <v>74.070755142174477</v>
          </cell>
          <cell r="G26">
            <v>91.847736376296353</v>
          </cell>
          <cell r="H26">
            <v>104.70641946897783</v>
          </cell>
          <cell r="I26">
            <v>82.718071380492489</v>
          </cell>
          <cell r="J26">
            <v>95.952962801371285</v>
          </cell>
          <cell r="K26">
            <v>82.519548009179303</v>
          </cell>
          <cell r="L26">
            <v>103.97463049156592</v>
          </cell>
        </row>
        <row r="27">
          <cell r="B27">
            <v>663.98890588041024</v>
          </cell>
          <cell r="C27">
            <v>756.94735270366766</v>
          </cell>
          <cell r="D27">
            <v>862.91998208218104</v>
          </cell>
          <cell r="E27">
            <v>983.72877957368632</v>
          </cell>
          <cell r="F27">
            <v>1042.7525063481075</v>
          </cell>
          <cell r="G27">
            <v>1293.0131078716533</v>
          </cell>
          <cell r="H27">
            <v>1474.0349429736848</v>
          </cell>
          <cell r="I27">
            <v>1164.4876049492111</v>
          </cell>
          <cell r="J27">
            <v>1350.8056217410849</v>
          </cell>
          <cell r="K27">
            <v>1161.692834697333</v>
          </cell>
          <cell r="L27">
            <v>1463.7329717186396</v>
          </cell>
        </row>
        <row r="28">
          <cell r="B28">
            <v>25.902591936874074</v>
          </cell>
          <cell r="C28">
            <v>29.528954808036442</v>
          </cell>
          <cell r="D28">
            <v>33.66300848116154</v>
          </cell>
          <cell r="E28">
            <v>38.375829668524155</v>
          </cell>
          <cell r="F28">
            <v>40.678379448635603</v>
          </cell>
          <cell r="G28">
            <v>50.441190516308147</v>
          </cell>
          <cell r="H28">
            <v>57.502957188591282</v>
          </cell>
          <cell r="I28">
            <v>45.427336178987112</v>
          </cell>
          <cell r="J28">
            <v>52.695709967625042</v>
          </cell>
          <cell r="K28">
            <v>45.318310572157536</v>
          </cell>
          <cell r="L28">
            <v>57.101071320918493</v>
          </cell>
        </row>
        <row r="29">
          <cell r="B29">
            <v>15.931927900590345</v>
          </cell>
          <cell r="C29">
            <v>18.162397806672992</v>
          </cell>
          <cell r="D29">
            <v>20.705133499607211</v>
          </cell>
          <cell r="E29">
            <v>23.603852189552217</v>
          </cell>
          <cell r="F29">
            <v>25.020083320925352</v>
          </cell>
          <cell r="G29">
            <v>31.024903317947434</v>
          </cell>
          <cell r="H29">
            <v>35.368389782460071</v>
          </cell>
          <cell r="I29">
            <v>27.941027928143455</v>
          </cell>
          <cell r="J29">
            <v>32.411592396646405</v>
          </cell>
          <cell r="K29">
            <v>27.873969461115905</v>
          </cell>
          <cell r="L29">
            <v>35.121201521006043</v>
          </cell>
        </row>
        <row r="30">
          <cell r="B30">
            <v>4.1112474963811527</v>
          </cell>
          <cell r="C30">
            <v>4.6868221458745136</v>
          </cell>
          <cell r="D30">
            <v>5.3429772462969449</v>
          </cell>
          <cell r="E30">
            <v>6.0909940607785167</v>
          </cell>
          <cell r="F30">
            <v>6.4564537044252281</v>
          </cell>
          <cell r="G30">
            <v>8.0060025934872829</v>
          </cell>
          <cell r="H30">
            <v>9.1268429565755014</v>
          </cell>
          <cell r="I30">
            <v>7.2102059356946464</v>
          </cell>
          <cell r="J30">
            <v>8.363838885405789</v>
          </cell>
          <cell r="K30">
            <v>7.1929014414489787</v>
          </cell>
          <cell r="L30">
            <v>9.0630558162257131</v>
          </cell>
        </row>
        <row r="31">
          <cell r="B31">
            <v>1.964712747175908</v>
          </cell>
          <cell r="C31">
            <v>2.239772531780535</v>
          </cell>
          <cell r="D31">
            <v>2.5533406862298098</v>
          </cell>
          <cell r="E31">
            <v>2.9108083823019828</v>
          </cell>
          <cell r="F31">
            <v>3.0854568852401019</v>
          </cell>
          <cell r="G31">
            <v>3.8259665376977265</v>
          </cell>
          <cell r="H31">
            <v>4.3616018529754079</v>
          </cell>
          <cell r="I31">
            <v>3.4456654638505726</v>
          </cell>
          <cell r="J31">
            <v>3.9969719380666637</v>
          </cell>
          <cell r="K31">
            <v>3.4373958667373308</v>
          </cell>
          <cell r="L31">
            <v>4.3311187920890371</v>
          </cell>
        </row>
        <row r="32">
          <cell r="B32">
            <v>175.00367695323598</v>
          </cell>
          <cell r="C32">
            <v>199.50419172668902</v>
          </cell>
          <cell r="D32">
            <v>227.43477856842546</v>
          </cell>
          <cell r="E32">
            <v>259.27564756800501</v>
          </cell>
          <cell r="F32">
            <v>274.83218642208533</v>
          </cell>
          <cell r="G32">
            <v>340.79191116338581</v>
          </cell>
          <cell r="H32">
            <v>388.50277872625981</v>
          </cell>
          <cell r="I32">
            <v>306.91719519374527</v>
          </cell>
          <cell r="J32">
            <v>356.02394642474451</v>
          </cell>
          <cell r="K32">
            <v>306.18059392528028</v>
          </cell>
          <cell r="L32">
            <v>385.78754834585317</v>
          </cell>
        </row>
        <row r="33">
          <cell r="B33">
            <v>61.900040438398165</v>
          </cell>
          <cell r="C33">
            <v>70.566046099773899</v>
          </cell>
          <cell r="D33">
            <v>80.445292553742235</v>
          </cell>
          <cell r="E33">
            <v>91.707633511266138</v>
          </cell>
          <cell r="F33">
            <v>97.210091521942118</v>
          </cell>
          <cell r="G33">
            <v>120.54051348720823</v>
          </cell>
          <cell r="H33">
            <v>137.41618537541737</v>
          </cell>
          <cell r="I33">
            <v>108.55878644657973</v>
          </cell>
          <cell r="J33">
            <v>125.92819227803248</v>
          </cell>
          <cell r="K33">
            <v>108.29824535910794</v>
          </cell>
          <cell r="L33">
            <v>136.455789152476</v>
          </cell>
        </row>
        <row r="34">
          <cell r="B34">
            <v>224.98222478828004</v>
          </cell>
          <cell r="C34">
            <v>256.47973625863921</v>
          </cell>
          <cell r="D34">
            <v>292.38689933484869</v>
          </cell>
          <cell r="E34">
            <v>333.32106524172747</v>
          </cell>
          <cell r="F34">
            <v>353.32032915623114</v>
          </cell>
          <cell r="G34">
            <v>438.11720815372661</v>
          </cell>
          <cell r="H34">
            <v>499.45361729524831</v>
          </cell>
          <cell r="I34">
            <v>394.56835766324616</v>
          </cell>
          <cell r="J34">
            <v>457.69929488936555</v>
          </cell>
          <cell r="K34">
            <v>393.62139360485435</v>
          </cell>
          <cell r="L34">
            <v>495.96295594211648</v>
          </cell>
        </row>
        <row r="35">
          <cell r="B35">
            <v>38.254629139835572</v>
          </cell>
          <cell r="C35">
            <v>43.610277219412545</v>
          </cell>
          <cell r="D35">
            <v>49.715716030130295</v>
          </cell>
          <cell r="E35">
            <v>56.675916274348531</v>
          </cell>
          <cell r="F35">
            <v>60.076471250809448</v>
          </cell>
          <cell r="G35">
            <v>74.494824351003714</v>
          </cell>
          <cell r="H35">
            <v>84.92409976014423</v>
          </cell>
          <cell r="I35">
            <v>67.090038810513946</v>
          </cell>
          <cell r="J35">
            <v>77.82444502019618</v>
          </cell>
          <cell r="K35">
            <v>66.92902271736871</v>
          </cell>
          <cell r="L35">
            <v>84.330568623884574</v>
          </cell>
        </row>
        <row r="36">
          <cell r="B36">
            <v>60.676567387614121</v>
          </cell>
          <cell r="C36">
            <v>69.171286821880088</v>
          </cell>
          <cell r="D36">
            <v>78.855266976943298</v>
          </cell>
          <cell r="E36">
            <v>89.89500435371535</v>
          </cell>
          <cell r="F36">
            <v>95.288704614938283</v>
          </cell>
          <cell r="G36">
            <v>118.15799372252347</v>
          </cell>
          <cell r="H36">
            <v>134.70011284367675</v>
          </cell>
          <cell r="I36">
            <v>106.41308914650465</v>
          </cell>
          <cell r="J36">
            <v>123.43918340994539</v>
          </cell>
          <cell r="K36">
            <v>106.15769773255303</v>
          </cell>
          <cell r="L36">
            <v>133.75869914301683</v>
          </cell>
        </row>
        <row r="37">
          <cell r="B37">
            <v>22.052668562964037</v>
          </cell>
          <cell r="C37">
            <v>25.140042161779</v>
          </cell>
          <cell r="D37">
            <v>28.659648064428058</v>
          </cell>
          <cell r="E37">
            <v>32.671998793447983</v>
          </cell>
          <cell r="F37">
            <v>34.632318721054865</v>
          </cell>
          <cell r="G37">
            <v>42.944075214108032</v>
          </cell>
          <cell r="H37">
            <v>48.956245744083155</v>
          </cell>
          <cell r="I37">
            <v>38.675434137825697</v>
          </cell>
          <cell r="J37">
            <v>44.863503599877802</v>
          </cell>
          <cell r="K37">
            <v>38.582613095894907</v>
          </cell>
          <cell r="L37">
            <v>48.614092500827581</v>
          </cell>
        </row>
        <row r="38">
          <cell r="B38">
            <v>15.076824425699904</v>
          </cell>
          <cell r="C38">
            <v>17.18757984529789</v>
          </cell>
          <cell r="D38">
            <v>19.593841023639591</v>
          </cell>
          <cell r="E38">
            <v>22.33697876694913</v>
          </cell>
          <cell r="F38">
            <v>23.67719749296608</v>
          </cell>
          <cell r="G38">
            <v>29.359724891277938</v>
          </cell>
          <cell r="H38">
            <v>33.470086376056848</v>
          </cell>
          <cell r="I38">
            <v>26.441368237084909</v>
          </cell>
          <cell r="J38">
            <v>30.671987155018492</v>
          </cell>
          <cell r="K38">
            <v>26.377908953315902</v>
          </cell>
          <cell r="L38">
            <v>33.236165281178039</v>
          </cell>
        </row>
        <row r="39">
          <cell r="B39">
            <v>248.95284543997727</v>
          </cell>
          <cell r="C39">
            <v>283.80624380157406</v>
          </cell>
          <cell r="D39">
            <v>323.53911793379439</v>
          </cell>
          <cell r="E39">
            <v>368.83459444452558</v>
          </cell>
          <cell r="F39">
            <v>390.96467011119711</v>
          </cell>
          <cell r="G39">
            <v>484.79619093788443</v>
          </cell>
          <cell r="H39">
            <v>552.6676576691882</v>
          </cell>
          <cell r="I39">
            <v>436.60744955865874</v>
          </cell>
          <cell r="J39">
            <v>506.46464148804409</v>
          </cell>
          <cell r="K39">
            <v>435.55959167971793</v>
          </cell>
          <cell r="L39">
            <v>548.80508551644459</v>
          </cell>
        </row>
        <row r="40">
          <cell r="B40">
            <v>128.44554301775381</v>
          </cell>
          <cell r="C40">
            <v>146.42791904023932</v>
          </cell>
          <cell r="D40">
            <v>166.9278277058728</v>
          </cell>
          <cell r="E40">
            <v>190.29772358469498</v>
          </cell>
          <cell r="F40">
            <v>201.71558699977669</v>
          </cell>
          <cell r="G40">
            <v>250.12732787972308</v>
          </cell>
          <cell r="H40">
            <v>285.14515378288428</v>
          </cell>
          <cell r="I40">
            <v>225.26467148847857</v>
          </cell>
          <cell r="J40">
            <v>261.30701892663512</v>
          </cell>
          <cell r="K40">
            <v>224.72403627690622</v>
          </cell>
          <cell r="L40">
            <v>283.15228570890184</v>
          </cell>
        </row>
        <row r="41">
          <cell r="B41">
            <v>79.547125887834554</v>
          </cell>
          <cell r="C41">
            <v>90.68372351213138</v>
          </cell>
          <cell r="D41">
            <v>103.37944480382977</v>
          </cell>
          <cell r="E41">
            <v>117.85256707636593</v>
          </cell>
          <cell r="F41">
            <v>124.92372110094789</v>
          </cell>
          <cell r="G41">
            <v>154.90541416517539</v>
          </cell>
          <cell r="H41">
            <v>176.59217214829994</v>
          </cell>
          <cell r="I41">
            <v>139.50781599715697</v>
          </cell>
          <cell r="J41">
            <v>161.82906655670206</v>
          </cell>
          <cell r="K41">
            <v>139.17299723876377</v>
          </cell>
          <cell r="L41">
            <v>175.35797652084236</v>
          </cell>
        </row>
        <row r="42">
          <cell r="B42">
            <v>836.68652628092809</v>
          </cell>
          <cell r="C42">
            <v>953.8226399602579</v>
          </cell>
          <cell r="D42">
            <v>1087.3578095546939</v>
          </cell>
          <cell r="E42">
            <v>1239.5879028923509</v>
          </cell>
          <cell r="F42">
            <v>1313.9631770658921</v>
          </cell>
          <cell r="G42">
            <v>1629.3143395617062</v>
          </cell>
          <cell r="H42">
            <v>1857.418347100345</v>
          </cell>
          <cell r="I42">
            <v>1467.3604942092727</v>
          </cell>
          <cell r="J42">
            <v>1702.1381732827563</v>
          </cell>
          <cell r="K42">
            <v>1463.8388290231703</v>
          </cell>
          <cell r="L42">
            <v>1844.4369245691946</v>
          </cell>
        </row>
      </sheetData>
      <sheetData sheetId="6">
        <row r="12">
          <cell r="B12">
            <v>3.3721264235466246</v>
          </cell>
          <cell r="C12">
            <v>4.518649407552477</v>
          </cell>
          <cell r="D12">
            <v>6.0549902061203191</v>
          </cell>
          <cell r="E12">
            <v>9.0824853091804787</v>
          </cell>
          <cell r="F12">
            <v>13.623727963770717</v>
          </cell>
          <cell r="G12">
            <v>16.620948115800275</v>
          </cell>
          <cell r="H12">
            <v>19.612718776644321</v>
          </cell>
          <cell r="I12">
            <v>23.339135344206742</v>
          </cell>
          <cell r="J12">
            <v>31.507832714679104</v>
          </cell>
          <cell r="K12">
            <v>23.315796208862537</v>
          </cell>
          <cell r="L12">
            <v>39.170537630889058</v>
          </cell>
        </row>
        <row r="13">
          <cell r="B13">
            <v>4.1065896344129982</v>
          </cell>
          <cell r="C13">
            <v>5.5028301101134174</v>
          </cell>
          <cell r="D13">
            <v>7.37379234755198</v>
          </cell>
          <cell r="E13">
            <v>11.06068852132797</v>
          </cell>
          <cell r="F13">
            <v>16.591032781991956</v>
          </cell>
          <cell r="G13">
            <v>20.241059994030188</v>
          </cell>
          <cell r="H13">
            <v>23.884450792955619</v>
          </cell>
          <cell r="I13">
            <v>28.422496443617185</v>
          </cell>
          <cell r="J13">
            <v>38.370370198883201</v>
          </cell>
          <cell r="K13">
            <v>28.39407394717357</v>
          </cell>
          <cell r="L13">
            <v>47.702044231251598</v>
          </cell>
        </row>
        <row r="14">
          <cell r="B14">
            <v>0.58225674434758234</v>
          </cell>
          <cell r="C14">
            <v>0.78022403742576041</v>
          </cell>
          <cell r="D14">
            <v>1.0455002101505191</v>
          </cell>
          <cell r="E14">
            <v>1.5682503152257787</v>
          </cell>
          <cell r="F14">
            <v>2.3523754728386681</v>
          </cell>
          <cell r="G14">
            <v>2.869898076863175</v>
          </cell>
          <cell r="H14">
            <v>3.3864797306985466</v>
          </cell>
          <cell r="I14">
            <v>4.0299108795312701</v>
          </cell>
          <cell r="J14">
            <v>5.4403796873672148</v>
          </cell>
          <cell r="K14">
            <v>4.0258809686517392</v>
          </cell>
          <cell r="L14">
            <v>6.7634800273349223</v>
          </cell>
        </row>
        <row r="15">
          <cell r="B15">
            <v>0.30954784033632549</v>
          </cell>
          <cell r="C15">
            <v>0.41479410605067618</v>
          </cell>
          <cell r="D15">
            <v>0.55582410210790612</v>
          </cell>
          <cell r="E15">
            <v>0.83373615316185912</v>
          </cell>
          <cell r="F15">
            <v>1.2506042297427886</v>
          </cell>
          <cell r="G15">
            <v>1.5257371602862022</v>
          </cell>
          <cell r="H15">
            <v>1.8003698491377185</v>
          </cell>
          <cell r="I15">
            <v>2.1424401204738848</v>
          </cell>
          <cell r="J15">
            <v>2.8922941626397445</v>
          </cell>
          <cell r="K15">
            <v>2.1402976803534108</v>
          </cell>
          <cell r="L15">
            <v>3.5957001029937299</v>
          </cell>
        </row>
        <row r="16">
          <cell r="B16">
            <v>0.25716339542018235</v>
          </cell>
          <cell r="C16">
            <v>0.34459894986304435</v>
          </cell>
          <cell r="D16">
            <v>0.46176259281647947</v>
          </cell>
          <cell r="E16">
            <v>0.6926438892247192</v>
          </cell>
          <cell r="F16">
            <v>1.0389658338370789</v>
          </cell>
          <cell r="G16">
            <v>1.2675383172812362</v>
          </cell>
          <cell r="H16">
            <v>1.4956952143918587</v>
          </cell>
          <cell r="I16">
            <v>1.7798773051263117</v>
          </cell>
          <cell r="J16">
            <v>2.402834361920521</v>
          </cell>
          <cell r="K16">
            <v>1.7780974278211854</v>
          </cell>
          <cell r="L16">
            <v>2.9872036787395913</v>
          </cell>
        </row>
        <row r="17">
          <cell r="B17">
            <v>3.1593027003398153</v>
          </cell>
          <cell r="C17">
            <v>4.2334656184553525</v>
          </cell>
          <cell r="D17">
            <v>5.6728439287301731</v>
          </cell>
          <cell r="E17">
            <v>8.5092658930952592</v>
          </cell>
          <cell r="F17">
            <v>12.76389883964289</v>
          </cell>
          <cell r="G17">
            <v>15.571956584364326</v>
          </cell>
          <cell r="H17">
            <v>18.374908769549904</v>
          </cell>
          <cell r="I17">
            <v>21.866141435764387</v>
          </cell>
          <cell r="J17">
            <v>29.519290938281923</v>
          </cell>
          <cell r="K17">
            <v>21.844275294328622</v>
          </cell>
          <cell r="L17">
            <v>36.698382494472085</v>
          </cell>
        </row>
        <row r="18">
          <cell r="B18">
            <v>3.1557569060633401</v>
          </cell>
          <cell r="C18">
            <v>4.2287142541248759</v>
          </cell>
          <cell r="D18">
            <v>5.6664771005273344</v>
          </cell>
          <cell r="E18">
            <v>8.4997156507910017</v>
          </cell>
          <cell r="F18">
            <v>12.749573476186503</v>
          </cell>
          <cell r="G18">
            <v>15.554479640947534</v>
          </cell>
          <cell r="H18">
            <v>18.354285976318089</v>
          </cell>
          <cell r="I18">
            <v>21.841600311818524</v>
          </cell>
          <cell r="J18">
            <v>29.486160420955009</v>
          </cell>
          <cell r="K18">
            <v>21.819758711506708</v>
          </cell>
          <cell r="L18">
            <v>36.657194635331265</v>
          </cell>
        </row>
        <row r="19">
          <cell r="B19">
            <v>0.44520433073174231</v>
          </cell>
          <cell r="C19">
            <v>0.59657380318053477</v>
          </cell>
          <cell r="D19">
            <v>0.79940889626191669</v>
          </cell>
          <cell r="E19">
            <v>1.199113344392875</v>
          </cell>
          <cell r="F19">
            <v>1.7986700165893126</v>
          </cell>
          <cell r="G19">
            <v>2.1943774202389612</v>
          </cell>
          <cell r="H19">
            <v>2.589365355881974</v>
          </cell>
          <cell r="I19">
            <v>3.0813447734995489</v>
          </cell>
          <cell r="J19">
            <v>4.1598154442243915</v>
          </cell>
          <cell r="K19">
            <v>3.07826342872605</v>
          </cell>
          <cell r="L19">
            <v>5.171482560259764</v>
          </cell>
        </row>
        <row r="20">
          <cell r="B20">
            <v>2.5781656805005939</v>
          </cell>
          <cell r="C20">
            <v>3.4547420118707963</v>
          </cell>
          <cell r="D20">
            <v>4.6293542959068672</v>
          </cell>
          <cell r="E20">
            <v>6.9440314438603004</v>
          </cell>
          <cell r="F20">
            <v>10.416047165790451</v>
          </cell>
          <cell r="G20">
            <v>12.70757754226435</v>
          </cell>
          <cell r="H20">
            <v>14.994941499871931</v>
          </cell>
          <cell r="I20">
            <v>17.843980384847598</v>
          </cell>
          <cell r="J20">
            <v>24.08937351954426</v>
          </cell>
          <cell r="K20">
            <v>17.826136404462751</v>
          </cell>
          <cell r="L20">
            <v>29.947909159497421</v>
          </cell>
        </row>
        <row r="21">
          <cell r="B21">
            <v>33.654786194802043</v>
          </cell>
          <cell r="C21">
            <v>45.097413501034737</v>
          </cell>
          <cell r="D21">
            <v>60.430534091386555</v>
          </cell>
          <cell r="E21">
            <v>90.645801137079829</v>
          </cell>
          <cell r="F21">
            <v>135.96870170561974</v>
          </cell>
          <cell r="G21">
            <v>165.88181608085608</v>
          </cell>
          <cell r="H21">
            <v>195.74054297541016</v>
          </cell>
          <cell r="I21">
            <v>232.9312461407381</v>
          </cell>
          <cell r="J21">
            <v>314.45718228999647</v>
          </cell>
          <cell r="K21">
            <v>232.69831489459739</v>
          </cell>
          <cell r="L21">
            <v>390.93316902292361</v>
          </cell>
        </row>
        <row r="22">
          <cell r="B22">
            <v>41.406322247096661</v>
          </cell>
          <cell r="C22">
            <v>55.484471811109529</v>
          </cell>
          <cell r="D22">
            <v>74.349192226886771</v>
          </cell>
          <cell r="E22">
            <v>111.52378834033016</v>
          </cell>
          <cell r="F22">
            <v>167.28568251049523</v>
          </cell>
          <cell r="G22">
            <v>204.08853266280417</v>
          </cell>
          <cell r="H22">
            <v>240.82446854210892</v>
          </cell>
          <cell r="I22">
            <v>286.58111756510959</v>
          </cell>
          <cell r="J22">
            <v>386.88450871289797</v>
          </cell>
          <cell r="K22">
            <v>286.29453644754449</v>
          </cell>
          <cell r="L22">
            <v>480.97482123187473</v>
          </cell>
        </row>
        <row r="23">
          <cell r="B23">
            <v>1.7262419503894677</v>
          </cell>
          <cell r="C23">
            <v>2.3131642135218868</v>
          </cell>
          <cell r="D23">
            <v>3.0996400461193283</v>
          </cell>
          <cell r="E23">
            <v>4.6494600691789927</v>
          </cell>
          <cell r="F23">
            <v>6.974190103768489</v>
          </cell>
          <cell r="G23">
            <v>8.5085119265975564</v>
          </cell>
          <cell r="H23">
            <v>10.040044073385117</v>
          </cell>
          <cell r="I23">
            <v>11.947652447328288</v>
          </cell>
          <cell r="J23">
            <v>16.12933080389319</v>
          </cell>
          <cell r="K23">
            <v>11.93570479488096</v>
          </cell>
          <cell r="L23">
            <v>20.051984055400013</v>
          </cell>
        </row>
        <row r="24">
          <cell r="B24">
            <v>1.9063309754841526</v>
          </cell>
          <cell r="C24">
            <v>2.5544835071487646</v>
          </cell>
          <cell r="D24">
            <v>3.4230078995793449</v>
          </cell>
          <cell r="E24">
            <v>5.1345118493690176</v>
          </cell>
          <cell r="F24">
            <v>7.7017677740535264</v>
          </cell>
          <cell r="G24">
            <v>9.3961566843453017</v>
          </cell>
          <cell r="H24">
            <v>11.087464887527455</v>
          </cell>
          <cell r="I24">
            <v>13.19408321615767</v>
          </cell>
          <cell r="J24">
            <v>17.812012341812856</v>
          </cell>
          <cell r="K24">
            <v>13.180889132941514</v>
          </cell>
          <cell r="L24">
            <v>22.143893743341742</v>
          </cell>
        </row>
        <row r="25">
          <cell r="B25">
            <v>0.17477033367997155</v>
          </cell>
          <cell r="C25">
            <v>0.23419224713116191</v>
          </cell>
          <cell r="D25">
            <v>0.31381761115575696</v>
          </cell>
          <cell r="E25">
            <v>0.47072641673363541</v>
          </cell>
          <cell r="F25">
            <v>0.70608962510045314</v>
          </cell>
          <cell r="G25">
            <v>0.86142934262255277</v>
          </cell>
          <cell r="H25">
            <v>1.0164866242946122</v>
          </cell>
          <cell r="I25">
            <v>1.2096190829105884</v>
          </cell>
          <cell r="J25">
            <v>1.6329857619292945</v>
          </cell>
          <cell r="K25">
            <v>1.2084094638276779</v>
          </cell>
          <cell r="L25">
            <v>2.0301278992304987</v>
          </cell>
        </row>
        <row r="26">
          <cell r="B26">
            <v>1.9557854746034182</v>
          </cell>
          <cell r="C26">
            <v>2.6207525359685806</v>
          </cell>
          <cell r="D26">
            <v>3.511808398197898</v>
          </cell>
          <cell r="E26">
            <v>5.267712597296847</v>
          </cell>
          <cell r="F26">
            <v>7.901568895945271</v>
          </cell>
          <cell r="G26">
            <v>9.6399140530532303</v>
          </cell>
          <cell r="H26">
            <v>11.375098582602812</v>
          </cell>
          <cell r="I26">
            <v>13.536367313297346</v>
          </cell>
          <cell r="J26">
            <v>18.274095872951417</v>
          </cell>
          <cell r="K26">
            <v>13.522830945984049</v>
          </cell>
          <cell r="L26">
            <v>22.718355989253201</v>
          </cell>
        </row>
        <row r="27">
          <cell r="B27">
            <v>27.533136412710096</v>
          </cell>
          <cell r="C27">
            <v>36.894402793031531</v>
          </cell>
          <cell r="D27">
            <v>49.438499742662259</v>
          </cell>
          <cell r="E27">
            <v>74.157749613993388</v>
          </cell>
          <cell r="F27">
            <v>111.23662442099008</v>
          </cell>
          <cell r="G27">
            <v>135.70868179360789</v>
          </cell>
          <cell r="H27">
            <v>160.13624451645731</v>
          </cell>
          <cell r="I27">
            <v>190.56213097458419</v>
          </cell>
          <cell r="J27">
            <v>257.25887681568867</v>
          </cell>
          <cell r="K27">
            <v>190.37156884360959</v>
          </cell>
          <cell r="L27">
            <v>319.82423565726413</v>
          </cell>
        </row>
        <row r="28">
          <cell r="B28">
            <v>1.0740836042961954</v>
          </cell>
          <cell r="C28">
            <v>1.4392720297569019</v>
          </cell>
          <cell r="D28">
            <v>1.9286245198742487</v>
          </cell>
          <cell r="E28">
            <v>2.892936779811373</v>
          </cell>
          <cell r="F28">
            <v>4.3394051697170593</v>
          </cell>
          <cell r="G28">
            <v>5.294074307054812</v>
          </cell>
          <cell r="H28">
            <v>6.2470076823246776</v>
          </cell>
          <cell r="I28">
            <v>7.4339391419663663</v>
          </cell>
          <cell r="J28">
            <v>10.035817841654595</v>
          </cell>
          <cell r="K28">
            <v>7.4265052028243996</v>
          </cell>
          <cell r="L28">
            <v>12.476528740744991</v>
          </cell>
        </row>
        <row r="29">
          <cell r="B29">
            <v>0.66063745993283385</v>
          </cell>
          <cell r="C29">
            <v>0.88525419630999735</v>
          </cell>
          <cell r="D29">
            <v>1.1862406230553966</v>
          </cell>
          <cell r="E29">
            <v>1.779360934583095</v>
          </cell>
          <cell r="F29">
            <v>2.6690414018746424</v>
          </cell>
          <cell r="G29">
            <v>3.2562305102870637</v>
          </cell>
          <cell r="H29">
            <v>3.842352002138735</v>
          </cell>
          <cell r="I29">
            <v>4.5723988825450945</v>
          </cell>
          <cell r="J29">
            <v>6.1727384914358785</v>
          </cell>
          <cell r="K29">
            <v>4.5678264836625502</v>
          </cell>
          <cell r="L29">
            <v>7.6739484925530848</v>
          </cell>
        </row>
        <row r="30">
          <cell r="B30">
            <v>0.17047805639792199</v>
          </cell>
          <cell r="C30">
            <v>0.22844059557321547</v>
          </cell>
          <cell r="D30">
            <v>0.30611039806810875</v>
          </cell>
          <cell r="E30">
            <v>0.45916559710216315</v>
          </cell>
          <cell r="F30">
            <v>0.68874839565324475</v>
          </cell>
          <cell r="G30">
            <v>0.84027304269695857</v>
          </cell>
          <cell r="H30">
            <v>0.99152219038241107</v>
          </cell>
          <cell r="I30">
            <v>1.1799114065550691</v>
          </cell>
          <cell r="J30">
            <v>1.5928803988493434</v>
          </cell>
          <cell r="K30">
            <v>1.1787314951485142</v>
          </cell>
          <cell r="L30">
            <v>1.9802689118495038</v>
          </cell>
        </row>
        <row r="31">
          <cell r="B31">
            <v>8.1469289020813213E-2</v>
          </cell>
          <cell r="C31">
            <v>0.10916884728788971</v>
          </cell>
          <cell r="D31">
            <v>0.14628625536577222</v>
          </cell>
          <cell r="E31">
            <v>0.21942938304865833</v>
          </cell>
          <cell r="F31">
            <v>0.3291440745729875</v>
          </cell>
          <cell r="G31">
            <v>0.40155577097904477</v>
          </cell>
          <cell r="H31">
            <v>0.47383580975527279</v>
          </cell>
          <cell r="I31">
            <v>0.5638646136087746</v>
          </cell>
          <cell r="J31">
            <v>0.76121722837184569</v>
          </cell>
          <cell r="K31">
            <v>0.5633007489951658</v>
          </cell>
          <cell r="L31">
            <v>0.94634525831187843</v>
          </cell>
        </row>
        <row r="32">
          <cell r="B32">
            <v>7.2567479179345344</v>
          </cell>
          <cell r="C32">
            <v>9.7240422100322768</v>
          </cell>
          <cell r="D32">
            <v>13.030216561443252</v>
          </cell>
          <cell r="E32">
            <v>19.545324842164877</v>
          </cell>
          <cell r="F32">
            <v>29.317987263247318</v>
          </cell>
          <cell r="G32">
            <v>35.767944461161726</v>
          </cell>
          <cell r="H32">
            <v>42.206174464170836</v>
          </cell>
          <cell r="I32">
            <v>50.225347612363294</v>
          </cell>
          <cell r="J32">
            <v>67.804219276690446</v>
          </cell>
          <cell r="K32">
            <v>50.175122264750932</v>
          </cell>
          <cell r="L32">
            <v>84.294205404781565</v>
          </cell>
        </row>
        <row r="33">
          <cell r="B33">
            <v>2.5667631525904535</v>
          </cell>
          <cell r="C33">
            <v>3.4394626244712079</v>
          </cell>
          <cell r="D33">
            <v>4.6088799167914187</v>
          </cell>
          <cell r="E33">
            <v>6.9133198751871276</v>
          </cell>
          <cell r="F33">
            <v>10.369979812780691</v>
          </cell>
          <cell r="G33">
            <v>12.651375371592444</v>
          </cell>
          <cell r="H33">
            <v>14.928622938479084</v>
          </cell>
          <cell r="I33">
            <v>17.765061296790108</v>
          </cell>
          <cell r="J33">
            <v>23.982832750666649</v>
          </cell>
          <cell r="K33">
            <v>17.747296235493319</v>
          </cell>
          <cell r="L33">
            <v>29.815457675628778</v>
          </cell>
        </row>
        <row r="34">
          <cell r="B34">
            <v>9.3291713621588652</v>
          </cell>
          <cell r="C34">
            <v>12.501089625292879</v>
          </cell>
          <cell r="D34">
            <v>16.751460097892458</v>
          </cell>
          <cell r="E34">
            <v>25.127190146838686</v>
          </cell>
          <cell r="F34">
            <v>37.690785220258029</v>
          </cell>
          <cell r="G34">
            <v>45.982757968714793</v>
          </cell>
          <cell r="H34">
            <v>54.259654403083452</v>
          </cell>
          <cell r="I34">
            <v>64.568988739669308</v>
          </cell>
          <cell r="J34">
            <v>87.168134798553567</v>
          </cell>
          <cell r="K34">
            <v>64.504419750929642</v>
          </cell>
          <cell r="L34">
            <v>108.36742518156179</v>
          </cell>
        </row>
        <row r="35">
          <cell r="B35">
            <v>1.5862763868443754</v>
          </cell>
          <cell r="C35">
            <v>2.1256103583714632</v>
          </cell>
          <cell r="D35">
            <v>2.8483178802177611</v>
          </cell>
          <cell r="E35">
            <v>4.2724768203266414</v>
          </cell>
          <cell r="F35">
            <v>6.4087152304899622</v>
          </cell>
          <cell r="G35">
            <v>7.818632581197754</v>
          </cell>
          <cell r="H35">
            <v>9.2259864458133496</v>
          </cell>
          <cell r="I35">
            <v>10.978923870517885</v>
          </cell>
          <cell r="J35">
            <v>14.821547225199145</v>
          </cell>
          <cell r="K35">
            <v>10.967944946647368</v>
          </cell>
          <cell r="L35">
            <v>18.426147510367578</v>
          </cell>
        </row>
        <row r="36">
          <cell r="B36">
            <v>2.5160303013241432</v>
          </cell>
          <cell r="C36">
            <v>3.3714806037743523</v>
          </cell>
          <cell r="D36">
            <v>4.5177840090576327</v>
          </cell>
          <cell r="E36">
            <v>6.7766760135864486</v>
          </cell>
          <cell r="F36">
            <v>10.165014020379672</v>
          </cell>
          <cell r="G36">
            <v>12.4013171048632</v>
          </cell>
          <cell r="H36">
            <v>14.633554183738575</v>
          </cell>
          <cell r="I36">
            <v>17.413929478648903</v>
          </cell>
          <cell r="J36">
            <v>23.508804796176019</v>
          </cell>
          <cell r="K36">
            <v>17.396515549170253</v>
          </cell>
          <cell r="L36">
            <v>29.226146122606025</v>
          </cell>
        </row>
        <row r="37">
          <cell r="B37">
            <v>0.91444168182793417</v>
          </cell>
          <cell r="C37">
            <v>1.2253518536494319</v>
          </cell>
          <cell r="D37">
            <v>1.6419714838902388</v>
          </cell>
          <cell r="E37">
            <v>2.4629572258353583</v>
          </cell>
          <cell r="F37">
            <v>3.6944358387530372</v>
          </cell>
          <cell r="G37">
            <v>4.5072117232787052</v>
          </cell>
          <cell r="H37">
            <v>5.3185098334688723</v>
          </cell>
          <cell r="I37">
            <v>6.3290267018279573</v>
          </cell>
          <cell r="J37">
            <v>8.5441860474677434</v>
          </cell>
          <cell r="K37">
            <v>6.3226976751261299</v>
          </cell>
          <cell r="L37">
            <v>10.622132094211898</v>
          </cell>
        </row>
        <row r="38">
          <cell r="B38">
            <v>0.62517951716807751</v>
          </cell>
          <cell r="C38">
            <v>0.83774055300522388</v>
          </cell>
          <cell r="D38">
            <v>1.1225723410270001</v>
          </cell>
          <cell r="E38">
            <v>1.6838585115405003</v>
          </cell>
          <cell r="F38">
            <v>2.5257877673107503</v>
          </cell>
          <cell r="G38">
            <v>3.081461076119115</v>
          </cell>
          <cell r="H38">
            <v>3.6361240698205557</v>
          </cell>
          <cell r="I38">
            <v>4.3269876430864613</v>
          </cell>
          <cell r="J38">
            <v>5.8414333181667235</v>
          </cell>
          <cell r="K38">
            <v>4.3226606554433751</v>
          </cell>
          <cell r="L38">
            <v>7.2620699011448693</v>
          </cell>
        </row>
        <row r="39">
          <cell r="B39">
            <v>8.7768103083887468</v>
          </cell>
          <cell r="C39">
            <v>11.760925813240922</v>
          </cell>
          <cell r="D39">
            <v>15.759640589742837</v>
          </cell>
          <cell r="E39">
            <v>23.639460884614255</v>
          </cell>
          <cell r="F39">
            <v>35.459191326921385</v>
          </cell>
          <cell r="G39">
            <v>43.260213418844089</v>
          </cell>
          <cell r="H39">
            <v>51.047051834236022</v>
          </cell>
          <cell r="I39">
            <v>60.745991682740865</v>
          </cell>
          <cell r="J39">
            <v>82.007088771700168</v>
          </cell>
          <cell r="K39">
            <v>60.685245691058121</v>
          </cell>
          <cell r="L39">
            <v>101.95121276097764</v>
          </cell>
        </row>
        <row r="40">
          <cell r="B40">
            <v>5.3261562447692326</v>
          </cell>
          <cell r="C40">
            <v>7.1370493679907723</v>
          </cell>
          <cell r="D40">
            <v>9.5636461531076353</v>
          </cell>
          <cell r="E40">
            <v>14.345469229661454</v>
          </cell>
          <cell r="F40">
            <v>21.518203844492181</v>
          </cell>
          <cell r="G40">
            <v>26.252208690280458</v>
          </cell>
          <cell r="H40">
            <v>30.97760625453094</v>
          </cell>
          <cell r="I40">
            <v>36.863351442891819</v>
          </cell>
          <cell r="J40">
            <v>49.765524447903957</v>
          </cell>
          <cell r="K40">
            <v>36.82648809144893</v>
          </cell>
          <cell r="L40">
            <v>61.868499993634195</v>
          </cell>
        </row>
        <row r="41">
          <cell r="B41">
            <v>3.2985217808793341</v>
          </cell>
          <cell r="C41">
            <v>4.4200191863783083</v>
          </cell>
          <cell r="D41">
            <v>5.9228257097469337</v>
          </cell>
          <cell r="E41">
            <v>8.8842385646204001</v>
          </cell>
          <cell r="F41">
            <v>13.3263578469306</v>
          </cell>
          <cell r="G41">
            <v>16.258156573255331</v>
          </cell>
          <cell r="H41">
            <v>19.184624756441291</v>
          </cell>
          <cell r="I41">
            <v>22.829703460165135</v>
          </cell>
          <cell r="J41">
            <v>30.820099671222934</v>
          </cell>
          <cell r="K41">
            <v>22.80687375670497</v>
          </cell>
          <cell r="L41">
            <v>38.315547911264346</v>
          </cell>
        </row>
        <row r="42">
          <cell r="B42">
            <v>34.694260790734383</v>
          </cell>
          <cell r="C42">
            <v>46.490309459584076</v>
          </cell>
          <cell r="D42">
            <v>62.297014675842661</v>
          </cell>
          <cell r="E42">
            <v>93.445522013763991</v>
          </cell>
          <cell r="F42">
            <v>140.16828302064599</v>
          </cell>
          <cell r="G42">
            <v>171.00530528518809</v>
          </cell>
          <cell r="H42">
            <v>201.78626023652194</v>
          </cell>
          <cell r="I42">
            <v>240.12564968146111</v>
          </cell>
          <cell r="J42">
            <v>324.16962706997253</v>
          </cell>
          <cell r="K42">
            <v>239.88552403177968</v>
          </cell>
          <cell r="L42">
            <v>403.00768037338986</v>
          </cell>
        </row>
      </sheetData>
      <sheetData sheetId="7">
        <row r="12">
          <cell r="B12">
            <v>68.845557810910876</v>
          </cell>
          <cell r="C12">
            <v>70.222468967129089</v>
          </cell>
          <cell r="D12">
            <v>71.626918346471669</v>
          </cell>
          <cell r="E12">
            <v>73.059456713401104</v>
          </cell>
          <cell r="F12">
            <v>74.52064584766913</v>
          </cell>
          <cell r="G12">
            <v>76.011058764622518</v>
          </cell>
          <cell r="H12">
            <v>77.531279939914967</v>
          </cell>
          <cell r="I12">
            <v>79.081905538713272</v>
          </cell>
          <cell r="J12">
            <v>80.663543649487536</v>
          </cell>
          <cell r="K12">
            <v>82.276814522477295</v>
          </cell>
          <cell r="L12">
            <v>83.922350812926837</v>
          </cell>
        </row>
        <row r="13">
          <cell r="B13">
            <v>83.840407674964069</v>
          </cell>
          <cell r="C13">
            <v>85.51721582846335</v>
          </cell>
          <cell r="D13">
            <v>87.227560145032612</v>
          </cell>
          <cell r="E13">
            <v>88.972111347933264</v>
          </cell>
          <cell r="F13">
            <v>90.751553574891929</v>
          </cell>
          <cell r="G13">
            <v>92.566584646389771</v>
          </cell>
          <cell r="H13">
            <v>94.417916339317571</v>
          </cell>
          <cell r="I13">
            <v>96.306274666103931</v>
          </cell>
          <cell r="J13">
            <v>98.232400159426007</v>
          </cell>
          <cell r="K13">
            <v>100.19704816261454</v>
          </cell>
          <cell r="L13">
            <v>102.20098912586683</v>
          </cell>
        </row>
        <row r="14">
          <cell r="B14">
            <v>11.887392499245076</v>
          </cell>
          <cell r="C14">
            <v>12.125140349229978</v>
          </cell>
          <cell r="D14">
            <v>12.367643156214578</v>
          </cell>
          <cell r="E14">
            <v>12.61499601933887</v>
          </cell>
          <cell r="F14">
            <v>12.867295939725647</v>
          </cell>
          <cell r="G14">
            <v>13.12464185852016</v>
          </cell>
          <cell r="H14">
            <v>13.387134695690564</v>
          </cell>
          <cell r="I14">
            <v>13.654877389604376</v>
          </cell>
          <cell r="J14">
            <v>13.927974937396463</v>
          </cell>
          <cell r="K14">
            <v>14.206534436144393</v>
          </cell>
          <cell r="L14">
            <v>14.490665124867281</v>
          </cell>
        </row>
        <row r="15">
          <cell r="B15">
            <v>6.3197493392621178</v>
          </cell>
          <cell r="C15">
            <v>6.4461443260473601</v>
          </cell>
          <cell r="D15">
            <v>6.5750672125683076</v>
          </cell>
          <cell r="E15">
            <v>6.7065685568196738</v>
          </cell>
          <cell r="F15">
            <v>6.8406999279560674</v>
          </cell>
          <cell r="G15">
            <v>6.9775139265151891</v>
          </cell>
          <cell r="H15">
            <v>7.1170642050454926</v>
          </cell>
          <cell r="I15">
            <v>7.2594054891464026</v>
          </cell>
          <cell r="J15">
            <v>7.4045935989293312</v>
          </cell>
          <cell r="K15">
            <v>7.5526854709079183</v>
          </cell>
          <cell r="L15">
            <v>7.7037391803260764</v>
          </cell>
        </row>
        <row r="16">
          <cell r="B16">
            <v>5.2502650204999082</v>
          </cell>
          <cell r="C16">
            <v>5.3552703209099066</v>
          </cell>
          <cell r="D16">
            <v>5.4623757273281051</v>
          </cell>
          <cell r="E16">
            <v>5.5716232418746676</v>
          </cell>
          <cell r="F16">
            <v>5.6830557067121612</v>
          </cell>
          <cell r="G16">
            <v>5.7967168208464042</v>
          </cell>
          <cell r="H16">
            <v>5.9126511572633325</v>
          </cell>
          <cell r="I16">
            <v>6.0309041804085988</v>
          </cell>
          <cell r="J16">
            <v>6.151522264016771</v>
          </cell>
          <cell r="K16">
            <v>6.2745527092971063</v>
          </cell>
          <cell r="L16">
            <v>6.4000437634830485</v>
          </cell>
        </row>
        <row r="17">
          <cell r="B17">
            <v>64.50053449349997</v>
          </cell>
          <cell r="C17">
            <v>65.790545183369971</v>
          </cell>
          <cell r="D17">
            <v>67.106356087037369</v>
          </cell>
          <cell r="E17">
            <v>68.448483208778114</v>
          </cell>
          <cell r="F17">
            <v>69.81745287295368</v>
          </cell>
          <cell r="G17">
            <v>71.213801930412757</v>
          </cell>
          <cell r="H17">
            <v>72.638077969021012</v>
          </cell>
          <cell r="I17">
            <v>74.090839528401432</v>
          </cell>
          <cell r="J17">
            <v>75.572656318969464</v>
          </cell>
          <cell r="K17">
            <v>77.084109445348858</v>
          </cell>
          <cell r="L17">
            <v>78.625791634255833</v>
          </cell>
        </row>
        <row r="18">
          <cell r="B18">
            <v>64.42814332122893</v>
          </cell>
          <cell r="C18">
            <v>65.716706187653514</v>
          </cell>
          <cell r="D18">
            <v>67.031040311406585</v>
          </cell>
          <cell r="E18">
            <v>68.371661117634716</v>
          </cell>
          <cell r="F18">
            <v>69.739094339987417</v>
          </cell>
          <cell r="G18">
            <v>71.133876226787166</v>
          </cell>
          <cell r="H18">
            <v>72.556553751322909</v>
          </cell>
          <cell r="I18">
            <v>74.007684826349362</v>
          </cell>
          <cell r="J18">
            <v>75.487838522876345</v>
          </cell>
          <cell r="K18">
            <v>76.997595293333873</v>
          </cell>
          <cell r="L18">
            <v>78.537547199200546</v>
          </cell>
        </row>
        <row r="19">
          <cell r="B19">
            <v>9.0893212885012975</v>
          </cell>
          <cell r="C19">
            <v>9.2711077142713236</v>
          </cell>
          <cell r="D19">
            <v>9.4565298685567498</v>
          </cell>
          <cell r="E19">
            <v>9.6456604659278842</v>
          </cell>
          <cell r="F19">
            <v>9.8385736752464421</v>
          </cell>
          <cell r="G19">
            <v>10.035345148751372</v>
          </cell>
          <cell r="H19">
            <v>10.2360520517264</v>
          </cell>
          <cell r="I19">
            <v>10.440773092760928</v>
          </cell>
          <cell r="J19">
            <v>10.649588554616146</v>
          </cell>
          <cell r="K19">
            <v>10.862580325708469</v>
          </cell>
          <cell r="L19">
            <v>11.079831932222639</v>
          </cell>
        </row>
        <row r="20">
          <cell r="B20">
            <v>52.636002364445737</v>
          </cell>
          <cell r="C20">
            <v>53.688722411734652</v>
          </cell>
          <cell r="D20">
            <v>54.762496859969346</v>
          </cell>
          <cell r="E20">
            <v>55.857746797168737</v>
          </cell>
          <cell r="F20">
            <v>56.974901733112112</v>
          </cell>
          <cell r="G20">
            <v>58.114399767774358</v>
          </cell>
          <cell r="H20">
            <v>59.27668776312985</v>
          </cell>
          <cell r="I20">
            <v>60.462221518392447</v>
          </cell>
          <cell r="J20">
            <v>61.6714659487603</v>
          </cell>
          <cell r="K20">
            <v>62.904895267735505</v>
          </cell>
          <cell r="L20">
            <v>64.162993173090214</v>
          </cell>
        </row>
        <row r="21">
          <cell r="B21">
            <v>657.24005281137022</v>
          </cell>
          <cell r="C21">
            <v>670.3848538675976</v>
          </cell>
          <cell r="D21">
            <v>683.79255094494954</v>
          </cell>
          <cell r="E21">
            <v>697.46840196384858</v>
          </cell>
          <cell r="F21">
            <v>711.41777000312561</v>
          </cell>
          <cell r="G21">
            <v>725.64612540318808</v>
          </cell>
          <cell r="H21">
            <v>740.15904791125183</v>
          </cell>
          <cell r="I21">
            <v>754.96222886947692</v>
          </cell>
          <cell r="J21">
            <v>770.06147344686644</v>
          </cell>
          <cell r="K21">
            <v>785.46270291580379</v>
          </cell>
          <cell r="L21">
            <v>801.17195697411989</v>
          </cell>
        </row>
        <row r="22">
          <cell r="B22">
            <v>893.94941332571068</v>
          </cell>
          <cell r="C22">
            <v>911.82840159222496</v>
          </cell>
          <cell r="D22">
            <v>930.06496962406948</v>
          </cell>
          <cell r="E22">
            <v>948.66626901655093</v>
          </cell>
          <cell r="F22">
            <v>967.63959439688199</v>
          </cell>
          <cell r="G22">
            <v>986.99238628481964</v>
          </cell>
          <cell r="H22">
            <v>1006.7322340105161</v>
          </cell>
          <cell r="I22">
            <v>1026.8668786907265</v>
          </cell>
          <cell r="J22">
            <v>1047.404216264541</v>
          </cell>
          <cell r="K22">
            <v>1068.3523005898319</v>
          </cell>
          <cell r="L22">
            <v>1089.7193466016286</v>
          </cell>
        </row>
        <row r="23">
          <cell r="B23">
            <v>35.243070710902863</v>
          </cell>
          <cell r="C23">
            <v>35.947932125120921</v>
          </cell>
          <cell r="D23">
            <v>36.666890767623343</v>
          </cell>
          <cell r="E23">
            <v>37.400228582975814</v>
          </cell>
          <cell r="F23">
            <v>38.148233154635328</v>
          </cell>
          <cell r="G23">
            <v>38.911197817728038</v>
          </cell>
          <cell r="H23">
            <v>39.689421774082597</v>
          </cell>
          <cell r="I23">
            <v>40.483210209564248</v>
          </cell>
          <cell r="J23">
            <v>41.292874413755534</v>
          </cell>
          <cell r="K23">
            <v>42.118731902030646</v>
          </cell>
          <cell r="L23">
            <v>42.961106540071263</v>
          </cell>
        </row>
        <row r="24">
          <cell r="B24">
            <v>38.919780249932195</v>
          </cell>
          <cell r="C24">
            <v>39.698175854930838</v>
          </cell>
          <cell r="D24">
            <v>40.492139372029456</v>
          </cell>
          <cell r="E24">
            <v>41.301982159470043</v>
          </cell>
          <cell r="F24">
            <v>42.128021802659447</v>
          </cell>
          <cell r="G24">
            <v>42.970582238712637</v>
          </cell>
          <cell r="H24">
            <v>43.829993883486893</v>
          </cell>
          <cell r="I24">
            <v>44.706593761156633</v>
          </cell>
          <cell r="J24">
            <v>45.600725636379764</v>
          </cell>
          <cell r="K24">
            <v>46.512740149107358</v>
          </cell>
          <cell r="L24">
            <v>47.442994952089506</v>
          </cell>
        </row>
        <row r="25">
          <cell r="B25">
            <v>3.5681227806227604</v>
          </cell>
          <cell r="C25">
            <v>3.6394852362352159</v>
          </cell>
          <cell r="D25">
            <v>3.7122749409599205</v>
          </cell>
          <cell r="E25">
            <v>3.7865204397791188</v>
          </cell>
          <cell r="F25">
            <v>3.8622508485747011</v>
          </cell>
          <cell r="G25">
            <v>3.9394958655461951</v>
          </cell>
          <cell r="H25">
            <v>4.0182857828571192</v>
          </cell>
          <cell r="I25">
            <v>4.0986514985142612</v>
          </cell>
          <cell r="J25">
            <v>4.1806245284845467</v>
          </cell>
          <cell r="K25">
            <v>4.2642370190542378</v>
          </cell>
          <cell r="L25">
            <v>4.3495217594353228</v>
          </cell>
        </row>
        <row r="26">
          <cell r="B26">
            <v>39.929446600028321</v>
          </cell>
          <cell r="C26">
            <v>40.72803553202889</v>
          </cell>
          <cell r="D26">
            <v>41.542596242669468</v>
          </cell>
          <cell r="E26">
            <v>42.373448167522859</v>
          </cell>
          <cell r="F26">
            <v>43.220917130873318</v>
          </cell>
          <cell r="G26">
            <v>44.085335473490787</v>
          </cell>
          <cell r="H26">
            <v>44.967042182960604</v>
          </cell>
          <cell r="I26">
            <v>45.866383026619815</v>
          </cell>
          <cell r="J26">
            <v>46.783710687152215</v>
          </cell>
          <cell r="K26">
            <v>47.719384900895264</v>
          </cell>
          <cell r="L26">
            <v>48.673772598913168</v>
          </cell>
        </row>
        <row r="27">
          <cell r="B27">
            <v>562.11834804915372</v>
          </cell>
          <cell r="C27">
            <v>573.3607150101368</v>
          </cell>
          <cell r="D27">
            <v>584.82792931033953</v>
          </cell>
          <cell r="E27">
            <v>596.52448789654636</v>
          </cell>
          <cell r="F27">
            <v>608.45497765447726</v>
          </cell>
          <cell r="G27">
            <v>620.62407720756687</v>
          </cell>
          <cell r="H27">
            <v>633.03655875171819</v>
          </cell>
          <cell r="I27">
            <v>645.69728992675255</v>
          </cell>
          <cell r="J27">
            <v>658.61123572528766</v>
          </cell>
          <cell r="K27">
            <v>671.78346043979343</v>
          </cell>
          <cell r="L27">
            <v>685.21912964858927</v>
          </cell>
        </row>
        <row r="28">
          <cell r="B28">
            <v>21.928562451568133</v>
          </cell>
          <cell r="C28">
            <v>22.367133700599496</v>
          </cell>
          <cell r="D28">
            <v>22.814476374611488</v>
          </cell>
          <cell r="E28">
            <v>23.270765902103719</v>
          </cell>
          <cell r="F28">
            <v>23.736181220145795</v>
          </cell>
          <cell r="G28">
            <v>24.210904844548711</v>
          </cell>
          <cell r="H28">
            <v>24.695122941439685</v>
          </cell>
          <cell r="I28">
            <v>25.189025400268481</v>
          </cell>
          <cell r="J28">
            <v>25.692805908273851</v>
          </cell>
          <cell r="K28">
            <v>26.206662026439329</v>
          </cell>
          <cell r="L28">
            <v>26.730795266968116</v>
          </cell>
        </row>
        <row r="29">
          <cell r="B29">
            <v>13.487618412604991</v>
          </cell>
          <cell r="C29">
            <v>13.757370780857091</v>
          </cell>
          <cell r="D29">
            <v>14.032518196474232</v>
          </cell>
          <cell r="E29">
            <v>14.313168560403717</v>
          </cell>
          <cell r="F29">
            <v>14.599431931611791</v>
          </cell>
          <cell r="G29">
            <v>14.891420570244028</v>
          </cell>
          <cell r="H29">
            <v>15.189248981648909</v>
          </cell>
          <cell r="I29">
            <v>15.493033961281887</v>
          </cell>
          <cell r="J29">
            <v>15.802894640507525</v>
          </cell>
          <cell r="K29">
            <v>16.118952533317675</v>
          </cell>
          <cell r="L29">
            <v>16.441331583984027</v>
          </cell>
        </row>
        <row r="30">
          <cell r="B30">
            <v>3.4804913615578137</v>
          </cell>
          <cell r="C30">
            <v>3.55010118878897</v>
          </cell>
          <cell r="D30">
            <v>3.6211032125647495</v>
          </cell>
          <cell r="E30">
            <v>3.6935252768160445</v>
          </cell>
          <cell r="F30">
            <v>3.7673957823523656</v>
          </cell>
          <cell r="G30">
            <v>3.842743697999413</v>
          </cell>
          <cell r="H30">
            <v>3.9195985719594013</v>
          </cell>
          <cell r="I30">
            <v>3.9979905433985894</v>
          </cell>
          <cell r="J30">
            <v>4.0779503542665614</v>
          </cell>
          <cell r="K30">
            <v>4.1595093613518923</v>
          </cell>
          <cell r="L30">
            <v>4.2426995485789298</v>
          </cell>
        </row>
        <row r="31">
          <cell r="B31">
            <v>1.663282434469691</v>
          </cell>
          <cell r="C31">
            <v>1.6965480831590849</v>
          </cell>
          <cell r="D31">
            <v>1.7304790448222667</v>
          </cell>
          <cell r="E31">
            <v>1.7650886257187119</v>
          </cell>
          <cell r="F31">
            <v>1.8003903982330862</v>
          </cell>
          <cell r="G31">
            <v>1.836398206197748</v>
          </cell>
          <cell r="H31">
            <v>1.873126170321703</v>
          </cell>
          <cell r="I31">
            <v>1.9105886937281371</v>
          </cell>
          <cell r="J31">
            <v>1.9488004676027</v>
          </cell>
          <cell r="K31">
            <v>1.9877764769547541</v>
          </cell>
          <cell r="L31">
            <v>2.0275320064938493</v>
          </cell>
        </row>
        <row r="32">
          <cell r="B32">
            <v>148.15424914523871</v>
          </cell>
          <cell r="C32">
            <v>151.11733412814348</v>
          </cell>
          <cell r="D32">
            <v>154.13968081070635</v>
          </cell>
          <cell r="E32">
            <v>157.22247442692048</v>
          </cell>
          <cell r="F32">
            <v>160.3669239154589</v>
          </cell>
          <cell r="G32">
            <v>163.57426239376807</v>
          </cell>
          <cell r="H32">
            <v>166.84574764164344</v>
          </cell>
          <cell r="I32">
            <v>170.18266259447631</v>
          </cell>
          <cell r="J32">
            <v>173.58631584636584</v>
          </cell>
          <cell r="K32">
            <v>177.05804216329315</v>
          </cell>
          <cell r="L32">
            <v>180.59920300655901</v>
          </cell>
        </row>
        <row r="33">
          <cell r="B33">
            <v>52.403207594668856</v>
          </cell>
          <cell r="C33">
            <v>53.451271746562234</v>
          </cell>
          <cell r="D33">
            <v>54.520297181493483</v>
          </cell>
          <cell r="E33">
            <v>55.610703125123351</v>
          </cell>
          <cell r="F33">
            <v>56.722917187625818</v>
          </cell>
          <cell r="G33">
            <v>57.857375531378338</v>
          </cell>
          <cell r="H33">
            <v>59.014523042005905</v>
          </cell>
          <cell r="I33">
            <v>60.194813502846024</v>
          </cell>
          <cell r="J33">
            <v>61.398709772902947</v>
          </cell>
          <cell r="K33">
            <v>62.626683968361007</v>
          </cell>
          <cell r="L33">
            <v>63.879217647728225</v>
          </cell>
        </row>
        <row r="34">
          <cell r="B34">
            <v>190.46498430681456</v>
          </cell>
          <cell r="C34">
            <v>194.27428399295084</v>
          </cell>
          <cell r="D34">
            <v>198.15976967280986</v>
          </cell>
          <cell r="E34">
            <v>202.12296506626606</v>
          </cell>
          <cell r="F34">
            <v>206.16542436759138</v>
          </cell>
          <cell r="G34">
            <v>210.28873285494322</v>
          </cell>
          <cell r="H34">
            <v>214.49450751204208</v>
          </cell>
          <cell r="I34">
            <v>218.78439766228291</v>
          </cell>
          <cell r="J34">
            <v>223.16008561552857</v>
          </cell>
          <cell r="K34">
            <v>227.62328732783914</v>
          </cell>
          <cell r="L34">
            <v>232.17575307439591</v>
          </cell>
        </row>
        <row r="35">
          <cell r="B35">
            <v>32.385524437045881</v>
          </cell>
          <cell r="C35">
            <v>33.0332349257868</v>
          </cell>
          <cell r="D35">
            <v>33.693899624302539</v>
          </cell>
          <cell r="E35">
            <v>34.367777616788587</v>
          </cell>
          <cell r="F35">
            <v>35.05513316912436</v>
          </cell>
          <cell r="G35">
            <v>35.756235832506846</v>
          </cell>
          <cell r="H35">
            <v>36.471360549156984</v>
          </cell>
          <cell r="I35">
            <v>37.200787760140123</v>
          </cell>
          <cell r="J35">
            <v>37.944803515342926</v>
          </cell>
          <cell r="K35">
            <v>38.703699585649787</v>
          </cell>
          <cell r="L35">
            <v>39.477773577362782</v>
          </cell>
        </row>
        <row r="36">
          <cell r="B36">
            <v>51.367442321938157</v>
          </cell>
          <cell r="C36">
            <v>52.394791168376919</v>
          </cell>
          <cell r="D36">
            <v>53.442686991744459</v>
          </cell>
          <cell r="E36">
            <v>54.511540731579352</v>
          </cell>
          <cell r="F36">
            <v>55.601771546210941</v>
          </cell>
          <cell r="G36">
            <v>56.713806977135164</v>
          </cell>
          <cell r="H36">
            <v>57.84808311667787</v>
          </cell>
          <cell r="I36">
            <v>59.005044779011428</v>
          </cell>
          <cell r="J36">
            <v>60.185145674591659</v>
          </cell>
          <cell r="K36">
            <v>61.388848588083491</v>
          </cell>
          <cell r="L36">
            <v>62.616625559845161</v>
          </cell>
        </row>
        <row r="37">
          <cell r="B37">
            <v>18.669302322532335</v>
          </cell>
          <cell r="C37">
            <v>19.042688368982983</v>
          </cell>
          <cell r="D37">
            <v>19.423542136362641</v>
          </cell>
          <cell r="E37">
            <v>19.812012979089893</v>
          </cell>
          <cell r="F37">
            <v>20.208253238671691</v>
          </cell>
          <cell r="G37">
            <v>20.612418303445125</v>
          </cell>
          <cell r="H37">
            <v>21.024666669514026</v>
          </cell>
          <cell r="I37">
            <v>21.445160002904306</v>
          </cell>
          <cell r="J37">
            <v>21.874063202962393</v>
          </cell>
          <cell r="K37">
            <v>22.311544467021641</v>
          </cell>
          <cell r="L37">
            <v>22.757775356362075</v>
          </cell>
        </row>
        <row r="38">
          <cell r="B38">
            <v>12.763706689894553</v>
          </cell>
          <cell r="C38">
            <v>13.018980823692445</v>
          </cell>
          <cell r="D38">
            <v>13.279360440166293</v>
          </cell>
          <cell r="E38">
            <v>13.54494764896962</v>
          </cell>
          <cell r="F38">
            <v>13.815846601949012</v>
          </cell>
          <cell r="G38">
            <v>14.092163533987993</v>
          </cell>
          <cell r="H38">
            <v>14.374006804667752</v>
          </cell>
          <cell r="I38">
            <v>14.661486940761108</v>
          </cell>
          <cell r="J38">
            <v>14.954716679576331</v>
          </cell>
          <cell r="K38">
            <v>15.253811013167857</v>
          </cell>
          <cell r="L38">
            <v>15.558887233431214</v>
          </cell>
        </row>
        <row r="39">
          <cell r="B39">
            <v>74.961051920766309</v>
          </cell>
          <cell r="C39">
            <v>76.460272959181637</v>
          </cell>
          <cell r="D39">
            <v>77.989478418365266</v>
          </cell>
          <cell r="E39">
            <v>79.549267986732573</v>
          </cell>
          <cell r="F39">
            <v>81.140253346467233</v>
          </cell>
          <cell r="G39">
            <v>82.763058413396578</v>
          </cell>
          <cell r="H39">
            <v>84.418319581664505</v>
          </cell>
          <cell r="I39">
            <v>86.1066859732978</v>
          </cell>
          <cell r="J39">
            <v>87.828819692763759</v>
          </cell>
          <cell r="K39">
            <v>89.585396086619042</v>
          </cell>
          <cell r="L39">
            <v>91.377104008351424</v>
          </cell>
        </row>
        <row r="40">
          <cell r="B40">
            <v>355.48426327923397</v>
          </cell>
          <cell r="C40">
            <v>362.59394854481866</v>
          </cell>
          <cell r="D40">
            <v>369.84582751571503</v>
          </cell>
          <cell r="E40">
            <v>377.24274406602933</v>
          </cell>
          <cell r="F40">
            <v>384.78759894734992</v>
          </cell>
          <cell r="G40">
            <v>392.48335092629691</v>
          </cell>
          <cell r="H40">
            <v>400.33301794482287</v>
          </cell>
          <cell r="I40">
            <v>408.33967830371932</v>
          </cell>
          <cell r="J40">
            <v>416.5064718697937</v>
          </cell>
          <cell r="K40">
            <v>424.8366013071896</v>
          </cell>
          <cell r="L40">
            <v>433.33333333333337</v>
          </cell>
        </row>
        <row r="41">
          <cell r="B41">
            <v>67.34284052056303</v>
          </cell>
          <cell r="C41">
            <v>68.689697330974298</v>
          </cell>
          <cell r="D41">
            <v>70.063491277593783</v>
          </cell>
          <cell r="E41">
            <v>71.464761103145662</v>
          </cell>
          <cell r="F41">
            <v>72.894056325208581</v>
          </cell>
          <cell r="G41">
            <v>74.351937451712757</v>
          </cell>
          <cell r="H41">
            <v>75.838976200747013</v>
          </cell>
          <cell r="I41">
            <v>77.355755724761948</v>
          </cell>
          <cell r="J41">
            <v>78.90287083925719</v>
          </cell>
          <cell r="K41">
            <v>80.480928256042333</v>
          </cell>
          <cell r="L41">
            <v>82.090546821163187</v>
          </cell>
        </row>
        <row r="42">
          <cell r="B42">
            <v>708.32034063040169</v>
          </cell>
          <cell r="C42">
            <v>722.48674744300979</v>
          </cell>
          <cell r="D42">
            <v>736.93648239186996</v>
          </cell>
          <cell r="E42">
            <v>751.67521203970739</v>
          </cell>
          <cell r="F42">
            <v>766.70871628050156</v>
          </cell>
          <cell r="G42">
            <v>782.04289060611165</v>
          </cell>
          <cell r="H42">
            <v>797.6837484182339</v>
          </cell>
          <cell r="I42">
            <v>813.63742338659858</v>
          </cell>
          <cell r="J42">
            <v>829.91017185433054</v>
          </cell>
          <cell r="K42">
            <v>846.50837529141722</v>
          </cell>
          <cell r="L42">
            <v>863.43854279724553</v>
          </cell>
        </row>
      </sheetData>
      <sheetData sheetId="8">
        <row r="12">
          <cell r="B12">
            <v>185.5688376744418</v>
          </cell>
          <cell r="C12">
            <v>204.12572144188599</v>
          </cell>
          <cell r="D12">
            <v>224.53829358607459</v>
          </cell>
          <cell r="E12">
            <v>249.23750588054281</v>
          </cell>
          <cell r="F12">
            <v>306.56213223306764</v>
          </cell>
          <cell r="G12">
            <v>242.18408446412346</v>
          </cell>
          <cell r="H12">
            <v>331.79219571584918</v>
          </cell>
          <cell r="I12">
            <v>202.393239386668</v>
          </cell>
          <cell r="J12">
            <v>186.20178023573456</v>
          </cell>
          <cell r="K12">
            <v>145.23738858387296</v>
          </cell>
          <cell r="L12">
            <v>88.594807036162493</v>
          </cell>
        </row>
        <row r="13">
          <cell r="B13">
            <v>225.98650511520319</v>
          </cell>
          <cell r="C13">
            <v>248.58515562672352</v>
          </cell>
          <cell r="D13">
            <v>273.4436711893959</v>
          </cell>
          <cell r="E13">
            <v>303.52247502022948</v>
          </cell>
          <cell r="F13">
            <v>373.33264427488223</v>
          </cell>
          <cell r="G13">
            <v>294.93278897715697</v>
          </cell>
          <cell r="H13">
            <v>404.05792089870511</v>
          </cell>
          <cell r="I13">
            <v>246.4753317482101</v>
          </cell>
          <cell r="J13">
            <v>226.7573052083533</v>
          </cell>
          <cell r="K13">
            <v>176.87069806251557</v>
          </cell>
          <cell r="L13">
            <v>107.8911258181345</v>
          </cell>
        </row>
        <row r="14">
          <cell r="B14">
            <v>32.041713063368952</v>
          </cell>
          <cell r="C14">
            <v>35.245884369705848</v>
          </cell>
          <cell r="D14">
            <v>38.770472806676437</v>
          </cell>
          <cell r="E14">
            <v>43.035224815410849</v>
          </cell>
          <cell r="F14">
            <v>52.933326522955348</v>
          </cell>
          <cell r="G14">
            <v>41.817327953134729</v>
          </cell>
          <cell r="H14">
            <v>57.289739295794583</v>
          </cell>
          <cell r="I14">
            <v>34.946740970434696</v>
          </cell>
          <cell r="J14">
            <v>32.151001692799923</v>
          </cell>
          <cell r="K14">
            <v>25.077781320383941</v>
          </cell>
          <cell r="L14">
            <v>15.297446605434203</v>
          </cell>
        </row>
        <row r="15">
          <cell r="B15">
            <v>17.034483800708362</v>
          </cell>
          <cell r="C15">
            <v>18.7379321807792</v>
          </cell>
          <cell r="D15">
            <v>20.611725398857121</v>
          </cell>
          <cell r="E15">
            <v>22.879015192731408</v>
          </cell>
          <cell r="F15">
            <v>28.141188687059632</v>
          </cell>
          <cell r="G15">
            <v>22.231539062777109</v>
          </cell>
          <cell r="H15">
            <v>30.457208516004641</v>
          </cell>
          <cell r="I15">
            <v>18.578897194762831</v>
          </cell>
          <cell r="J15">
            <v>17.092585419181805</v>
          </cell>
          <cell r="K15">
            <v>13.332216626961809</v>
          </cell>
          <cell r="L15">
            <v>8.1326521424467035</v>
          </cell>
        </row>
        <row r="16">
          <cell r="B16">
            <v>14.151756602987955</v>
          </cell>
          <cell r="C16">
            <v>15.566932263286752</v>
          </cell>
          <cell r="D16">
            <v>17.123625489615428</v>
          </cell>
          <cell r="E16">
            <v>19.007224293473126</v>
          </cell>
          <cell r="F16">
            <v>23.378885880971946</v>
          </cell>
          <cell r="G16">
            <v>18.469319845967838</v>
          </cell>
          <cell r="H16">
            <v>25.302968188975942</v>
          </cell>
          <cell r="I16">
            <v>15.434810595275325</v>
          </cell>
          <cell r="J16">
            <v>14.200025747653299</v>
          </cell>
          <cell r="K16">
            <v>11.076020083169574</v>
          </cell>
          <cell r="L16">
            <v>6.7563722507334401</v>
          </cell>
        </row>
        <row r="17">
          <cell r="B17">
            <v>173.85710270826061</v>
          </cell>
          <cell r="C17">
            <v>191.24281297908669</v>
          </cell>
          <cell r="D17">
            <v>210.36709427699537</v>
          </cell>
          <cell r="E17">
            <v>233.50747464746487</v>
          </cell>
          <cell r="F17">
            <v>287.21419381638179</v>
          </cell>
          <cell r="G17">
            <v>226.89921311494163</v>
          </cell>
          <cell r="H17">
            <v>310.85192196747005</v>
          </cell>
          <cell r="I17">
            <v>189.61967240015673</v>
          </cell>
          <cell r="J17">
            <v>174.4500986081442</v>
          </cell>
          <cell r="K17">
            <v>136.07107691435249</v>
          </cell>
          <cell r="L17">
            <v>83.003356917755013</v>
          </cell>
        </row>
        <row r="18">
          <cell r="B18">
            <v>173.66197689152855</v>
          </cell>
          <cell r="C18">
            <v>191.02817458068142</v>
          </cell>
          <cell r="D18">
            <v>210.13099203874958</v>
          </cell>
          <cell r="E18">
            <v>233.24540116301205</v>
          </cell>
          <cell r="F18">
            <v>286.89184343050482</v>
          </cell>
          <cell r="G18">
            <v>226.64455631009884</v>
          </cell>
          <cell r="H18">
            <v>310.50304214483543</v>
          </cell>
          <cell r="I18">
            <v>189.40685570834961</v>
          </cell>
          <cell r="J18">
            <v>174.25430725168164</v>
          </cell>
          <cell r="K18">
            <v>135.91835965631168</v>
          </cell>
          <cell r="L18">
            <v>82.91019939035013</v>
          </cell>
        </row>
        <row r="19">
          <cell r="B19">
            <v>24.499689455481931</v>
          </cell>
          <cell r="C19">
            <v>26.949658401030128</v>
          </cell>
          <cell r="D19">
            <v>29.644624241133144</v>
          </cell>
          <cell r="E19">
            <v>32.905532907657793</v>
          </cell>
          <cell r="F19">
            <v>40.473805476419088</v>
          </cell>
          <cell r="G19">
            <v>31.974306326371078</v>
          </cell>
          <cell r="H19">
            <v>43.804799667128378</v>
          </cell>
          <cell r="I19">
            <v>26.72092779694831</v>
          </cell>
          <cell r="J19">
            <v>24.583253573192447</v>
          </cell>
          <cell r="K19">
            <v>19.174937787090109</v>
          </cell>
          <cell r="L19">
            <v>11.696712050124965</v>
          </cell>
        </row>
        <row r="20">
          <cell r="B20">
            <v>141.87700832385963</v>
          </cell>
          <cell r="C20">
            <v>156.06470915624561</v>
          </cell>
          <cell r="D20">
            <v>171.6711800718702</v>
          </cell>
          <cell r="E20">
            <v>190.55500987977592</v>
          </cell>
          <cell r="F20">
            <v>234.3826621521244</v>
          </cell>
          <cell r="G20">
            <v>185.16230310017829</v>
          </cell>
          <cell r="H20">
            <v>253.67235524724427</v>
          </cell>
          <cell r="I20">
            <v>154.74013670081899</v>
          </cell>
          <cell r="J20">
            <v>142.36092576475349</v>
          </cell>
          <cell r="K20">
            <v>111.04152209650773</v>
          </cell>
          <cell r="L20">
            <v>67.735328478869718</v>
          </cell>
        </row>
        <row r="21">
          <cell r="B21">
            <v>1591.3998985521803</v>
          </cell>
          <cell r="C21">
            <v>1750.5398884073984</v>
          </cell>
          <cell r="D21">
            <v>1925.5938772481384</v>
          </cell>
          <cell r="E21">
            <v>2137.4092037454338</v>
          </cell>
          <cell r="F21">
            <v>2629.0133206068836</v>
          </cell>
          <cell r="G21">
            <v>2076.9205232794379</v>
          </cell>
          <cell r="H21">
            <v>2845.3811168928301</v>
          </cell>
          <cell r="I21">
            <v>1735.6824813046262</v>
          </cell>
          <cell r="J21">
            <v>1596.8278828002562</v>
          </cell>
          <cell r="K21">
            <v>1245.5257485841998</v>
          </cell>
          <cell r="L21">
            <v>759.77070663636187</v>
          </cell>
        </row>
        <row r="22">
          <cell r="B22">
            <v>1922.9864909169112</v>
          </cell>
          <cell r="C22">
            <v>2115.2851400086024</v>
          </cell>
          <cell r="D22">
            <v>2326.8136540094629</v>
          </cell>
          <cell r="E22">
            <v>2582.7631559505039</v>
          </cell>
          <cell r="F22">
            <v>3176.7986818191198</v>
          </cell>
          <cell r="G22">
            <v>2509.6709586371048</v>
          </cell>
          <cell r="H22">
            <v>3438.2492133328342</v>
          </cell>
          <cell r="I22">
            <v>2097.3320201330289</v>
          </cell>
          <cell r="J22">
            <v>1929.5454585223865</v>
          </cell>
          <cell r="K22">
            <v>1505.0454576474615</v>
          </cell>
          <cell r="L22">
            <v>918.07772916495151</v>
          </cell>
        </row>
        <row r="23">
          <cell r="B23">
            <v>94.995463409026584</v>
          </cell>
          <cell r="C23">
            <v>104.49500974992925</v>
          </cell>
          <cell r="D23">
            <v>114.94451072492218</v>
          </cell>
          <cell r="E23">
            <v>127.58840690466363</v>
          </cell>
          <cell r="F23">
            <v>156.93374049273626</v>
          </cell>
          <cell r="G23">
            <v>123.97765498926165</v>
          </cell>
          <cell r="H23">
            <v>169.84938733528847</v>
          </cell>
          <cell r="I23">
            <v>103.60812627452596</v>
          </cell>
          <cell r="J23">
            <v>95.319476172563881</v>
          </cell>
          <cell r="K23">
            <v>74.349191414599829</v>
          </cell>
          <cell r="L23">
            <v>45.353006762905892</v>
          </cell>
        </row>
        <row r="24">
          <cell r="B24">
            <v>104.90580094304933</v>
          </cell>
          <cell r="C24">
            <v>115.39638103735427</v>
          </cell>
          <cell r="D24">
            <v>126.93601914108972</v>
          </cell>
          <cell r="E24">
            <v>140.89898124660959</v>
          </cell>
          <cell r="F24">
            <v>173.3057469333298</v>
          </cell>
          <cell r="G24">
            <v>136.91154007733056</v>
          </cell>
          <cell r="H24">
            <v>187.56880990594289</v>
          </cell>
          <cell r="I24">
            <v>114.41697404262516</v>
          </cell>
          <cell r="J24">
            <v>105.26361611921514</v>
          </cell>
          <cell r="K24">
            <v>82.105620572987817</v>
          </cell>
          <cell r="L24">
            <v>50.084428549522563</v>
          </cell>
        </row>
        <row r="25">
          <cell r="B25">
            <v>9.6176488089246881</v>
          </cell>
          <cell r="C25">
            <v>10.579413689817159</v>
          </cell>
          <cell r="D25">
            <v>11.637355058798876</v>
          </cell>
          <cell r="E25">
            <v>12.917464115266753</v>
          </cell>
          <cell r="F25">
            <v>15.888480861778106</v>
          </cell>
          <cell r="G25">
            <v>12.551899880804704</v>
          </cell>
          <cell r="H25">
            <v>17.196102836702448</v>
          </cell>
          <cell r="I25">
            <v>10.489622730388493</v>
          </cell>
          <cell r="J25">
            <v>9.6504529119574141</v>
          </cell>
          <cell r="K25">
            <v>7.527353271326783</v>
          </cell>
          <cell r="L25">
            <v>4.5916854955093376</v>
          </cell>
        </row>
        <row r="26">
          <cell r="B26">
            <v>107.62729259747007</v>
          </cell>
          <cell r="C26">
            <v>118.39002185721709</v>
          </cell>
          <cell r="D26">
            <v>130.22902404293882</v>
          </cell>
          <cell r="E26">
            <v>144.55421668766209</v>
          </cell>
          <cell r="F26">
            <v>177.80168652582438</v>
          </cell>
          <cell r="G26">
            <v>140.46333235540126</v>
          </cell>
          <cell r="H26">
            <v>192.43476532689976</v>
          </cell>
          <cell r="I26">
            <v>117.38520684940886</v>
          </cell>
          <cell r="J26">
            <v>107.99439030145615</v>
          </cell>
          <cell r="K26">
            <v>84.235624435135804</v>
          </cell>
          <cell r="L26">
            <v>51.383730905432841</v>
          </cell>
        </row>
        <row r="27">
          <cell r="B27">
            <v>1515.154380322663</v>
          </cell>
          <cell r="C27">
            <v>1666.6698183549295</v>
          </cell>
          <cell r="D27">
            <v>1833.3368001904225</v>
          </cell>
          <cell r="E27">
            <v>2035.0038482113691</v>
          </cell>
          <cell r="F27">
            <v>2503.054733299984</v>
          </cell>
          <cell r="G27">
            <v>1977.4132393069876</v>
          </cell>
          <cell r="H27">
            <v>2709.0561378505731</v>
          </cell>
          <cell r="I27">
            <v>1652.5242440888496</v>
          </cell>
          <cell r="J27">
            <v>1520.3223045617417</v>
          </cell>
          <cell r="K27">
            <v>1185.8513975581586</v>
          </cell>
          <cell r="L27">
            <v>723.36935251047669</v>
          </cell>
        </row>
        <row r="28">
          <cell r="B28">
            <v>59.107050264381705</v>
          </cell>
          <cell r="C28">
            <v>65.017755290819878</v>
          </cell>
          <cell r="D28">
            <v>71.519530819901874</v>
          </cell>
          <cell r="E28">
            <v>79.386679210091089</v>
          </cell>
          <cell r="F28">
            <v>97.645615428412029</v>
          </cell>
          <cell r="G28">
            <v>77.140036188445507</v>
          </cell>
          <cell r="H28">
            <v>105.68184957817036</v>
          </cell>
          <cell r="I28">
            <v>64.465928242683916</v>
          </cell>
          <cell r="J28">
            <v>59.308653983269203</v>
          </cell>
          <cell r="K28">
            <v>46.260750106949978</v>
          </cell>
          <cell r="L28">
            <v>28.219057565239485</v>
          </cell>
        </row>
        <row r="29">
          <cell r="B29">
            <v>36.355020591130156</v>
          </cell>
          <cell r="C29">
            <v>39.990522650243179</v>
          </cell>
          <cell r="D29">
            <v>43.989574915267504</v>
          </cell>
          <cell r="E29">
            <v>48.828428155946931</v>
          </cell>
          <cell r="F29">
            <v>60.05896663181472</v>
          </cell>
          <cell r="G29">
            <v>47.446583639133628</v>
          </cell>
          <cell r="H29">
            <v>65.001819585613077</v>
          </cell>
          <cell r="I29">
            <v>39.651109947223979</v>
          </cell>
          <cell r="J29">
            <v>36.479021151446062</v>
          </cell>
          <cell r="K29">
            <v>28.453636498127931</v>
          </cell>
          <cell r="L29">
            <v>17.356718263858038</v>
          </cell>
        </row>
        <row r="30">
          <cell r="B30">
            <v>9.381443872880622</v>
          </cell>
          <cell r="C30">
            <v>10.319588260168684</v>
          </cell>
          <cell r="D30">
            <v>11.351547086185553</v>
          </cell>
          <cell r="E30">
            <v>12.600217265665965</v>
          </cell>
          <cell r="F30">
            <v>15.498267236769136</v>
          </cell>
          <cell r="G30">
            <v>12.243631117047618</v>
          </cell>
          <cell r="H30">
            <v>16.773774630355238</v>
          </cell>
          <cell r="I30">
            <v>10.232002524516695</v>
          </cell>
          <cell r="J30">
            <v>9.4134423225553601</v>
          </cell>
          <cell r="K30">
            <v>7.3424850115931815</v>
          </cell>
          <cell r="L30">
            <v>4.4789158570718408</v>
          </cell>
        </row>
        <row r="31">
          <cell r="B31">
            <v>4.4832723839146533</v>
          </cell>
          <cell r="C31">
            <v>4.9315996223061189</v>
          </cell>
          <cell r="D31">
            <v>5.4247595845367309</v>
          </cell>
          <cell r="E31">
            <v>6.0214831388357721</v>
          </cell>
          <cell r="F31">
            <v>7.4064242607679995</v>
          </cell>
          <cell r="G31">
            <v>5.8510751660067202</v>
          </cell>
          <cell r="H31">
            <v>8.0159729774292074</v>
          </cell>
          <cell r="I31">
            <v>4.8897435162318166</v>
          </cell>
          <cell r="J31">
            <v>4.4985640349332714</v>
          </cell>
          <cell r="K31">
            <v>3.5088799472479519</v>
          </cell>
          <cell r="L31">
            <v>2.1404167678212507</v>
          </cell>
        </row>
        <row r="32">
          <cell r="B32">
            <v>399.34038861189168</v>
          </cell>
          <cell r="C32">
            <v>439.27442747308089</v>
          </cell>
          <cell r="D32">
            <v>483.20187022038903</v>
          </cell>
          <cell r="E32">
            <v>536.35407594463186</v>
          </cell>
          <cell r="F32">
            <v>659.71551341189718</v>
          </cell>
          <cell r="G32">
            <v>521.17525559539877</v>
          </cell>
          <cell r="H32">
            <v>714.01010016569637</v>
          </cell>
          <cell r="I32">
            <v>435.54616110107474</v>
          </cell>
          <cell r="J32">
            <v>400.70246821298878</v>
          </cell>
          <cell r="K32">
            <v>312.54792520613125</v>
          </cell>
          <cell r="L32">
            <v>190.65423437574006</v>
          </cell>
        </row>
        <row r="33">
          <cell r="B33">
            <v>141.24952477636865</v>
          </cell>
          <cell r="C33">
            <v>155.37447725400551</v>
          </cell>
          <cell r="D33">
            <v>170.91192497940608</v>
          </cell>
          <cell r="E33">
            <v>189.71223672714078</v>
          </cell>
          <cell r="F33">
            <v>233.34605117438315</v>
          </cell>
          <cell r="G33">
            <v>184.3433804277627</v>
          </cell>
          <cell r="H33">
            <v>252.5504311860349</v>
          </cell>
          <cell r="I33">
            <v>154.05576302348129</v>
          </cell>
          <cell r="J33">
            <v>141.7313019816028</v>
          </cell>
          <cell r="K33">
            <v>110.5504155456502</v>
          </cell>
          <cell r="L33">
            <v>67.435753482846621</v>
          </cell>
        </row>
        <row r="34">
          <cell r="B34">
            <v>513.3862936018636</v>
          </cell>
          <cell r="C34">
            <v>564.72492296204996</v>
          </cell>
          <cell r="D34">
            <v>621.19741525825498</v>
          </cell>
          <cell r="E34">
            <v>689.52913093666314</v>
          </cell>
          <cell r="F34">
            <v>848.12083105209558</v>
          </cell>
          <cell r="G34">
            <v>670.01545653115556</v>
          </cell>
          <cell r="H34">
            <v>917.92117544768314</v>
          </cell>
          <cell r="I34">
            <v>559.93191702308673</v>
          </cell>
          <cell r="J34">
            <v>515.13736366123976</v>
          </cell>
          <cell r="K34">
            <v>401.80714365576705</v>
          </cell>
          <cell r="L34">
            <v>245.10235763001791</v>
          </cell>
        </row>
        <row r="35">
          <cell r="B35">
            <v>87.293128538024405</v>
          </cell>
          <cell r="C35">
            <v>96.02244139182686</v>
          </cell>
          <cell r="D35">
            <v>105.62468553100956</v>
          </cell>
          <cell r="E35">
            <v>117.24340093942062</v>
          </cell>
          <cell r="F35">
            <v>144.20938315548736</v>
          </cell>
          <cell r="G35">
            <v>113.92541269283501</v>
          </cell>
          <cell r="H35">
            <v>156.07781538918397</v>
          </cell>
          <cell r="I35">
            <v>95.207467387402218</v>
          </cell>
          <cell r="J35">
            <v>87.590869996410049</v>
          </cell>
          <cell r="K35">
            <v>68.320878597199837</v>
          </cell>
          <cell r="L35">
            <v>41.675735944291901</v>
          </cell>
        </row>
        <row r="36">
          <cell r="B36">
            <v>138.45768513012615</v>
          </cell>
          <cell r="C36">
            <v>152.30345364313877</v>
          </cell>
          <cell r="D36">
            <v>167.53379900745264</v>
          </cell>
          <cell r="E36">
            <v>185.96251689827244</v>
          </cell>
          <cell r="F36">
            <v>228.7338957848751</v>
          </cell>
          <cell r="G36">
            <v>180.69977767005133</v>
          </cell>
          <cell r="H36">
            <v>247.55869540797033</v>
          </cell>
          <cell r="I36">
            <v>151.0108041988619</v>
          </cell>
          <cell r="J36">
            <v>138.92993986295295</v>
          </cell>
          <cell r="K36">
            <v>108.36535309310331</v>
          </cell>
          <cell r="L36">
            <v>66.102865386793013</v>
          </cell>
        </row>
        <row r="37">
          <cell r="B37">
            <v>50.321921157214071</v>
          </cell>
          <cell r="C37">
            <v>55.354113272935486</v>
          </cell>
          <cell r="D37">
            <v>60.889524600229038</v>
          </cell>
          <cell r="E37">
            <v>67.587372306254238</v>
          </cell>
          <cell r="F37">
            <v>83.13246793669272</v>
          </cell>
          <cell r="G37">
            <v>65.674649669987247</v>
          </cell>
          <cell r="H37">
            <v>89.974270047882541</v>
          </cell>
          <cell r="I37">
            <v>54.884304729208345</v>
          </cell>
          <cell r="J37">
            <v>50.493560350871682</v>
          </cell>
          <cell r="K37">
            <v>39.384977073679913</v>
          </cell>
          <cell r="L37">
            <v>24.024836014944746</v>
          </cell>
        </row>
        <row r="38">
          <cell r="B38">
            <v>34.403762423809617</v>
          </cell>
          <cell r="C38">
            <v>37.844138666190581</v>
          </cell>
          <cell r="D38">
            <v>41.628552532809643</v>
          </cell>
          <cell r="E38">
            <v>46.207693311418709</v>
          </cell>
          <cell r="F38">
            <v>56.835462773045009</v>
          </cell>
          <cell r="G38">
            <v>44.900015590705557</v>
          </cell>
          <cell r="H38">
            <v>61.513021359266617</v>
          </cell>
          <cell r="I38">
            <v>37.522943029152636</v>
          </cell>
          <cell r="J38">
            <v>34.521107586820428</v>
          </cell>
          <cell r="K38">
            <v>26.926463917719936</v>
          </cell>
          <cell r="L38">
            <v>16.42514298980916</v>
          </cell>
        </row>
        <row r="39">
          <cell r="B39">
            <v>862.96498289118495</v>
          </cell>
          <cell r="C39">
            <v>949.26148118030346</v>
          </cell>
          <cell r="D39">
            <v>1044.1876292983338</v>
          </cell>
          <cell r="E39">
            <v>1159.0482685211507</v>
          </cell>
          <cell r="F39">
            <v>1425.6293702810153</v>
          </cell>
          <cell r="G39">
            <v>1126.2472025220022</v>
          </cell>
          <cell r="H39">
            <v>1542.9586674551433</v>
          </cell>
          <cell r="I39">
            <v>941.20478714763738</v>
          </cell>
          <cell r="J39">
            <v>865.90840417582638</v>
          </cell>
          <cell r="K39">
            <v>675.4085552571446</v>
          </cell>
          <cell r="L39">
            <v>411.99921870685819</v>
          </cell>
        </row>
        <row r="40">
          <cell r="B40">
            <v>27.688615098202042</v>
          </cell>
          <cell r="C40">
            <v>30.457476608022247</v>
          </cell>
          <cell r="D40">
            <v>33.503224268824475</v>
          </cell>
          <cell r="E40">
            <v>37.188578938395167</v>
          </cell>
          <cell r="F40">
            <v>45.741952094226058</v>
          </cell>
          <cell r="G40">
            <v>36.136142154438588</v>
          </cell>
          <cell r="H40">
            <v>49.506514751580866</v>
          </cell>
          <cell r="I40">
            <v>30.198973998464329</v>
          </cell>
          <cell r="J40">
            <v>27.783056078587183</v>
          </cell>
          <cell r="K40">
            <v>21.670783741298003</v>
          </cell>
          <cell r="L40">
            <v>13.219178082191782</v>
          </cell>
        </row>
        <row r="41">
          <cell r="B41">
            <v>181.51835845995072</v>
          </cell>
          <cell r="C41">
            <v>199.67019430594581</v>
          </cell>
          <cell r="D41">
            <v>219.63721373654042</v>
          </cell>
          <cell r="E41">
            <v>243.7973072475599</v>
          </cell>
          <cell r="F41">
            <v>299.87068791449866</v>
          </cell>
          <cell r="G41">
            <v>236.89784345245397</v>
          </cell>
          <cell r="H41">
            <v>324.55004552986196</v>
          </cell>
          <cell r="I41">
            <v>197.97552777321579</v>
          </cell>
          <cell r="J41">
            <v>182.13748555135854</v>
          </cell>
          <cell r="K41">
            <v>142.06723873005967</v>
          </cell>
          <cell r="L41">
            <v>86.66101562533639</v>
          </cell>
        </row>
        <row r="42">
          <cell r="B42">
            <v>1909.2325850995851</v>
          </cell>
          <cell r="C42">
            <v>2100.1558436095438</v>
          </cell>
          <cell r="D42">
            <v>2310.1714279704984</v>
          </cell>
          <cell r="E42">
            <v>2564.2902850472533</v>
          </cell>
          <cell r="F42">
            <v>3154.0770506081217</v>
          </cell>
          <cell r="G42">
            <v>2491.7208699804164</v>
          </cell>
          <cell r="H42">
            <v>3413.6575918731705</v>
          </cell>
          <cell r="I42">
            <v>2082.3311310426338</v>
          </cell>
          <cell r="J42">
            <v>1915.7446405592232</v>
          </cell>
          <cell r="K42">
            <v>1494.2808196361941</v>
          </cell>
          <cell r="L42">
            <v>911.51129997807845</v>
          </cell>
        </row>
      </sheetData>
      <sheetData sheetId="9">
        <row r="12">
          <cell r="B12">
            <v>40.986401057268715</v>
          </cell>
          <cell r="C12">
            <v>54.921777416740085</v>
          </cell>
          <cell r="D12">
            <v>73.59518173843172</v>
          </cell>
          <cell r="E12">
            <v>110.39277260764759</v>
          </cell>
          <cell r="F12">
            <v>165.58915891147137</v>
          </cell>
          <cell r="G12">
            <v>202.01877387199508</v>
          </cell>
          <cell r="H12">
            <v>238.38215316895418</v>
          </cell>
          <cell r="I12">
            <v>283.67476227105544</v>
          </cell>
          <cell r="J12">
            <v>382.96092906592486</v>
          </cell>
          <cell r="K12">
            <v>283.39108750878438</v>
          </cell>
          <cell r="L12">
            <v>476.09702701475771</v>
          </cell>
        </row>
        <row r="13">
          <cell r="B13">
            <v>49.913410291613438</v>
          </cell>
          <cell r="C13">
            <v>66.883969790762009</v>
          </cell>
          <cell r="D13">
            <v>89.624519519621103</v>
          </cell>
          <cell r="E13">
            <v>134.43677927943165</v>
          </cell>
          <cell r="F13">
            <v>201.65516891914748</v>
          </cell>
          <cell r="G13">
            <v>246.01930608135993</v>
          </cell>
          <cell r="H13">
            <v>290.30278117600471</v>
          </cell>
          <cell r="I13">
            <v>345.46030959944557</v>
          </cell>
          <cell r="J13">
            <v>466.37141795925152</v>
          </cell>
          <cell r="K13">
            <v>345.11484928984612</v>
          </cell>
          <cell r="L13">
            <v>579.79294680694147</v>
          </cell>
        </row>
        <row r="14">
          <cell r="B14">
            <v>7.0770206821101542</v>
          </cell>
          <cell r="C14">
            <v>9.483207714027607</v>
          </cell>
          <cell r="D14">
            <v>12.707498336796995</v>
          </cell>
          <cell r="E14">
            <v>19.061247505195492</v>
          </cell>
          <cell r="F14">
            <v>28.591871257793237</v>
          </cell>
          <cell r="G14">
            <v>34.88208293450775</v>
          </cell>
          <cell r="H14">
            <v>41.160857862719141</v>
          </cell>
          <cell r="I14">
            <v>48.981420856635772</v>
          </cell>
          <cell r="J14">
            <v>66.124918156458293</v>
          </cell>
          <cell r="K14">
            <v>48.932439435779138</v>
          </cell>
          <cell r="L14">
            <v>82.206498252108943</v>
          </cell>
        </row>
        <row r="15">
          <cell r="B15">
            <v>3.7623891684026001</v>
          </cell>
          <cell r="C15">
            <v>5.0416014856594842</v>
          </cell>
          <cell r="D15">
            <v>6.7557459907837094</v>
          </cell>
          <cell r="E15">
            <v>10.133618986175565</v>
          </cell>
          <cell r="F15">
            <v>15.200428479263346</v>
          </cell>
          <cell r="G15">
            <v>18.544522744701283</v>
          </cell>
          <cell r="H15">
            <v>21.882536838747512</v>
          </cell>
          <cell r="I15">
            <v>26.040218838109539</v>
          </cell>
          <cell r="J15">
            <v>35.154295431447878</v>
          </cell>
          <cell r="K15">
            <v>26.01417861927143</v>
          </cell>
          <cell r="L15">
            <v>43.703820080375998</v>
          </cell>
        </row>
        <row r="16">
          <cell r="B16">
            <v>3.1256841345986515</v>
          </cell>
          <cell r="C16">
            <v>4.188416740362193</v>
          </cell>
          <cell r="D16">
            <v>5.6124784320853385</v>
          </cell>
          <cell r="E16">
            <v>8.4187176481280073</v>
          </cell>
          <cell r="F16">
            <v>12.62807647219201</v>
          </cell>
          <cell r="G16">
            <v>15.406253296074251</v>
          </cell>
          <cell r="H16">
            <v>18.179378889367616</v>
          </cell>
          <cell r="I16">
            <v>21.633460878347464</v>
          </cell>
          <cell r="J16">
            <v>29.205172185769079</v>
          </cell>
          <cell r="K16">
            <v>21.611827417469119</v>
          </cell>
          <cell r="L16">
            <v>36.307870061348119</v>
          </cell>
        </row>
        <row r="17">
          <cell r="B17">
            <v>38.399642028026541</v>
          </cell>
          <cell r="C17">
            <v>51.455520317555568</v>
          </cell>
          <cell r="D17">
            <v>68.950397225524469</v>
          </cell>
          <cell r="E17">
            <v>103.4255958382867</v>
          </cell>
          <cell r="F17">
            <v>155.13839375743004</v>
          </cell>
          <cell r="G17">
            <v>189.26884038406465</v>
          </cell>
          <cell r="H17">
            <v>223.33723165319626</v>
          </cell>
          <cell r="I17">
            <v>265.77130566730352</v>
          </cell>
          <cell r="J17">
            <v>358.79126265085978</v>
          </cell>
          <cell r="K17">
            <v>265.50553436163625</v>
          </cell>
          <cell r="L17">
            <v>446.04929772754889</v>
          </cell>
        </row>
        <row r="18">
          <cell r="B18">
            <v>38.356544786693163</v>
          </cell>
          <cell r="C18">
            <v>51.397770014168842</v>
          </cell>
          <cell r="D18">
            <v>68.873011818986257</v>
          </cell>
          <cell r="E18">
            <v>103.30951772847938</v>
          </cell>
          <cell r="F18">
            <v>154.96427659271907</v>
          </cell>
          <cell r="G18">
            <v>189.05641744311725</v>
          </cell>
          <cell r="H18">
            <v>223.08657258287835</v>
          </cell>
          <cell r="I18">
            <v>265.47302137362522</v>
          </cell>
          <cell r="J18">
            <v>358.3885788543941</v>
          </cell>
          <cell r="K18">
            <v>265.20754835225165</v>
          </cell>
          <cell r="L18">
            <v>445.54868123178278</v>
          </cell>
        </row>
        <row r="19">
          <cell r="B19">
            <v>5.4112215735412832</v>
          </cell>
          <cell r="C19">
            <v>7.2510369085453199</v>
          </cell>
          <cell r="D19">
            <v>9.7163894574507292</v>
          </cell>
          <cell r="E19">
            <v>14.574584186176095</v>
          </cell>
          <cell r="F19">
            <v>21.861876279264141</v>
          </cell>
          <cell r="G19">
            <v>26.67148906070225</v>
          </cell>
          <cell r="H19">
            <v>31.472357091628652</v>
          </cell>
          <cell r="I19">
            <v>37.452104939038094</v>
          </cell>
          <cell r="J19">
            <v>50.560341667701429</v>
          </cell>
          <cell r="K19">
            <v>37.414652834099059</v>
          </cell>
          <cell r="L19">
            <v>62.856616761286418</v>
          </cell>
        </row>
        <row r="20">
          <cell r="B20">
            <v>31.336231001074289</v>
          </cell>
          <cell r="C20">
            <v>41.990549541439549</v>
          </cell>
          <cell r="D20">
            <v>56.267336385528999</v>
          </cell>
          <cell r="E20">
            <v>84.401004578293495</v>
          </cell>
          <cell r="F20">
            <v>126.60150686744024</v>
          </cell>
          <cell r="G20">
            <v>154.45383837827708</v>
          </cell>
          <cell r="H20">
            <v>182.25552928636694</v>
          </cell>
          <cell r="I20">
            <v>216.88407985077666</v>
          </cell>
          <cell r="J20">
            <v>292.79350779854849</v>
          </cell>
          <cell r="K20">
            <v>216.66719577092587</v>
          </cell>
          <cell r="L20">
            <v>364.00088889515547</v>
          </cell>
        </row>
        <row r="21">
          <cell r="B21">
            <v>379.45986856096397</v>
          </cell>
          <cell r="C21">
            <v>508.47622387169179</v>
          </cell>
          <cell r="D21">
            <v>681.35813998806702</v>
          </cell>
          <cell r="E21">
            <v>1022.0372099821005</v>
          </cell>
          <cell r="F21">
            <v>1533.0558149731507</v>
          </cell>
          <cell r="G21">
            <v>1870.3280942672438</v>
          </cell>
          <cell r="H21">
            <v>2206.9871512353475</v>
          </cell>
          <cell r="I21">
            <v>2626.3147099700636</v>
          </cell>
          <cell r="J21">
            <v>3545.5248584595861</v>
          </cell>
          <cell r="K21">
            <v>2623.6883952600938</v>
          </cell>
          <cell r="L21">
            <v>4407.7965040369572</v>
          </cell>
        </row>
        <row r="22">
          <cell r="B22">
            <v>491.5035889001316</v>
          </cell>
          <cell r="C22">
            <v>658.6148091261764</v>
          </cell>
          <cell r="D22">
            <v>882.5438442290764</v>
          </cell>
          <cell r="E22">
            <v>1323.8157663436145</v>
          </cell>
          <cell r="F22">
            <v>1985.7236495154218</v>
          </cell>
          <cell r="G22">
            <v>2422.5828524088147</v>
          </cell>
          <cell r="H22">
            <v>2858.647765842401</v>
          </cell>
          <cell r="I22">
            <v>3401.7908413524569</v>
          </cell>
          <cell r="J22">
            <v>4592.4176358258173</v>
          </cell>
          <cell r="K22">
            <v>3398.3890505111049</v>
          </cell>
          <cell r="L22">
            <v>5709.2936048586562</v>
          </cell>
        </row>
        <row r="23">
          <cell r="B23">
            <v>20.981551701768886</v>
          </cell>
          <cell r="C23">
            <v>28.115279280370309</v>
          </cell>
          <cell r="D23">
            <v>37.674474235696216</v>
          </cell>
          <cell r="E23">
            <v>56.511711353544321</v>
          </cell>
          <cell r="F23">
            <v>84.767567030316485</v>
          </cell>
          <cell r="G23">
            <v>103.41643177698612</v>
          </cell>
          <cell r="H23">
            <v>122.0313894968436</v>
          </cell>
          <cell r="I23">
            <v>145.21735350124388</v>
          </cell>
          <cell r="J23">
            <v>196.04342722667926</v>
          </cell>
          <cell r="K23">
            <v>145.07213614774264</v>
          </cell>
          <cell r="L23">
            <v>243.72118872820764</v>
          </cell>
        </row>
        <row r="24">
          <cell r="B24">
            <v>23.170437906331799</v>
          </cell>
          <cell r="C24">
            <v>31.04838679448461</v>
          </cell>
          <cell r="D24">
            <v>41.60483830460938</v>
          </cell>
          <cell r="E24">
            <v>62.407257456914074</v>
          </cell>
          <cell r="F24">
            <v>93.610886185371115</v>
          </cell>
          <cell r="G24">
            <v>114.20528114615276</v>
          </cell>
          <cell r="H24">
            <v>134.76223175246025</v>
          </cell>
          <cell r="I24">
            <v>160.36705578542768</v>
          </cell>
          <cell r="J24">
            <v>216.49552531032739</v>
          </cell>
          <cell r="K24">
            <v>160.20668872964228</v>
          </cell>
          <cell r="L24">
            <v>269.147237065799</v>
          </cell>
        </row>
        <row r="25">
          <cell r="B25">
            <v>2.1242403425628713</v>
          </cell>
          <cell r="C25">
            <v>2.8464820590342477</v>
          </cell>
          <cell r="D25">
            <v>3.814285959105892</v>
          </cell>
          <cell r="E25">
            <v>5.7214289386588382</v>
          </cell>
          <cell r="F25">
            <v>8.5821434079882568</v>
          </cell>
          <cell r="G25">
            <v>10.470214957745673</v>
          </cell>
          <cell r="H25">
            <v>12.354853650139894</v>
          </cell>
          <cell r="I25">
            <v>14.702275843666474</v>
          </cell>
          <cell r="J25">
            <v>19.848072388949742</v>
          </cell>
          <cell r="K25">
            <v>14.68757356782281</v>
          </cell>
          <cell r="L25">
            <v>24.67512359394232</v>
          </cell>
        </row>
        <row r="26">
          <cell r="B26">
            <v>23.771531009139235</v>
          </cell>
          <cell r="C26">
            <v>31.853851552246578</v>
          </cell>
          <cell r="D26">
            <v>42.684161080010419</v>
          </cell>
          <cell r="E26">
            <v>64.026241620015625</v>
          </cell>
          <cell r="F26">
            <v>96.039362430023431</v>
          </cell>
          <cell r="G26">
            <v>117.16802216462858</v>
          </cell>
          <cell r="H26">
            <v>138.25826615426172</v>
          </cell>
          <cell r="I26">
            <v>164.52733672357144</v>
          </cell>
          <cell r="J26">
            <v>222.11190457682144</v>
          </cell>
          <cell r="K26">
            <v>164.36280938684786</v>
          </cell>
          <cell r="L26">
            <v>276.12951976990439</v>
          </cell>
        </row>
        <row r="27">
          <cell r="B27">
            <v>334.65061199839164</v>
          </cell>
          <cell r="C27">
            <v>448.4318200778448</v>
          </cell>
          <cell r="D27">
            <v>600.89863890431207</v>
          </cell>
          <cell r="E27">
            <v>901.3479583564681</v>
          </cell>
          <cell r="F27">
            <v>1352.0219375347021</v>
          </cell>
          <cell r="G27">
            <v>1649.4667637923365</v>
          </cell>
          <cell r="H27">
            <v>1946.3707812749569</v>
          </cell>
          <cell r="I27">
            <v>2316.1812297171987</v>
          </cell>
          <cell r="J27">
            <v>3126.8446601182181</v>
          </cell>
          <cell r="K27">
            <v>2313.8650484874815</v>
          </cell>
          <cell r="L27">
            <v>3887.293281458969</v>
          </cell>
        </row>
        <row r="28">
          <cell r="B28">
            <v>13.05491427228867</v>
          </cell>
          <cell r="C28">
            <v>17.493585124866819</v>
          </cell>
          <cell r="D28">
            <v>23.441404067321539</v>
          </cell>
          <cell r="E28">
            <v>35.162106100982307</v>
          </cell>
          <cell r="F28">
            <v>52.743159151473456</v>
          </cell>
          <cell r="G28">
            <v>64.346654164797613</v>
          </cell>
          <cell r="H28">
            <v>75.929051914461184</v>
          </cell>
          <cell r="I28">
            <v>90.355571778208798</v>
          </cell>
          <cell r="J28">
            <v>121.98002190058189</v>
          </cell>
          <cell r="K28">
            <v>90.265216206430594</v>
          </cell>
          <cell r="L28">
            <v>151.6455632268034</v>
          </cell>
        </row>
        <row r="29">
          <cell r="B29">
            <v>8.0296965431634426</v>
          </cell>
          <cell r="C29">
            <v>10.759793367839015</v>
          </cell>
          <cell r="D29">
            <v>14.418123112904281</v>
          </cell>
          <cell r="E29">
            <v>21.627184669356421</v>
          </cell>
          <cell r="F29">
            <v>32.440777004034629</v>
          </cell>
          <cell r="G29">
            <v>39.577747944922251</v>
          </cell>
          <cell r="H29">
            <v>46.701742575008254</v>
          </cell>
          <cell r="I29">
            <v>55.575073664259818</v>
          </cell>
          <cell r="J29">
            <v>75.026349446750757</v>
          </cell>
          <cell r="K29">
            <v>55.51949859059556</v>
          </cell>
          <cell r="L29">
            <v>93.272757632200538</v>
          </cell>
        </row>
        <row r="30">
          <cell r="B30">
            <v>2.0720699977909054</v>
          </cell>
          <cell r="C30">
            <v>2.7765737970398132</v>
          </cell>
          <cell r="D30">
            <v>3.7206088880333499</v>
          </cell>
          <cell r="E30">
            <v>5.5809133320500246</v>
          </cell>
          <cell r="F30">
            <v>8.3713699980750373</v>
          </cell>
          <cell r="G30">
            <v>10.213071397651545</v>
          </cell>
          <cell r="H30">
            <v>12.051424249228823</v>
          </cell>
          <cell r="I30">
            <v>14.3411948565823</v>
          </cell>
          <cell r="J30">
            <v>19.360613056386107</v>
          </cell>
          <cell r="K30">
            <v>14.326853661725719</v>
          </cell>
          <cell r="L30">
            <v>24.069114151699207</v>
          </cell>
        </row>
        <row r="31">
          <cell r="B31">
            <v>0.99021582653050877</v>
          </cell>
          <cell r="C31">
            <v>1.3268892075508818</v>
          </cell>
          <cell r="D31">
            <v>1.7780315381181817</v>
          </cell>
          <cell r="E31">
            <v>2.6670473071772727</v>
          </cell>
          <cell r="F31">
            <v>4.0005709607659092</v>
          </cell>
          <cell r="G31">
            <v>4.8806965721344087</v>
          </cell>
          <cell r="H31">
            <v>5.7592219551186021</v>
          </cell>
          <cell r="I31">
            <v>6.8534741265911361</v>
          </cell>
          <cell r="J31">
            <v>9.2521900708980347</v>
          </cell>
          <cell r="K31">
            <v>6.8466206524645461</v>
          </cell>
          <cell r="L31">
            <v>11.502322696140437</v>
          </cell>
        </row>
        <row r="32">
          <cell r="B32">
            <v>88.201906802517101</v>
          </cell>
          <cell r="C32">
            <v>118.19055511537292</v>
          </cell>
          <cell r="D32">
            <v>158.37534385459972</v>
          </cell>
          <cell r="E32">
            <v>237.56301578189957</v>
          </cell>
          <cell r="F32">
            <v>356.34452367284933</v>
          </cell>
          <cell r="G32">
            <v>434.7403188808762</v>
          </cell>
          <cell r="H32">
            <v>512.99357627943391</v>
          </cell>
          <cell r="I32">
            <v>610.46235577252628</v>
          </cell>
          <cell r="J32">
            <v>824.12418029291052</v>
          </cell>
          <cell r="K32">
            <v>609.8518934167538</v>
          </cell>
          <cell r="L32">
            <v>1024.5511809401464</v>
          </cell>
        </row>
        <row r="33">
          <cell r="B33">
            <v>31.197639346049627</v>
          </cell>
          <cell r="C33">
            <v>41.804836723706501</v>
          </cell>
          <cell r="D33">
            <v>56.018481209766712</v>
          </cell>
          <cell r="E33">
            <v>84.027721814650064</v>
          </cell>
          <cell r="F33">
            <v>126.0415827219751</v>
          </cell>
          <cell r="G33">
            <v>153.77073092080963</v>
          </cell>
          <cell r="H33">
            <v>181.44946248655535</v>
          </cell>
          <cell r="I33">
            <v>215.92486035900086</v>
          </cell>
          <cell r="J33">
            <v>291.49856148465119</v>
          </cell>
          <cell r="K33">
            <v>215.70893549864189</v>
          </cell>
          <cell r="L33">
            <v>362.39101163771835</v>
          </cell>
        </row>
        <row r="34">
          <cell r="B34">
            <v>113.39111022393801</v>
          </cell>
          <cell r="C34">
            <v>151.94408770007695</v>
          </cell>
          <cell r="D34">
            <v>203.60507751810312</v>
          </cell>
          <cell r="E34">
            <v>305.40761627715466</v>
          </cell>
          <cell r="F34">
            <v>458.11142441573202</v>
          </cell>
          <cell r="G34">
            <v>558.89593778719302</v>
          </cell>
          <cell r="H34">
            <v>659.49720658888771</v>
          </cell>
          <cell r="I34">
            <v>784.8016758407764</v>
          </cell>
          <cell r="J34">
            <v>1059.4822623850482</v>
          </cell>
          <cell r="K34">
            <v>784.01687416493564</v>
          </cell>
          <cell r="L34">
            <v>1317.1483485970919</v>
          </cell>
        </row>
        <row r="35">
          <cell r="B35">
            <v>19.280344807030868</v>
          </cell>
          <cell r="C35">
            <v>25.835662041421365</v>
          </cell>
          <cell r="D35">
            <v>34.61978713550463</v>
          </cell>
          <cell r="E35">
            <v>51.929680703256942</v>
          </cell>
          <cell r="F35">
            <v>77.894521054885416</v>
          </cell>
          <cell r="G35">
            <v>95.031315686960198</v>
          </cell>
          <cell r="H35">
            <v>112.13695251061303</v>
          </cell>
          <cell r="I35">
            <v>133.4429734876295</v>
          </cell>
          <cell r="J35">
            <v>180.14801420829983</v>
          </cell>
          <cell r="K35">
            <v>133.30953051414187</v>
          </cell>
          <cell r="L35">
            <v>223.96001126375833</v>
          </cell>
        </row>
        <row r="36">
          <cell r="B36">
            <v>30.581008553603592</v>
          </cell>
          <cell r="C36">
            <v>40.978551461828815</v>
          </cell>
          <cell r="D36">
            <v>54.911258958850617</v>
          </cell>
          <cell r="E36">
            <v>82.366888438275922</v>
          </cell>
          <cell r="F36">
            <v>123.55033265741388</v>
          </cell>
          <cell r="G36">
            <v>150.73140584204492</v>
          </cell>
          <cell r="H36">
            <v>177.86305889361299</v>
          </cell>
          <cell r="I36">
            <v>211.65704008339944</v>
          </cell>
          <cell r="J36">
            <v>285.73700411258926</v>
          </cell>
          <cell r="K36">
            <v>211.44538304331607</v>
          </cell>
          <cell r="L36">
            <v>355.22824351277097</v>
          </cell>
        </row>
        <row r="37">
          <cell r="B37">
            <v>11.114551712288383</v>
          </cell>
          <cell r="C37">
            <v>14.893499294466434</v>
          </cell>
          <cell r="D37">
            <v>19.957289054585022</v>
          </cell>
          <cell r="E37">
            <v>29.935933581877535</v>
          </cell>
          <cell r="F37">
            <v>44.903900372816302</v>
          </cell>
          <cell r="G37">
            <v>54.782758454835886</v>
          </cell>
          <cell r="H37">
            <v>64.643654976706344</v>
          </cell>
          <cell r="I37">
            <v>76.925949422280539</v>
          </cell>
          <cell r="J37">
            <v>103.85003172007873</v>
          </cell>
          <cell r="K37">
            <v>76.849023472858264</v>
          </cell>
          <cell r="L37">
            <v>129.10635943440187</v>
          </cell>
        </row>
        <row r="38">
          <cell r="B38">
            <v>7.5987241298298125</v>
          </cell>
          <cell r="C38">
            <v>10.182290333971949</v>
          </cell>
          <cell r="D38">
            <v>13.644269047522412</v>
          </cell>
          <cell r="E38">
            <v>20.466403571283617</v>
          </cell>
          <cell r="F38">
            <v>30.699605356925428</v>
          </cell>
          <cell r="G38">
            <v>37.453518535449021</v>
          </cell>
          <cell r="H38">
            <v>44.195151871829843</v>
          </cell>
          <cell r="I38">
            <v>52.592230727477514</v>
          </cell>
          <cell r="J38">
            <v>70.999511482094647</v>
          </cell>
          <cell r="K38">
            <v>52.539638496750037</v>
          </cell>
          <cell r="L38">
            <v>88.266592674540064</v>
          </cell>
        </row>
        <row r="39">
          <cell r="B39">
            <v>125.47231037657512</v>
          </cell>
          <cell r="C39">
            <v>168.13289590461068</v>
          </cell>
          <cell r="D39">
            <v>225.29808051217833</v>
          </cell>
          <cell r="E39">
            <v>337.9471207682675</v>
          </cell>
          <cell r="F39">
            <v>506.92068115240124</v>
          </cell>
          <cell r="G39">
            <v>618.44323100592953</v>
          </cell>
          <cell r="H39">
            <v>729.76301258699675</v>
          </cell>
          <cell r="I39">
            <v>868.41798497852608</v>
          </cell>
          <cell r="J39">
            <v>1172.3642797210102</v>
          </cell>
          <cell r="K39">
            <v>867.54956699354761</v>
          </cell>
          <cell r="L39">
            <v>1457.4832725491599</v>
          </cell>
        </row>
        <row r="40">
          <cell r="B40">
            <v>64.736593034430712</v>
          </cell>
          <cell r="C40">
            <v>86.747034666137168</v>
          </cell>
          <cell r="D40">
            <v>116.24102645262381</v>
          </cell>
          <cell r="E40">
            <v>174.36153967893571</v>
          </cell>
          <cell r="F40">
            <v>261.54230951840356</v>
          </cell>
          <cell r="G40">
            <v>319.08161761245231</v>
          </cell>
          <cell r="H40">
            <v>376.51630878269373</v>
          </cell>
          <cell r="I40">
            <v>448.0544074514055</v>
          </cell>
          <cell r="J40">
            <v>604.87345005939744</v>
          </cell>
          <cell r="K40">
            <v>447.60635304395407</v>
          </cell>
          <cell r="L40">
            <v>751.97867311384277</v>
          </cell>
        </row>
        <row r="41">
          <cell r="B41">
            <v>40.091775819325953</v>
          </cell>
          <cell r="C41">
            <v>53.722979597896781</v>
          </cell>
          <cell r="D41">
            <v>71.988792661181691</v>
          </cell>
          <cell r="E41">
            <v>107.98318899177254</v>
          </cell>
          <cell r="F41">
            <v>161.97478348765881</v>
          </cell>
          <cell r="G41">
            <v>197.60923585494373</v>
          </cell>
          <cell r="H41">
            <v>233.1788983088336</v>
          </cell>
          <cell r="I41">
            <v>277.48288898751196</v>
          </cell>
          <cell r="J41">
            <v>374.60190013314116</v>
          </cell>
          <cell r="K41">
            <v>277.20540609852446</v>
          </cell>
          <cell r="L41">
            <v>465.70508224552106</v>
          </cell>
        </row>
        <row r="42">
          <cell r="B42">
            <v>421.69026559180304</v>
          </cell>
          <cell r="C42">
            <v>565.06495589301608</v>
          </cell>
          <cell r="D42">
            <v>757.18704089664152</v>
          </cell>
          <cell r="E42">
            <v>1135.7805613449623</v>
          </cell>
          <cell r="F42">
            <v>1703.6708420174434</v>
          </cell>
          <cell r="G42">
            <v>2078.478427261281</v>
          </cell>
          <cell r="H42">
            <v>2452.6045441683113</v>
          </cell>
          <cell r="I42">
            <v>2918.5994075602903</v>
          </cell>
          <cell r="J42">
            <v>3940.109200206392</v>
          </cell>
          <cell r="K42">
            <v>2915.6808081527302</v>
          </cell>
          <cell r="L42">
            <v>4898.3437576965862</v>
          </cell>
        </row>
      </sheetData>
      <sheetData sheetId="10">
        <row r="12">
          <cell r="B12">
            <v>1.609421950504998</v>
          </cell>
          <cell r="C12">
            <v>1.641610389515098</v>
          </cell>
          <cell r="D12">
            <v>1.6744425973054</v>
          </cell>
          <cell r="E12">
            <v>1.7079314492515081</v>
          </cell>
          <cell r="F12">
            <v>1.7420900782365383</v>
          </cell>
          <cell r="G12">
            <v>1.776931879801269</v>
          </cell>
          <cell r="H12">
            <v>1.8124705173972944</v>
          </cell>
          <cell r="I12">
            <v>1.8487199277452402</v>
          </cell>
          <cell r="J12">
            <v>1.8856943263001451</v>
          </cell>
          <cell r="K12">
            <v>1.923408212826148</v>
          </cell>
          <cell r="L12">
            <v>1.961876377082671</v>
          </cell>
        </row>
        <row r="13">
          <cell r="B13">
            <v>1.9599607693205445</v>
          </cell>
          <cell r="C13">
            <v>1.9991599847069554</v>
          </cell>
          <cell r="D13">
            <v>2.0391431844010945</v>
          </cell>
          <cell r="E13">
            <v>2.0799260480891166</v>
          </cell>
          <cell r="F13">
            <v>2.1215245690508988</v>
          </cell>
          <cell r="G13">
            <v>2.1639550604319169</v>
          </cell>
          <cell r="H13">
            <v>2.2072341616405553</v>
          </cell>
          <cell r="I13">
            <v>2.2513788448733663</v>
          </cell>
          <cell r="J13">
            <v>2.2964064217708335</v>
          </cell>
          <cell r="K13">
            <v>2.34233455020625</v>
          </cell>
          <cell r="L13">
            <v>2.389181241210375</v>
          </cell>
        </row>
        <row r="14">
          <cell r="B14">
            <v>0.27789491480482142</v>
          </cell>
          <cell r="C14">
            <v>0.28345281310091786</v>
          </cell>
          <cell r="D14">
            <v>0.28912186936293621</v>
          </cell>
          <cell r="E14">
            <v>0.29490430675019497</v>
          </cell>
          <cell r="F14">
            <v>0.30080239288519889</v>
          </cell>
          <cell r="G14">
            <v>0.30681844074290288</v>
          </cell>
          <cell r="H14">
            <v>0.31295480955776095</v>
          </cell>
          <cell r="I14">
            <v>0.31921390574891617</v>
          </cell>
          <cell r="J14">
            <v>0.3255981838638945</v>
          </cell>
          <cell r="K14">
            <v>0.33211014754117241</v>
          </cell>
          <cell r="L14">
            <v>0.33875235049199587</v>
          </cell>
        </row>
        <row r="15">
          <cell r="B15">
            <v>0.14773855614960174</v>
          </cell>
          <cell r="C15">
            <v>0.15069332727259377</v>
          </cell>
          <cell r="D15">
            <v>0.15370719381804565</v>
          </cell>
          <cell r="E15">
            <v>0.15678133769440658</v>
          </cell>
          <cell r="F15">
            <v>0.1599169644482947</v>
          </cell>
          <cell r="G15">
            <v>0.1631153037372606</v>
          </cell>
          <cell r="H15">
            <v>0.16637760981200581</v>
          </cell>
          <cell r="I15">
            <v>0.16970516200824592</v>
          </cell>
          <cell r="J15">
            <v>0.17309926524841085</v>
          </cell>
          <cell r="K15">
            <v>0.17656125055337907</v>
          </cell>
          <cell r="L15">
            <v>0.18009247556444666</v>
          </cell>
        </row>
        <row r="16">
          <cell r="B16">
            <v>0.12273692070546283</v>
          </cell>
          <cell r="C16">
            <v>0.12519165911957209</v>
          </cell>
          <cell r="D16">
            <v>0.12769549230196353</v>
          </cell>
          <cell r="E16">
            <v>0.13024940214800279</v>
          </cell>
          <cell r="F16">
            <v>0.13285439019096285</v>
          </cell>
          <cell r="G16">
            <v>0.13551147799478211</v>
          </cell>
          <cell r="H16">
            <v>0.13822170755467775</v>
          </cell>
          <cell r="I16">
            <v>0.14098614170577131</v>
          </cell>
          <cell r="J16">
            <v>0.14380586453988675</v>
          </cell>
          <cell r="K16">
            <v>0.14668198183068448</v>
          </cell>
          <cell r="L16">
            <v>0.14961562146729818</v>
          </cell>
        </row>
        <row r="17">
          <cell r="B17">
            <v>1.5078471194650074</v>
          </cell>
          <cell r="C17">
            <v>1.5380040618543076</v>
          </cell>
          <cell r="D17">
            <v>1.5687641430913939</v>
          </cell>
          <cell r="E17">
            <v>1.6001394259532218</v>
          </cell>
          <cell r="F17">
            <v>1.6321422144722861</v>
          </cell>
          <cell r="G17">
            <v>1.6647850587617319</v>
          </cell>
          <cell r="H17">
            <v>1.6980807599369665</v>
          </cell>
          <cell r="I17">
            <v>1.7320423751357059</v>
          </cell>
          <cell r="J17">
            <v>1.7666832226384201</v>
          </cell>
          <cell r="K17">
            <v>1.8020168870911886</v>
          </cell>
          <cell r="L17">
            <v>1.8380572248330125</v>
          </cell>
        </row>
        <row r="18">
          <cell r="B18">
            <v>1.5061548106889524</v>
          </cell>
          <cell r="C18">
            <v>1.5362779069027315</v>
          </cell>
          <cell r="D18">
            <v>1.567003465040786</v>
          </cell>
          <cell r="E18">
            <v>1.5983435343416017</v>
          </cell>
          <cell r="F18">
            <v>1.6303104050284338</v>
          </cell>
          <cell r="G18">
            <v>1.6629166131290025</v>
          </cell>
          <cell r="H18">
            <v>1.6961749453915826</v>
          </cell>
          <cell r="I18">
            <v>1.7300984442994143</v>
          </cell>
          <cell r="J18">
            <v>1.7647004131854025</v>
          </cell>
          <cell r="K18">
            <v>1.7999944214491106</v>
          </cell>
          <cell r="L18">
            <v>1.8359943098780929</v>
          </cell>
        </row>
        <row r="19">
          <cell r="B19">
            <v>0.21248361785497766</v>
          </cell>
          <cell r="C19">
            <v>0.21673329021207721</v>
          </cell>
          <cell r="D19">
            <v>0.22106795601631876</v>
          </cell>
          <cell r="E19">
            <v>0.22548931513664514</v>
          </cell>
          <cell r="F19">
            <v>0.22999910143937805</v>
          </cell>
          <cell r="G19">
            <v>0.2345990834681656</v>
          </cell>
          <cell r="H19">
            <v>0.23929106513752893</v>
          </cell>
          <cell r="I19">
            <v>0.2440768864402795</v>
          </cell>
          <cell r="J19">
            <v>0.24895842416908509</v>
          </cell>
          <cell r="K19">
            <v>0.25393759265246679</v>
          </cell>
          <cell r="L19">
            <v>0.25901634450551614</v>
          </cell>
        </row>
        <row r="20">
          <cell r="B20">
            <v>1.2304866179578873</v>
          </cell>
          <cell r="C20">
            <v>1.2550963503170451</v>
          </cell>
          <cell r="D20">
            <v>1.280198277323386</v>
          </cell>
          <cell r="E20">
            <v>1.3058022428698537</v>
          </cell>
          <cell r="F20">
            <v>1.3319182877272508</v>
          </cell>
          <cell r="G20">
            <v>1.3585566534817959</v>
          </cell>
          <cell r="H20">
            <v>1.3857277865514319</v>
          </cell>
          <cell r="I20">
            <v>1.4134423422824607</v>
          </cell>
          <cell r="J20">
            <v>1.44171118912811</v>
          </cell>
          <cell r="K20">
            <v>1.4705454129106723</v>
          </cell>
          <cell r="L20">
            <v>1.4999563211688858</v>
          </cell>
        </row>
        <row r="21">
          <cell r="B21">
            <v>0.80445538900067648</v>
          </cell>
          <cell r="C21">
            <v>0.82054449678068997</v>
          </cell>
          <cell r="D21">
            <v>0.83695538671630376</v>
          </cell>
          <cell r="E21">
            <v>0.85369449445062984</v>
          </cell>
          <cell r="F21">
            <v>0.87076838433964243</v>
          </cell>
          <cell r="G21">
            <v>0.88818375202643529</v>
          </cell>
          <cell r="H21">
            <v>0.90594742706696396</v>
          </cell>
          <cell r="I21">
            <v>0.92406637560830329</v>
          </cell>
          <cell r="J21">
            <v>0.94254770312046943</v>
          </cell>
          <cell r="K21">
            <v>0.96139865718287887</v>
          </cell>
          <cell r="L21">
            <v>0.98062663032653641</v>
          </cell>
        </row>
        <row r="22">
          <cell r="B22">
            <v>31.737848993812221</v>
          </cell>
          <cell r="C22">
            <v>32.372605973688465</v>
          </cell>
          <cell r="D22">
            <v>33.020058093162234</v>
          </cell>
          <cell r="E22">
            <v>33.680459255025482</v>
          </cell>
          <cell r="F22">
            <v>34.354068440125992</v>
          </cell>
          <cell r="G22">
            <v>35.041149808928516</v>
          </cell>
          <cell r="H22">
            <v>35.741972805107089</v>
          </cell>
          <cell r="I22">
            <v>36.45681226120923</v>
          </cell>
          <cell r="J22">
            <v>37.185948506433412</v>
          </cell>
          <cell r="K22">
            <v>37.929667476562081</v>
          </cell>
          <cell r="L22">
            <v>38.68826082609332</v>
          </cell>
        </row>
        <row r="23">
          <cell r="B23">
            <v>0.8238871672899355</v>
          </cell>
          <cell r="C23">
            <v>0.84036491063573426</v>
          </cell>
          <cell r="D23">
            <v>0.85717220884844891</v>
          </cell>
          <cell r="E23">
            <v>0.87431565302541792</v>
          </cell>
          <cell r="F23">
            <v>0.89180196608592632</v>
          </cell>
          <cell r="G23">
            <v>0.90963800540764483</v>
          </cell>
          <cell r="H23">
            <v>0.9278307655157978</v>
          </cell>
          <cell r="I23">
            <v>0.94638738082611373</v>
          </cell>
          <cell r="J23">
            <v>0.96531512844263601</v>
          </cell>
          <cell r="K23">
            <v>0.98462143101148869</v>
          </cell>
          <cell r="L23">
            <v>1.0043138596317185</v>
          </cell>
        </row>
        <row r="24">
          <cell r="B24">
            <v>0.90983863933693943</v>
          </cell>
          <cell r="C24">
            <v>0.92803541212367824</v>
          </cell>
          <cell r="D24">
            <v>0.94659612036615182</v>
          </cell>
          <cell r="E24">
            <v>0.96552804277347493</v>
          </cell>
          <cell r="F24">
            <v>0.98483860362894449</v>
          </cell>
          <cell r="G24">
            <v>1.0045353757015234</v>
          </cell>
          <cell r="H24">
            <v>1.0246260832155538</v>
          </cell>
          <cell r="I24">
            <v>1.0451186048798649</v>
          </cell>
          <cell r="J24">
            <v>1.0660209769774622</v>
          </cell>
          <cell r="K24">
            <v>1.0873413965170116</v>
          </cell>
          <cell r="L24">
            <v>1.1090882244473519</v>
          </cell>
        </row>
        <row r="25">
          <cell r="B25">
            <v>8.341300888292158E-2</v>
          </cell>
          <cell r="C25">
            <v>8.5081269060580014E-2</v>
          </cell>
          <cell r="D25">
            <v>8.6782894441791616E-2</v>
          </cell>
          <cell r="E25">
            <v>8.8518552330627456E-2</v>
          </cell>
          <cell r="F25">
            <v>9.028892337724001E-2</v>
          </cell>
          <cell r="G25">
            <v>9.2094701844784813E-2</v>
          </cell>
          <cell r="H25">
            <v>9.3936595881680504E-2</v>
          </cell>
          <cell r="I25">
            <v>9.5815327799314121E-2</v>
          </cell>
          <cell r="J25">
            <v>9.7731634355300398E-2</v>
          </cell>
          <cell r="K25">
            <v>9.9686267042406407E-2</v>
          </cell>
          <cell r="L25">
            <v>0.10167999238325454</v>
          </cell>
        </row>
        <row r="26">
          <cell r="B26">
            <v>0.93344189331875971</v>
          </cell>
          <cell r="C26">
            <v>0.9521107311851349</v>
          </cell>
          <cell r="D26">
            <v>0.9711529458088376</v>
          </cell>
          <cell r="E26">
            <v>0.99057600472501439</v>
          </cell>
          <cell r="F26">
            <v>1.0103875248195147</v>
          </cell>
          <cell r="G26">
            <v>1.0305952753159049</v>
          </cell>
          <cell r="H26">
            <v>1.051207180822223</v>
          </cell>
          <cell r="I26">
            <v>1.0722313244386674</v>
          </cell>
          <cell r="J26">
            <v>1.0936759509274407</v>
          </cell>
          <cell r="K26">
            <v>1.1155494699459896</v>
          </cell>
          <cell r="L26">
            <v>1.1378604593449093</v>
          </cell>
        </row>
        <row r="27">
          <cell r="B27">
            <v>13.140798577254589</v>
          </cell>
          <cell r="C27">
            <v>13.403614548799681</v>
          </cell>
          <cell r="D27">
            <v>13.671686839775674</v>
          </cell>
          <cell r="E27">
            <v>13.945120576571188</v>
          </cell>
          <cell r="F27">
            <v>14.224022988102613</v>
          </cell>
          <cell r="G27">
            <v>14.508503447864666</v>
          </cell>
          <cell r="H27">
            <v>14.798673516821959</v>
          </cell>
          <cell r="I27">
            <v>15.094646987158399</v>
          </cell>
          <cell r="J27">
            <v>15.396539926901568</v>
          </cell>
          <cell r="K27">
            <v>15.704470725439599</v>
          </cell>
          <cell r="L27">
            <v>16.018560139948391</v>
          </cell>
        </row>
        <row r="28">
          <cell r="B28">
            <v>0.51263016634284864</v>
          </cell>
          <cell r="C28">
            <v>0.52288276966970559</v>
          </cell>
          <cell r="D28">
            <v>0.53334042506309975</v>
          </cell>
          <cell r="E28">
            <v>0.54400723356436176</v>
          </cell>
          <cell r="F28">
            <v>0.55488737823564904</v>
          </cell>
          <cell r="G28">
            <v>0.56598512580036209</v>
          </cell>
          <cell r="H28">
            <v>0.57730482831636931</v>
          </cell>
          <cell r="I28">
            <v>0.58885092488269675</v>
          </cell>
          <cell r="J28">
            <v>0.60062794338035064</v>
          </cell>
          <cell r="K28">
            <v>0.61264050224795763</v>
          </cell>
          <cell r="L28">
            <v>0.62489331229291678</v>
          </cell>
        </row>
        <row r="29">
          <cell r="B29">
            <v>0.31530384564393205</v>
          </cell>
          <cell r="C29">
            <v>0.3216099225568107</v>
          </cell>
          <cell r="D29">
            <v>0.32804212100794694</v>
          </cell>
          <cell r="E29">
            <v>0.33460296342810586</v>
          </cell>
          <cell r="F29">
            <v>0.341295022696668</v>
          </cell>
          <cell r="G29">
            <v>0.34812092315060139</v>
          </cell>
          <cell r="H29">
            <v>0.35508334161361343</v>
          </cell>
          <cell r="I29">
            <v>0.36218500844588569</v>
          </cell>
          <cell r="J29">
            <v>0.36942870861480342</v>
          </cell>
          <cell r="K29">
            <v>0.37681728278709947</v>
          </cell>
          <cell r="L29">
            <v>0.38435362844284149</v>
          </cell>
        </row>
        <row r="30">
          <cell r="B30">
            <v>8.13644245750655E-2</v>
          </cell>
          <cell r="C30">
            <v>8.2991713066566816E-2</v>
          </cell>
          <cell r="D30">
            <v>8.4651547327898161E-2</v>
          </cell>
          <cell r="E30">
            <v>8.634457827445613E-2</v>
          </cell>
          <cell r="F30">
            <v>8.8071469839945252E-2</v>
          </cell>
          <cell r="G30">
            <v>8.983289923674416E-2</v>
          </cell>
          <cell r="H30">
            <v>9.1629557221479044E-2</v>
          </cell>
          <cell r="I30">
            <v>9.3462148365908632E-2</v>
          </cell>
          <cell r="J30">
            <v>9.5331391333226809E-2</v>
          </cell>
          <cell r="K30">
            <v>9.7238019159891345E-2</v>
          </cell>
          <cell r="L30">
            <v>9.918277954308917E-2</v>
          </cell>
        </row>
        <row r="31">
          <cell r="B31">
            <v>3.8883020851937435E-2</v>
          </cell>
          <cell r="C31">
            <v>3.9660681268976185E-2</v>
          </cell>
          <cell r="D31">
            <v>4.0453894894355712E-2</v>
          </cell>
          <cell r="E31">
            <v>4.1262972792242829E-2</v>
          </cell>
          <cell r="F31">
            <v>4.2088232248087686E-2</v>
          </cell>
          <cell r="G31">
            <v>4.2929996893049438E-2</v>
          </cell>
          <cell r="H31">
            <v>4.378859683091043E-2</v>
          </cell>
          <cell r="I31">
            <v>4.4664368767528641E-2</v>
          </cell>
          <cell r="J31">
            <v>4.5557656142879217E-2</v>
          </cell>
          <cell r="K31">
            <v>4.64688092657368E-2</v>
          </cell>
          <cell r="L31">
            <v>4.7398185451051539E-2</v>
          </cell>
        </row>
        <row r="32">
          <cell r="B32">
            <v>3.4634435135209891</v>
          </cell>
          <cell r="C32">
            <v>3.5327123837914089</v>
          </cell>
          <cell r="D32">
            <v>3.603366631467237</v>
          </cell>
          <cell r="E32">
            <v>3.6754339640965816</v>
          </cell>
          <cell r="F32">
            <v>3.7489426433785131</v>
          </cell>
          <cell r="G32">
            <v>3.8239214962460832</v>
          </cell>
          <cell r="H32">
            <v>3.9003999261710049</v>
          </cell>
          <cell r="I32">
            <v>3.9784079246944253</v>
          </cell>
          <cell r="J32">
            <v>4.057976083188314</v>
          </cell>
          <cell r="K32">
            <v>4.13913560485208</v>
          </cell>
          <cell r="L32">
            <v>4.2219183169491217</v>
          </cell>
        </row>
        <row r="33">
          <cell r="B33">
            <v>1.2250445092096263</v>
          </cell>
          <cell r="C33">
            <v>1.2495453993938188</v>
          </cell>
          <cell r="D33">
            <v>1.2745363073816951</v>
          </cell>
          <cell r="E33">
            <v>1.3000270335293291</v>
          </cell>
          <cell r="F33">
            <v>1.3260275741999157</v>
          </cell>
          <cell r="G33">
            <v>1.352548125683914</v>
          </cell>
          <cell r="H33">
            <v>1.3795990881975924</v>
          </cell>
          <cell r="I33">
            <v>1.4071910699615442</v>
          </cell>
          <cell r="J33">
            <v>1.4353348913607751</v>
          </cell>
          <cell r="K33">
            <v>1.4640415891879905</v>
          </cell>
          <cell r="L33">
            <v>1.4933224209717504</v>
          </cell>
        </row>
        <row r="34">
          <cell r="B34">
            <v>4.4525534586836626</v>
          </cell>
          <cell r="C34">
            <v>4.541604527857336</v>
          </cell>
          <cell r="D34">
            <v>4.6324366184144825</v>
          </cell>
          <cell r="E34">
            <v>4.7250853507827726</v>
          </cell>
          <cell r="F34">
            <v>4.8195870577984286</v>
          </cell>
          <cell r="G34">
            <v>4.9159787989543968</v>
          </cell>
          <cell r="H34">
            <v>5.0142983749334844</v>
          </cell>
          <cell r="I34">
            <v>5.1145843424321544</v>
          </cell>
          <cell r="J34">
            <v>5.2168760292807974</v>
          </cell>
          <cell r="K34">
            <v>5.321213549866413</v>
          </cell>
          <cell r="L34">
            <v>5.4276378208637412</v>
          </cell>
        </row>
        <row r="35">
          <cell r="B35">
            <v>0.75708550507723793</v>
          </cell>
          <cell r="C35">
            <v>0.77222721517878268</v>
          </cell>
          <cell r="D35">
            <v>0.78767175948235835</v>
          </cell>
          <cell r="E35">
            <v>0.80342519467200557</v>
          </cell>
          <cell r="F35">
            <v>0.81949369856544574</v>
          </cell>
          <cell r="G35">
            <v>0.83588357253675472</v>
          </cell>
          <cell r="H35">
            <v>0.85260124398748982</v>
          </cell>
          <cell r="I35">
            <v>0.86965326886723959</v>
          </cell>
          <cell r="J35">
            <v>0.88704633424458434</v>
          </cell>
          <cell r="K35">
            <v>0.90478726092947603</v>
          </cell>
          <cell r="L35">
            <v>0.92288300614806562</v>
          </cell>
        </row>
        <row r="36">
          <cell r="B36">
            <v>1.2008311333795971</v>
          </cell>
          <cell r="C36">
            <v>1.2248477560471891</v>
          </cell>
          <cell r="D36">
            <v>1.2493447111681328</v>
          </cell>
          <cell r="E36">
            <v>1.2743316053914955</v>
          </cell>
          <cell r="F36">
            <v>1.2998182374993255</v>
          </cell>
          <cell r="G36">
            <v>1.325814602249312</v>
          </cell>
          <cell r="H36">
            <v>1.3523308942942982</v>
          </cell>
          <cell r="I36">
            <v>1.3793775121801841</v>
          </cell>
          <cell r="J36">
            <v>1.4069650624237879</v>
          </cell>
          <cell r="K36">
            <v>1.4351043636722638</v>
          </cell>
          <cell r="L36">
            <v>1.4638064509457092</v>
          </cell>
        </row>
        <row r="37">
          <cell r="B37">
            <v>0.43643752645629003</v>
          </cell>
          <cell r="C37">
            <v>0.44516627698541583</v>
          </cell>
          <cell r="D37">
            <v>0.45406960252512418</v>
          </cell>
          <cell r="E37">
            <v>0.4631509945756267</v>
          </cell>
          <cell r="F37">
            <v>0.47241401446713926</v>
          </cell>
          <cell r="G37">
            <v>0.48186229475648207</v>
          </cell>
          <cell r="H37">
            <v>0.49149954065161172</v>
          </cell>
          <cell r="I37">
            <v>0.50132953146464398</v>
          </cell>
          <cell r="J37">
            <v>0.51135612209393688</v>
          </cell>
          <cell r="K37">
            <v>0.52158324453581562</v>
          </cell>
          <cell r="L37">
            <v>0.53201490942653196</v>
          </cell>
        </row>
        <row r="38">
          <cell r="B38">
            <v>0.29838075788338203</v>
          </cell>
          <cell r="C38">
            <v>0.30434837304104967</v>
          </cell>
          <cell r="D38">
            <v>0.31043534050187066</v>
          </cell>
          <cell r="E38">
            <v>0.31664404731190809</v>
          </cell>
          <cell r="F38">
            <v>0.32297692825814628</v>
          </cell>
          <cell r="G38">
            <v>0.32943646682330918</v>
          </cell>
          <cell r="H38">
            <v>0.33602519615977539</v>
          </cell>
          <cell r="I38">
            <v>0.34274570008297089</v>
          </cell>
          <cell r="J38">
            <v>0.34960061408463033</v>
          </cell>
          <cell r="K38">
            <v>0.35659262636632294</v>
          </cell>
          <cell r="L38">
            <v>0.36372447889364939</v>
          </cell>
        </row>
        <row r="39">
          <cell r="B39">
            <v>6.5073283094342553</v>
          </cell>
          <cell r="C39">
            <v>6.6374748756229405</v>
          </cell>
          <cell r="D39">
            <v>6.7702243731353997</v>
          </cell>
          <cell r="E39">
            <v>6.9056288605981075</v>
          </cell>
          <cell r="F39">
            <v>7.0437414378100698</v>
          </cell>
          <cell r="G39">
            <v>7.1846162665662714</v>
          </cell>
          <cell r="H39">
            <v>7.3283085918975965</v>
          </cell>
          <cell r="I39">
            <v>7.4748747637355484</v>
          </cell>
          <cell r="J39">
            <v>7.6243722590102596</v>
          </cell>
          <cell r="K39">
            <v>7.776859704190465</v>
          </cell>
          <cell r="L39">
            <v>7.9323968982742743</v>
          </cell>
        </row>
        <row r="40">
          <cell r="B40">
            <v>2.493215421189197</v>
          </cell>
          <cell r="C40">
            <v>2.5430797296129812</v>
          </cell>
          <cell r="D40">
            <v>2.5939413242052409</v>
          </cell>
          <cell r="E40">
            <v>2.645820150689346</v>
          </cell>
          <cell r="F40">
            <v>2.6987365537031329</v>
          </cell>
          <cell r="G40">
            <v>2.7527112847771957</v>
          </cell>
          <cell r="H40">
            <v>2.8077655104727395</v>
          </cell>
          <cell r="I40">
            <v>2.8639208206821944</v>
          </cell>
          <cell r="J40">
            <v>2.9211992370958382</v>
          </cell>
          <cell r="K40">
            <v>2.979623221837755</v>
          </cell>
          <cell r="L40">
            <v>3.0392156862745101</v>
          </cell>
        </row>
        <row r="41">
          <cell r="B41">
            <v>1.5742925061459037</v>
          </cell>
          <cell r="C41">
            <v>1.6057783562688217</v>
          </cell>
          <cell r="D41">
            <v>1.6378939233941983</v>
          </cell>
          <cell r="E41">
            <v>1.6706518018620822</v>
          </cell>
          <cell r="F41">
            <v>1.7040648378993239</v>
          </cell>
          <cell r="G41">
            <v>1.7381461346573104</v>
          </cell>
          <cell r="H41">
            <v>1.7729090573504567</v>
          </cell>
          <cell r="I41">
            <v>1.8083672384974658</v>
          </cell>
          <cell r="J41">
            <v>1.8445345832674152</v>
          </cell>
          <cell r="K41">
            <v>1.8814252749327636</v>
          </cell>
          <cell r="L41">
            <v>1.9190537804314189</v>
          </cell>
        </row>
        <row r="42">
          <cell r="B42">
            <v>16.558603640496276</v>
          </cell>
          <cell r="C42">
            <v>16.889775713306204</v>
          </cell>
          <cell r="D42">
            <v>17.227571227572327</v>
          </cell>
          <cell r="E42">
            <v>17.572122652123774</v>
          </cell>
          <cell r="F42">
            <v>17.923565105166251</v>
          </cell>
          <cell r="G42">
            <v>18.282036407269576</v>
          </cell>
          <cell r="H42">
            <v>18.647677135414966</v>
          </cell>
          <cell r="I42">
            <v>19.020630678123265</v>
          </cell>
          <cell r="J42">
            <v>19.401043291685731</v>
          </cell>
          <cell r="K42">
            <v>19.789064157519448</v>
          </cell>
          <cell r="L42">
            <v>20.184845440669836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 battOther"/>
      <sheetName val="MSW battLiPrimary"/>
      <sheetName val="MSW battLiRechargeable"/>
      <sheetName val="MSW battNiCd"/>
      <sheetName val="MSW battNiMH"/>
      <sheetName val="MSW battZn"/>
      <sheetName val="POM Portables Li-Rechargeable"/>
      <sheetName val="cameras games_LiRechargable"/>
      <sheetName val="cellphones_LiRechargable"/>
      <sheetName val="Cordless Tools_LiRechargab"/>
      <sheetName val="PortablePCs_LiRechargab"/>
      <sheetName val="Tablets_LiRechargable"/>
      <sheetName val="others portables_LiRechargable"/>
      <sheetName val="POM Portables NiCd"/>
      <sheetName val="cameras games_NiCd"/>
      <sheetName val="cellphones_NiCd"/>
      <sheetName val="Cordless Tools_NiCd"/>
      <sheetName val="PortablePCs_NiCd"/>
      <sheetName val="Tablets_NiCd"/>
      <sheetName val="others portables_NiCd"/>
      <sheetName val="POM Portables NiMH"/>
      <sheetName val="cameras games_NiMH"/>
      <sheetName val="cellphones_NiMH"/>
      <sheetName val="Cordless Tools_NiMH"/>
      <sheetName val="PortablePCs_NiMH"/>
      <sheetName val="Tablets_NiMH"/>
      <sheetName val="others portables_NiMH"/>
      <sheetName val="POM Portables Lead-acid"/>
      <sheetName val="cameras games_Pb"/>
      <sheetName val="cellphones_Pb"/>
      <sheetName val="Cordless Tools_Pb"/>
      <sheetName val="PortablePCs_Pb"/>
      <sheetName val="Tablets_Pb"/>
      <sheetName val="others portable_Pb"/>
      <sheetName val="others portable_Zn-based"/>
      <sheetName val="others portable_Li-Primary"/>
      <sheetName val="others portable_Portables Other"/>
      <sheetName val="Shares Cameras and Games"/>
      <sheetName val="Shares Cell Phones"/>
      <sheetName val="Shares Cordless Tools"/>
      <sheetName val="Shares Others Portable"/>
      <sheetName val="Shares PortablePCs+Tablets"/>
      <sheetName val="Codelist Countries"/>
      <sheetName val="Template"/>
      <sheetName val="Avicenne Pivot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Y12">
            <v>1846.6388499017471</v>
          </cell>
          <cell r="Z12">
            <v>2031.3027348919218</v>
          </cell>
          <cell r="AA12">
            <v>2234.4330083811137</v>
          </cell>
          <cell r="AB12">
            <v>2457.8763092192253</v>
          </cell>
          <cell r="AC12">
            <v>2703.6639401411476</v>
          </cell>
          <cell r="AD12">
            <v>2974.0303341552622</v>
          </cell>
          <cell r="AE12">
            <v>3271.4333675707885</v>
          </cell>
          <cell r="AF12">
            <v>3598.5767043278674</v>
          </cell>
          <cell r="AG12">
            <v>3958.4343747606545</v>
          </cell>
          <cell r="AH12">
            <v>4195.9404372462941</v>
          </cell>
          <cell r="AI12">
            <v>4447.6968634810719</v>
          </cell>
          <cell r="AJ12">
            <v>4714.5586752899362</v>
          </cell>
          <cell r="AK12">
            <v>4997.4321958073324</v>
          </cell>
          <cell r="AL12">
            <v>5297.2781275557727</v>
          </cell>
          <cell r="AM12">
            <v>5615.1148152091191</v>
          </cell>
          <cell r="AN12">
            <v>5952.0217041216665</v>
          </cell>
          <cell r="AO12">
            <v>6309.1430063689668</v>
          </cell>
          <cell r="AP12">
            <v>6687.6915867511052</v>
          </cell>
          <cell r="AQ12">
            <v>7088.9530819561714</v>
          </cell>
          <cell r="AR12">
            <v>7230.7321435952945</v>
          </cell>
          <cell r="AS12">
            <v>7375.3467864672002</v>
          </cell>
          <cell r="AT12">
            <v>7522.8537221965444</v>
          </cell>
          <cell r="AU12">
            <v>7673.310796640475</v>
          </cell>
          <cell r="AV12">
            <v>7826.7770125732841</v>
          </cell>
          <cell r="AW12">
            <v>7983.3125528247501</v>
          </cell>
          <cell r="AX12">
            <v>8142.9788038812449</v>
          </cell>
          <cell r="AY12">
            <v>8305.8383799588701</v>
          </cell>
          <cell r="AZ12">
            <v>8471.9551475580483</v>
          </cell>
          <cell r="BA12">
            <v>8641.3942505092091</v>
          </cell>
        </row>
        <row r="13">
          <cell r="Y13">
            <v>1876.7193002992344</v>
          </cell>
          <cell r="Z13">
            <v>2064.3912303291577</v>
          </cell>
          <cell r="AA13">
            <v>2270.8303533620733</v>
          </cell>
          <cell r="AB13">
            <v>2497.9133886982809</v>
          </cell>
          <cell r="AC13">
            <v>2747.7047275681089</v>
          </cell>
          <cell r="AD13">
            <v>3022.4752003249196</v>
          </cell>
          <cell r="AE13">
            <v>3324.7227203574116</v>
          </cell>
          <cell r="AF13">
            <v>3657.1949923931529</v>
          </cell>
          <cell r="AG13">
            <v>4022.9144916324681</v>
          </cell>
          <cell r="AH13">
            <v>4264.2893611304162</v>
          </cell>
          <cell r="AI13">
            <v>4520.1467227982412</v>
          </cell>
          <cell r="AJ13">
            <v>4791.3555261661359</v>
          </cell>
          <cell r="AK13">
            <v>5078.8368577361043</v>
          </cell>
          <cell r="AL13">
            <v>5383.5670692002705</v>
          </cell>
          <cell r="AM13">
            <v>5706.5810933522862</v>
          </cell>
          <cell r="AN13">
            <v>6048.9759589534233</v>
          </cell>
          <cell r="AO13">
            <v>6411.9145164906286</v>
          </cell>
          <cell r="AP13">
            <v>6796.6293874800667</v>
          </cell>
          <cell r="AQ13">
            <v>7204.4271507288704</v>
          </cell>
          <cell r="AR13">
            <v>7348.5156937434476</v>
          </cell>
          <cell r="AS13">
            <v>7495.4860076183168</v>
          </cell>
          <cell r="AT13">
            <v>7645.3957277706832</v>
          </cell>
          <cell r="AU13">
            <v>7798.3036423260965</v>
          </cell>
          <cell r="AV13">
            <v>7954.2697151726188</v>
          </cell>
          <cell r="AW13">
            <v>8113.3551094760714</v>
          </cell>
          <cell r="AX13">
            <v>8275.6222116655936</v>
          </cell>
          <cell r="AY13">
            <v>8441.1346558989062</v>
          </cell>
          <cell r="AZ13">
            <v>8609.9573490168841</v>
          </cell>
          <cell r="BA13">
            <v>8782.156495997222</v>
          </cell>
        </row>
        <row r="14">
          <cell r="Y14">
            <v>301.406112982823</v>
          </cell>
          <cell r="Z14">
            <v>331.5467242811053</v>
          </cell>
          <cell r="AA14">
            <v>364.70139670921583</v>
          </cell>
          <cell r="AB14">
            <v>401.17153638013741</v>
          </cell>
          <cell r="AC14">
            <v>441.28869001815116</v>
          </cell>
          <cell r="AD14">
            <v>485.41755901996629</v>
          </cell>
          <cell r="AE14">
            <v>533.95931492196291</v>
          </cell>
          <cell r="AF14">
            <v>587.35524641415918</v>
          </cell>
          <cell r="AG14">
            <v>646.09077105557515</v>
          </cell>
          <cell r="AH14">
            <v>684.85621731890967</v>
          </cell>
          <cell r="AI14">
            <v>725.94759035804429</v>
          </cell>
          <cell r="AJ14">
            <v>769.50444577952692</v>
          </cell>
          <cell r="AK14">
            <v>815.67471252629855</v>
          </cell>
          <cell r="AL14">
            <v>864.61519527787641</v>
          </cell>
          <cell r="AM14">
            <v>916.49210699454898</v>
          </cell>
          <cell r="AN14">
            <v>971.48163341422196</v>
          </cell>
          <cell r="AO14">
            <v>1029.7705314190753</v>
          </cell>
          <cell r="AP14">
            <v>1091.5567633042199</v>
          </cell>
          <cell r="AQ14">
            <v>1157.0501691024731</v>
          </cell>
          <cell r="AR14">
            <v>1180.1911724845227</v>
          </cell>
          <cell r="AS14">
            <v>1203.7949959342131</v>
          </cell>
          <cell r="AT14">
            <v>1227.8708958528973</v>
          </cell>
          <cell r="AU14">
            <v>1252.4283137699554</v>
          </cell>
          <cell r="AV14">
            <v>1277.4768800453544</v>
          </cell>
          <cell r="AW14">
            <v>1303.0264176462615</v>
          </cell>
          <cell r="AX14">
            <v>1329.0869459991868</v>
          </cell>
          <cell r="AY14">
            <v>1355.6686849191706</v>
          </cell>
          <cell r="AZ14">
            <v>1382.782058617554</v>
          </cell>
          <cell r="BA14">
            <v>1410.4376997899051</v>
          </cell>
        </row>
        <row r="15">
          <cell r="Y15">
            <v>315.54392466964202</v>
          </cell>
          <cell r="Z15">
            <v>347.09831713660623</v>
          </cell>
          <cell r="AA15">
            <v>381.80814885026683</v>
          </cell>
          <cell r="AB15">
            <v>419.98896373529351</v>
          </cell>
          <cell r="AC15">
            <v>461.98786010882287</v>
          </cell>
          <cell r="AD15">
            <v>508.18664611970519</v>
          </cell>
          <cell r="AE15">
            <v>559.00531073167576</v>
          </cell>
          <cell r="AF15">
            <v>614.90584180484336</v>
          </cell>
          <cell r="AG15">
            <v>676.39642598532771</v>
          </cell>
          <cell r="AH15">
            <v>716.98021154444734</v>
          </cell>
          <cell r="AI15">
            <v>759.99902423711421</v>
          </cell>
          <cell r="AJ15">
            <v>805.59896569134105</v>
          </cell>
          <cell r="AK15">
            <v>853.93490363282149</v>
          </cell>
          <cell r="AL15">
            <v>905.17099785079074</v>
          </cell>
          <cell r="AM15">
            <v>959.48125772183823</v>
          </cell>
          <cell r="AN15">
            <v>1017.0501331851485</v>
          </cell>
          <cell r="AO15">
            <v>1078.0731411762574</v>
          </cell>
          <cell r="AP15">
            <v>1142.7575296468328</v>
          </cell>
          <cell r="AQ15">
            <v>1211.3229814256429</v>
          </cell>
          <cell r="AR15">
            <v>1235.5494410541557</v>
          </cell>
          <cell r="AS15">
            <v>1260.260429875239</v>
          </cell>
          <cell r="AT15">
            <v>1285.4656384727436</v>
          </cell>
          <cell r="AU15">
            <v>1311.1749512421986</v>
          </cell>
          <cell r="AV15">
            <v>1337.3984502670426</v>
          </cell>
          <cell r="AW15">
            <v>1364.1464192723834</v>
          </cell>
          <cell r="AX15">
            <v>1391.4293476578309</v>
          </cell>
          <cell r="AY15">
            <v>1419.2579346109876</v>
          </cell>
          <cell r="AZ15">
            <v>1447.6430933032073</v>
          </cell>
          <cell r="BA15">
            <v>1476.5959551692713</v>
          </cell>
        </row>
        <row r="16">
          <cell r="Y16">
            <v>59.258487283050037</v>
          </cell>
          <cell r="Z16">
            <v>65.184336011355043</v>
          </cell>
          <cell r="AA16">
            <v>71.702769612490542</v>
          </cell>
          <cell r="AB16">
            <v>78.8730465737396</v>
          </cell>
          <cell r="AC16">
            <v>86.76035123111356</v>
          </cell>
          <cell r="AD16">
            <v>95.436386354224922</v>
          </cell>
          <cell r="AE16">
            <v>104.98002498964742</v>
          </cell>
          <cell r="AF16">
            <v>115.47802748861216</v>
          </cell>
          <cell r="AG16">
            <v>127.02583023747337</v>
          </cell>
          <cell r="AH16">
            <v>134.64738005172177</v>
          </cell>
          <cell r="AI16">
            <v>142.72622285482507</v>
          </cell>
          <cell r="AJ16">
            <v>151.28979622611456</v>
          </cell>
          <cell r="AK16">
            <v>160.36718399968143</v>
          </cell>
          <cell r="AL16">
            <v>169.98921503966233</v>
          </cell>
          <cell r="AM16">
            <v>180.18856794204206</v>
          </cell>
          <cell r="AN16">
            <v>190.99988201856459</v>
          </cell>
          <cell r="AO16">
            <v>202.45987493967846</v>
          </cell>
          <cell r="AP16">
            <v>214.60746743605915</v>
          </cell>
          <cell r="AQ16">
            <v>227.4839154822227</v>
          </cell>
          <cell r="AR16">
            <v>232.03359379186716</v>
          </cell>
          <cell r="AS16">
            <v>236.6742656677045</v>
          </cell>
          <cell r="AT16">
            <v>241.4077509810586</v>
          </cell>
          <cell r="AU16">
            <v>246.23590600067976</v>
          </cell>
          <cell r="AV16">
            <v>251.16062412069337</v>
          </cell>
          <cell r="AW16">
            <v>256.18383660310724</v>
          </cell>
          <cell r="AX16">
            <v>261.3075133351694</v>
          </cell>
          <cell r="AY16">
            <v>266.53366360187277</v>
          </cell>
          <cell r="AZ16">
            <v>271.86433687391025</v>
          </cell>
          <cell r="BA16">
            <v>277.30162361138844</v>
          </cell>
        </row>
        <row r="17">
          <cell r="Y17">
            <v>1565.9882476931905</v>
          </cell>
          <cell r="Z17">
            <v>1722.5870724625095</v>
          </cell>
          <cell r="AA17">
            <v>1894.8457797087603</v>
          </cell>
          <cell r="AB17">
            <v>2084.3303576796366</v>
          </cell>
          <cell r="AC17">
            <v>2292.7633934476003</v>
          </cell>
          <cell r="AD17">
            <v>2522.0397327923602</v>
          </cell>
          <cell r="AE17">
            <v>2774.2437060715961</v>
          </cell>
          <cell r="AF17">
            <v>3051.6680766787558</v>
          </cell>
          <cell r="AG17">
            <v>3356.8348843466315</v>
          </cell>
          <cell r="AH17">
            <v>3558.2449774074294</v>
          </cell>
          <cell r="AI17">
            <v>3771.739676051875</v>
          </cell>
          <cell r="AJ17">
            <v>3998.0440566149873</v>
          </cell>
          <cell r="AK17">
            <v>4237.9267000118862</v>
          </cell>
          <cell r="AL17">
            <v>4492.2023020125989</v>
          </cell>
          <cell r="AM17">
            <v>4761.7344401333548</v>
          </cell>
          <cell r="AN17">
            <v>5047.4385065413562</v>
          </cell>
          <cell r="AO17">
            <v>5350.2848169338376</v>
          </cell>
          <cell r="AP17">
            <v>5671.3019059498674</v>
          </cell>
          <cell r="AQ17">
            <v>6011.5800203068593</v>
          </cell>
          <cell r="AR17">
            <v>6131.811620712996</v>
          </cell>
          <cell r="AS17">
            <v>6254.4478531272562</v>
          </cell>
          <cell r="AT17">
            <v>6379.5368101898011</v>
          </cell>
          <cell r="AU17">
            <v>6507.1275463935972</v>
          </cell>
          <cell r="AV17">
            <v>6637.2700973214687</v>
          </cell>
          <cell r="AW17">
            <v>6770.0154992678981</v>
          </cell>
          <cell r="AX17">
            <v>6905.4158092532562</v>
          </cell>
          <cell r="AY17">
            <v>7043.5241254383209</v>
          </cell>
          <cell r="AZ17">
            <v>7184.394607947087</v>
          </cell>
          <cell r="BA17">
            <v>7328.0825001060284</v>
          </cell>
        </row>
        <row r="18">
          <cell r="Y18">
            <v>1538.3142333275021</v>
          </cell>
          <cell r="Z18">
            <v>1692.1456566602524</v>
          </cell>
          <cell r="AA18">
            <v>1861.3602223262776</v>
          </cell>
          <cell r="AB18">
            <v>2047.4962445589053</v>
          </cell>
          <cell r="AC18">
            <v>2252.245869014796</v>
          </cell>
          <cell r="AD18">
            <v>2477.4704559162756</v>
          </cell>
          <cell r="AE18">
            <v>2725.2175015079033</v>
          </cell>
          <cell r="AF18">
            <v>2997.7392516586938</v>
          </cell>
          <cell r="AG18">
            <v>3297.5131768245633</v>
          </cell>
          <cell r="AH18">
            <v>3495.363967434037</v>
          </cell>
          <cell r="AI18">
            <v>3705.0858054800792</v>
          </cell>
          <cell r="AJ18">
            <v>3927.3909538088838</v>
          </cell>
          <cell r="AK18">
            <v>4163.0344110374172</v>
          </cell>
          <cell r="AL18">
            <v>4412.8164756996621</v>
          </cell>
          <cell r="AM18">
            <v>4677.5854642416416</v>
          </cell>
          <cell r="AN18">
            <v>4958.2405920961401</v>
          </cell>
          <cell r="AO18">
            <v>5255.7350276219086</v>
          </cell>
          <cell r="AP18">
            <v>5571.0791292792228</v>
          </cell>
          <cell r="AQ18">
            <v>5905.3438770359762</v>
          </cell>
          <cell r="AR18">
            <v>6023.4507545766955</v>
          </cell>
          <cell r="AS18">
            <v>6143.9197696682295</v>
          </cell>
          <cell r="AT18">
            <v>6266.7981650615939</v>
          </cell>
          <cell r="AU18">
            <v>6392.1341283628253</v>
          </cell>
          <cell r="AV18">
            <v>6519.9768109300821</v>
          </cell>
          <cell r="AW18">
            <v>6650.3763471486836</v>
          </cell>
          <cell r="AX18">
            <v>6783.3838740916572</v>
          </cell>
          <cell r="AY18">
            <v>6919.0515515734905</v>
          </cell>
          <cell r="AZ18">
            <v>7057.4325826049608</v>
          </cell>
          <cell r="BA18">
            <v>7198.5812342570598</v>
          </cell>
        </row>
        <row r="19">
          <cell r="Y19">
            <v>156.41834206693409</v>
          </cell>
          <cell r="Z19">
            <v>172.06017627362749</v>
          </cell>
          <cell r="AA19">
            <v>189.26619390099023</v>
          </cell>
          <cell r="AB19">
            <v>208.19281329108927</v>
          </cell>
          <cell r="AC19">
            <v>229.01209462019818</v>
          </cell>
          <cell r="AD19">
            <v>251.91330408221802</v>
          </cell>
          <cell r="AE19">
            <v>277.10463449043982</v>
          </cell>
          <cell r="AF19">
            <v>304.81509793948379</v>
          </cell>
          <cell r="AG19">
            <v>335.29660773343215</v>
          </cell>
          <cell r="AH19">
            <v>355.4144041974381</v>
          </cell>
          <cell r="AI19">
            <v>376.7392684492844</v>
          </cell>
          <cell r="AJ19">
            <v>399.34362455624148</v>
          </cell>
          <cell r="AK19">
            <v>423.30424202961598</v>
          </cell>
          <cell r="AL19">
            <v>448.70249655139293</v>
          </cell>
          <cell r="AM19">
            <v>475.6246463444765</v>
          </cell>
          <cell r="AN19">
            <v>504.16212512514511</v>
          </cell>
          <cell r="AO19">
            <v>534.41185263265379</v>
          </cell>
          <cell r="AP19">
            <v>566.476563790613</v>
          </cell>
          <cell r="AQ19">
            <v>600.46515761804983</v>
          </cell>
          <cell r="AR19">
            <v>612.47446077041081</v>
          </cell>
          <cell r="AS19">
            <v>624.72394998581899</v>
          </cell>
          <cell r="AT19">
            <v>637.21842898553541</v>
          </cell>
          <cell r="AU19">
            <v>649.96279756524609</v>
          </cell>
          <cell r="AV19">
            <v>662.96205351655101</v>
          </cell>
          <cell r="AW19">
            <v>676.22129458688198</v>
          </cell>
          <cell r="AX19">
            <v>689.74572047861966</v>
          </cell>
          <cell r="AY19">
            <v>703.54063488819202</v>
          </cell>
          <cell r="AZ19">
            <v>717.61144758595583</v>
          </cell>
          <cell r="BA19">
            <v>731.96367653767493</v>
          </cell>
        </row>
        <row r="20">
          <cell r="Y20">
            <v>1223.0711131618348</v>
          </cell>
          <cell r="Z20">
            <v>1345.3782244780182</v>
          </cell>
          <cell r="AA20">
            <v>1479.91604692582</v>
          </cell>
          <cell r="AB20">
            <v>1627.907651618402</v>
          </cell>
          <cell r="AC20">
            <v>1790.6984167802423</v>
          </cell>
          <cell r="AD20">
            <v>1969.7682584582665</v>
          </cell>
          <cell r="AE20">
            <v>2166.7450843040933</v>
          </cell>
          <cell r="AF20">
            <v>2383.4195927345027</v>
          </cell>
          <cell r="AG20">
            <v>2621.761552007953</v>
          </cell>
          <cell r="AH20">
            <v>2779.0672451284304</v>
          </cell>
          <cell r="AI20">
            <v>2945.8112798361362</v>
          </cell>
          <cell r="AJ20">
            <v>3122.5599566263045</v>
          </cell>
          <cell r="AK20">
            <v>3309.9135540238826</v>
          </cell>
          <cell r="AL20">
            <v>3508.5083672653154</v>
          </cell>
          <cell r="AM20">
            <v>3719.0188693012342</v>
          </cell>
          <cell r="AN20">
            <v>3942.1600014593082</v>
          </cell>
          <cell r="AO20">
            <v>4178.6896015468665</v>
          </cell>
          <cell r="AP20">
            <v>4429.4109776396781</v>
          </cell>
          <cell r="AQ20">
            <v>4695.1756362980586</v>
          </cell>
          <cell r="AR20">
            <v>4789.0791490240199</v>
          </cell>
          <cell r="AS20">
            <v>4884.8607320045003</v>
          </cell>
          <cell r="AT20">
            <v>4982.5579466445906</v>
          </cell>
          <cell r="AU20">
            <v>5082.2091055774827</v>
          </cell>
          <cell r="AV20">
            <v>5183.8532876890322</v>
          </cell>
          <cell r="AW20">
            <v>5287.5303534428131</v>
          </cell>
          <cell r="AX20">
            <v>5393.280960511669</v>
          </cell>
          <cell r="AY20">
            <v>5501.1465797219025</v>
          </cell>
          <cell r="AZ20">
            <v>5611.1695113163405</v>
          </cell>
          <cell r="BA20">
            <v>5723.3929015426675</v>
          </cell>
        </row>
        <row r="21">
          <cell r="Y21">
            <v>11338.524972828873</v>
          </cell>
          <cell r="Z21">
            <v>12472.37747011176</v>
          </cell>
          <cell r="AA21">
            <v>13719.615217122937</v>
          </cell>
          <cell r="AB21">
            <v>15091.576738835231</v>
          </cell>
          <cell r="AC21">
            <v>16600.734412718753</v>
          </cell>
          <cell r="AD21">
            <v>18260.807853990627</v>
          </cell>
          <cell r="AE21">
            <v>20086.88863938969</v>
          </cell>
          <cell r="AF21">
            <v>22095.577503328659</v>
          </cell>
          <cell r="AG21">
            <v>24305.135253661523</v>
          </cell>
          <cell r="AH21">
            <v>25763.443368881213</v>
          </cell>
          <cell r="AI21">
            <v>27309.249971014087</v>
          </cell>
          <cell r="AJ21">
            <v>28947.804969274934</v>
          </cell>
          <cell r="AK21">
            <v>30684.67326743143</v>
          </cell>
          <cell r="AL21">
            <v>32525.753663477317</v>
          </cell>
          <cell r="AM21">
            <v>34477.298883285956</v>
          </cell>
          <cell r="AN21">
            <v>36545.936816283116</v>
          </cell>
          <cell r="AO21">
            <v>38738.693025260101</v>
          </cell>
          <cell r="AP21">
            <v>41063.014606775709</v>
          </cell>
          <cell r="AQ21">
            <v>43526.79548318225</v>
          </cell>
          <cell r="AR21">
            <v>44397.331392845896</v>
          </cell>
          <cell r="AS21">
            <v>45285.278020702812</v>
          </cell>
          <cell r="AT21">
            <v>46190.983581116867</v>
          </cell>
          <cell r="AU21">
            <v>47114.803252739206</v>
          </cell>
          <cell r="AV21">
            <v>48057.099317793989</v>
          </cell>
          <cell r="AW21">
            <v>49018.241304149866</v>
          </cell>
          <cell r="AX21">
            <v>49998.60613023286</v>
          </cell>
          <cell r="AY21">
            <v>50998.57825283752</v>
          </cell>
          <cell r="AZ21">
            <v>52018.549817894273</v>
          </cell>
          <cell r="BA21">
            <v>53058.92081425216</v>
          </cell>
        </row>
        <row r="22">
          <cell r="Y22">
            <v>18255.291220330902</v>
          </cell>
          <cell r="Z22">
            <v>20080.820342363993</v>
          </cell>
          <cell r="AA22">
            <v>22088.902376600392</v>
          </cell>
          <cell r="AB22">
            <v>24297.79261426043</v>
          </cell>
          <cell r="AC22">
            <v>26727.571875686474</v>
          </cell>
          <cell r="AD22">
            <v>29400.329063255122</v>
          </cell>
          <cell r="AE22">
            <v>32340.361969580634</v>
          </cell>
          <cell r="AF22">
            <v>35574.398166538696</v>
          </cell>
          <cell r="AG22">
            <v>39131.837983192563</v>
          </cell>
          <cell r="AH22">
            <v>41479.748262184119</v>
          </cell>
          <cell r="AI22">
            <v>43968.533157915168</v>
          </cell>
          <cell r="AJ22">
            <v>46606.645147390082</v>
          </cell>
          <cell r="AK22">
            <v>49403.043856233489</v>
          </cell>
          <cell r="AL22">
            <v>52367.226487607499</v>
          </cell>
          <cell r="AM22">
            <v>55509.260076863946</v>
          </cell>
          <cell r="AN22">
            <v>58839.815681475782</v>
          </cell>
          <cell r="AO22">
            <v>62370.204622364326</v>
          </cell>
          <cell r="AP22">
            <v>66112.416899706179</v>
          </cell>
          <cell r="AQ22">
            <v>70079.161913688557</v>
          </cell>
          <cell r="AR22">
            <v>71480.745151962328</v>
          </cell>
          <cell r="AS22">
            <v>72910.360055001569</v>
          </cell>
          <cell r="AT22">
            <v>74368.567256101596</v>
          </cell>
          <cell r="AU22">
            <v>75855.938601223635</v>
          </cell>
          <cell r="AV22">
            <v>77373.057373248113</v>
          </cell>
          <cell r="AW22">
            <v>78920.518520713071</v>
          </cell>
          <cell r="AX22">
            <v>80498.928891127332</v>
          </cell>
          <cell r="AY22">
            <v>82108.907468949881</v>
          </cell>
          <cell r="AZ22">
            <v>83751.085618328885</v>
          </cell>
          <cell r="BA22">
            <v>85426.107330695464</v>
          </cell>
        </row>
        <row r="23">
          <cell r="Y23">
            <v>863.91053541583608</v>
          </cell>
          <cell r="Z23">
            <v>950.30158895741965</v>
          </cell>
          <cell r="AA23">
            <v>1045.3317478531617</v>
          </cell>
          <cell r="AB23">
            <v>1149.8649226384778</v>
          </cell>
          <cell r="AC23">
            <v>1264.8514149023256</v>
          </cell>
          <cell r="AD23">
            <v>1391.3365563925581</v>
          </cell>
          <cell r="AE23">
            <v>1530.4702120318138</v>
          </cell>
          <cell r="AF23">
            <v>1683.5172332349953</v>
          </cell>
          <cell r="AG23">
            <v>1851.8689565584948</v>
          </cell>
          <cell r="AH23">
            <v>1962.9810939520046</v>
          </cell>
          <cell r="AI23">
            <v>2080.7599595891247</v>
          </cell>
          <cell r="AJ23">
            <v>2205.605557164472</v>
          </cell>
          <cell r="AK23">
            <v>2337.9418905943403</v>
          </cell>
          <cell r="AL23">
            <v>2478.2184040300008</v>
          </cell>
          <cell r="AM23">
            <v>2626.9115082718008</v>
          </cell>
          <cell r="AN23">
            <v>2784.5261987681088</v>
          </cell>
          <cell r="AO23">
            <v>2951.5977706941953</v>
          </cell>
          <cell r="AP23">
            <v>3128.6936369358473</v>
          </cell>
          <cell r="AQ23">
            <v>3316.4152551519983</v>
          </cell>
          <cell r="AR23">
            <v>3382.7435602550381</v>
          </cell>
          <cell r="AS23">
            <v>3450.3984314601389</v>
          </cell>
          <cell r="AT23">
            <v>3519.4064000893418</v>
          </cell>
          <cell r="AU23">
            <v>3589.7945280911285</v>
          </cell>
          <cell r="AV23">
            <v>3661.590418652951</v>
          </cell>
          <cell r="AW23">
            <v>3734.8222270260098</v>
          </cell>
          <cell r="AX23">
            <v>3809.51867156653</v>
          </cell>
          <cell r="AY23">
            <v>3885.7090449978605</v>
          </cell>
          <cell r="AZ23">
            <v>3963.4232258978177</v>
          </cell>
          <cell r="BA23">
            <v>4042.6916904157742</v>
          </cell>
        </row>
        <row r="24">
          <cell r="Y24">
            <v>954.45269111227299</v>
          </cell>
          <cell r="Z24">
            <v>1049.8979602235004</v>
          </cell>
          <cell r="AA24">
            <v>1154.8877562458504</v>
          </cell>
          <cell r="AB24">
            <v>1270.3765318704354</v>
          </cell>
          <cell r="AC24">
            <v>1397.414185057479</v>
          </cell>
          <cell r="AD24">
            <v>1537.155603563227</v>
          </cell>
          <cell r="AE24">
            <v>1690.8711639195499</v>
          </cell>
          <cell r="AF24">
            <v>1859.958280311505</v>
          </cell>
          <cell r="AG24">
            <v>2045.9541083426554</v>
          </cell>
          <cell r="AH24">
            <v>2168.7113548432148</v>
          </cell>
          <cell r="AI24">
            <v>2298.8340361338078</v>
          </cell>
          <cell r="AJ24">
            <v>2436.7640783018364</v>
          </cell>
          <cell r="AK24">
            <v>2582.9699229999464</v>
          </cell>
          <cell r="AL24">
            <v>2737.948118379943</v>
          </cell>
          <cell r="AM24">
            <v>2902.2250054827396</v>
          </cell>
          <cell r="AN24">
            <v>3076.3585058117042</v>
          </cell>
          <cell r="AO24">
            <v>3260.9400161604062</v>
          </cell>
          <cell r="AP24">
            <v>3456.5964171300307</v>
          </cell>
          <cell r="AQ24">
            <v>3663.9922021578323</v>
          </cell>
          <cell r="AR24">
            <v>3737.2720462009888</v>
          </cell>
          <cell r="AS24">
            <v>3812.0174871250088</v>
          </cell>
          <cell r="AT24">
            <v>3888.257836867509</v>
          </cell>
          <cell r="AU24">
            <v>3966.022993604859</v>
          </cell>
          <cell r="AV24">
            <v>4045.3434534769563</v>
          </cell>
          <cell r="AW24">
            <v>4126.2503225464952</v>
          </cell>
          <cell r="AX24">
            <v>4208.7753289974253</v>
          </cell>
          <cell r="AY24">
            <v>4292.9508355773742</v>
          </cell>
          <cell r="AZ24">
            <v>4378.8098522889213</v>
          </cell>
          <cell r="BA24">
            <v>4466.3860493347001</v>
          </cell>
        </row>
        <row r="25">
          <cell r="Y25">
            <v>102.24345090105942</v>
          </cell>
          <cell r="Z25">
            <v>112.46779599116536</v>
          </cell>
          <cell r="AA25">
            <v>123.7145755902819</v>
          </cell>
          <cell r="AB25">
            <v>136.08603314931008</v>
          </cell>
          <cell r="AC25">
            <v>149.69463646424109</v>
          </cell>
          <cell r="AD25">
            <v>164.6641001106652</v>
          </cell>
          <cell r="AE25">
            <v>181.13051012173173</v>
          </cell>
          <cell r="AF25">
            <v>199.2435611339049</v>
          </cell>
          <cell r="AG25">
            <v>219.16791724729541</v>
          </cell>
          <cell r="AH25">
            <v>232.31799228213313</v>
          </cell>
          <cell r="AI25">
            <v>246.25707181906111</v>
          </cell>
          <cell r="AJ25">
            <v>261.0324961282048</v>
          </cell>
          <cell r="AK25">
            <v>276.6944458958971</v>
          </cell>
          <cell r="AL25">
            <v>293.29611264965092</v>
          </cell>
          <cell r="AM25">
            <v>310.89387940862997</v>
          </cell>
          <cell r="AN25">
            <v>329.54751217314777</v>
          </cell>
          <cell r="AO25">
            <v>349.32036290353665</v>
          </cell>
          <cell r="AP25">
            <v>370.27958467774886</v>
          </cell>
          <cell r="AQ25">
            <v>392.4963597584138</v>
          </cell>
          <cell r="AR25">
            <v>400.34628695358208</v>
          </cell>
          <cell r="AS25">
            <v>408.3532126926537</v>
          </cell>
          <cell r="AT25">
            <v>416.52027694650678</v>
          </cell>
          <cell r="AU25">
            <v>424.85068248543689</v>
          </cell>
          <cell r="AV25">
            <v>433.34769613514561</v>
          </cell>
          <cell r="AW25">
            <v>442.01465005784854</v>
          </cell>
          <cell r="AX25">
            <v>450.85494305900551</v>
          </cell>
          <cell r="AY25">
            <v>459.87204192018561</v>
          </cell>
          <cell r="AZ25">
            <v>469.06948275858934</v>
          </cell>
          <cell r="BA25">
            <v>478.45087241376115</v>
          </cell>
        </row>
        <row r="26">
          <cell r="Y26">
            <v>1110.5702286752321</v>
          </cell>
          <cell r="Z26">
            <v>1221.6272515427554</v>
          </cell>
          <cell r="AA26">
            <v>1343.7899766970309</v>
          </cell>
          <cell r="AB26">
            <v>1478.1689743667339</v>
          </cell>
          <cell r="AC26">
            <v>1625.9858718034072</v>
          </cell>
          <cell r="AD26">
            <v>1788.5844589837479</v>
          </cell>
          <cell r="AE26">
            <v>1967.4429048821228</v>
          </cell>
          <cell r="AF26">
            <v>2164.1871953703348</v>
          </cell>
          <cell r="AG26">
            <v>2380.6059149073685</v>
          </cell>
          <cell r="AH26">
            <v>2523.4422698018107</v>
          </cell>
          <cell r="AI26">
            <v>2674.8488059899191</v>
          </cell>
          <cell r="AJ26">
            <v>2835.3397343493143</v>
          </cell>
          <cell r="AK26">
            <v>3005.460118410273</v>
          </cell>
          <cell r="AL26">
            <v>3185.7877255148892</v>
          </cell>
          <cell r="AM26">
            <v>3376.9349890457825</v>
          </cell>
          <cell r="AN26">
            <v>3579.5510883885295</v>
          </cell>
          <cell r="AO26">
            <v>3794.3241536918413</v>
          </cell>
          <cell r="AP26">
            <v>4021.9836029133517</v>
          </cell>
          <cell r="AQ26">
            <v>4263.3026190881528</v>
          </cell>
          <cell r="AR26">
            <v>4348.5686714699159</v>
          </cell>
          <cell r="AS26">
            <v>4435.5400448993141</v>
          </cell>
          <cell r="AT26">
            <v>4524.2508457973008</v>
          </cell>
          <cell r="AU26">
            <v>4614.7358627132471</v>
          </cell>
          <cell r="AV26">
            <v>4707.0305799675125</v>
          </cell>
          <cell r="AW26">
            <v>4801.1711915668629</v>
          </cell>
          <cell r="AX26">
            <v>4897.1946153981999</v>
          </cell>
          <cell r="AY26">
            <v>4995.1385077061641</v>
          </cell>
          <cell r="AZ26">
            <v>5095.0412778602877</v>
          </cell>
          <cell r="BA26">
            <v>5196.9421034174939</v>
          </cell>
        </row>
        <row r="27">
          <cell r="Y27">
            <v>9732.8305306109996</v>
          </cell>
          <cell r="Z27">
            <v>10706.113583672101</v>
          </cell>
          <cell r="AA27">
            <v>11776.724942039311</v>
          </cell>
          <cell r="AB27">
            <v>12954.397436243242</v>
          </cell>
          <cell r="AC27">
            <v>14249.837179867565</v>
          </cell>
          <cell r="AD27">
            <v>15674.820897854323</v>
          </cell>
          <cell r="AE27">
            <v>17242.302987639756</v>
          </cell>
          <cell r="AF27">
            <v>18966.53328640373</v>
          </cell>
          <cell r="AG27">
            <v>20863.186615044102</v>
          </cell>
          <cell r="AH27">
            <v>22114.977811946748</v>
          </cell>
          <cell r="AI27">
            <v>23441.876480663552</v>
          </cell>
          <cell r="AJ27">
            <v>24848.389069503366</v>
          </cell>
          <cell r="AK27">
            <v>26339.292413673567</v>
          </cell>
          <cell r="AL27">
            <v>27919.649958493981</v>
          </cell>
          <cell r="AM27">
            <v>29594.828956003621</v>
          </cell>
          <cell r="AN27">
            <v>31370.51869336384</v>
          </cell>
          <cell r="AO27">
            <v>33252.749814965668</v>
          </cell>
          <cell r="AP27">
            <v>35247.914803863605</v>
          </cell>
          <cell r="AQ27">
            <v>37362.789692095423</v>
          </cell>
          <cell r="AR27">
            <v>38110.045485937328</v>
          </cell>
          <cell r="AS27">
            <v>38872.246395656075</v>
          </cell>
          <cell r="AT27">
            <v>39649.691323569197</v>
          </cell>
          <cell r="AU27">
            <v>40442.685150040583</v>
          </cell>
          <cell r="AV27">
            <v>41251.538853041391</v>
          </cell>
          <cell r="AW27">
            <v>42076.569630102218</v>
          </cell>
          <cell r="AX27">
            <v>42918.101022704264</v>
          </cell>
          <cell r="AY27">
            <v>43776.46304315835</v>
          </cell>
          <cell r="AZ27">
            <v>44651.992304021514</v>
          </cell>
          <cell r="BA27">
            <v>45545.032150101943</v>
          </cell>
        </row>
        <row r="28">
          <cell r="Y28">
            <v>206.0510852227882</v>
          </cell>
          <cell r="Z28">
            <v>226.65619374506701</v>
          </cell>
          <cell r="AA28">
            <v>249.32181311957373</v>
          </cell>
          <cell r="AB28">
            <v>274.25399443153111</v>
          </cell>
          <cell r="AC28">
            <v>301.67939387468425</v>
          </cell>
          <cell r="AD28">
            <v>331.84733326215269</v>
          </cell>
          <cell r="AE28">
            <v>365.03206658836797</v>
          </cell>
          <cell r="AF28">
            <v>401.53527324720477</v>
          </cell>
          <cell r="AG28">
            <v>441.68880057192524</v>
          </cell>
          <cell r="AH28">
            <v>468.19012860624076</v>
          </cell>
          <cell r="AI28">
            <v>496.28153632261518</v>
          </cell>
          <cell r="AJ28">
            <v>526.05842850197212</v>
          </cell>
          <cell r="AK28">
            <v>557.62193421209042</v>
          </cell>
          <cell r="AL28">
            <v>591.07925026481587</v>
          </cell>
          <cell r="AM28">
            <v>626.54400528070482</v>
          </cell>
          <cell r="AN28">
            <v>664.13664559754716</v>
          </cell>
          <cell r="AO28">
            <v>703.98484433340002</v>
          </cell>
          <cell r="AP28">
            <v>746.22393499340399</v>
          </cell>
          <cell r="AQ28">
            <v>790.99737109300827</v>
          </cell>
          <cell r="AR28">
            <v>806.81731851486848</v>
          </cell>
          <cell r="AS28">
            <v>822.95366488516584</v>
          </cell>
          <cell r="AT28">
            <v>839.41273818286913</v>
          </cell>
          <cell r="AU28">
            <v>856.20099294652653</v>
          </cell>
          <cell r="AV28">
            <v>873.32501280545705</v>
          </cell>
          <cell r="AW28">
            <v>890.79151306156621</v>
          </cell>
          <cell r="AX28">
            <v>908.60734332279753</v>
          </cell>
          <cell r="AY28">
            <v>926.77949018925347</v>
          </cell>
          <cell r="AZ28">
            <v>945.31507999303858</v>
          </cell>
          <cell r="BA28">
            <v>964.22138159289932</v>
          </cell>
        </row>
        <row r="29">
          <cell r="Y29">
            <v>279.4473841926573</v>
          </cell>
          <cell r="Z29">
            <v>307.39212261192301</v>
          </cell>
          <cell r="AA29">
            <v>338.13133487311529</v>
          </cell>
          <cell r="AB29">
            <v>371.94446836042681</v>
          </cell>
          <cell r="AC29">
            <v>409.1389151964695</v>
          </cell>
          <cell r="AD29">
            <v>450.05280671611644</v>
          </cell>
          <cell r="AE29">
            <v>495.05808738772805</v>
          </cell>
          <cell r="AF29">
            <v>544.56389612650082</v>
          </cell>
          <cell r="AG29">
            <v>599.02028573915095</v>
          </cell>
          <cell r="AH29">
            <v>634.96150288349997</v>
          </cell>
          <cell r="AI29">
            <v>673.05919305650991</v>
          </cell>
          <cell r="AJ29">
            <v>713.44274463990052</v>
          </cell>
          <cell r="AK29">
            <v>756.24930931829454</v>
          </cell>
          <cell r="AL29">
            <v>801.62426787739219</v>
          </cell>
          <cell r="AM29">
            <v>849.72172395003577</v>
          </cell>
          <cell r="AN29">
            <v>900.70502738703794</v>
          </cell>
          <cell r="AO29">
            <v>954.74732903026018</v>
          </cell>
          <cell r="AP29">
            <v>1012.0321687720758</v>
          </cell>
          <cell r="AQ29">
            <v>1072.7540988984003</v>
          </cell>
          <cell r="AR29">
            <v>1094.2091808763685</v>
          </cell>
          <cell r="AS29">
            <v>1116.0933644938959</v>
          </cell>
          <cell r="AT29">
            <v>1138.4152317837738</v>
          </cell>
          <cell r="AU29">
            <v>1161.1835364194494</v>
          </cell>
          <cell r="AV29">
            <v>1184.4072071478383</v>
          </cell>
          <cell r="AW29">
            <v>1208.0953512907952</v>
          </cell>
          <cell r="AX29">
            <v>1232.2572583166111</v>
          </cell>
          <cell r="AY29">
            <v>1256.9024034829433</v>
          </cell>
          <cell r="AZ29">
            <v>1282.0404515526022</v>
          </cell>
          <cell r="BA29">
            <v>1307.6812605836542</v>
          </cell>
        </row>
        <row r="30">
          <cell r="Y30">
            <v>85.729283632838886</v>
          </cell>
          <cell r="Z30">
            <v>94.302211996122779</v>
          </cell>
          <cell r="AA30">
            <v>103.73243319573506</v>
          </cell>
          <cell r="AB30">
            <v>114.10567651530856</v>
          </cell>
          <cell r="AC30">
            <v>125.51624416683941</v>
          </cell>
          <cell r="AD30">
            <v>138.06786858352336</v>
          </cell>
          <cell r="AE30">
            <v>151.87465544187569</v>
          </cell>
          <cell r="AF30">
            <v>167.06212098606326</v>
          </cell>
          <cell r="AG30">
            <v>183.76833308466959</v>
          </cell>
          <cell r="AH30">
            <v>194.79443306974977</v>
          </cell>
          <cell r="AI30">
            <v>206.48209905393475</v>
          </cell>
          <cell r="AJ30">
            <v>218.87102499717082</v>
          </cell>
          <cell r="AK30">
            <v>232.00328649700106</v>
          </cell>
          <cell r="AL30">
            <v>245.92348368682113</v>
          </cell>
          <cell r="AM30">
            <v>260.67889270803039</v>
          </cell>
          <cell r="AN30">
            <v>276.31962627051223</v>
          </cell>
          <cell r="AO30">
            <v>292.89880384674296</v>
          </cell>
          <cell r="AP30">
            <v>310.47273207754756</v>
          </cell>
          <cell r="AQ30">
            <v>329.10109600220039</v>
          </cell>
          <cell r="AR30">
            <v>335.68311792224438</v>
          </cell>
          <cell r="AS30">
            <v>342.39678028068926</v>
          </cell>
          <cell r="AT30">
            <v>349.24471588630303</v>
          </cell>
          <cell r="AU30">
            <v>356.22961020402909</v>
          </cell>
          <cell r="AV30">
            <v>363.35420240810964</v>
          </cell>
          <cell r="AW30">
            <v>370.62128645627183</v>
          </cell>
          <cell r="AX30">
            <v>378.03371218539729</v>
          </cell>
          <cell r="AY30">
            <v>385.59438642910521</v>
          </cell>
          <cell r="AZ30">
            <v>393.30627415768731</v>
          </cell>
          <cell r="BA30">
            <v>401.17239964084104</v>
          </cell>
        </row>
        <row r="31">
          <cell r="Y31">
            <v>49.331938651879213</v>
          </cell>
          <cell r="Z31">
            <v>54.265132517067137</v>
          </cell>
          <cell r="AA31">
            <v>59.691645768773853</v>
          </cell>
          <cell r="AB31">
            <v>65.660810345651242</v>
          </cell>
          <cell r="AC31">
            <v>72.226891380216372</v>
          </cell>
          <cell r="AD31">
            <v>79.449580518238008</v>
          </cell>
          <cell r="AE31">
            <v>87.394538570061812</v>
          </cell>
          <cell r="AF31">
            <v>96.133992427067994</v>
          </cell>
          <cell r="AG31">
            <v>105.7473916697748</v>
          </cell>
          <cell r="AH31">
            <v>112.09223516996128</v>
          </cell>
          <cell r="AI31">
            <v>118.81776928015896</v>
          </cell>
          <cell r="AJ31">
            <v>125.9468354369685</v>
          </cell>
          <cell r="AK31">
            <v>133.50364556318661</v>
          </cell>
          <cell r="AL31">
            <v>141.5138642969778</v>
          </cell>
          <cell r="AM31">
            <v>150.00469615479648</v>
          </cell>
          <cell r="AN31">
            <v>159.00497792408427</v>
          </cell>
          <cell r="AO31">
            <v>168.54527659952933</v>
          </cell>
          <cell r="AP31">
            <v>178.65799319550109</v>
          </cell>
          <cell r="AQ31">
            <v>189.37747278723117</v>
          </cell>
          <cell r="AR31">
            <v>193.16502224297579</v>
          </cell>
          <cell r="AS31">
            <v>197.0283226878353</v>
          </cell>
          <cell r="AT31">
            <v>200.968889141592</v>
          </cell>
          <cell r="AU31">
            <v>204.98826692442384</v>
          </cell>
          <cell r="AV31">
            <v>209.08803226291232</v>
          </cell>
          <cell r="AW31">
            <v>213.26979290817056</v>
          </cell>
          <cell r="AX31">
            <v>217.53518876633396</v>
          </cell>
          <cell r="AY31">
            <v>221.88589254166064</v>
          </cell>
          <cell r="AZ31">
            <v>226.32361039249386</v>
          </cell>
          <cell r="BA31">
            <v>230.85008260034374</v>
          </cell>
        </row>
        <row r="32">
          <cell r="Y32">
            <v>3570.8502666857203</v>
          </cell>
          <cell r="Z32">
            <v>3927.9352933542923</v>
          </cell>
          <cell r="AA32">
            <v>4320.7288226897217</v>
          </cell>
          <cell r="AB32">
            <v>4752.8017049586942</v>
          </cell>
          <cell r="AC32">
            <v>5228.0818754545635</v>
          </cell>
          <cell r="AD32">
            <v>5750.8900630000198</v>
          </cell>
          <cell r="AE32">
            <v>6325.9790693000214</v>
          </cell>
          <cell r="AF32">
            <v>6958.5769762300233</v>
          </cell>
          <cell r="AG32">
            <v>7654.4346738530257</v>
          </cell>
          <cell r="AH32">
            <v>8113.7007542842075</v>
          </cell>
          <cell r="AI32">
            <v>8600.5227995412606</v>
          </cell>
          <cell r="AJ32">
            <v>9116.5541675137356</v>
          </cell>
          <cell r="AK32">
            <v>9663.5474175645595</v>
          </cell>
          <cell r="AL32">
            <v>10243.360262618433</v>
          </cell>
          <cell r="AM32">
            <v>10857.96187837554</v>
          </cell>
          <cell r="AN32">
            <v>11509.439591078071</v>
          </cell>
          <cell r="AO32">
            <v>12200.005966542756</v>
          </cell>
          <cell r="AP32">
            <v>12932.006324535321</v>
          </cell>
          <cell r="AQ32">
            <v>13707.926704007441</v>
          </cell>
          <cell r="AR32">
            <v>13982.085238087589</v>
          </cell>
          <cell r="AS32">
            <v>14261.726942849342</v>
          </cell>
          <cell r="AT32">
            <v>14546.961481706328</v>
          </cell>
          <cell r="AU32">
            <v>14837.900711340455</v>
          </cell>
          <cell r="AV32">
            <v>15134.658725567264</v>
          </cell>
          <cell r="AW32">
            <v>15437.351900078609</v>
          </cell>
          <cell r="AX32">
            <v>15746.098938080182</v>
          </cell>
          <cell r="AY32">
            <v>16061.020916841786</v>
          </cell>
          <cell r="AZ32">
            <v>16382.241335178622</v>
          </cell>
          <cell r="BA32">
            <v>16709.886161882194</v>
          </cell>
        </row>
        <row r="33">
          <cell r="Y33">
            <v>1061.8398990313026</v>
          </cell>
          <cell r="Z33">
            <v>1168.0238889344328</v>
          </cell>
          <cell r="AA33">
            <v>1284.8262778278761</v>
          </cell>
          <cell r="AB33">
            <v>1413.3089056106637</v>
          </cell>
          <cell r="AC33">
            <v>1554.63979617173</v>
          </cell>
          <cell r="AD33">
            <v>1710.103775788903</v>
          </cell>
          <cell r="AE33">
            <v>1881.1141533677933</v>
          </cell>
          <cell r="AF33">
            <v>2069.2255687045727</v>
          </cell>
          <cell r="AG33">
            <v>2276.14812557503</v>
          </cell>
          <cell r="AH33">
            <v>2412.7170131095318</v>
          </cell>
          <cell r="AI33">
            <v>2557.4800338961036</v>
          </cell>
          <cell r="AJ33">
            <v>2710.9288359298698</v>
          </cell>
          <cell r="AK33">
            <v>2873.5845660856621</v>
          </cell>
          <cell r="AL33">
            <v>3045.9996400508016</v>
          </cell>
          <cell r="AM33">
            <v>3228.7596184538497</v>
          </cell>
          <cell r="AN33">
            <v>3422.4851955610807</v>
          </cell>
          <cell r="AO33">
            <v>3627.8343072947455</v>
          </cell>
          <cell r="AP33">
            <v>3845.5043657324304</v>
          </cell>
          <cell r="AQ33">
            <v>4076.234627676376</v>
          </cell>
          <cell r="AR33">
            <v>4157.7593202299031</v>
          </cell>
          <cell r="AS33">
            <v>4240.9145066345009</v>
          </cell>
          <cell r="AT33">
            <v>4325.7327967671908</v>
          </cell>
          <cell r="AU33">
            <v>4412.2474527025342</v>
          </cell>
          <cell r="AV33">
            <v>4500.4924017565845</v>
          </cell>
          <cell r="AW33">
            <v>4590.5022497917162</v>
          </cell>
          <cell r="AX33">
            <v>4682.3122947875509</v>
          </cell>
          <cell r="AY33">
            <v>4775.9585406833021</v>
          </cell>
          <cell r="AZ33">
            <v>4871.4777114969684</v>
          </cell>
          <cell r="BA33">
            <v>4968.907265726908</v>
          </cell>
        </row>
        <row r="34">
          <cell r="Y34">
            <v>6270.5706898602084</v>
          </cell>
          <cell r="Z34">
            <v>6897.627758846229</v>
          </cell>
          <cell r="AA34">
            <v>7587.3905347308519</v>
          </cell>
          <cell r="AB34">
            <v>8346.1295882039376</v>
          </cell>
          <cell r="AC34">
            <v>9180.7425470243306</v>
          </cell>
          <cell r="AD34">
            <v>10098.816801726764</v>
          </cell>
          <cell r="AE34">
            <v>11108.698481899441</v>
          </cell>
          <cell r="AF34">
            <v>12219.568330089385</v>
          </cell>
          <cell r="AG34">
            <v>13441.525163098324</v>
          </cell>
          <cell r="AH34">
            <v>14248.016672884223</v>
          </cell>
          <cell r="AI34">
            <v>15102.897673257277</v>
          </cell>
          <cell r="AJ34">
            <v>16009.071533652714</v>
          </cell>
          <cell r="AK34">
            <v>16969.615825671877</v>
          </cell>
          <cell r="AL34">
            <v>17987.79277521219</v>
          </cell>
          <cell r="AM34">
            <v>19067.060341724922</v>
          </cell>
          <cell r="AN34">
            <v>20211.083962228418</v>
          </cell>
          <cell r="AO34">
            <v>21423.748999962125</v>
          </cell>
          <cell r="AP34">
            <v>22709.173939959852</v>
          </cell>
          <cell r="AQ34">
            <v>24071.724376357444</v>
          </cell>
          <cell r="AR34">
            <v>24553.158863884593</v>
          </cell>
          <cell r="AS34">
            <v>25044.222041162284</v>
          </cell>
          <cell r="AT34">
            <v>25545.106481985531</v>
          </cell>
          <cell r="AU34">
            <v>26056.008611625242</v>
          </cell>
          <cell r="AV34">
            <v>26577.128783857748</v>
          </cell>
          <cell r="AW34">
            <v>27108.671359534903</v>
          </cell>
          <cell r="AX34">
            <v>27650.8447867256</v>
          </cell>
          <cell r="AY34">
            <v>28203.861682460112</v>
          </cell>
          <cell r="AZ34">
            <v>28767.938916109313</v>
          </cell>
          <cell r="BA34">
            <v>29343.297694431498</v>
          </cell>
        </row>
        <row r="35">
          <cell r="Y35">
            <v>863.30892640788625</v>
          </cell>
          <cell r="Z35">
            <v>949.63981904867489</v>
          </cell>
          <cell r="AA35">
            <v>1044.6038009535423</v>
          </cell>
          <cell r="AB35">
            <v>1149.0641810488964</v>
          </cell>
          <cell r="AC35">
            <v>1263.970599153786</v>
          </cell>
          <cell r="AD35">
            <v>1390.3676590691646</v>
          </cell>
          <cell r="AE35">
            <v>1529.4044249760809</v>
          </cell>
          <cell r="AF35">
            <v>1682.344867473689</v>
          </cell>
          <cell r="AG35">
            <v>1850.5793542210579</v>
          </cell>
          <cell r="AH35">
            <v>1961.6141154743214</v>
          </cell>
          <cell r="AI35">
            <v>2079.3109624027807</v>
          </cell>
          <cell r="AJ35">
            <v>2204.0696201469473</v>
          </cell>
          <cell r="AK35">
            <v>2336.3137973557641</v>
          </cell>
          <cell r="AL35">
            <v>2476.4926251971101</v>
          </cell>
          <cell r="AM35">
            <v>2625.0821827089367</v>
          </cell>
          <cell r="AN35">
            <v>2782.5871136714727</v>
          </cell>
          <cell r="AO35">
            <v>2949.542340491761</v>
          </cell>
          <cell r="AP35">
            <v>3126.5148809212665</v>
          </cell>
          <cell r="AQ35">
            <v>3314.1057737765423</v>
          </cell>
          <cell r="AR35">
            <v>3380.3878892520729</v>
          </cell>
          <cell r="AS35">
            <v>3447.9956470371144</v>
          </cell>
          <cell r="AT35">
            <v>3516.9555599778569</v>
          </cell>
          <cell r="AU35">
            <v>3587.2946711774139</v>
          </cell>
          <cell r="AV35">
            <v>3659.0405646009622</v>
          </cell>
          <cell r="AW35">
            <v>3732.2213758929815</v>
          </cell>
          <cell r="AX35">
            <v>3806.8658034108412</v>
          </cell>
          <cell r="AY35">
            <v>3883.0031194790581</v>
          </cell>
          <cell r="AZ35">
            <v>3960.6631818686392</v>
          </cell>
          <cell r="BA35">
            <v>4039.8764455060118</v>
          </cell>
        </row>
        <row r="36">
          <cell r="Y36">
            <v>2067.7301603232791</v>
          </cell>
          <cell r="Z36">
            <v>2274.5031763556071</v>
          </cell>
          <cell r="AA36">
            <v>2501.9534939911678</v>
          </cell>
          <cell r="AB36">
            <v>2752.1488433902846</v>
          </cell>
          <cell r="AC36">
            <v>3027.3637277293128</v>
          </cell>
          <cell r="AD36">
            <v>3330.100100502244</v>
          </cell>
          <cell r="AE36">
            <v>3663.1101105524685</v>
          </cell>
          <cell r="AF36">
            <v>4029.4211216077156</v>
          </cell>
          <cell r="AG36">
            <v>4432.3632337684867</v>
          </cell>
          <cell r="AH36">
            <v>4698.3050277945958</v>
          </cell>
          <cell r="AI36">
            <v>4980.2033294622715</v>
          </cell>
          <cell r="AJ36">
            <v>5279.0155292300078</v>
          </cell>
          <cell r="AK36">
            <v>5595.7564609838082</v>
          </cell>
          <cell r="AL36">
            <v>5931.5018486428371</v>
          </cell>
          <cell r="AM36">
            <v>6287.391959561407</v>
          </cell>
          <cell r="AN36">
            <v>6664.6354771350916</v>
          </cell>
          <cell r="AO36">
            <v>7064.5136057631971</v>
          </cell>
          <cell r="AP36">
            <v>7488.3844221089894</v>
          </cell>
          <cell r="AQ36">
            <v>7937.687487435529</v>
          </cell>
          <cell r="AR36">
            <v>8096.44123718424</v>
          </cell>
          <cell r="AS36">
            <v>8258.3700619279243</v>
          </cell>
          <cell r="AT36">
            <v>8423.5374631664836</v>
          </cell>
          <cell r="AU36">
            <v>8592.0082124298133</v>
          </cell>
          <cell r="AV36">
            <v>8763.8483766784102</v>
          </cell>
          <cell r="AW36">
            <v>8939.1253442119778</v>
          </cell>
          <cell r="AX36">
            <v>9117.9078510962172</v>
          </cell>
          <cell r="AY36">
            <v>9300.2660081181421</v>
          </cell>
          <cell r="AZ36">
            <v>9486.2713282805053</v>
          </cell>
          <cell r="BA36">
            <v>9675.9967548461154</v>
          </cell>
        </row>
        <row r="37">
          <cell r="Y37">
            <v>682.82622402296226</v>
          </cell>
          <cell r="Z37">
            <v>751.10884642525843</v>
          </cell>
          <cell r="AA37">
            <v>826.21973106778432</v>
          </cell>
          <cell r="AB37">
            <v>908.84170417456278</v>
          </cell>
          <cell r="AC37">
            <v>999.72587459201907</v>
          </cell>
          <cell r="AD37">
            <v>1099.698462051221</v>
          </cell>
          <cell r="AE37">
            <v>1209.6683082563432</v>
          </cell>
          <cell r="AF37">
            <v>1330.6351390819775</v>
          </cell>
          <cell r="AG37">
            <v>1463.6986529901753</v>
          </cell>
          <cell r="AH37">
            <v>1551.5205721695859</v>
          </cell>
          <cell r="AI37">
            <v>1644.6118064997611</v>
          </cell>
          <cell r="AJ37">
            <v>1743.2885148897467</v>
          </cell>
          <cell r="AK37">
            <v>1847.8858257831314</v>
          </cell>
          <cell r="AL37">
            <v>1958.7589753301193</v>
          </cell>
          <cell r="AM37">
            <v>2076.2845138499265</v>
          </cell>
          <cell r="AN37">
            <v>2200.8615846809221</v>
          </cell>
          <cell r="AO37">
            <v>2332.9132797617776</v>
          </cell>
          <cell r="AP37">
            <v>2472.8880765474842</v>
          </cell>
          <cell r="AQ37">
            <v>2621.2613611403331</v>
          </cell>
          <cell r="AR37">
            <v>2673.6865883631399</v>
          </cell>
          <cell r="AS37">
            <v>2727.1603201304029</v>
          </cell>
          <cell r="AT37">
            <v>2781.703526533011</v>
          </cell>
          <cell r="AU37">
            <v>2837.3375970636712</v>
          </cell>
          <cell r="AV37">
            <v>2894.0843490049447</v>
          </cell>
          <cell r="AW37">
            <v>2951.9660359850436</v>
          </cell>
          <cell r="AX37">
            <v>3011.0053567047444</v>
          </cell>
          <cell r="AY37">
            <v>3071.2254638388395</v>
          </cell>
          <cell r="AZ37">
            <v>3132.6499731156164</v>
          </cell>
          <cell r="BA37">
            <v>3195.3029725779288</v>
          </cell>
        </row>
        <row r="38">
          <cell r="Y38">
            <v>265.91118151378799</v>
          </cell>
          <cell r="Z38">
            <v>292.50229966516679</v>
          </cell>
          <cell r="AA38">
            <v>321.75252963168344</v>
          </cell>
          <cell r="AB38">
            <v>353.92778259485181</v>
          </cell>
          <cell r="AC38">
            <v>389.32056085433697</v>
          </cell>
          <cell r="AD38">
            <v>428.25261693977069</v>
          </cell>
          <cell r="AE38">
            <v>471.07787863374779</v>
          </cell>
          <cell r="AF38">
            <v>518.18566649712261</v>
          </cell>
          <cell r="AG38">
            <v>570.00423314683485</v>
          </cell>
          <cell r="AH38">
            <v>604.20448713564497</v>
          </cell>
          <cell r="AI38">
            <v>640.45675636378371</v>
          </cell>
          <cell r="AJ38">
            <v>678.88416174561075</v>
          </cell>
          <cell r="AK38">
            <v>719.61721145034744</v>
          </cell>
          <cell r="AL38">
            <v>762.79424413736831</v>
          </cell>
          <cell r="AM38">
            <v>808.56189878561042</v>
          </cell>
          <cell r="AN38">
            <v>857.07561271274699</v>
          </cell>
          <cell r="AO38">
            <v>908.50014947551176</v>
          </cell>
          <cell r="AP38">
            <v>963.01015844404242</v>
          </cell>
          <cell r="AQ38">
            <v>1020.790767950685</v>
          </cell>
          <cell r="AR38">
            <v>1041.2065833096988</v>
          </cell>
          <cell r="AS38">
            <v>1062.0307149758928</v>
          </cell>
          <cell r="AT38">
            <v>1083.2713292754106</v>
          </cell>
          <cell r="AU38">
            <v>1104.9367558609188</v>
          </cell>
          <cell r="AV38">
            <v>1127.0354909781372</v>
          </cell>
          <cell r="AW38">
            <v>1149.5762007977</v>
          </cell>
          <cell r="AX38">
            <v>1172.567724813654</v>
          </cell>
          <cell r="AY38">
            <v>1196.0190793099271</v>
          </cell>
          <cell r="AZ38">
            <v>1219.9394608961256</v>
          </cell>
          <cell r="BA38">
            <v>1244.3382501140482</v>
          </cell>
        </row>
        <row r="39">
          <cell r="Y39">
            <v>4715.8489548355419</v>
          </cell>
          <cell r="Z39">
            <v>5187.4338503190957</v>
          </cell>
          <cell r="AA39">
            <v>5706.177235351005</v>
          </cell>
          <cell r="AB39">
            <v>6276.7949588861056</v>
          </cell>
          <cell r="AC39">
            <v>6904.4744547747159</v>
          </cell>
          <cell r="AD39">
            <v>7594.9219002521877</v>
          </cell>
          <cell r="AE39">
            <v>8354.414090277407</v>
          </cell>
          <cell r="AF39">
            <v>9189.8554993051475</v>
          </cell>
          <cell r="AG39">
            <v>10108.841049235662</v>
          </cell>
          <cell r="AH39">
            <v>10715.371512189802</v>
          </cell>
          <cell r="AI39">
            <v>11358.293802921191</v>
          </cell>
          <cell r="AJ39">
            <v>12039.791431096462</v>
          </cell>
          <cell r="AK39">
            <v>12762.17891696225</v>
          </cell>
          <cell r="AL39">
            <v>13527.909651979984</v>
          </cell>
          <cell r="AM39">
            <v>14339.584231098783</v>
          </cell>
          <cell r="AN39">
            <v>15199.959284964709</v>
          </cell>
          <cell r="AO39">
            <v>16111.956842062591</v>
          </cell>
          <cell r="AP39">
            <v>17078.674252586345</v>
          </cell>
          <cell r="AQ39">
            <v>18103.394707741525</v>
          </cell>
          <cell r="AR39">
            <v>18465.462601896357</v>
          </cell>
          <cell r="AS39">
            <v>18834.771853934286</v>
          </cell>
          <cell r="AT39">
            <v>19211.46729101297</v>
          </cell>
          <cell r="AU39">
            <v>19595.696636833229</v>
          </cell>
          <cell r="AV39">
            <v>19987.610569569893</v>
          </cell>
          <cell r="AW39">
            <v>20387.362780961292</v>
          </cell>
          <cell r="AX39">
            <v>20795.110036580518</v>
          </cell>
          <cell r="AY39">
            <v>21211.012237312127</v>
          </cell>
          <cell r="AZ39">
            <v>21635.232482058371</v>
          </cell>
          <cell r="BA39">
            <v>22067.937131699538</v>
          </cell>
        </row>
        <row r="40">
          <cell r="Y40">
            <v>3418.7015449595556</v>
          </cell>
          <cell r="Z40">
            <v>3760.5716994555114</v>
          </cell>
          <cell r="AA40">
            <v>4136.6288694010627</v>
          </cell>
          <cell r="AB40">
            <v>4550.2917563411693</v>
          </cell>
          <cell r="AC40">
            <v>5005.3209319752859</v>
          </cell>
          <cell r="AD40">
            <v>5505.8530251728143</v>
          </cell>
          <cell r="AE40">
            <v>6056.4383276900953</v>
          </cell>
          <cell r="AF40">
            <v>6662.0821604591047</v>
          </cell>
          <cell r="AG40">
            <v>7328.290376505015</v>
          </cell>
          <cell r="AH40">
            <v>7767.9877990953155</v>
          </cell>
          <cell r="AI40">
            <v>8234.0670670410345</v>
          </cell>
          <cell r="AJ40">
            <v>8728.1110910634961</v>
          </cell>
          <cell r="AK40">
            <v>9251.7977565273068</v>
          </cell>
          <cell r="AL40">
            <v>9806.9056219189442</v>
          </cell>
          <cell r="AM40">
            <v>10395.319959234081</v>
          </cell>
          <cell r="AN40">
            <v>11019.039156788125</v>
          </cell>
          <cell r="AO40">
            <v>11680.181506195413</v>
          </cell>
          <cell r="AP40">
            <v>12380.992396567137</v>
          </cell>
          <cell r="AQ40">
            <v>13123.851940361164</v>
          </cell>
          <cell r="AR40">
            <v>13386.328979168387</v>
          </cell>
          <cell r="AS40">
            <v>13654.055558751756</v>
          </cell>
          <cell r="AT40">
            <v>13927.136669926791</v>
          </cell>
          <cell r="AU40">
            <v>14205.679403325326</v>
          </cell>
          <cell r="AV40">
            <v>14489.792991391832</v>
          </cell>
          <cell r="AW40">
            <v>14779.588851219669</v>
          </cell>
          <cell r="AX40">
            <v>15075.180628244063</v>
          </cell>
          <cell r="AY40">
            <v>15376.684240808945</v>
          </cell>
          <cell r="AZ40">
            <v>15684.217925625124</v>
          </cell>
          <cell r="BA40">
            <v>15997.902284137626</v>
          </cell>
        </row>
        <row r="41">
          <cell r="Y41">
            <v>1989.8217937937868</v>
          </cell>
          <cell r="Z41">
            <v>2188.8039731731656</v>
          </cell>
          <cell r="AA41">
            <v>2407.6843704904823</v>
          </cell>
          <cell r="AB41">
            <v>2648.4528075395306</v>
          </cell>
          <cell r="AC41">
            <v>2913.2980882934835</v>
          </cell>
          <cell r="AD41">
            <v>3204.6278971228317</v>
          </cell>
          <cell r="AE41">
            <v>3525.0906868351149</v>
          </cell>
          <cell r="AF41">
            <v>3877.5997555186264</v>
          </cell>
          <cell r="AG41">
            <v>4265.359731070489</v>
          </cell>
          <cell r="AH41">
            <v>4521.2813149347185</v>
          </cell>
          <cell r="AI41">
            <v>4792.5581938308014</v>
          </cell>
          <cell r="AJ41">
            <v>5080.1116854606498</v>
          </cell>
          <cell r="AK41">
            <v>5384.9183865882887</v>
          </cell>
          <cell r="AL41">
            <v>5708.013489783586</v>
          </cell>
          <cell r="AM41">
            <v>6050.4942991706012</v>
          </cell>
          <cell r="AN41">
            <v>6413.5239571208376</v>
          </cell>
          <cell r="AO41">
            <v>6798.3353945480876</v>
          </cell>
          <cell r="AP41">
            <v>7206.2355182209731</v>
          </cell>
          <cell r="AQ41">
            <v>7638.6096493142313</v>
          </cell>
          <cell r="AR41">
            <v>7791.3818423005159</v>
          </cell>
          <cell r="AS41">
            <v>7947.2094791465261</v>
          </cell>
          <cell r="AT41">
            <v>8106.1536687294565</v>
          </cell>
          <cell r="AU41">
            <v>8268.2767421040462</v>
          </cell>
          <cell r="AV41">
            <v>8433.6422769461278</v>
          </cell>
          <cell r="AW41">
            <v>8602.3151224850499</v>
          </cell>
          <cell r="AX41">
            <v>8774.3614249347502</v>
          </cell>
          <cell r="AY41">
            <v>8949.8486534334443</v>
          </cell>
          <cell r="AZ41">
            <v>9128.8456265021123</v>
          </cell>
          <cell r="BA41">
            <v>9311.4225390321553</v>
          </cell>
        </row>
        <row r="42">
          <cell r="Y42">
            <v>13077.06370813717</v>
          </cell>
          <cell r="Z42">
            <v>14384.770078950887</v>
          </cell>
          <cell r="AA42">
            <v>15823.247086845975</v>
          </cell>
          <cell r="AB42">
            <v>17405.571795530574</v>
          </cell>
          <cell r="AC42">
            <v>19146.128975083629</v>
          </cell>
          <cell r="AD42">
            <v>21060.741872591992</v>
          </cell>
          <cell r="AE42">
            <v>23166.816059851193</v>
          </cell>
          <cell r="AF42">
            <v>25483.497665836312</v>
          </cell>
          <cell r="AG42">
            <v>28031.847432419941</v>
          </cell>
          <cell r="AH42">
            <v>29713.758278365138</v>
          </cell>
          <cell r="AI42">
            <v>31496.583775067047</v>
          </cell>
          <cell r="AJ42">
            <v>33386.378801571067</v>
          </cell>
          <cell r="AK42">
            <v>35389.561529665334</v>
          </cell>
          <cell r="AL42">
            <v>37512.935221445252</v>
          </cell>
          <cell r="AM42">
            <v>39763.711334731968</v>
          </cell>
          <cell r="AN42">
            <v>42149.534014815887</v>
          </cell>
          <cell r="AO42">
            <v>44678.506055704842</v>
          </cell>
          <cell r="AP42">
            <v>47359.21641904713</v>
          </cell>
          <cell r="AQ42">
            <v>50200.769404189959</v>
          </cell>
          <cell r="AR42">
            <v>51204.784792273756</v>
          </cell>
          <cell r="AS42">
            <v>52228.880488119234</v>
          </cell>
          <cell r="AT42">
            <v>53273.458097881616</v>
          </cell>
          <cell r="AU42">
            <v>54338.927259839249</v>
          </cell>
          <cell r="AV42">
            <v>55425.705805036036</v>
          </cell>
          <cell r="AW42">
            <v>56534.219921136755</v>
          </cell>
          <cell r="AX42">
            <v>57664.904319559493</v>
          </cell>
          <cell r="AY42">
            <v>58818.20240595068</v>
          </cell>
          <cell r="AZ42">
            <v>59994.566454069696</v>
          </cell>
          <cell r="BA42">
            <v>61194.457783151091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12">
          <cell r="AC12">
            <v>25.538239999999998</v>
          </cell>
          <cell r="AD12">
            <v>12.769119999999999</v>
          </cell>
          <cell r="AE12">
            <v>3.1922800000000002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</row>
        <row r="13">
          <cell r="AC13">
            <v>25.954239999999999</v>
          </cell>
          <cell r="AD13">
            <v>12.977119999999999</v>
          </cell>
          <cell r="AE13">
            <v>3.2442799999999998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</row>
        <row r="14">
          <cell r="AC14">
            <v>4.1683199999999996</v>
          </cell>
          <cell r="AD14">
            <v>2.0841599999999998</v>
          </cell>
          <cell r="AE14">
            <v>0.52103999999999995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</row>
        <row r="15">
          <cell r="AC15">
            <v>4.3638399999999997</v>
          </cell>
          <cell r="AD15">
            <v>2.1819199999999999</v>
          </cell>
          <cell r="AE15">
            <v>0.54547999999999996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AC16">
            <v>0.81952000000000003</v>
          </cell>
          <cell r="AD16">
            <v>0.40976000000000001</v>
          </cell>
          <cell r="AE16">
            <v>0.10243999999999998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</row>
        <row r="17">
          <cell r="AC17">
            <v>21.656959999999998</v>
          </cell>
          <cell r="AD17">
            <v>10.828479999999999</v>
          </cell>
          <cell r="AE17">
            <v>2.7071199999999997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AC18">
            <v>21.274239999999999</v>
          </cell>
          <cell r="AD18">
            <v>10.637119999999999</v>
          </cell>
          <cell r="AE18">
            <v>2.6592799999999999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</row>
        <row r="19">
          <cell r="AC19">
            <v>2.1631999999999998</v>
          </cell>
          <cell r="AD19">
            <v>1.0815999999999999</v>
          </cell>
          <cell r="AE19">
            <v>0.27039999999999997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</row>
        <row r="20">
          <cell r="AC20">
            <v>16.914560000000002</v>
          </cell>
          <cell r="AD20">
            <v>8.4572800000000008</v>
          </cell>
          <cell r="AE20">
            <v>2.1143200000000002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</row>
        <row r="21"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</row>
        <row r="22">
          <cell r="AC22">
            <v>113.09861910002562</v>
          </cell>
          <cell r="AD22">
            <v>56.549309550012808</v>
          </cell>
          <cell r="AE22">
            <v>14.137327387503206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</row>
        <row r="23">
          <cell r="AC23">
            <v>11.947520000000001</v>
          </cell>
          <cell r="AD23">
            <v>5.9737600000000004</v>
          </cell>
          <cell r="AE23">
            <v>1.4934399999999997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</row>
        <row r="24">
          <cell r="AC24">
            <v>13.199680000000001</v>
          </cell>
          <cell r="AD24">
            <v>6.5998400000000004</v>
          </cell>
          <cell r="AE24">
            <v>1.6499600000000001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</row>
        <row r="25">
          <cell r="AC25">
            <v>1.4139839999999997</v>
          </cell>
          <cell r="AD25">
            <v>0.70699199999999984</v>
          </cell>
          <cell r="AE25">
            <v>0.17674799999999991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6">
          <cell r="AC26">
            <v>15.35872</v>
          </cell>
          <cell r="AD26">
            <v>7.67936</v>
          </cell>
          <cell r="AE26">
            <v>1.9198399999999998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</row>
        <row r="27">
          <cell r="AC27">
            <v>134.60095999999999</v>
          </cell>
          <cell r="AD27">
            <v>67.300479999999993</v>
          </cell>
          <cell r="AE27">
            <v>16.825119999999998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AC28">
            <v>2.8495999999999997</v>
          </cell>
          <cell r="AD28">
            <v>1.4247999999999998</v>
          </cell>
          <cell r="AE28">
            <v>0.35619999999999985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</row>
        <row r="29">
          <cell r="AC29">
            <v>3.8646400000000001</v>
          </cell>
          <cell r="AD29">
            <v>1.93232</v>
          </cell>
          <cell r="AE29">
            <v>0.48307999999999995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</row>
        <row r="30">
          <cell r="AC30">
            <v>1.1856</v>
          </cell>
          <cell r="AD30">
            <v>0.59279999999999999</v>
          </cell>
          <cell r="AE30">
            <v>0.1482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</row>
        <row r="31">
          <cell r="AC31">
            <v>0.68223999999999996</v>
          </cell>
          <cell r="AD31">
            <v>0.34111999999999998</v>
          </cell>
          <cell r="AE31">
            <v>8.5280000000000022E-2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</row>
        <row r="32">
          <cell r="AC32">
            <v>49.383359999999996</v>
          </cell>
          <cell r="AD32">
            <v>24.691679999999998</v>
          </cell>
          <cell r="AE32">
            <v>6.1729199999999977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AC33">
            <v>14.684799999999999</v>
          </cell>
          <cell r="AD33">
            <v>7.3423999999999996</v>
          </cell>
          <cell r="AE33">
            <v>1.8355999999999995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</row>
        <row r="34">
          <cell r="AC34">
            <v>86.719359999999995</v>
          </cell>
          <cell r="AD34">
            <v>43.359679999999997</v>
          </cell>
          <cell r="AE34">
            <v>10.839919999999999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</row>
        <row r="35">
          <cell r="AC35">
            <v>11.9392</v>
          </cell>
          <cell r="AD35">
            <v>5.9695999999999998</v>
          </cell>
          <cell r="AE35">
            <v>1.4923999999999999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</row>
        <row r="36">
          <cell r="AC36">
            <v>28.595839999999999</v>
          </cell>
          <cell r="AD36">
            <v>14.29792</v>
          </cell>
          <cell r="AE36">
            <v>3.5744799999999994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</row>
        <row r="37">
          <cell r="AC37">
            <v>9.4432000000000009</v>
          </cell>
          <cell r="AD37">
            <v>4.7216000000000005</v>
          </cell>
          <cell r="AE37">
            <v>1.1804000000000001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</row>
        <row r="38">
          <cell r="AC38">
            <v>3.6774399999999998</v>
          </cell>
          <cell r="AD38">
            <v>1.8387199999999999</v>
          </cell>
          <cell r="AE38">
            <v>0.45968000000000009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AC39">
            <v>222.88429844537777</v>
          </cell>
          <cell r="AD39">
            <v>111.44214922268888</v>
          </cell>
          <cell r="AE39">
            <v>27.860537305672224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</row>
        <row r="40">
          <cell r="AC40">
            <v>38.579174975912522</v>
          </cell>
          <cell r="AD40">
            <v>19.289587487956261</v>
          </cell>
          <cell r="AE40">
            <v>4.8223968719890653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</row>
        <row r="41">
          <cell r="AC41">
            <v>27.518399999999996</v>
          </cell>
          <cell r="AD41">
            <v>13.759199999999998</v>
          </cell>
          <cell r="AE41">
            <v>3.4398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</row>
        <row r="42">
          <cell r="AC42">
            <v>180.85030079999999</v>
          </cell>
          <cell r="AD42">
            <v>90.425150399999993</v>
          </cell>
          <cell r="AE42">
            <v>22.606287600000002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12">
          <cell r="AD12">
            <v>188.44014954017007</v>
          </cell>
          <cell r="AE12">
            <v>184.67134654936666</v>
          </cell>
          <cell r="AF12">
            <v>180.97791961837933</v>
          </cell>
          <cell r="AG12">
            <v>177.35836122601174</v>
          </cell>
          <cell r="AH12">
            <v>173.81119400149151</v>
          </cell>
          <cell r="AI12">
            <v>170.33497012146168</v>
          </cell>
          <cell r="AJ12">
            <v>166.92827071903244</v>
          </cell>
          <cell r="AK12">
            <v>163.5897053046518</v>
          </cell>
          <cell r="AL12">
            <v>160.31791119855876</v>
          </cell>
          <cell r="AM12">
            <v>157.1115529745876</v>
          </cell>
          <cell r="AN12">
            <v>153.96932191509583</v>
          </cell>
          <cell r="AO12">
            <v>150.88993547679391</v>
          </cell>
          <cell r="AP12">
            <v>147.87213676725804</v>
          </cell>
          <cell r="AQ12">
            <v>144.91469403191289</v>
          </cell>
          <cell r="AR12">
            <v>142.01640015127464</v>
          </cell>
          <cell r="AS12">
            <v>139.17607214824915</v>
          </cell>
          <cell r="AT12">
            <v>136.39255070528415</v>
          </cell>
          <cell r="AU12">
            <v>133.66469969117847</v>
          </cell>
          <cell r="AV12">
            <v>132.32805269426669</v>
          </cell>
          <cell r="AW12">
            <v>131.00477216732403</v>
          </cell>
          <cell r="AX12">
            <v>129.69472444565079</v>
          </cell>
          <cell r="AY12">
            <v>128.39777720119429</v>
          </cell>
          <cell r="AZ12">
            <v>127.11379942918235</v>
          </cell>
          <cell r="BA12">
            <v>125.84266143489053</v>
          </cell>
          <cell r="BB12">
            <v>124.58423482054162</v>
          </cell>
          <cell r="BC12">
            <v>123.33839247233621</v>
          </cell>
          <cell r="BD12">
            <v>122.10500854761285</v>
          </cell>
          <cell r="BE12">
            <v>120.88395846213673</v>
          </cell>
          <cell r="BF12">
            <v>119.67511887751536</v>
          </cell>
        </row>
        <row r="13">
          <cell r="AD13">
            <v>191.50970727824094</v>
          </cell>
          <cell r="AE13">
            <v>187.67951313267611</v>
          </cell>
          <cell r="AF13">
            <v>183.92592287002259</v>
          </cell>
          <cell r="AG13">
            <v>180.24740441262213</v>
          </cell>
          <cell r="AH13">
            <v>176.64245632436968</v>
          </cell>
          <cell r="AI13">
            <v>173.10960719788227</v>
          </cell>
          <cell r="AJ13">
            <v>169.64741505392462</v>
          </cell>
          <cell r="AK13">
            <v>166.25446675284613</v>
          </cell>
          <cell r="AL13">
            <v>162.9293774177892</v>
          </cell>
          <cell r="AM13">
            <v>159.67078986943341</v>
          </cell>
          <cell r="AN13">
            <v>156.47737407204474</v>
          </cell>
          <cell r="AO13">
            <v>153.34782659060386</v>
          </cell>
          <cell r="AP13">
            <v>150.28087005879178</v>
          </cell>
          <cell r="AQ13">
            <v>147.27525265761594</v>
          </cell>
          <cell r="AR13">
            <v>144.32974760446362</v>
          </cell>
          <cell r="AS13">
            <v>141.44315265237435</v>
          </cell>
          <cell r="AT13">
            <v>138.61428959932687</v>
          </cell>
          <cell r="AU13">
            <v>135.84200380734032</v>
          </cell>
          <cell r="AV13">
            <v>134.48358376926691</v>
          </cell>
          <cell r="AW13">
            <v>133.13874793157424</v>
          </cell>
          <cell r="AX13">
            <v>131.80736045225851</v>
          </cell>
          <cell r="AY13">
            <v>130.48928684773591</v>
          </cell>
          <cell r="AZ13">
            <v>129.18439397925854</v>
          </cell>
          <cell r="BA13">
            <v>127.89255003946596</v>
          </cell>
          <cell r="BB13">
            <v>126.6136245390713</v>
          </cell>
          <cell r="BC13">
            <v>125.34748829368058</v>
          </cell>
          <cell r="BD13">
            <v>124.09401341074378</v>
          </cell>
          <cell r="BE13">
            <v>122.85307327663635</v>
          </cell>
          <cell r="BF13">
            <v>121.62454254386999</v>
          </cell>
        </row>
        <row r="14">
          <cell r="AD14">
            <v>30.756968535470016</v>
          </cell>
          <cell r="AE14">
            <v>30.141829164760615</v>
          </cell>
          <cell r="AF14">
            <v>29.538992581465404</v>
          </cell>
          <cell r="AG14">
            <v>28.948212729836097</v>
          </cell>
          <cell r="AH14">
            <v>28.369248475239374</v>
          </cell>
          <cell r="AI14">
            <v>27.801863505734588</v>
          </cell>
          <cell r="AJ14">
            <v>27.245826235619894</v>
          </cell>
          <cell r="AK14">
            <v>26.700909710907496</v>
          </cell>
          <cell r="AL14">
            <v>26.166891516689347</v>
          </cell>
          <cell r="AM14">
            <v>25.64355368635556</v>
          </cell>
          <cell r="AN14">
            <v>25.130682612628448</v>
          </cell>
          <cell r="AO14">
            <v>24.628068960375877</v>
          </cell>
          <cell r="AP14">
            <v>24.135507581168358</v>
          </cell>
          <cell r="AQ14">
            <v>23.652797429544989</v>
          </cell>
          <cell r="AR14">
            <v>23.179741480954089</v>
          </cell>
          <cell r="AS14">
            <v>22.716146651335006</v>
          </cell>
          <cell r="AT14">
            <v>22.261823718308307</v>
          </cell>
          <cell r="AU14">
            <v>21.816587243942141</v>
          </cell>
          <cell r="AV14">
            <v>21.59842137150272</v>
          </cell>
          <cell r="AW14">
            <v>21.382437157787692</v>
          </cell>
          <cell r="AX14">
            <v>21.168612786209813</v>
          </cell>
          <cell r="AY14">
            <v>20.956926658347715</v>
          </cell>
          <cell r="AZ14">
            <v>20.74735739176424</v>
          </cell>
          <cell r="BA14">
            <v>20.539883817846597</v>
          </cell>
          <cell r="BB14">
            <v>20.33448497966813</v>
          </cell>
          <cell r="BC14">
            <v>20.131140129871447</v>
          </cell>
          <cell r="BD14">
            <v>19.929828728572733</v>
          </cell>
          <cell r="BE14">
            <v>19.730530441287005</v>
          </cell>
          <cell r="BF14">
            <v>19.533225136874137</v>
          </cell>
        </row>
        <row r="15">
          <cell r="AD15">
            <v>32.199660672363315</v>
          </cell>
          <cell r="AE15">
            <v>31.555667458916048</v>
          </cell>
          <cell r="AF15">
            <v>30.924554109737727</v>
          </cell>
          <cell r="AG15">
            <v>30.306063027542972</v>
          </cell>
          <cell r="AH15">
            <v>29.699941766992112</v>
          </cell>
          <cell r="AI15">
            <v>29.105942931652269</v>
          </cell>
          <cell r="AJ15">
            <v>28.523824073019224</v>
          </cell>
          <cell r="AK15">
            <v>27.953347591558838</v>
          </cell>
          <cell r="AL15">
            <v>27.394280639727661</v>
          </cell>
          <cell r="AM15">
            <v>26.846395026933109</v>
          </cell>
          <cell r="AN15">
            <v>26.309467126394448</v>
          </cell>
          <cell r="AO15">
            <v>25.783277783866559</v>
          </cell>
          <cell r="AP15">
            <v>25.267612228189229</v>
          </cell>
          <cell r="AQ15">
            <v>24.762259983625444</v>
          </cell>
          <cell r="AR15">
            <v>24.267014783952934</v>
          </cell>
          <cell r="AS15">
            <v>23.781674488273875</v>
          </cell>
          <cell r="AT15">
            <v>23.306040998508397</v>
          </cell>
          <cell r="AU15">
            <v>22.839920178538229</v>
          </cell>
          <cell r="AV15">
            <v>22.611520976752846</v>
          </cell>
          <cell r="AW15">
            <v>22.385405766985318</v>
          </cell>
          <cell r="AX15">
            <v>22.161551709315464</v>
          </cell>
          <cell r="AY15">
            <v>21.939936192222309</v>
          </cell>
          <cell r="AZ15">
            <v>21.720536830300084</v>
          </cell>
          <cell r="BA15">
            <v>21.503331461997082</v>
          </cell>
          <cell r="BB15">
            <v>21.288298147377112</v>
          </cell>
          <cell r="BC15">
            <v>21.07541516590334</v>
          </cell>
          <cell r="BD15">
            <v>20.864661014244309</v>
          </cell>
          <cell r="BE15">
            <v>20.656014404101867</v>
          </cell>
          <cell r="BF15">
            <v>20.44945426006085</v>
          </cell>
        </row>
        <row r="16">
          <cell r="AD16">
            <v>6.0470287439995936</v>
          </cell>
          <cell r="AE16">
            <v>5.9260881691196019</v>
          </cell>
          <cell r="AF16">
            <v>5.8075664057372096</v>
          </cell>
          <cell r="AG16">
            <v>5.691415077622465</v>
          </cell>
          <cell r="AH16">
            <v>5.5775867760700155</v>
          </cell>
          <cell r="AI16">
            <v>5.4660350405486149</v>
          </cell>
          <cell r="AJ16">
            <v>5.3567143397376427</v>
          </cell>
          <cell r="AK16">
            <v>5.24958005294289</v>
          </cell>
          <cell r="AL16">
            <v>5.1445884518840321</v>
          </cell>
          <cell r="AM16">
            <v>5.0416966828463519</v>
          </cell>
          <cell r="AN16">
            <v>4.9408627491894253</v>
          </cell>
          <cell r="AO16">
            <v>4.842045494205637</v>
          </cell>
          <cell r="AP16">
            <v>4.7452045843215247</v>
          </cell>
          <cell r="AQ16">
            <v>4.6503004926350942</v>
          </cell>
          <cell r="AR16">
            <v>4.5572944827823925</v>
          </cell>
          <cell r="AS16">
            <v>4.4661485931267446</v>
          </cell>
          <cell r="AT16">
            <v>4.37682562126421</v>
          </cell>
          <cell r="AU16">
            <v>4.2892891088389256</v>
          </cell>
          <cell r="AV16">
            <v>4.2463962177505366</v>
          </cell>
          <cell r="AW16">
            <v>4.2039322555730312</v>
          </cell>
          <cell r="AX16">
            <v>4.1618929330173007</v>
          </cell>
          <cell r="AY16">
            <v>4.1202740036871273</v>
          </cell>
          <cell r="AZ16">
            <v>4.0790712636502562</v>
          </cell>
          <cell r="BA16">
            <v>4.038280551013754</v>
          </cell>
          <cell r="BB16">
            <v>3.9978977455036167</v>
          </cell>
          <cell r="BC16">
            <v>3.9579187680485806</v>
          </cell>
          <cell r="BD16">
            <v>3.9183395803680949</v>
          </cell>
          <cell r="BE16">
            <v>3.879156184564414</v>
          </cell>
          <cell r="BF16">
            <v>3.84036462271877</v>
          </cell>
        </row>
        <row r="17">
          <cell r="AD17">
            <v>159.80117584396896</v>
          </cell>
          <cell r="AE17">
            <v>156.60515232708957</v>
          </cell>
          <cell r="AF17">
            <v>153.47304928054777</v>
          </cell>
          <cell r="AG17">
            <v>150.40358829493681</v>
          </cell>
          <cell r="AH17">
            <v>147.39551652903808</v>
          </cell>
          <cell r="AI17">
            <v>144.44760619845732</v>
          </cell>
          <cell r="AJ17">
            <v>141.55865407448817</v>
          </cell>
          <cell r="AK17">
            <v>138.72748099299841</v>
          </cell>
          <cell r="AL17">
            <v>135.95293137313843</v>
          </cell>
          <cell r="AM17">
            <v>133.23387274567565</v>
          </cell>
          <cell r="AN17">
            <v>130.56919529076214</v>
          </cell>
          <cell r="AO17">
            <v>127.95781138494689</v>
          </cell>
          <cell r="AP17">
            <v>125.39865515724796</v>
          </cell>
          <cell r="AQ17">
            <v>122.890682054103</v>
          </cell>
          <cell r="AR17">
            <v>120.43286841302094</v>
          </cell>
          <cell r="AS17">
            <v>118.02421104476052</v>
          </cell>
          <cell r="AT17">
            <v>115.6637268238653</v>
          </cell>
          <cell r="AU17">
            <v>113.35045228738799</v>
          </cell>
          <cell r="AV17">
            <v>112.21694776451412</v>
          </cell>
          <cell r="AW17">
            <v>111.09477828686897</v>
          </cell>
          <cell r="AX17">
            <v>109.98383050400028</v>
          </cell>
          <cell r="AY17">
            <v>108.88399219896027</v>
          </cell>
          <cell r="AZ17">
            <v>107.79515227697067</v>
          </cell>
          <cell r="BA17">
            <v>106.71720075420096</v>
          </cell>
          <cell r="BB17">
            <v>105.65002874665895</v>
          </cell>
          <cell r="BC17">
            <v>104.59352845919236</v>
          </cell>
          <cell r="BD17">
            <v>103.54759317460044</v>
          </cell>
          <cell r="BE17">
            <v>102.51211724285443</v>
          </cell>
          <cell r="BF17">
            <v>101.48699607042589</v>
          </cell>
        </row>
        <row r="18">
          <cell r="AD18">
            <v>156.97718272494376</v>
          </cell>
          <cell r="AE18">
            <v>153.83763907044488</v>
          </cell>
          <cell r="AF18">
            <v>150.76088628903599</v>
          </cell>
          <cell r="AG18">
            <v>147.74566856325526</v>
          </cell>
          <cell r="AH18">
            <v>144.79075519199017</v>
          </cell>
          <cell r="AI18">
            <v>141.89494008815038</v>
          </cell>
          <cell r="AJ18">
            <v>139.05704128638737</v>
          </cell>
          <cell r="AK18">
            <v>136.27590046065961</v>
          </cell>
          <cell r="AL18">
            <v>133.55038245144641</v>
          </cell>
          <cell r="AM18">
            <v>130.87937480241749</v>
          </cell>
          <cell r="AN18">
            <v>128.26178730636914</v>
          </cell>
          <cell r="AO18">
            <v>125.69655156024176</v>
          </cell>
          <cell r="AP18">
            <v>123.18262052903692</v>
          </cell>
          <cell r="AQ18">
            <v>120.71896811845619</v>
          </cell>
          <cell r="AR18">
            <v>118.30458875608707</v>
          </cell>
          <cell r="AS18">
            <v>115.93849698096533</v>
          </cell>
          <cell r="AT18">
            <v>113.61972704134602</v>
          </cell>
          <cell r="AU18">
            <v>111.3473325005191</v>
          </cell>
          <cell r="AV18">
            <v>110.23385917551391</v>
          </cell>
          <cell r="AW18">
            <v>109.13152058375877</v>
          </cell>
          <cell r="AX18">
            <v>108.04020537792118</v>
          </cell>
          <cell r="AY18">
            <v>106.95980332414197</v>
          </cell>
          <cell r="AZ18">
            <v>105.89020529090055</v>
          </cell>
          <cell r="BA18">
            <v>104.83130323799155</v>
          </cell>
          <cell r="BB18">
            <v>103.78299020561164</v>
          </cell>
          <cell r="BC18">
            <v>102.74516030355552</v>
          </cell>
          <cell r="BD18">
            <v>101.71770870051996</v>
          </cell>
          <cell r="BE18">
            <v>100.70053161351477</v>
          </cell>
          <cell r="BF18">
            <v>99.69352629737962</v>
          </cell>
        </row>
        <row r="19">
          <cell r="AD19">
            <v>15.96170023796847</v>
          </cell>
          <cell r="AE19">
            <v>15.642466233209101</v>
          </cell>
          <cell r="AF19">
            <v>15.329616908544919</v>
          </cell>
          <cell r="AG19">
            <v>15.023024570374021</v>
          </cell>
          <cell r="AH19">
            <v>14.72256407896654</v>
          </cell>
          <cell r="AI19">
            <v>14.428112797387209</v>
          </cell>
          <cell r="AJ19">
            <v>14.139550541439466</v>
          </cell>
          <cell r="AK19">
            <v>13.856759530610676</v>
          </cell>
          <cell r="AL19">
            <v>13.579624339998462</v>
          </cell>
          <cell r="AM19">
            <v>13.308031853198493</v>
          </cell>
          <cell r="AN19">
            <v>13.041871216134522</v>
          </cell>
          <cell r="AO19">
            <v>12.781033791811831</v>
          </cell>
          <cell r="AP19">
            <v>12.525413115975594</v>
          </cell>
          <cell r="AQ19">
            <v>12.274904853656082</v>
          </cell>
          <cell r="AR19">
            <v>12.02940675658296</v>
          </cell>
          <cell r="AS19">
            <v>11.7888186214513</v>
          </cell>
          <cell r="AT19">
            <v>11.553042249022274</v>
          </cell>
          <cell r="AU19">
            <v>11.321981404041829</v>
          </cell>
          <cell r="AV19">
            <v>11.20876159000141</v>
          </cell>
          <cell r="AW19">
            <v>11.096673974101396</v>
          </cell>
          <cell r="AX19">
            <v>10.985707234360381</v>
          </cell>
          <cell r="AY19">
            <v>10.875850162016778</v>
          </cell>
          <cell r="AZ19">
            <v>10.767091660396611</v>
          </cell>
          <cell r="BA19">
            <v>10.659420743792644</v>
          </cell>
          <cell r="BB19">
            <v>10.552826536354718</v>
          </cell>
          <cell r="BC19">
            <v>10.447298270991171</v>
          </cell>
          <cell r="BD19">
            <v>10.34282528828126</v>
          </cell>
          <cell r="BE19">
            <v>10.239397035398447</v>
          </cell>
          <cell r="BF19">
            <v>10.137003065044462</v>
          </cell>
        </row>
        <row r="20">
          <cell r="AD20">
            <v>124.80821762996116</v>
          </cell>
          <cell r="AE20">
            <v>122.31205327736194</v>
          </cell>
          <cell r="AF20">
            <v>119.8658122118147</v>
          </cell>
          <cell r="AG20">
            <v>117.46849596757841</v>
          </cell>
          <cell r="AH20">
            <v>115.11912604822683</v>
          </cell>
          <cell r="AI20">
            <v>112.81674352726229</v>
          </cell>
          <cell r="AJ20">
            <v>110.56040865671704</v>
          </cell>
          <cell r="AK20">
            <v>108.34920048358271</v>
          </cell>
          <cell r="AL20">
            <v>106.18221647391105</v>
          </cell>
          <cell r="AM20">
            <v>104.05857214443283</v>
          </cell>
          <cell r="AN20">
            <v>101.97740070154417</v>
          </cell>
          <cell r="AO20">
            <v>99.937852687513285</v>
          </cell>
          <cell r="AP20">
            <v>97.939095633763017</v>
          </cell>
          <cell r="AQ20">
            <v>95.980313721087754</v>
          </cell>
          <cell r="AR20">
            <v>94.060707446666001</v>
          </cell>
          <cell r="AS20">
            <v>92.179493297732677</v>
          </cell>
          <cell r="AT20">
            <v>90.335903431778021</v>
          </cell>
          <cell r="AU20">
            <v>88.52918536314246</v>
          </cell>
          <cell r="AV20">
            <v>87.643893509511031</v>
          </cell>
          <cell r="AW20">
            <v>86.767454574415922</v>
          </cell>
          <cell r="AX20">
            <v>85.899780028671756</v>
          </cell>
          <cell r="AY20">
            <v>85.040782228385041</v>
          </cell>
          <cell r="AZ20">
            <v>84.190374406101185</v>
          </cell>
          <cell r="BA20">
            <v>83.348470662040171</v>
          </cell>
          <cell r="BB20">
            <v>82.514985955419775</v>
          </cell>
          <cell r="BC20">
            <v>81.689836095865573</v>
          </cell>
          <cell r="BD20">
            <v>80.872937734906913</v>
          </cell>
          <cell r="BE20">
            <v>80.064208357557845</v>
          </cell>
          <cell r="BF20">
            <v>79.263566273982264</v>
          </cell>
        </row>
        <row r="21">
          <cell r="AD21">
            <v>1157.0390937884299</v>
          </cell>
          <cell r="AE21">
            <v>1133.8983119126613</v>
          </cell>
          <cell r="AF21">
            <v>1111.220345674408</v>
          </cell>
          <cell r="AG21">
            <v>1088.9959387609199</v>
          </cell>
          <cell r="AH21">
            <v>1067.2160199857015</v>
          </cell>
          <cell r="AI21">
            <v>1045.8716995859875</v>
          </cell>
          <cell r="AJ21">
            <v>1024.9542655942678</v>
          </cell>
          <cell r="AK21">
            <v>1004.4551802823825</v>
          </cell>
          <cell r="AL21">
            <v>984.36607667673479</v>
          </cell>
          <cell r="AM21">
            <v>964.67875514320008</v>
          </cell>
          <cell r="AN21">
            <v>945.38518004033608</v>
          </cell>
          <cell r="AO21">
            <v>926.47747643952937</v>
          </cell>
          <cell r="AP21">
            <v>907.94792691073883</v>
          </cell>
          <cell r="AQ21">
            <v>889.7889683725241</v>
          </cell>
          <cell r="AR21">
            <v>871.99318900507365</v>
          </cell>
          <cell r="AS21">
            <v>854.55332522497213</v>
          </cell>
          <cell r="AT21">
            <v>837.46225872047273</v>
          </cell>
          <cell r="AU21">
            <v>820.71301354606328</v>
          </cell>
          <cell r="AV21">
            <v>812.50588341060268</v>
          </cell>
          <cell r="AW21">
            <v>804.38082457649671</v>
          </cell>
          <cell r="AX21">
            <v>796.33701633073179</v>
          </cell>
          <cell r="AY21">
            <v>788.37364616742445</v>
          </cell>
          <cell r="AZ21">
            <v>780.48990970575016</v>
          </cell>
          <cell r="BA21">
            <v>772.68501060869266</v>
          </cell>
          <cell r="BB21">
            <v>764.95816050260578</v>
          </cell>
          <cell r="BC21">
            <v>757.30857889757976</v>
          </cell>
          <cell r="BD21">
            <v>749.73549310860392</v>
          </cell>
          <cell r="BE21">
            <v>742.23813817751784</v>
          </cell>
          <cell r="BF21">
            <v>734.81575679574269</v>
          </cell>
        </row>
        <row r="22">
          <cell r="AD22">
            <v>1916.1264277231396</v>
          </cell>
          <cell r="AE22">
            <v>1877.8038991686767</v>
          </cell>
          <cell r="AF22">
            <v>1840.2478211853031</v>
          </cell>
          <cell r="AG22">
            <v>1803.4428647615971</v>
          </cell>
          <cell r="AH22">
            <v>1767.3740074663651</v>
          </cell>
          <cell r="AI22">
            <v>1732.0265273170378</v>
          </cell>
          <cell r="AJ22">
            <v>1697.3859967706971</v>
          </cell>
          <cell r="AK22">
            <v>1663.4382768352832</v>
          </cell>
          <cell r="AL22">
            <v>1630.1695112985776</v>
          </cell>
          <cell r="AM22">
            <v>1597.5661210726062</v>
          </cell>
          <cell r="AN22">
            <v>1565.6147986511539</v>
          </cell>
          <cell r="AO22">
            <v>1534.3025026781308</v>
          </cell>
          <cell r="AP22">
            <v>1503.6164526245682</v>
          </cell>
          <cell r="AQ22">
            <v>1473.5441235720768</v>
          </cell>
          <cell r="AR22">
            <v>1444.0732411006354</v>
          </cell>
          <cell r="AS22">
            <v>1415.1917762786227</v>
          </cell>
          <cell r="AT22">
            <v>1386.8879407530503</v>
          </cell>
          <cell r="AU22">
            <v>1359.1501819379894</v>
          </cell>
          <cell r="AV22">
            <v>1345.5586801186096</v>
          </cell>
          <cell r="AW22">
            <v>1332.1030933174234</v>
          </cell>
          <cell r="AX22">
            <v>1318.7820623842492</v>
          </cell>
          <cell r="AY22">
            <v>1305.5942417604067</v>
          </cell>
          <cell r="AZ22">
            <v>1292.5382993428027</v>
          </cell>
          <cell r="BA22">
            <v>1279.6129163493747</v>
          </cell>
          <cell r="BB22">
            <v>1266.8167871858809</v>
          </cell>
          <cell r="BC22">
            <v>1254.1486193140222</v>
          </cell>
          <cell r="BD22">
            <v>1241.6071331208821</v>
          </cell>
          <cell r="BE22">
            <v>1229.1910617896733</v>
          </cell>
          <cell r="BF22">
            <v>1216.8991511717766</v>
          </cell>
        </row>
        <row r="23">
          <cell r="AD23">
            <v>88.157698237395095</v>
          </cell>
          <cell r="AE23">
            <v>86.394544272647195</v>
          </cell>
          <cell r="AF23">
            <v>84.666653387194245</v>
          </cell>
          <cell r="AG23">
            <v>82.973320319450366</v>
          </cell>
          <cell r="AH23">
            <v>81.313853913061365</v>
          </cell>
          <cell r="AI23">
            <v>79.68757683480014</v>
          </cell>
          <cell r="AJ23">
            <v>78.093825298104136</v>
          </cell>
          <cell r="AK23">
            <v>76.53194879214206</v>
          </cell>
          <cell r="AL23">
            <v>75.001309816299212</v>
          </cell>
          <cell r="AM23">
            <v>73.501283619973222</v>
          </cell>
          <cell r="AN23">
            <v>72.031257947573764</v>
          </cell>
          <cell r="AO23">
            <v>70.590632788622287</v>
          </cell>
          <cell r="AP23">
            <v>69.178820132849836</v>
          </cell>
          <cell r="AQ23">
            <v>67.795243730192837</v>
          </cell>
          <cell r="AR23">
            <v>66.439338855588986</v>
          </cell>
          <cell r="AS23">
            <v>65.110552078477212</v>
          </cell>
          <cell r="AT23">
            <v>63.80834103690767</v>
          </cell>
          <cell r="AU23">
            <v>62.532174216169516</v>
          </cell>
          <cell r="AV23">
            <v>61.90685247400782</v>
          </cell>
          <cell r="AW23">
            <v>61.287783949267741</v>
          </cell>
          <cell r="AX23">
            <v>60.674906109775065</v>
          </cell>
          <cell r="AY23">
            <v>60.068157048677314</v>
          </cell>
          <cell r="AZ23">
            <v>59.467475478190543</v>
          </cell>
          <cell r="BA23">
            <v>58.872800723408638</v>
          </cell>
          <cell r="BB23">
            <v>58.284072716174549</v>
          </cell>
          <cell r="BC23">
            <v>57.701231989012804</v>
          </cell>
          <cell r="BD23">
            <v>57.124219669122674</v>
          </cell>
          <cell r="BE23">
            <v>56.552977472431444</v>
          </cell>
          <cell r="BF23">
            <v>55.987447697707132</v>
          </cell>
        </row>
        <row r="24">
          <cell r="AD24">
            <v>97.397067028988374</v>
          </cell>
          <cell r="AE24">
            <v>95.4491256884086</v>
          </cell>
          <cell r="AF24">
            <v>93.540143174640434</v>
          </cell>
          <cell r="AG24">
            <v>91.669340311147621</v>
          </cell>
          <cell r="AH24">
            <v>89.835953504924674</v>
          </cell>
          <cell r="AI24">
            <v>88.039234434826184</v>
          </cell>
          <cell r="AJ24">
            <v>86.278449746129667</v>
          </cell>
          <cell r="AK24">
            <v>84.55288075120707</v>
          </cell>
          <cell r="AL24">
            <v>82.861823136182934</v>
          </cell>
          <cell r="AM24">
            <v>81.204586673459275</v>
          </cell>
          <cell r="AN24">
            <v>79.580494939990089</v>
          </cell>
          <cell r="AO24">
            <v>77.988885041190287</v>
          </cell>
          <cell r="AP24">
            <v>76.429107340366485</v>
          </cell>
          <cell r="AQ24">
            <v>74.900525193559162</v>
          </cell>
          <cell r="AR24">
            <v>73.402514689687976</v>
          </cell>
          <cell r="AS24">
            <v>71.93446439589421</v>
          </cell>
          <cell r="AT24">
            <v>70.495775107976328</v>
          </cell>
          <cell r="AU24">
            <v>69.085859605816808</v>
          </cell>
          <cell r="AV24">
            <v>68.395001009758644</v>
          </cell>
          <cell r="AW24">
            <v>67.711050999661055</v>
          </cell>
          <cell r="AX24">
            <v>67.033940489664445</v>
          </cell>
          <cell r="AY24">
            <v>66.363601084767794</v>
          </cell>
          <cell r="AZ24">
            <v>65.699965073920112</v>
          </cell>
          <cell r="BA24">
            <v>65.042965423180917</v>
          </cell>
          <cell r="BB24">
            <v>64.392535768949102</v>
          </cell>
          <cell r="BC24">
            <v>63.748610411259612</v>
          </cell>
          <cell r="BD24">
            <v>63.111124307147016</v>
          </cell>
          <cell r="BE24">
            <v>62.480013064075543</v>
          </cell>
          <cell r="BF24">
            <v>61.855212933434785</v>
          </cell>
        </row>
        <row r="25">
          <cell r="AD25">
            <v>10.433426751702852</v>
          </cell>
          <cell r="AE25">
            <v>10.224758216668794</v>
          </cell>
          <cell r="AF25">
            <v>10.020263052335419</v>
          </cell>
          <cell r="AG25">
            <v>9.8198577912887117</v>
          </cell>
          <cell r="AH25">
            <v>9.6234606354629371</v>
          </cell>
          <cell r="AI25">
            <v>9.430991422753678</v>
          </cell>
          <cell r="AJ25">
            <v>9.2423715942986036</v>
          </cell>
          <cell r="AK25">
            <v>9.0575241624126317</v>
          </cell>
          <cell r="AL25">
            <v>8.876373679164379</v>
          </cell>
          <cell r="AM25">
            <v>8.6988462055810913</v>
          </cell>
          <cell r="AN25">
            <v>8.5248692814694689</v>
          </cell>
          <cell r="AO25">
            <v>8.3543718958400799</v>
          </cell>
          <cell r="AP25">
            <v>8.187284457923278</v>
          </cell>
          <cell r="AQ25">
            <v>8.0235387687648121</v>
          </cell>
          <cell r="AR25">
            <v>7.8630679933895156</v>
          </cell>
          <cell r="AS25">
            <v>7.7058066335217257</v>
          </cell>
          <cell r="AT25">
            <v>7.5516905008512909</v>
          </cell>
          <cell r="AU25">
            <v>7.400656690834265</v>
          </cell>
          <cell r="AV25">
            <v>7.3266501239259227</v>
          </cell>
          <cell r="AW25">
            <v>7.2533836226866635</v>
          </cell>
          <cell r="AX25">
            <v>7.1808497864597971</v>
          </cell>
          <cell r="AY25">
            <v>7.1090412885951988</v>
          </cell>
          <cell r="AZ25">
            <v>7.0379508757092468</v>
          </cell>
          <cell r="BA25">
            <v>6.9675713669521544</v>
          </cell>
          <cell r="BB25">
            <v>6.8978956532826325</v>
          </cell>
          <cell r="BC25">
            <v>6.8289166967498058</v>
          </cell>
          <cell r="BD25">
            <v>6.7606275297823082</v>
          </cell>
          <cell r="BE25">
            <v>6.6930212544844849</v>
          </cell>
          <cell r="BF25">
            <v>6.6260910419396399</v>
          </cell>
        </row>
        <row r="26">
          <cell r="AD26">
            <v>113.32807168957613</v>
          </cell>
          <cell r="AE26">
            <v>111.06151025578461</v>
          </cell>
          <cell r="AF26">
            <v>108.84028005066892</v>
          </cell>
          <cell r="AG26">
            <v>106.66347444965554</v>
          </cell>
          <cell r="AH26">
            <v>104.53020496066243</v>
          </cell>
          <cell r="AI26">
            <v>102.43960086144918</v>
          </cell>
          <cell r="AJ26">
            <v>100.39080884422019</v>
          </cell>
          <cell r="AK26">
            <v>98.382992667335785</v>
          </cell>
          <cell r="AL26">
            <v>96.415332813989068</v>
          </cell>
          <cell r="AM26">
            <v>94.48702615770928</v>
          </cell>
          <cell r="AN26">
            <v>92.597285634555092</v>
          </cell>
          <cell r="AO26">
            <v>90.745339921863987</v>
          </cell>
          <cell r="AP26">
            <v>88.93043312342671</v>
          </cell>
          <cell r="AQ26">
            <v>87.151824460958181</v>
          </cell>
          <cell r="AR26">
            <v>85.408787971739017</v>
          </cell>
          <cell r="AS26">
            <v>83.700612212304236</v>
          </cell>
          <cell r="AT26">
            <v>82.02659996805815</v>
          </cell>
          <cell r="AU26">
            <v>80.386067968696992</v>
          </cell>
          <cell r="AV26">
            <v>79.582207289010029</v>
          </cell>
          <cell r="AW26">
            <v>78.786385216119925</v>
          </cell>
          <cell r="AX26">
            <v>77.99852136395873</v>
          </cell>
          <cell r="AY26">
            <v>77.218536150319139</v>
          </cell>
          <cell r="AZ26">
            <v>76.446350788815948</v>
          </cell>
          <cell r="BA26">
            <v>75.681887280927782</v>
          </cell>
          <cell r="BB26">
            <v>74.925068408118506</v>
          </cell>
          <cell r="BC26">
            <v>74.175817724037316</v>
          </cell>
          <cell r="BD26">
            <v>73.434059546796945</v>
          </cell>
          <cell r="BE26">
            <v>72.699718951328975</v>
          </cell>
          <cell r="BF26">
            <v>71.972721761815691</v>
          </cell>
        </row>
        <row r="27">
          <cell r="AD27">
            <v>993.18610173020738</v>
          </cell>
          <cell r="AE27">
            <v>973.32237969560322</v>
          </cell>
          <cell r="AF27">
            <v>953.85593210169111</v>
          </cell>
          <cell r="AG27">
            <v>934.77881345965727</v>
          </cell>
          <cell r="AH27">
            <v>916.08323719046416</v>
          </cell>
          <cell r="AI27">
            <v>897.7615724466549</v>
          </cell>
          <cell r="AJ27">
            <v>879.8063409977218</v>
          </cell>
          <cell r="AK27">
            <v>862.2102141777674</v>
          </cell>
          <cell r="AL27">
            <v>844.96600989421199</v>
          </cell>
          <cell r="AM27">
            <v>828.06668969632778</v>
          </cell>
          <cell r="AN27">
            <v>811.50535590240122</v>
          </cell>
          <cell r="AO27">
            <v>795.27524878435315</v>
          </cell>
          <cell r="AP27">
            <v>779.36974380866604</v>
          </cell>
          <cell r="AQ27">
            <v>763.78234893249271</v>
          </cell>
          <cell r="AR27">
            <v>748.50670195384282</v>
          </cell>
          <cell r="AS27">
            <v>733.53656791476601</v>
          </cell>
          <cell r="AT27">
            <v>718.86583655647064</v>
          </cell>
          <cell r="AU27">
            <v>704.4885198253412</v>
          </cell>
          <cell r="AV27">
            <v>697.44363462708782</v>
          </cell>
          <cell r="AW27">
            <v>690.46919828081695</v>
          </cell>
          <cell r="AX27">
            <v>683.56450629800884</v>
          </cell>
          <cell r="AY27">
            <v>676.72886123502872</v>
          </cell>
          <cell r="AZ27">
            <v>669.96157262267843</v>
          </cell>
          <cell r="BA27">
            <v>663.26195689645169</v>
          </cell>
          <cell r="BB27">
            <v>656.62933732748718</v>
          </cell>
          <cell r="BC27">
            <v>650.06304395421228</v>
          </cell>
          <cell r="BD27">
            <v>643.5624135146702</v>
          </cell>
          <cell r="BE27">
            <v>637.12678937952353</v>
          </cell>
          <cell r="BF27">
            <v>630.75552148572831</v>
          </cell>
        </row>
        <row r="28">
          <cell r="AD28">
            <v>21.02647050578539</v>
          </cell>
          <cell r="AE28">
            <v>20.605941095669682</v>
          </cell>
          <cell r="AF28">
            <v>20.19382227375629</v>
          </cell>
          <cell r="AG28">
            <v>19.789945828281162</v>
          </cell>
          <cell r="AH28">
            <v>19.394146911715538</v>
          </cell>
          <cell r="AI28">
            <v>19.006263973481229</v>
          </cell>
          <cell r="AJ28">
            <v>18.626138694011605</v>
          </cell>
          <cell r="AK28">
            <v>18.253615920131374</v>
          </cell>
          <cell r="AL28">
            <v>17.888543601728745</v>
          </cell>
          <cell r="AM28">
            <v>17.530772729694171</v>
          </cell>
          <cell r="AN28">
            <v>17.180157275100289</v>
          </cell>
          <cell r="AO28">
            <v>16.836554129598284</v>
          </cell>
          <cell r="AP28">
            <v>16.499823047006316</v>
          </cell>
          <cell r="AQ28">
            <v>16.16982658606619</v>
          </cell>
          <cell r="AR28">
            <v>15.846430054344866</v>
          </cell>
          <cell r="AS28">
            <v>15.52950145325797</v>
          </cell>
          <cell r="AT28">
            <v>15.218911424192811</v>
          </cell>
          <cell r="AU28">
            <v>14.914533195708955</v>
          </cell>
          <cell r="AV28">
            <v>14.765387863751865</v>
          </cell>
          <cell r="AW28">
            <v>14.617733985114347</v>
          </cell>
          <cell r="AX28">
            <v>14.471556645263203</v>
          </cell>
          <cell r="AY28">
            <v>14.32684107881057</v>
          </cell>
          <cell r="AZ28">
            <v>14.183572668022464</v>
          </cell>
          <cell r="BA28">
            <v>14.04173694134224</v>
          </cell>
          <cell r="BB28">
            <v>13.901319571928818</v>
          </cell>
          <cell r="BC28">
            <v>13.76230637620953</v>
          </cell>
          <cell r="BD28">
            <v>13.624683312447434</v>
          </cell>
          <cell r="BE28">
            <v>13.48843647932296</v>
          </cell>
          <cell r="BF28">
            <v>13.35355211452973</v>
          </cell>
        </row>
        <row r="29">
          <cell r="AD29">
            <v>28.51619138667829</v>
          </cell>
          <cell r="AE29">
            <v>27.945867558944723</v>
          </cell>
          <cell r="AF29">
            <v>27.386950207765828</v>
          </cell>
          <cell r="AG29">
            <v>26.83921120361051</v>
          </cell>
          <cell r="AH29">
            <v>26.3024269795383</v>
          </cell>
          <cell r="AI29">
            <v>25.776378439947536</v>
          </cell>
          <cell r="AJ29">
            <v>25.260850871148584</v>
          </cell>
          <cell r="AK29">
            <v>24.755633853725612</v>
          </cell>
          <cell r="AL29">
            <v>24.2605211766511</v>
          </cell>
          <cell r="AM29">
            <v>23.775310753118077</v>
          </cell>
          <cell r="AN29">
            <v>23.299804538055717</v>
          </cell>
          <cell r="AO29">
            <v>22.833808447294604</v>
          </cell>
          <cell r="AP29">
            <v>22.377132278348711</v>
          </cell>
          <cell r="AQ29">
            <v>21.929589632781738</v>
          </cell>
          <cell r="AR29">
            <v>21.490997840126102</v>
          </cell>
          <cell r="AS29">
            <v>21.06117788332358</v>
          </cell>
          <cell r="AT29">
            <v>20.639954325657108</v>
          </cell>
          <cell r="AU29">
            <v>20.227155239143965</v>
          </cell>
          <cell r="AV29">
            <v>20.024883686752524</v>
          </cell>
          <cell r="AW29">
            <v>19.824634849884998</v>
          </cell>
          <cell r="AX29">
            <v>19.626388501386149</v>
          </cell>
          <cell r="AY29">
            <v>19.430124616372286</v>
          </cell>
          <cell r="AZ29">
            <v>19.235823370208564</v>
          </cell>
          <cell r="BA29">
            <v>19.04346513650648</v>
          </cell>
          <cell r="BB29">
            <v>18.853030485141414</v>
          </cell>
          <cell r="BC29">
            <v>18.664500180289998</v>
          </cell>
          <cell r="BD29">
            <v>18.477855178487097</v>
          </cell>
          <cell r="BE29">
            <v>18.293076626702227</v>
          </cell>
          <cell r="BF29">
            <v>18.110145860435203</v>
          </cell>
        </row>
        <row r="30">
          <cell r="AD30">
            <v>8.7482395535019499</v>
          </cell>
          <cell r="AE30">
            <v>8.573274762431911</v>
          </cell>
          <cell r="AF30">
            <v>8.4018092671832729</v>
          </cell>
          <cell r="AG30">
            <v>8.2337730818396082</v>
          </cell>
          <cell r="AH30">
            <v>8.0690976202028164</v>
          </cell>
          <cell r="AI30">
            <v>7.9077156677987599</v>
          </cell>
          <cell r="AJ30">
            <v>7.7495613544427844</v>
          </cell>
          <cell r="AK30">
            <v>7.5945701273539283</v>
          </cell>
          <cell r="AL30">
            <v>7.44267872480685</v>
          </cell>
          <cell r="AM30">
            <v>7.2938251503107132</v>
          </cell>
          <cell r="AN30">
            <v>7.1479486473044993</v>
          </cell>
          <cell r="AO30">
            <v>7.0049896743584092</v>
          </cell>
          <cell r="AP30">
            <v>6.8648898808712406</v>
          </cell>
          <cell r="AQ30">
            <v>6.7275920832538159</v>
          </cell>
          <cell r="AR30">
            <v>6.5930402415887395</v>
          </cell>
          <cell r="AS30">
            <v>6.4611794367569644</v>
          </cell>
          <cell r="AT30">
            <v>6.331955848021825</v>
          </cell>
          <cell r="AU30">
            <v>6.2053167310613881</v>
          </cell>
          <cell r="AV30">
            <v>6.1432635637507742</v>
          </cell>
          <cell r="AW30">
            <v>6.0818309281132663</v>
          </cell>
          <cell r="AX30">
            <v>6.0210126188321338</v>
          </cell>
          <cell r="AY30">
            <v>5.9608024926438121</v>
          </cell>
          <cell r="AZ30">
            <v>5.9011944677173744</v>
          </cell>
          <cell r="BA30">
            <v>5.8421825230402007</v>
          </cell>
          <cell r="BB30">
            <v>5.7837606978097984</v>
          </cell>
          <cell r="BC30">
            <v>5.7259230908317003</v>
          </cell>
          <cell r="BD30">
            <v>5.6686638599233836</v>
          </cell>
          <cell r="BE30">
            <v>5.6119772213241497</v>
          </cell>
          <cell r="BF30">
            <v>5.5558574491109081</v>
          </cell>
        </row>
        <row r="31">
          <cell r="AD31">
            <v>5.0340746904362099</v>
          </cell>
          <cell r="AE31">
            <v>4.9333931966274855</v>
          </cell>
          <cell r="AF31">
            <v>4.8347253326949362</v>
          </cell>
          <cell r="AG31">
            <v>4.7380308260410375</v>
          </cell>
          <cell r="AH31">
            <v>4.6432702095202165</v>
          </cell>
          <cell r="AI31">
            <v>4.5504048053298121</v>
          </cell>
          <cell r="AJ31">
            <v>4.4593967092232161</v>
          </cell>
          <cell r="AK31">
            <v>4.3702087750387522</v>
          </cell>
          <cell r="AL31">
            <v>4.2828045995379771</v>
          </cell>
          <cell r="AM31">
            <v>4.1971485075472179</v>
          </cell>
          <cell r="AN31">
            <v>4.1132055373962739</v>
          </cell>
          <cell r="AO31">
            <v>4.0309414266483481</v>
          </cell>
          <cell r="AP31">
            <v>3.9503225981153811</v>
          </cell>
          <cell r="AQ31">
            <v>3.8713161461530734</v>
          </cell>
          <cell r="AR31">
            <v>3.7938898232300118</v>
          </cell>
          <cell r="AS31">
            <v>3.7180120267654115</v>
          </cell>
          <cell r="AT31">
            <v>3.6436517862301034</v>
          </cell>
          <cell r="AU31">
            <v>3.5707787505055015</v>
          </cell>
          <cell r="AV31">
            <v>3.5350709630004467</v>
          </cell>
          <cell r="AW31">
            <v>3.4997202533704423</v>
          </cell>
          <cell r="AX31">
            <v>3.4647230508367377</v>
          </cell>
          <cell r="AY31">
            <v>3.4300758203283701</v>
          </cell>
          <cell r="AZ31">
            <v>3.3957750621250864</v>
          </cell>
          <cell r="BA31">
            <v>3.3618173115038354</v>
          </cell>
          <cell r="BB31">
            <v>3.328199138388797</v>
          </cell>
          <cell r="BC31">
            <v>3.294917147004909</v>
          </cell>
          <cell r="BD31">
            <v>3.2619679755348598</v>
          </cell>
          <cell r="BE31">
            <v>3.2293482957795114</v>
          </cell>
          <cell r="BF31">
            <v>3.1970548128217162</v>
          </cell>
        </row>
        <row r="32">
          <cell r="AD32">
            <v>364.38719908639172</v>
          </cell>
          <cell r="AE32">
            <v>357.09945510466389</v>
          </cell>
          <cell r="AF32">
            <v>349.95746600257058</v>
          </cell>
          <cell r="AG32">
            <v>342.95831668251918</v>
          </cell>
          <cell r="AH32">
            <v>336.09915034886882</v>
          </cell>
          <cell r="AI32">
            <v>329.37716734189144</v>
          </cell>
          <cell r="AJ32">
            <v>322.7896239950536</v>
          </cell>
          <cell r="AK32">
            <v>316.33383151515255</v>
          </cell>
          <cell r="AL32">
            <v>310.00715488484951</v>
          </cell>
          <cell r="AM32">
            <v>303.80701178715253</v>
          </cell>
          <cell r="AN32">
            <v>297.73087155140951</v>
          </cell>
          <cell r="AO32">
            <v>291.77625412038134</v>
          </cell>
          <cell r="AP32">
            <v>285.94072903797371</v>
          </cell>
          <cell r="AQ32">
            <v>280.22191445721421</v>
          </cell>
          <cell r="AR32">
            <v>274.61747616806991</v>
          </cell>
          <cell r="AS32">
            <v>269.12512664470853</v>
          </cell>
          <cell r="AT32">
            <v>263.74262411181434</v>
          </cell>
          <cell r="AU32">
            <v>258.46777162957807</v>
          </cell>
          <cell r="AV32">
            <v>255.88309391328229</v>
          </cell>
          <cell r="AW32">
            <v>253.32426297414946</v>
          </cell>
          <cell r="AX32">
            <v>250.79102034440797</v>
          </cell>
          <cell r="AY32">
            <v>248.28311014096388</v>
          </cell>
          <cell r="AZ32">
            <v>245.80027903955425</v>
          </cell>
          <cell r="BA32">
            <v>243.34227624915872</v>
          </cell>
          <cell r="BB32">
            <v>240.90885348666714</v>
          </cell>
          <cell r="BC32">
            <v>238.49976495180047</v>
          </cell>
          <cell r="BD32">
            <v>236.11476730228247</v>
          </cell>
          <cell r="BE32">
            <v>233.75361962925965</v>
          </cell>
          <cell r="BF32">
            <v>231.41608343296704</v>
          </cell>
        </row>
        <row r="33">
          <cell r="AD33">
            <v>108.35538815390134</v>
          </cell>
          <cell r="AE33">
            <v>106.18828039082332</v>
          </cell>
          <cell r="AF33">
            <v>104.06451478300686</v>
          </cell>
          <cell r="AG33">
            <v>101.98322448734672</v>
          </cell>
          <cell r="AH33">
            <v>99.943559997599777</v>
          </cell>
          <cell r="AI33">
            <v>97.944688797647785</v>
          </cell>
          <cell r="AJ33">
            <v>95.985795021694827</v>
          </cell>
          <cell r="AK33">
            <v>94.066079121260927</v>
          </cell>
          <cell r="AL33">
            <v>92.184757538835711</v>
          </cell>
          <cell r="AM33">
            <v>90.341062388059001</v>
          </cell>
          <cell r="AN33">
            <v>88.534241140297823</v>
          </cell>
          <cell r="AO33">
            <v>86.763556317491862</v>
          </cell>
          <cell r="AP33">
            <v>85.028285191142018</v>
          </cell>
          <cell r="AQ33">
            <v>83.327719487319172</v>
          </cell>
          <cell r="AR33">
            <v>81.661165097572791</v>
          </cell>
          <cell r="AS33">
            <v>80.027941795621331</v>
          </cell>
          <cell r="AT33">
            <v>78.427382959708908</v>
          </cell>
          <cell r="AU33">
            <v>76.858835300514727</v>
          </cell>
          <cell r="AV33">
            <v>76.090246947509584</v>
          </cell>
          <cell r="AW33">
            <v>75.329344478034486</v>
          </cell>
          <cell r="AX33">
            <v>74.576051033254146</v>
          </cell>
          <cell r="AY33">
            <v>73.830290522921601</v>
          </cell>
          <cell r="AZ33">
            <v>73.091987617692382</v>
          </cell>
          <cell r="BA33">
            <v>72.361067741515456</v>
          </cell>
          <cell r="BB33">
            <v>71.637457064100303</v>
          </cell>
          <cell r="BC33">
            <v>70.921082493459295</v>
          </cell>
          <cell r="BD33">
            <v>70.211871668524708</v>
          </cell>
          <cell r="BE33">
            <v>69.509752951839459</v>
          </cell>
          <cell r="BF33">
            <v>68.814655422321067</v>
          </cell>
        </row>
        <row r="34">
          <cell r="AD34">
            <v>639.88000607825143</v>
          </cell>
          <cell r="AE34">
            <v>627.08240595668644</v>
          </cell>
          <cell r="AF34">
            <v>614.54075783755275</v>
          </cell>
          <cell r="AG34">
            <v>602.24994268080172</v>
          </cell>
          <cell r="AH34">
            <v>590.20494382718573</v>
          </cell>
          <cell r="AI34">
            <v>578.40084495064207</v>
          </cell>
          <cell r="AJ34">
            <v>566.83282805162924</v>
          </cell>
          <cell r="AK34">
            <v>555.49617149059668</v>
          </cell>
          <cell r="AL34">
            <v>544.38624806078474</v>
          </cell>
          <cell r="AM34">
            <v>533.49852309956907</v>
          </cell>
          <cell r="AN34">
            <v>522.82855263757767</v>
          </cell>
          <cell r="AO34">
            <v>512.37198158482613</v>
          </cell>
          <cell r="AP34">
            <v>502.12454195312961</v>
          </cell>
          <cell r="AQ34">
            <v>492.08205111406704</v>
          </cell>
          <cell r="AR34">
            <v>482.24041009178569</v>
          </cell>
          <cell r="AS34">
            <v>472.59560188994999</v>
          </cell>
          <cell r="AT34">
            <v>463.143689852151</v>
          </cell>
          <cell r="AU34">
            <v>453.88081605510797</v>
          </cell>
          <cell r="AV34">
            <v>449.3420078945569</v>
          </cell>
          <cell r="AW34">
            <v>444.84858781561132</v>
          </cell>
          <cell r="AX34">
            <v>440.40010193745519</v>
          </cell>
          <cell r="AY34">
            <v>435.99610091808063</v>
          </cell>
          <cell r="AZ34">
            <v>431.63613990889985</v>
          </cell>
          <cell r="BA34">
            <v>427.31977850981087</v>
          </cell>
          <cell r="BB34">
            <v>423.04658072471278</v>
          </cell>
          <cell r="BC34">
            <v>418.81611491746565</v>
          </cell>
          <cell r="BD34">
            <v>414.62795376829098</v>
          </cell>
          <cell r="BE34">
            <v>410.48167423060806</v>
          </cell>
          <cell r="BF34">
            <v>406.37685748830199</v>
          </cell>
        </row>
        <row r="35">
          <cell r="AD35">
            <v>88.096307082633672</v>
          </cell>
          <cell r="AE35">
            <v>86.334380940980992</v>
          </cell>
          <cell r="AF35">
            <v>84.607693322161367</v>
          </cell>
          <cell r="AG35">
            <v>82.915539455718147</v>
          </cell>
          <cell r="AH35">
            <v>81.25722866660378</v>
          </cell>
          <cell r="AI35">
            <v>79.6320840932717</v>
          </cell>
          <cell r="AJ35">
            <v>78.03944241140627</v>
          </cell>
          <cell r="AK35">
            <v>76.478653563178142</v>
          </cell>
          <cell r="AL35">
            <v>74.949080491914586</v>
          </cell>
          <cell r="AM35">
            <v>73.45009888207629</v>
          </cell>
          <cell r="AN35">
            <v>71.981096904434764</v>
          </cell>
          <cell r="AO35">
            <v>70.541474966346073</v>
          </cell>
          <cell r="AP35">
            <v>69.13064546701915</v>
          </cell>
          <cell r="AQ35">
            <v>67.748032557678769</v>
          </cell>
          <cell r="AR35">
            <v>66.393071906525194</v>
          </cell>
          <cell r="AS35">
            <v>65.065210468394696</v>
          </cell>
          <cell r="AT35">
            <v>63.763906259026804</v>
          </cell>
          <cell r="AU35">
            <v>62.488628133846269</v>
          </cell>
          <cell r="AV35">
            <v>61.863741852507808</v>
          </cell>
          <cell r="AW35">
            <v>61.245104433982732</v>
          </cell>
          <cell r="AX35">
            <v>60.632653389642904</v>
          </cell>
          <cell r="AY35">
            <v>60.026326855746476</v>
          </cell>
          <cell r="AZ35">
            <v>59.426063587189013</v>
          </cell>
          <cell r="BA35">
            <v>58.831802951317123</v>
          </cell>
          <cell r="BB35">
            <v>58.243484921803955</v>
          </cell>
          <cell r="BC35">
            <v>57.661050072585915</v>
          </cell>
          <cell r="BD35">
            <v>57.084439571860059</v>
          </cell>
          <cell r="BE35">
            <v>56.513595176141457</v>
          </cell>
          <cell r="BF35">
            <v>55.948459224380045</v>
          </cell>
        </row>
        <row r="36">
          <cell r="AD36">
            <v>211.00139891499092</v>
          </cell>
          <cell r="AE36">
            <v>206.7813709366911</v>
          </cell>
          <cell r="AF36">
            <v>202.64574351795727</v>
          </cell>
          <cell r="AG36">
            <v>198.59282864759814</v>
          </cell>
          <cell r="AH36">
            <v>194.62097207464618</v>
          </cell>
          <cell r="AI36">
            <v>190.72855263315324</v>
          </cell>
          <cell r="AJ36">
            <v>186.91398158049017</v>
          </cell>
          <cell r="AK36">
            <v>183.17570194888037</v>
          </cell>
          <cell r="AL36">
            <v>179.51218790990276</v>
          </cell>
          <cell r="AM36">
            <v>175.92194415170471</v>
          </cell>
          <cell r="AN36">
            <v>172.40350526867061</v>
          </cell>
          <cell r="AO36">
            <v>168.95543516329721</v>
          </cell>
          <cell r="AP36">
            <v>165.57632646003125</v>
          </cell>
          <cell r="AQ36">
            <v>162.26479993083063</v>
          </cell>
          <cell r="AR36">
            <v>159.01950393221401</v>
          </cell>
          <cell r="AS36">
            <v>155.83911385356973</v>
          </cell>
          <cell r="AT36">
            <v>152.72233157649833</v>
          </cell>
          <cell r="AU36">
            <v>149.66788494496836</v>
          </cell>
          <cell r="AV36">
            <v>148.17120609551867</v>
          </cell>
          <cell r="AW36">
            <v>146.6894940345635</v>
          </cell>
          <cell r="AX36">
            <v>145.22259909421786</v>
          </cell>
          <cell r="AY36">
            <v>143.77037310327569</v>
          </cell>
          <cell r="AZ36">
            <v>142.33266937224292</v>
          </cell>
          <cell r="BA36">
            <v>140.90934267852049</v>
          </cell>
          <cell r="BB36">
            <v>139.50024925173528</v>
          </cell>
          <cell r="BC36">
            <v>138.10524675921792</v>
          </cell>
          <cell r="BD36">
            <v>136.72419429162574</v>
          </cell>
          <cell r="BE36">
            <v>135.35695234870948</v>
          </cell>
          <cell r="BF36">
            <v>134.00338282522239</v>
          </cell>
        </row>
        <row r="37">
          <cell r="AD37">
            <v>69.678960654208524</v>
          </cell>
          <cell r="AE37">
            <v>68.285381441124358</v>
          </cell>
          <cell r="AF37">
            <v>66.919673812301866</v>
          </cell>
          <cell r="AG37">
            <v>65.581280336055826</v>
          </cell>
          <cell r="AH37">
            <v>64.269654729334704</v>
          </cell>
          <cell r="AI37">
            <v>62.984261634748009</v>
          </cell>
          <cell r="AJ37">
            <v>61.724576402053046</v>
          </cell>
          <cell r="AK37">
            <v>60.490084874011984</v>
          </cell>
          <cell r="AL37">
            <v>59.280283176531746</v>
          </cell>
          <cell r="AM37">
            <v>58.094677513001109</v>
          </cell>
          <cell r="AN37">
            <v>56.932783962741084</v>
          </cell>
          <cell r="AO37">
            <v>55.794128283486259</v>
          </cell>
          <cell r="AP37">
            <v>54.678245717816537</v>
          </cell>
          <cell r="AQ37">
            <v>53.584680803460209</v>
          </cell>
          <cell r="AR37">
            <v>52.512987187391005</v>
          </cell>
          <cell r="AS37">
            <v>51.462727443643182</v>
          </cell>
          <cell r="AT37">
            <v>50.433472894770318</v>
          </cell>
          <cell r="AU37">
            <v>49.42480343687491</v>
          </cell>
          <cell r="AV37">
            <v>48.930555402506158</v>
          </cell>
          <cell r="AW37">
            <v>48.4412498484811</v>
          </cell>
          <cell r="AX37">
            <v>47.956837349996292</v>
          </cell>
          <cell r="AY37">
            <v>47.477268976496326</v>
          </cell>
          <cell r="AZ37">
            <v>47.002496286731365</v>
          </cell>
          <cell r="BA37">
            <v>46.532471323864051</v>
          </cell>
          <cell r="BB37">
            <v>46.067146610625407</v>
          </cell>
          <cell r="BC37">
            <v>45.606475144519152</v>
          </cell>
          <cell r="BD37">
            <v>45.150410393073962</v>
          </cell>
          <cell r="BE37">
            <v>44.698906289143224</v>
          </cell>
          <cell r="BF37">
            <v>44.251917226251791</v>
          </cell>
        </row>
        <row r="38">
          <cell r="AD38">
            <v>27.1348904045464</v>
          </cell>
          <cell r="AE38">
            <v>26.592192596455472</v>
          </cell>
          <cell r="AF38">
            <v>26.060348744526362</v>
          </cell>
          <cell r="AG38">
            <v>25.539141769635833</v>
          </cell>
          <cell r="AH38">
            <v>25.028358934243116</v>
          </cell>
          <cell r="AI38">
            <v>24.527791755558255</v>
          </cell>
          <cell r="AJ38">
            <v>24.037235920447088</v>
          </cell>
          <cell r="AK38">
            <v>23.556491202038146</v>
          </cell>
          <cell r="AL38">
            <v>23.085361377997383</v>
          </cell>
          <cell r="AM38">
            <v>22.623654150437435</v>
          </cell>
          <cell r="AN38">
            <v>22.171181067428687</v>
          </cell>
          <cell r="AO38">
            <v>21.727757446080112</v>
          </cell>
          <cell r="AP38">
            <v>21.293202297158508</v>
          </cell>
          <cell r="AQ38">
            <v>20.867338251215337</v>
          </cell>
          <cell r="AR38">
            <v>20.449991486191031</v>
          </cell>
          <cell r="AS38">
            <v>20.040991656467209</v>
          </cell>
          <cell r="AT38">
            <v>19.640171823337866</v>
          </cell>
          <cell r="AU38">
            <v>19.247368386871109</v>
          </cell>
          <cell r="AV38">
            <v>19.054894703002397</v>
          </cell>
          <cell r="AW38">
            <v>18.864345755972373</v>
          </cell>
          <cell r="AX38">
            <v>18.675702298412649</v>
          </cell>
          <cell r="AY38">
            <v>18.488945275428524</v>
          </cell>
          <cell r="AZ38">
            <v>18.30405582267424</v>
          </cell>
          <cell r="BA38">
            <v>18.121015264447497</v>
          </cell>
          <cell r="BB38">
            <v>17.939805111803022</v>
          </cell>
          <cell r="BC38">
            <v>17.76040706068499</v>
          </cell>
          <cell r="BD38">
            <v>17.58280299007814</v>
          </cell>
          <cell r="BE38">
            <v>17.406974960177358</v>
          </cell>
          <cell r="BF38">
            <v>17.232905210575584</v>
          </cell>
        </row>
        <row r="39">
          <cell r="AD39">
            <v>452.02371055733482</v>
          </cell>
          <cell r="AE39">
            <v>442.98323634618811</v>
          </cell>
          <cell r="AF39">
            <v>434.12357161926434</v>
          </cell>
          <cell r="AG39">
            <v>425.44110018687905</v>
          </cell>
          <cell r="AH39">
            <v>416.93227818314148</v>
          </cell>
          <cell r="AI39">
            <v>408.59363261947863</v>
          </cell>
          <cell r="AJ39">
            <v>400.42175996708903</v>
          </cell>
          <cell r="AK39">
            <v>392.41332476774727</v>
          </cell>
          <cell r="AL39">
            <v>384.56505827239232</v>
          </cell>
          <cell r="AM39">
            <v>376.87375710694448</v>
          </cell>
          <cell r="AN39">
            <v>369.33628196480561</v>
          </cell>
          <cell r="AO39">
            <v>361.94955632550949</v>
          </cell>
          <cell r="AP39">
            <v>354.71056519899929</v>
          </cell>
          <cell r="AQ39">
            <v>347.6163538950193</v>
          </cell>
          <cell r="AR39">
            <v>340.66402681711889</v>
          </cell>
          <cell r="AS39">
            <v>333.85074628077649</v>
          </cell>
          <cell r="AT39">
            <v>327.17373135516095</v>
          </cell>
          <cell r="AU39">
            <v>320.63025672805776</v>
          </cell>
          <cell r="AV39">
            <v>317.42395416077716</v>
          </cell>
          <cell r="AW39">
            <v>314.24971461916937</v>
          </cell>
          <cell r="AX39">
            <v>311.10721747297765</v>
          </cell>
          <cell r="AY39">
            <v>307.99614529824788</v>
          </cell>
          <cell r="AZ39">
            <v>304.91618384526538</v>
          </cell>
          <cell r="BA39">
            <v>301.8670220068127</v>
          </cell>
          <cell r="BB39">
            <v>298.84835178674456</v>
          </cell>
          <cell r="BC39">
            <v>295.85986826887711</v>
          </cell>
          <cell r="BD39">
            <v>292.90126958618833</v>
          </cell>
          <cell r="BE39">
            <v>289.97225689032643</v>
          </cell>
          <cell r="BF39">
            <v>287.07253432142318</v>
          </cell>
        </row>
        <row r="40">
          <cell r="AD40">
            <v>365.01865379013645</v>
          </cell>
          <cell r="AE40">
            <v>357.71828071433373</v>
          </cell>
          <cell r="AF40">
            <v>350.56391510004704</v>
          </cell>
          <cell r="AG40">
            <v>343.55263679804608</v>
          </cell>
          <cell r="AH40">
            <v>336.68158406208516</v>
          </cell>
          <cell r="AI40">
            <v>329.94795238084345</v>
          </cell>
          <cell r="AJ40">
            <v>323.34899333322659</v>
          </cell>
          <cell r="AK40">
            <v>316.88201346656206</v>
          </cell>
          <cell r="AL40">
            <v>310.54437319723081</v>
          </cell>
          <cell r="AM40">
            <v>304.33348573328618</v>
          </cell>
          <cell r="AN40">
            <v>298.24681601862045</v>
          </cell>
          <cell r="AO40">
            <v>292.28187969824802</v>
          </cell>
          <cell r="AP40">
            <v>286.43624210428305</v>
          </cell>
          <cell r="AQ40">
            <v>280.70751726219737</v>
          </cell>
          <cell r="AR40">
            <v>275.09336691695341</v>
          </cell>
          <cell r="AS40">
            <v>269.59149957861433</v>
          </cell>
          <cell r="AT40">
            <v>264.19966958704202</v>
          </cell>
          <cell r="AU40">
            <v>258.91567619530116</v>
          </cell>
          <cell r="AV40">
            <v>256.32651943334815</v>
          </cell>
          <cell r="AW40">
            <v>253.76325423901469</v>
          </cell>
          <cell r="AX40">
            <v>251.22562169662453</v>
          </cell>
          <cell r="AY40">
            <v>248.71336547965828</v>
          </cell>
          <cell r="AZ40">
            <v>246.22623182486169</v>
          </cell>
          <cell r="BA40">
            <v>243.76396950661308</v>
          </cell>
          <cell r="BB40">
            <v>241.32632981154694</v>
          </cell>
          <cell r="BC40">
            <v>238.91306651343146</v>
          </cell>
          <cell r="BD40">
            <v>236.52393584829716</v>
          </cell>
          <cell r="BE40">
            <v>234.15869648981419</v>
          </cell>
          <cell r="BF40">
            <v>231.81710952491605</v>
          </cell>
        </row>
        <row r="41">
          <cell r="AD41">
            <v>203.05124437338739</v>
          </cell>
          <cell r="AE41">
            <v>198.99021948591965</v>
          </cell>
          <cell r="AF41">
            <v>195.01041509620126</v>
          </cell>
          <cell r="AG41">
            <v>191.11020679427722</v>
          </cell>
          <cell r="AH41">
            <v>187.28800265839166</v>
          </cell>
          <cell r="AI41">
            <v>183.54224260522383</v>
          </cell>
          <cell r="AJ41">
            <v>179.87139775311937</v>
          </cell>
          <cell r="AK41">
            <v>176.27396979805698</v>
          </cell>
          <cell r="AL41">
            <v>172.74849040209585</v>
          </cell>
          <cell r="AM41">
            <v>169.29352059405394</v>
          </cell>
          <cell r="AN41">
            <v>165.90765018217286</v>
          </cell>
          <cell r="AO41">
            <v>162.5894971785294</v>
          </cell>
          <cell r="AP41">
            <v>159.3377072349588</v>
          </cell>
          <cell r="AQ41">
            <v>156.15095309025963</v>
          </cell>
          <cell r="AR41">
            <v>153.02793402845444</v>
          </cell>
          <cell r="AS41">
            <v>149.96737534788534</v>
          </cell>
          <cell r="AT41">
            <v>146.96802784092762</v>
          </cell>
          <cell r="AU41">
            <v>144.02866728410908</v>
          </cell>
          <cell r="AV41">
            <v>142.58838061126798</v>
          </cell>
          <cell r="AW41">
            <v>141.16249680515529</v>
          </cell>
          <cell r="AX41">
            <v>139.75087183710374</v>
          </cell>
          <cell r="AY41">
            <v>138.35336311873272</v>
          </cell>
          <cell r="AZ41">
            <v>136.96982948754538</v>
          </cell>
          <cell r="BA41">
            <v>135.60013119266992</v>
          </cell>
          <cell r="BB41">
            <v>134.24412988074323</v>
          </cell>
          <cell r="BC41">
            <v>132.90168858193579</v>
          </cell>
          <cell r="BD41">
            <v>131.57267169611643</v>
          </cell>
          <cell r="BE41">
            <v>130.25694497915526</v>
          </cell>
          <cell r="BF41">
            <v>128.95437552936372</v>
          </cell>
        </row>
        <row r="42">
          <cell r="AD42">
            <v>1334.4481736852947</v>
          </cell>
          <cell r="AE42">
            <v>1307.7592102115889</v>
          </cell>
          <cell r="AF42">
            <v>1281.6040260073571</v>
          </cell>
          <cell r="AG42">
            <v>1255.97194548721</v>
          </cell>
          <cell r="AH42">
            <v>1230.8525065774656</v>
          </cell>
          <cell r="AI42">
            <v>1206.2354564459163</v>
          </cell>
          <cell r="AJ42">
            <v>1182.110747316998</v>
          </cell>
          <cell r="AK42">
            <v>1158.4685323706581</v>
          </cell>
          <cell r="AL42">
            <v>1135.2991617232449</v>
          </cell>
          <cell r="AM42">
            <v>1112.59317848878</v>
          </cell>
          <cell r="AN42">
            <v>1090.3413149190044</v>
          </cell>
          <cell r="AO42">
            <v>1068.5344886206244</v>
          </cell>
          <cell r="AP42">
            <v>1047.1637988482119</v>
          </cell>
          <cell r="AQ42">
            <v>1026.2205228712476</v>
          </cell>
          <cell r="AR42">
            <v>1005.6961124138226</v>
          </cell>
          <cell r="AS42">
            <v>985.58219016554608</v>
          </cell>
          <cell r="AT42">
            <v>965.87054636223513</v>
          </cell>
          <cell r="AU42">
            <v>946.55313543499039</v>
          </cell>
          <cell r="AV42">
            <v>937.08760408064052</v>
          </cell>
          <cell r="AW42">
            <v>927.71672803983415</v>
          </cell>
          <cell r="AX42">
            <v>918.43956075943584</v>
          </cell>
          <cell r="AY42">
            <v>909.25516515184142</v>
          </cell>
          <cell r="AZ42">
            <v>900.162613500323</v>
          </cell>
          <cell r="BA42">
            <v>891.16098736531978</v>
          </cell>
          <cell r="BB42">
            <v>882.24937749166656</v>
          </cell>
          <cell r="BC42">
            <v>873.4268837167499</v>
          </cell>
          <cell r="BD42">
            <v>864.69261487958238</v>
          </cell>
          <cell r="BE42">
            <v>856.04568873078654</v>
          </cell>
          <cell r="BF42">
            <v>847.48523184347869</v>
          </cell>
        </row>
      </sheetData>
      <sheetData sheetId="21"/>
      <sheetData sheetId="22"/>
      <sheetData sheetId="23"/>
      <sheetData sheetId="24"/>
      <sheetData sheetId="25"/>
      <sheetData sheetId="26"/>
      <sheetData sheetId="27">
        <row r="12">
          <cell r="AC12">
            <v>171.94447315582411</v>
          </cell>
          <cell r="AD12">
            <v>175.38336261894059</v>
          </cell>
          <cell r="AE12">
            <v>178.8910298713194</v>
          </cell>
          <cell r="AF12">
            <v>180.67994017003261</v>
          </cell>
          <cell r="AG12">
            <v>90.339970085016304</v>
          </cell>
          <cell r="AH12">
            <v>22.58499252125408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</row>
        <row r="13">
          <cell r="AC13">
            <v>174.74532790669275</v>
          </cell>
          <cell r="AD13">
            <v>178.24023446482661</v>
          </cell>
          <cell r="AE13">
            <v>181.80503915412314</v>
          </cell>
          <cell r="AF13">
            <v>183.62308954566436</v>
          </cell>
          <cell r="AG13">
            <v>91.811544772832178</v>
          </cell>
          <cell r="AH13">
            <v>22.952886193208045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</row>
        <row r="14">
          <cell r="AC14">
            <v>28.064564603703495</v>
          </cell>
          <cell r="AD14">
            <v>28.625855895777566</v>
          </cell>
          <cell r="AE14">
            <v>29.198373013693118</v>
          </cell>
          <cell r="AF14">
            <v>29.490356743830048</v>
          </cell>
          <cell r="AG14">
            <v>14.745178371915024</v>
          </cell>
          <cell r="AH14">
            <v>3.6862945929787561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</row>
        <row r="15">
          <cell r="AC15">
            <v>29.380966336611746</v>
          </cell>
          <cell r="AD15">
            <v>29.96858566334398</v>
          </cell>
          <cell r="AE15">
            <v>30.56795737661086</v>
          </cell>
          <cell r="AF15">
            <v>30.873636950376969</v>
          </cell>
          <cell r="AG15">
            <v>15.436818475188485</v>
          </cell>
          <cell r="AH15">
            <v>3.8592046187971221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AC16">
            <v>5.517683859211167</v>
          </cell>
          <cell r="AD16">
            <v>5.6280375363953903</v>
          </cell>
          <cell r="AE16">
            <v>5.7405982871232979</v>
          </cell>
          <cell r="AF16">
            <v>5.7980042699945304</v>
          </cell>
          <cell r="AG16">
            <v>2.8990021349972652</v>
          </cell>
          <cell r="AH16">
            <v>0.72475053374931608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</row>
        <row r="17">
          <cell r="AC17">
            <v>145.81249833021997</v>
          </cell>
          <cell r="AD17">
            <v>148.72874829682436</v>
          </cell>
          <cell r="AE17">
            <v>151.70332326276085</v>
          </cell>
          <cell r="AF17">
            <v>153.22035649538844</v>
          </cell>
          <cell r="AG17">
            <v>76.610178247694222</v>
          </cell>
          <cell r="AH17">
            <v>19.152544561923555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AC18">
            <v>143.23571195942085</v>
          </cell>
          <cell r="AD18">
            <v>146.10042619860928</v>
          </cell>
          <cell r="AE18">
            <v>149.02243472258147</v>
          </cell>
          <cell r="AF18">
            <v>150.51265906980728</v>
          </cell>
          <cell r="AG18">
            <v>75.256329534903642</v>
          </cell>
          <cell r="AH18">
            <v>18.814082383725911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</row>
        <row r="19">
          <cell r="AC19">
            <v>14.564444704516784</v>
          </cell>
          <cell r="AD19">
            <v>14.85573359860712</v>
          </cell>
          <cell r="AE19">
            <v>15.152848270579263</v>
          </cell>
          <cell r="AF19">
            <v>15.304376753285055</v>
          </cell>
          <cell r="AG19">
            <v>7.6521883766425276</v>
          </cell>
          <cell r="AH19">
            <v>1.9130470941606319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</row>
        <row r="20">
          <cell r="AC20">
            <v>113.88275417031778</v>
          </cell>
          <cell r="AD20">
            <v>116.16040925372414</v>
          </cell>
          <cell r="AE20">
            <v>118.48361743879862</v>
          </cell>
          <cell r="AF20">
            <v>119.6684536131866</v>
          </cell>
          <cell r="AG20">
            <v>59.8342268065933</v>
          </cell>
          <cell r="AH20">
            <v>14.958556701648327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</row>
        <row r="21">
          <cell r="AC21">
            <v>1055.7541897924148</v>
          </cell>
          <cell r="AD21">
            <v>1076.869273588263</v>
          </cell>
          <cell r="AE21">
            <v>1098.4066590600282</v>
          </cell>
          <cell r="AF21">
            <v>1109.3907256506286</v>
          </cell>
          <cell r="AG21">
            <v>554.69536282531431</v>
          </cell>
          <cell r="AH21">
            <v>138.67384070632858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</row>
        <row r="22">
          <cell r="AC22">
            <v>2470.3692834563431</v>
          </cell>
          <cell r="AD22">
            <v>2519.7766691254701</v>
          </cell>
          <cell r="AE22">
            <v>2570.1722025079794</v>
          </cell>
          <cell r="AF22">
            <v>2595.8739245330594</v>
          </cell>
          <cell r="AG22">
            <v>1297.9369622665297</v>
          </cell>
          <cell r="AH22">
            <v>324.48424056663248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</row>
        <row r="23">
          <cell r="AC23">
            <v>80.440548444946543</v>
          </cell>
          <cell r="AD23">
            <v>82.04935941384548</v>
          </cell>
          <cell r="AE23">
            <v>83.690346602122389</v>
          </cell>
          <cell r="AF23">
            <v>84.527250068143616</v>
          </cell>
          <cell r="AG23">
            <v>42.263625034071808</v>
          </cell>
          <cell r="AH23">
            <v>10.565906258517952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</row>
        <row r="24">
          <cell r="AC24">
            <v>88.871121245061062</v>
          </cell>
          <cell r="AD24">
            <v>90.64854366996228</v>
          </cell>
          <cell r="AE24">
            <v>92.461514543361531</v>
          </cell>
          <cell r="AF24">
            <v>93.386129688795151</v>
          </cell>
          <cell r="AG24">
            <v>46.693064844397576</v>
          </cell>
          <cell r="AH24">
            <v>11.673266211099396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</row>
        <row r="25">
          <cell r="AC25">
            <v>9.520105298202413</v>
          </cell>
          <cell r="AD25">
            <v>9.7105074041664619</v>
          </cell>
          <cell r="AE25">
            <v>9.9047175522497906</v>
          </cell>
          <cell r="AF25">
            <v>10.003764727772289</v>
          </cell>
          <cell r="AG25">
            <v>5.0018823638861445</v>
          </cell>
          <cell r="AH25">
            <v>1.2504705909715361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6">
          <cell r="AC26">
            <v>103.40755740206916</v>
          </cell>
          <cell r="AD26">
            <v>105.47570855011054</v>
          </cell>
          <cell r="AE26">
            <v>107.58522272111276</v>
          </cell>
          <cell r="AF26">
            <v>108.66107494832389</v>
          </cell>
          <cell r="AG26">
            <v>54.330537474161943</v>
          </cell>
          <cell r="AH26">
            <v>13.582634368540482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</row>
        <row r="27">
          <cell r="AC27">
            <v>906.24456319104831</v>
          </cell>
          <cell r="AD27">
            <v>924.36945445486924</v>
          </cell>
          <cell r="AE27">
            <v>942.85684354396665</v>
          </cell>
          <cell r="AF27">
            <v>952.28541197940626</v>
          </cell>
          <cell r="AG27">
            <v>476.14270598970313</v>
          </cell>
          <cell r="AH27">
            <v>119.03567649742581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AC28">
            <v>19.185855043449997</v>
          </cell>
          <cell r="AD28">
            <v>19.569572144318997</v>
          </cell>
          <cell r="AE28">
            <v>19.960963587205377</v>
          </cell>
          <cell r="AF28">
            <v>20.160573223077431</v>
          </cell>
          <cell r="AG28">
            <v>10.080286611538716</v>
          </cell>
          <cell r="AH28">
            <v>2.5200716528846794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</row>
        <row r="29">
          <cell r="AC29">
            <v>26.019940635569409</v>
          </cell>
          <cell r="AD29">
            <v>26.540339448280797</v>
          </cell>
          <cell r="AE29">
            <v>27.071146237246413</v>
          </cell>
          <cell r="AF29">
            <v>27.341857699618878</v>
          </cell>
          <cell r="AG29">
            <v>13.670928849809439</v>
          </cell>
          <cell r="AH29">
            <v>3.4177322124523606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</row>
        <row r="30">
          <cell r="AC30">
            <v>7.9824360399755454</v>
          </cell>
          <cell r="AD30">
            <v>8.1420847607750559</v>
          </cell>
          <cell r="AE30">
            <v>8.3049264559905573</v>
          </cell>
          <cell r="AF30">
            <v>8.3879757205504628</v>
          </cell>
          <cell r="AG30">
            <v>4.1939878602752314</v>
          </cell>
          <cell r="AH30">
            <v>1.0484969650688081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</row>
        <row r="31">
          <cell r="AC31">
            <v>4.5934017914245242</v>
          </cell>
          <cell r="AD31">
            <v>4.6852698272530144</v>
          </cell>
          <cell r="AE31">
            <v>4.7789752237980752</v>
          </cell>
          <cell r="AF31">
            <v>4.8267649760360563</v>
          </cell>
          <cell r="AG31">
            <v>2.4133824880180281</v>
          </cell>
          <cell r="AH31">
            <v>0.60334562200450703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</row>
        <row r="32">
          <cell r="AC32">
            <v>332.48946747561297</v>
          </cell>
          <cell r="AD32">
            <v>339.13925682512524</v>
          </cell>
          <cell r="AE32">
            <v>345.92204196162777</v>
          </cell>
          <cell r="AF32">
            <v>349.38126238124403</v>
          </cell>
          <cell r="AG32">
            <v>174.69063119062201</v>
          </cell>
          <cell r="AH32">
            <v>43.672657797655518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AC33">
            <v>98.870172705662014</v>
          </cell>
          <cell r="AD33">
            <v>100.84757615977526</v>
          </cell>
          <cell r="AE33">
            <v>102.86452768297076</v>
          </cell>
          <cell r="AF33">
            <v>103.89317295980047</v>
          </cell>
          <cell r="AG33">
            <v>51.946586479900233</v>
          </cell>
          <cell r="AH33">
            <v>12.986646619975062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</row>
        <row r="34">
          <cell r="AC34">
            <v>583.86618136607103</v>
          </cell>
          <cell r="AD34">
            <v>595.5435049933925</v>
          </cell>
          <cell r="AE34">
            <v>607.4543750932603</v>
          </cell>
          <cell r="AF34">
            <v>613.52891884419284</v>
          </cell>
          <cell r="AG34">
            <v>306.76445942209642</v>
          </cell>
          <cell r="AH34">
            <v>76.69111485552412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</row>
        <row r="35">
          <cell r="AC35">
            <v>80.384531349929176</v>
          </cell>
          <cell r="AD35">
            <v>81.992221976927766</v>
          </cell>
          <cell r="AE35">
            <v>83.632066416466316</v>
          </cell>
          <cell r="AF35">
            <v>84.468387080630976</v>
          </cell>
          <cell r="AG35">
            <v>42.234193540315488</v>
          </cell>
          <cell r="AH35">
            <v>10.558548385078872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</row>
        <row r="36">
          <cell r="AC36">
            <v>192.53075557470842</v>
          </cell>
          <cell r="AD36">
            <v>196.38137068620259</v>
          </cell>
          <cell r="AE36">
            <v>200.30899809992664</v>
          </cell>
          <cell r="AF36">
            <v>202.31208808092592</v>
          </cell>
          <cell r="AG36">
            <v>101.15604404046296</v>
          </cell>
          <cell r="AH36">
            <v>25.289011010115743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</row>
        <row r="37">
          <cell r="AC37">
            <v>63.579402844717499</v>
          </cell>
          <cell r="AD37">
            <v>64.850990901611851</v>
          </cell>
          <cell r="AE37">
            <v>66.148010719644091</v>
          </cell>
          <cell r="AF37">
            <v>66.809490826840531</v>
          </cell>
          <cell r="AG37">
            <v>33.404745413420265</v>
          </cell>
          <cell r="AH37">
            <v>8.3511863533550681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</row>
        <row r="38">
          <cell r="AC38">
            <v>24.759555997678532</v>
          </cell>
          <cell r="AD38">
            <v>25.254747117632103</v>
          </cell>
          <cell r="AE38">
            <v>25.759842059984745</v>
          </cell>
          <cell r="AF38">
            <v>26.017440480584593</v>
          </cell>
          <cell r="AG38">
            <v>13.008720240292297</v>
          </cell>
          <cell r="AH38">
            <v>3.2521800600730746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AC39">
            <v>104.16335623117922</v>
          </cell>
          <cell r="AD39">
            <v>106.24662335580281</v>
          </cell>
          <cell r="AE39">
            <v>108.37155582291886</v>
          </cell>
          <cell r="AF39">
            <v>109.45527138114805</v>
          </cell>
          <cell r="AG39">
            <v>54.727635690574026</v>
          </cell>
          <cell r="AH39">
            <v>13.681908922643508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</row>
        <row r="40">
          <cell r="AC40">
            <v>324.5423379416971</v>
          </cell>
          <cell r="AD40">
            <v>331.03318470053102</v>
          </cell>
          <cell r="AE40">
            <v>337.65384839454163</v>
          </cell>
          <cell r="AF40">
            <v>341.03038687848704</v>
          </cell>
          <cell r="AG40">
            <v>170.51519343924352</v>
          </cell>
          <cell r="AH40">
            <v>42.628798359810872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</row>
        <row r="41">
          <cell r="AC41">
            <v>185.27654176995873</v>
          </cell>
          <cell r="AD41">
            <v>188.9820726053579</v>
          </cell>
          <cell r="AE41">
            <v>192.76171405746507</v>
          </cell>
          <cell r="AF41">
            <v>194.68933119803972</v>
          </cell>
          <cell r="AG41">
            <v>97.344665599019862</v>
          </cell>
          <cell r="AH41">
            <v>24.336166399754973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</row>
        <row r="42">
          <cell r="AC42">
            <v>1217.6332312300422</v>
          </cell>
          <cell r="AD42">
            <v>1241.9858958546431</v>
          </cell>
          <cell r="AE42">
            <v>1266.825613771736</v>
          </cell>
          <cell r="AF42">
            <v>1279.4938699094535</v>
          </cell>
          <cell r="AG42">
            <v>639.74693495472673</v>
          </cell>
          <cell r="AH42">
            <v>159.93673373868171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>
        <row r="12">
          <cell r="AC12">
            <v>3975.7278234939463</v>
          </cell>
          <cell r="AD12">
            <v>4055.2423799638254</v>
          </cell>
          <cell r="AE12">
            <v>4136.347227563102</v>
          </cell>
          <cell r="AF12">
            <v>4219.074172114364</v>
          </cell>
          <cell r="AG12">
            <v>4303.4556555566514</v>
          </cell>
          <cell r="AH12">
            <v>4389.5247686677849</v>
          </cell>
          <cell r="AI12">
            <v>4477.3152640411408</v>
          </cell>
          <cell r="AJ12">
            <v>4566.8615693219635</v>
          </cell>
          <cell r="AK12">
            <v>4658.1988007084028</v>
          </cell>
          <cell r="AL12">
            <v>4751.3627767225707</v>
          </cell>
          <cell r="AM12">
            <v>4846.3900322570225</v>
          </cell>
          <cell r="AN12">
            <v>4943.317832902163</v>
          </cell>
          <cell r="AO12">
            <v>5042.1841895602065</v>
          </cell>
          <cell r="AP12">
            <v>5143.0278733514106</v>
          </cell>
          <cell r="AQ12">
            <v>5245.8884308184388</v>
          </cell>
          <cell r="AR12">
            <v>5350.8061994348072</v>
          </cell>
          <cell r="AS12">
            <v>5457.8223234235038</v>
          </cell>
          <cell r="AT12">
            <v>5566.9787698919736</v>
          </cell>
          <cell r="AU12">
            <v>5622.6485575908937</v>
          </cell>
          <cell r="AV12">
            <v>5678.8750431668022</v>
          </cell>
          <cell r="AW12">
            <v>5735.66379359847</v>
          </cell>
          <cell r="AX12">
            <v>5793.0204315344545</v>
          </cell>
          <cell r="AY12">
            <v>5850.9506358497993</v>
          </cell>
          <cell r="AZ12">
            <v>5909.4601422082969</v>
          </cell>
          <cell r="BA12">
            <v>5968.5547436303796</v>
          </cell>
          <cell r="BB12">
            <v>6028.2402910666833</v>
          </cell>
          <cell r="BC12">
            <v>6088.5226939773502</v>
          </cell>
          <cell r="BD12">
            <v>6149.4079209171241</v>
          </cell>
          <cell r="BE12">
            <v>6210.9020001262952</v>
          </cell>
        </row>
        <row r="13">
          <cell r="AC13">
            <v>4040.4896385044358</v>
          </cell>
          <cell r="AD13">
            <v>4121.2994312745241</v>
          </cell>
          <cell r="AE13">
            <v>4203.7254199000145</v>
          </cell>
          <cell r="AF13">
            <v>4287.7999282980145</v>
          </cell>
          <cell r="AG13">
            <v>4373.5559268639745</v>
          </cell>
          <cell r="AH13">
            <v>4461.0270454012543</v>
          </cell>
          <cell r="AI13">
            <v>4550.2475863092795</v>
          </cell>
          <cell r="AJ13">
            <v>4641.2525380354655</v>
          </cell>
          <cell r="AK13">
            <v>4734.0775887961745</v>
          </cell>
          <cell r="AL13">
            <v>4828.7591405720977</v>
          </cell>
          <cell r="AM13">
            <v>4925.3343233835394</v>
          </cell>
          <cell r="AN13">
            <v>5023.8410098512104</v>
          </cell>
          <cell r="AO13">
            <v>5124.317830048235</v>
          </cell>
          <cell r="AP13">
            <v>5226.8041866491994</v>
          </cell>
          <cell r="AQ13">
            <v>5331.340270382183</v>
          </cell>
          <cell r="AR13">
            <v>5437.9670757898266</v>
          </cell>
          <cell r="AS13">
            <v>5546.7264173056228</v>
          </cell>
          <cell r="AT13">
            <v>5657.6609456517353</v>
          </cell>
          <cell r="AU13">
            <v>5714.2375551082523</v>
          </cell>
          <cell r="AV13">
            <v>5771.3799306593346</v>
          </cell>
          <cell r="AW13">
            <v>5829.0937299659281</v>
          </cell>
          <cell r="AX13">
            <v>5887.3846672655873</v>
          </cell>
          <cell r="AY13">
            <v>5946.2585139382427</v>
          </cell>
          <cell r="AZ13">
            <v>6005.7210990776248</v>
          </cell>
          <cell r="BA13">
            <v>6065.778310068401</v>
          </cell>
          <cell r="BB13">
            <v>6126.4360931690853</v>
          </cell>
          <cell r="BC13">
            <v>6187.7004541007764</v>
          </cell>
          <cell r="BD13">
            <v>6249.5774586417838</v>
          </cell>
          <cell r="BE13">
            <v>6312.0732332282014</v>
          </cell>
        </row>
        <row r="14">
          <cell r="AC14">
            <v>648.91338640510412</v>
          </cell>
          <cell r="AD14">
            <v>661.8916541332062</v>
          </cell>
          <cell r="AE14">
            <v>675.12948721587031</v>
          </cell>
          <cell r="AF14">
            <v>688.63207696018776</v>
          </cell>
          <cell r="AG14">
            <v>702.40471849939149</v>
          </cell>
          <cell r="AH14">
            <v>716.45281286937927</v>
          </cell>
          <cell r="AI14">
            <v>730.78186912676688</v>
          </cell>
          <cell r="AJ14">
            <v>745.39750650930216</v>
          </cell>
          <cell r="AK14">
            <v>760.30545663948817</v>
          </cell>
          <cell r="AL14">
            <v>775.51156577227789</v>
          </cell>
          <cell r="AM14">
            <v>791.02179708772348</v>
          </cell>
          <cell r="AN14">
            <v>806.84223302947794</v>
          </cell>
          <cell r="AO14">
            <v>822.97907769006747</v>
          </cell>
          <cell r="AP14">
            <v>839.43865924386887</v>
          </cell>
          <cell r="AQ14">
            <v>856.22743242874628</v>
          </cell>
          <cell r="AR14">
            <v>873.35198107732117</v>
          </cell>
          <cell r="AS14">
            <v>890.81902069886758</v>
          </cell>
          <cell r="AT14">
            <v>908.63540111284487</v>
          </cell>
          <cell r="AU14">
            <v>917.72175512397337</v>
          </cell>
          <cell r="AV14">
            <v>926.89897267521314</v>
          </cell>
          <cell r="AW14">
            <v>936.16796240196527</v>
          </cell>
          <cell r="AX14">
            <v>945.52964202598491</v>
          </cell>
          <cell r="AY14">
            <v>954.98493844624477</v>
          </cell>
          <cell r="AZ14">
            <v>964.53478783070727</v>
          </cell>
          <cell r="BA14">
            <v>974.18013570901439</v>
          </cell>
          <cell r="BB14">
            <v>983.92193706610453</v>
          </cell>
          <cell r="BC14">
            <v>993.76115643676553</v>
          </cell>
          <cell r="BD14">
            <v>1003.6987680011332</v>
          </cell>
          <cell r="BE14">
            <v>1013.7357556811445</v>
          </cell>
        </row>
        <row r="15">
          <cell r="AC15">
            <v>679.35143946003416</v>
          </cell>
          <cell r="AD15">
            <v>692.9384682492348</v>
          </cell>
          <cell r="AE15">
            <v>706.79723761421951</v>
          </cell>
          <cell r="AF15">
            <v>720.93318236650396</v>
          </cell>
          <cell r="AG15">
            <v>735.35184601383401</v>
          </cell>
          <cell r="AH15">
            <v>750.05888293411067</v>
          </cell>
          <cell r="AI15">
            <v>765.06006059279287</v>
          </cell>
          <cell r="AJ15">
            <v>780.36126180464873</v>
          </cell>
          <cell r="AK15">
            <v>795.96848704074171</v>
          </cell>
          <cell r="AL15">
            <v>811.88785678155659</v>
          </cell>
          <cell r="AM15">
            <v>828.12561391718771</v>
          </cell>
          <cell r="AN15">
            <v>844.68812619553148</v>
          </cell>
          <cell r="AO15">
            <v>861.58188871944208</v>
          </cell>
          <cell r="AP15">
            <v>878.81352649383086</v>
          </cell>
          <cell r="AQ15">
            <v>896.3897970237075</v>
          </cell>
          <cell r="AR15">
            <v>914.3175929641817</v>
          </cell>
          <cell r="AS15">
            <v>932.60394482346533</v>
          </cell>
          <cell r="AT15">
            <v>951.25602371993466</v>
          </cell>
          <cell r="AU15">
            <v>960.76858395713396</v>
          </cell>
          <cell r="AV15">
            <v>970.37626979670529</v>
          </cell>
          <cell r="AW15">
            <v>980.08003249467231</v>
          </cell>
          <cell r="AX15">
            <v>989.88083281961906</v>
          </cell>
          <cell r="AY15">
            <v>999.77964114781525</v>
          </cell>
          <cell r="AZ15">
            <v>1009.7774375592934</v>
          </cell>
          <cell r="BA15">
            <v>1019.8752119348864</v>
          </cell>
          <cell r="BB15">
            <v>1030.0739640542351</v>
          </cell>
          <cell r="BC15">
            <v>1040.3747036947775</v>
          </cell>
          <cell r="BD15">
            <v>1050.7784507317253</v>
          </cell>
          <cell r="BE15">
            <v>1061.2862352390425</v>
          </cell>
        </row>
        <row r="16">
          <cell r="AC16">
            <v>127.58077557066417</v>
          </cell>
          <cell r="AD16">
            <v>130.13239108207745</v>
          </cell>
          <cell r="AE16">
            <v>132.73503890371899</v>
          </cell>
          <cell r="AF16">
            <v>135.38973968179337</v>
          </cell>
          <cell r="AG16">
            <v>138.09753447542923</v>
          </cell>
          <cell r="AH16">
            <v>140.85948516493781</v>
          </cell>
          <cell r="AI16">
            <v>143.67667486823657</v>
          </cell>
          <cell r="AJ16">
            <v>146.55020836560129</v>
          </cell>
          <cell r="AK16">
            <v>149.48121253291333</v>
          </cell>
          <cell r="AL16">
            <v>152.4708367835716</v>
          </cell>
          <cell r="AM16">
            <v>155.52025351924303</v>
          </cell>
          <cell r="AN16">
            <v>158.6306585896279</v>
          </cell>
          <cell r="AO16">
            <v>161.80327176142046</v>
          </cell>
          <cell r="AP16">
            <v>165.03933719664886</v>
          </cell>
          <cell r="AQ16">
            <v>168.34012394058183</v>
          </cell>
          <cell r="AR16">
            <v>171.70692641939348</v>
          </cell>
          <cell r="AS16">
            <v>175.14106494778136</v>
          </cell>
          <cell r="AT16">
            <v>178.643886246737</v>
          </cell>
          <cell r="AU16">
            <v>180.43032510920438</v>
          </cell>
          <cell r="AV16">
            <v>182.23462836029643</v>
          </cell>
          <cell r="AW16">
            <v>184.05697464389939</v>
          </cell>
          <cell r="AX16">
            <v>185.8975443903384</v>
          </cell>
          <cell r="AY16">
            <v>187.75651983424177</v>
          </cell>
          <cell r="AZ16">
            <v>189.63408503258418</v>
          </cell>
          <cell r="BA16">
            <v>191.53042588291001</v>
          </cell>
          <cell r="BB16">
            <v>193.44573014173912</v>
          </cell>
          <cell r="BC16">
            <v>195.3801874431565</v>
          </cell>
          <cell r="BD16">
            <v>197.33398931758808</v>
          </cell>
          <cell r="BE16">
            <v>199.30732921076395</v>
          </cell>
        </row>
        <row r="17">
          <cell r="AC17">
            <v>3371.50008944608</v>
          </cell>
          <cell r="AD17">
            <v>3438.9300912350018</v>
          </cell>
          <cell r="AE17">
            <v>3507.708693059702</v>
          </cell>
          <cell r="AF17">
            <v>3577.8628669208961</v>
          </cell>
          <cell r="AG17">
            <v>3649.420124259314</v>
          </cell>
          <cell r="AH17">
            <v>3722.4085267445003</v>
          </cell>
          <cell r="AI17">
            <v>3796.8566972793901</v>
          </cell>
          <cell r="AJ17">
            <v>3872.793831224978</v>
          </cell>
          <cell r="AK17">
            <v>3950.2497078494775</v>
          </cell>
          <cell r="AL17">
            <v>4029.2547020064671</v>
          </cell>
          <cell r="AM17">
            <v>4109.8397960465963</v>
          </cell>
          <cell r="AN17">
            <v>4192.0365919675287</v>
          </cell>
          <cell r="AO17">
            <v>4275.8773238068788</v>
          </cell>
          <cell r="AP17">
            <v>4361.3948702830166</v>
          </cell>
          <cell r="AQ17">
            <v>4448.6227676886774</v>
          </cell>
          <cell r="AR17">
            <v>4537.5952230424509</v>
          </cell>
          <cell r="AS17">
            <v>4628.3471275032998</v>
          </cell>
          <cell r="AT17">
            <v>4720.9140700533662</v>
          </cell>
          <cell r="AU17">
            <v>4768.1232107538999</v>
          </cell>
          <cell r="AV17">
            <v>4815.8044428614385</v>
          </cell>
          <cell r="AW17">
            <v>4863.9624872900531</v>
          </cell>
          <cell r="AX17">
            <v>4912.6021121629537</v>
          </cell>
          <cell r="AY17">
            <v>4961.7281332845832</v>
          </cell>
          <cell r="AZ17">
            <v>5011.345414617429</v>
          </cell>
          <cell r="BA17">
            <v>5061.4588687636033</v>
          </cell>
          <cell r="BB17">
            <v>5112.0734574512389</v>
          </cell>
          <cell r="BC17">
            <v>5163.1941920257514</v>
          </cell>
          <cell r="BD17">
            <v>5214.8261339460087</v>
          </cell>
          <cell r="BE17">
            <v>5266.9743952854687</v>
          </cell>
        </row>
        <row r="18">
          <cell r="AC18">
            <v>3311.9192196364297</v>
          </cell>
          <cell r="AD18">
            <v>3378.1576040291584</v>
          </cell>
          <cell r="AE18">
            <v>3445.7207561097416</v>
          </cell>
          <cell r="AF18">
            <v>3514.6351712319365</v>
          </cell>
          <cell r="AG18">
            <v>3584.9278746565751</v>
          </cell>
          <cell r="AH18">
            <v>3656.6264321497065</v>
          </cell>
          <cell r="AI18">
            <v>3729.7589607927007</v>
          </cell>
          <cell r="AJ18">
            <v>3804.3541400085546</v>
          </cell>
          <cell r="AK18">
            <v>3880.4412228087258</v>
          </cell>
          <cell r="AL18">
            <v>3958.0500472649005</v>
          </cell>
          <cell r="AM18">
            <v>4037.2110482101984</v>
          </cell>
          <cell r="AN18">
            <v>4117.955269174402</v>
          </cell>
          <cell r="AO18">
            <v>4200.31437455789</v>
          </cell>
          <cell r="AP18">
            <v>4284.3206620490482</v>
          </cell>
          <cell r="AQ18">
            <v>4370.0070752900292</v>
          </cell>
          <cell r="AR18">
            <v>4457.4072167958302</v>
          </cell>
          <cell r="AS18">
            <v>4546.5553611317464</v>
          </cell>
          <cell r="AT18">
            <v>4637.486468354381</v>
          </cell>
          <cell r="AU18">
            <v>4683.8613330379249</v>
          </cell>
          <cell r="AV18">
            <v>4730.6999463683042</v>
          </cell>
          <cell r="AW18">
            <v>4778.0069458319867</v>
          </cell>
          <cell r="AX18">
            <v>4825.787015290307</v>
          </cell>
          <cell r="AY18">
            <v>4874.0448854432098</v>
          </cell>
          <cell r="AZ18">
            <v>4922.7853342976423</v>
          </cell>
          <cell r="BA18">
            <v>4972.0131876406185</v>
          </cell>
          <cell r="BB18">
            <v>5021.7333195170249</v>
          </cell>
          <cell r="BC18">
            <v>5071.9506527121948</v>
          </cell>
          <cell r="BD18">
            <v>5122.6701592393165</v>
          </cell>
          <cell r="BE18">
            <v>5173.89686083171</v>
          </cell>
        </row>
        <row r="19">
          <cell r="AC19">
            <v>336.76143805454507</v>
          </cell>
          <cell r="AD19">
            <v>343.49666681563599</v>
          </cell>
          <cell r="AE19">
            <v>350.36660015194872</v>
          </cell>
          <cell r="AF19">
            <v>357.3739321549877</v>
          </cell>
          <cell r="AG19">
            <v>364.52141079808746</v>
          </cell>
          <cell r="AH19">
            <v>371.81183901404921</v>
          </cell>
          <cell r="AI19">
            <v>379.24807579433019</v>
          </cell>
          <cell r="AJ19">
            <v>386.83303731021681</v>
          </cell>
          <cell r="AK19">
            <v>394.56969805642115</v>
          </cell>
          <cell r="AL19">
            <v>402.46109201754956</v>
          </cell>
          <cell r="AM19">
            <v>410.51031385790054</v>
          </cell>
          <cell r="AN19">
            <v>418.72052013505856</v>
          </cell>
          <cell r="AO19">
            <v>427.09493053775975</v>
          </cell>
          <cell r="AP19">
            <v>435.63682914851495</v>
          </cell>
          <cell r="AQ19">
            <v>444.34956573148526</v>
          </cell>
          <cell r="AR19">
            <v>453.23655704611497</v>
          </cell>
          <cell r="AS19">
            <v>462.30128818703724</v>
          </cell>
          <cell r="AT19">
            <v>471.547313950778</v>
          </cell>
          <cell r="AU19">
            <v>476.26278709028577</v>
          </cell>
          <cell r="AV19">
            <v>481.02541496118863</v>
          </cell>
          <cell r="AW19">
            <v>485.8356691108005</v>
          </cell>
          <cell r="AX19">
            <v>490.69402580190848</v>
          </cell>
          <cell r="AY19">
            <v>495.60096605992754</v>
          </cell>
          <cell r="AZ19">
            <v>500.55697572052679</v>
          </cell>
          <cell r="BA19">
            <v>505.56254547773204</v>
          </cell>
          <cell r="BB19">
            <v>510.61817093250937</v>
          </cell>
          <cell r="BC19">
            <v>515.72435264183446</v>
          </cell>
          <cell r="BD19">
            <v>520.88159616825283</v>
          </cell>
          <cell r="BE19">
            <v>526.09041212993532</v>
          </cell>
        </row>
        <row r="20">
          <cell r="AC20">
            <v>2633.2153983265002</v>
          </cell>
          <cell r="AD20">
            <v>2685.8797062930303</v>
          </cell>
          <cell r="AE20">
            <v>2739.5973004188909</v>
          </cell>
          <cell r="AF20">
            <v>2794.3892464272685</v>
          </cell>
          <cell r="AG20">
            <v>2850.277031355814</v>
          </cell>
          <cell r="AH20">
            <v>2907.2825719829302</v>
          </cell>
          <cell r="AI20">
            <v>2965.4282234225889</v>
          </cell>
          <cell r="AJ20">
            <v>3024.7367878910409</v>
          </cell>
          <cell r="AK20">
            <v>3085.2315236488616</v>
          </cell>
          <cell r="AL20">
            <v>3146.9361541218391</v>
          </cell>
          <cell r="AM20">
            <v>3209.8748772042759</v>
          </cell>
          <cell r="AN20">
            <v>3274.0723747483612</v>
          </cell>
          <cell r="AO20">
            <v>3339.5538222433283</v>
          </cell>
          <cell r="AP20">
            <v>3406.3448986881949</v>
          </cell>
          <cell r="AQ20">
            <v>3474.4717966619587</v>
          </cell>
          <cell r="AR20">
            <v>3543.961232595198</v>
          </cell>
          <cell r="AS20">
            <v>3614.8404572471018</v>
          </cell>
          <cell r="AT20">
            <v>3687.1372663920438</v>
          </cell>
          <cell r="AU20">
            <v>3724.0086390559641</v>
          </cell>
          <cell r="AV20">
            <v>3761.2487254465236</v>
          </cell>
          <cell r="AW20">
            <v>3798.8612127009887</v>
          </cell>
          <cell r="AX20">
            <v>3836.8498248279984</v>
          </cell>
          <cell r="AY20">
            <v>3875.2183230762785</v>
          </cell>
          <cell r="AZ20">
            <v>3913.9705063070414</v>
          </cell>
          <cell r="BA20">
            <v>3953.1102113701118</v>
          </cell>
          <cell r="BB20">
            <v>3992.6413134838131</v>
          </cell>
          <cell r="BC20">
            <v>4032.5677266186512</v>
          </cell>
          <cell r="BD20">
            <v>4072.8934038848379</v>
          </cell>
          <cell r="BE20">
            <v>4113.6223379236862</v>
          </cell>
        </row>
        <row r="21">
          <cell r="AC21">
            <v>24411.318550053889</v>
          </cell>
          <cell r="AD21">
            <v>24899.544921054967</v>
          </cell>
          <cell r="AE21">
            <v>25397.535819476067</v>
          </cell>
          <cell r="AF21">
            <v>25905.486535865588</v>
          </cell>
          <cell r="AG21">
            <v>26423.596266582899</v>
          </cell>
          <cell r="AH21">
            <v>26952.068191914557</v>
          </cell>
          <cell r="AI21">
            <v>27491.10955575285</v>
          </cell>
          <cell r="AJ21">
            <v>28040.931746867907</v>
          </cell>
          <cell r="AK21">
            <v>28601.750381805265</v>
          </cell>
          <cell r="AL21">
            <v>29173.785389441371</v>
          </cell>
          <cell r="AM21">
            <v>29757.261097230199</v>
          </cell>
          <cell r="AN21">
            <v>30352.406319174803</v>
          </cell>
          <cell r="AO21">
            <v>30959.454445558298</v>
          </cell>
          <cell r="AP21">
            <v>31578.643534469466</v>
          </cell>
          <cell r="AQ21">
            <v>32210.216405158855</v>
          </cell>
          <cell r="AR21">
            <v>32854.420733262035</v>
          </cell>
          <cell r="AS21">
            <v>33511.509147927274</v>
          </cell>
          <cell r="AT21">
            <v>34181.739330885823</v>
          </cell>
          <cell r="AU21">
            <v>34523.556724194677</v>
          </cell>
          <cell r="AV21">
            <v>34868.792291436621</v>
          </cell>
          <cell r="AW21">
            <v>35217.480214350988</v>
          </cell>
          <cell r="AX21">
            <v>35569.6550164945</v>
          </cell>
          <cell r="AY21">
            <v>35925.351566659447</v>
          </cell>
          <cell r="AZ21">
            <v>36284.605082326045</v>
          </cell>
          <cell r="BA21">
            <v>36647.451133149305</v>
          </cell>
          <cell r="BB21">
            <v>37013.925644480798</v>
          </cell>
          <cell r="BC21">
            <v>37384.064900925609</v>
          </cell>
          <cell r="BD21">
            <v>37757.905549934861</v>
          </cell>
          <cell r="BE21">
            <v>38135.484605434212</v>
          </cell>
        </row>
        <row r="22">
          <cell r="AC22">
            <v>41243.888692328532</v>
          </cell>
          <cell r="AD22">
            <v>42068.766466175104</v>
          </cell>
          <cell r="AE22">
            <v>42910.141795498603</v>
          </cell>
          <cell r="AF22">
            <v>43768.344631408574</v>
          </cell>
          <cell r="AG22">
            <v>44643.711524036742</v>
          </cell>
          <cell r="AH22">
            <v>45536.58575451748</v>
          </cell>
          <cell r="AI22">
            <v>46447.317469607828</v>
          </cell>
          <cell r="AJ22">
            <v>47376.263818999985</v>
          </cell>
          <cell r="AK22">
            <v>48323.789095379987</v>
          </cell>
          <cell r="AL22">
            <v>49290.264877287584</v>
          </cell>
          <cell r="AM22">
            <v>50276.070174833338</v>
          </cell>
          <cell r="AN22">
            <v>51281.591578330008</v>
          </cell>
          <cell r="AO22">
            <v>52307.223409896607</v>
          </cell>
          <cell r="AP22">
            <v>53353.367878094541</v>
          </cell>
          <cell r="AQ22">
            <v>54420.435235656434</v>
          </cell>
          <cell r="AR22">
            <v>55508.843940369559</v>
          </cell>
          <cell r="AS22">
            <v>56619.020819176949</v>
          </cell>
          <cell r="AT22">
            <v>57751.401235560486</v>
          </cell>
          <cell r="AU22">
            <v>58328.915247916091</v>
          </cell>
          <cell r="AV22">
            <v>58912.204400395254</v>
          </cell>
          <cell r="AW22">
            <v>59501.326444399208</v>
          </cell>
          <cell r="AX22">
            <v>60096.339708843203</v>
          </cell>
          <cell r="AY22">
            <v>60697.303105931634</v>
          </cell>
          <cell r="AZ22">
            <v>61304.276136990949</v>
          </cell>
          <cell r="BA22">
            <v>61917.318898360856</v>
          </cell>
          <cell r="BB22">
            <v>62536.492087344464</v>
          </cell>
          <cell r="BC22">
            <v>63161.857008217907</v>
          </cell>
          <cell r="BD22">
            <v>63793.475578300087</v>
          </cell>
          <cell r="BE22">
            <v>64431.410334083092</v>
          </cell>
        </row>
        <row r="23">
          <cell r="AC23">
            <v>1859.9593271012566</v>
          </cell>
          <cell r="AD23">
            <v>1897.1585136432818</v>
          </cell>
          <cell r="AE23">
            <v>1935.1016839161475</v>
          </cell>
          <cell r="AF23">
            <v>1973.8037175944705</v>
          </cell>
          <cell r="AG23">
            <v>2013.2797919463599</v>
          </cell>
          <cell r="AH23">
            <v>2053.5453877852869</v>
          </cell>
          <cell r="AI23">
            <v>2094.6162955409927</v>
          </cell>
          <cell r="AJ23">
            <v>2136.5086214518124</v>
          </cell>
          <cell r="AK23">
            <v>2179.2387938808488</v>
          </cell>
          <cell r="AL23">
            <v>2222.823569758466</v>
          </cell>
          <cell r="AM23">
            <v>2267.2800411536355</v>
          </cell>
          <cell r="AN23">
            <v>2312.6256419767083</v>
          </cell>
          <cell r="AO23">
            <v>2358.8781548162424</v>
          </cell>
          <cell r="AP23">
            <v>2406.0557179125672</v>
          </cell>
          <cell r="AQ23">
            <v>2454.1768322708185</v>
          </cell>
          <cell r="AR23">
            <v>2503.2603689162347</v>
          </cell>
          <cell r="AS23">
            <v>2553.3255762945596</v>
          </cell>
          <cell r="AT23">
            <v>2604.3920878204508</v>
          </cell>
          <cell r="AU23">
            <v>2630.4360086986553</v>
          </cell>
          <cell r="AV23">
            <v>2656.7403687856417</v>
          </cell>
          <cell r="AW23">
            <v>2683.3077724734981</v>
          </cell>
          <cell r="AX23">
            <v>2710.1408501982332</v>
          </cell>
          <cell r="AY23">
            <v>2737.2422587002156</v>
          </cell>
          <cell r="AZ23">
            <v>2764.614681287218</v>
          </cell>
          <cell r="BA23">
            <v>2792.2608281000903</v>
          </cell>
          <cell r="BB23">
            <v>2820.1834363810913</v>
          </cell>
          <cell r="BC23">
            <v>2848.3852707449023</v>
          </cell>
          <cell r="BD23">
            <v>2876.8691234523512</v>
          </cell>
          <cell r="BE23">
            <v>2905.6378146868747</v>
          </cell>
        </row>
        <row r="24">
          <cell r="AC24">
            <v>2054.8923902828296</v>
          </cell>
          <cell r="AD24">
            <v>2095.9902380884864</v>
          </cell>
          <cell r="AE24">
            <v>2137.9100428502561</v>
          </cell>
          <cell r="AF24">
            <v>2180.6682437072614</v>
          </cell>
          <cell r="AG24">
            <v>2224.2816085814065</v>
          </cell>
          <cell r="AH24">
            <v>2268.7672407530345</v>
          </cell>
          <cell r="AI24">
            <v>2314.142585568095</v>
          </cell>
          <cell r="AJ24">
            <v>2360.4254372794567</v>
          </cell>
          <cell r="AK24">
            <v>2407.6339460250456</v>
          </cell>
          <cell r="AL24">
            <v>2455.7866249455465</v>
          </cell>
          <cell r="AM24">
            <v>2504.9023574444573</v>
          </cell>
          <cell r="AN24">
            <v>2555.0004045933465</v>
          </cell>
          <cell r="AO24">
            <v>2606.1004126852135</v>
          </cell>
          <cell r="AP24">
            <v>2658.2224209389178</v>
          </cell>
          <cell r="AQ24">
            <v>2711.386869357696</v>
          </cell>
          <cell r="AR24">
            <v>2765.6146067448499</v>
          </cell>
          <cell r="AS24">
            <v>2820.9268988797467</v>
          </cell>
          <cell r="AT24">
            <v>2877.3454368573416</v>
          </cell>
          <cell r="AU24">
            <v>2906.1188912259149</v>
          </cell>
          <cell r="AV24">
            <v>2935.1800801381742</v>
          </cell>
          <cell r="AW24">
            <v>2964.5318809395558</v>
          </cell>
          <cell r="AX24">
            <v>2994.1771997489514</v>
          </cell>
          <cell r="AY24">
            <v>3024.1189717464408</v>
          </cell>
          <cell r="AZ24">
            <v>3054.3601614639051</v>
          </cell>
          <cell r="BA24">
            <v>3084.9037630785442</v>
          </cell>
          <cell r="BB24">
            <v>3115.7528007093297</v>
          </cell>
          <cell r="BC24">
            <v>3146.910328716423</v>
          </cell>
          <cell r="BD24">
            <v>3178.3794320035872</v>
          </cell>
          <cell r="BE24">
            <v>3210.1632263236229</v>
          </cell>
        </row>
        <row r="25">
          <cell r="AC25">
            <v>220.12540922065355</v>
          </cell>
          <cell r="AD25">
            <v>224.52791740506663</v>
          </cell>
          <cell r="AE25">
            <v>229.01847575316796</v>
          </cell>
          <cell r="AF25">
            <v>233.59884526823132</v>
          </cell>
          <cell r="AG25">
            <v>238.27082217359595</v>
          </cell>
          <cell r="AH25">
            <v>243.03623861706785</v>
          </cell>
          <cell r="AI25">
            <v>247.89696338940922</v>
          </cell>
          <cell r="AJ25">
            <v>252.85490265719741</v>
          </cell>
          <cell r="AK25">
            <v>257.91200071034137</v>
          </cell>
          <cell r="AL25">
            <v>263.07024072454823</v>
          </cell>
          <cell r="AM25">
            <v>268.33164553903919</v>
          </cell>
          <cell r="AN25">
            <v>273.69827844981995</v>
          </cell>
          <cell r="AO25">
            <v>279.17224401881634</v>
          </cell>
          <cell r="AP25">
            <v>284.75568889919265</v>
          </cell>
          <cell r="AQ25">
            <v>290.45080267717651</v>
          </cell>
          <cell r="AR25">
            <v>296.25981873072004</v>
          </cell>
          <cell r="AS25">
            <v>302.18501510533446</v>
          </cell>
          <cell r="AT25">
            <v>308.22871540744114</v>
          </cell>
          <cell r="AU25">
            <v>311.31100256151558</v>
          </cell>
          <cell r="AV25">
            <v>314.42411258713071</v>
          </cell>
          <cell r="AW25">
            <v>317.56835371300201</v>
          </cell>
          <cell r="AX25">
            <v>320.74403725013201</v>
          </cell>
          <cell r="AY25">
            <v>323.95147762263332</v>
          </cell>
          <cell r="AZ25">
            <v>327.19099239885963</v>
          </cell>
          <cell r="BA25">
            <v>330.46290232284821</v>
          </cell>
          <cell r="BB25">
            <v>333.76753134607668</v>
          </cell>
          <cell r="BC25">
            <v>337.10520665953743</v>
          </cell>
          <cell r="BD25">
            <v>340.47625872613281</v>
          </cell>
          <cell r="BE25">
            <v>343.88102131339411</v>
          </cell>
        </row>
        <row r="26">
          <cell r="AC26">
            <v>2391.0062101872695</v>
          </cell>
          <cell r="AD26">
            <v>2438.8263343910148</v>
          </cell>
          <cell r="AE26">
            <v>2487.6028610788353</v>
          </cell>
          <cell r="AF26">
            <v>2537.354918300412</v>
          </cell>
          <cell r="AG26">
            <v>2588.1020166664202</v>
          </cell>
          <cell r="AH26">
            <v>2639.8640569997488</v>
          </cell>
          <cell r="AI26">
            <v>2692.6613381397437</v>
          </cell>
          <cell r="AJ26">
            <v>2746.5145649025385</v>
          </cell>
          <cell r="AK26">
            <v>2801.4448562005891</v>
          </cell>
          <cell r="AL26">
            <v>2857.4737533246007</v>
          </cell>
          <cell r="AM26">
            <v>2914.6232283910927</v>
          </cell>
          <cell r="AN26">
            <v>2972.9156929589144</v>
          </cell>
          <cell r="AO26">
            <v>3032.3740068180928</v>
          </cell>
          <cell r="AP26">
            <v>3093.0214869544548</v>
          </cell>
          <cell r="AQ26">
            <v>3154.8819166935436</v>
          </cell>
          <cell r="AR26">
            <v>3217.9795550274143</v>
          </cell>
          <cell r="AS26">
            <v>3282.3391461279625</v>
          </cell>
          <cell r="AT26">
            <v>3347.9859290505219</v>
          </cell>
          <cell r="AU26">
            <v>3381.4657883410273</v>
          </cell>
          <cell r="AV26">
            <v>3415.2804462244376</v>
          </cell>
          <cell r="AW26">
            <v>3449.4332506866822</v>
          </cell>
          <cell r="AX26">
            <v>3483.9275831935488</v>
          </cell>
          <cell r="AY26">
            <v>3518.7668590254843</v>
          </cell>
          <cell r="AZ26">
            <v>3553.9545276157392</v>
          </cell>
          <cell r="BA26">
            <v>3589.4940728918964</v>
          </cell>
          <cell r="BB26">
            <v>3625.3890136208151</v>
          </cell>
          <cell r="BC26">
            <v>3661.6429037570233</v>
          </cell>
          <cell r="BD26">
            <v>3698.2593327945933</v>
          </cell>
          <cell r="BE26">
            <v>3735.2419261225391</v>
          </cell>
        </row>
        <row r="27">
          <cell r="AC27">
            <v>20954.33286479396</v>
          </cell>
          <cell r="AD27">
            <v>21373.41952208984</v>
          </cell>
          <cell r="AE27">
            <v>21800.887912531638</v>
          </cell>
          <cell r="AF27">
            <v>22236.905670782271</v>
          </cell>
          <cell r="AG27">
            <v>22681.643784197917</v>
          </cell>
          <cell r="AH27">
            <v>23135.276659881874</v>
          </cell>
          <cell r="AI27">
            <v>23597.982193079511</v>
          </cell>
          <cell r="AJ27">
            <v>24069.941836941103</v>
          </cell>
          <cell r="AK27">
            <v>24551.340673679926</v>
          </cell>
          <cell r="AL27">
            <v>25042.367487153526</v>
          </cell>
          <cell r="AM27">
            <v>25543.214836896597</v>
          </cell>
          <cell r="AN27">
            <v>26054.079133634528</v>
          </cell>
          <cell r="AO27">
            <v>26575.160716307219</v>
          </cell>
          <cell r="AP27">
            <v>27106.663930633364</v>
          </cell>
          <cell r="AQ27">
            <v>27648.79720924603</v>
          </cell>
          <cell r="AR27">
            <v>28201.77315343095</v>
          </cell>
          <cell r="AS27">
            <v>28765.808616499569</v>
          </cell>
          <cell r="AT27">
            <v>29341.124788829562</v>
          </cell>
          <cell r="AU27">
            <v>29634.536036717858</v>
          </cell>
          <cell r="AV27">
            <v>29930.881397085035</v>
          </cell>
          <cell r="AW27">
            <v>30230.190211055884</v>
          </cell>
          <cell r="AX27">
            <v>30532.492113166441</v>
          </cell>
          <cell r="AY27">
            <v>30837.817034298107</v>
          </cell>
          <cell r="AZ27">
            <v>31146.195204641088</v>
          </cell>
          <cell r="BA27">
            <v>31457.657156687499</v>
          </cell>
          <cell r="BB27">
            <v>31772.233728254374</v>
          </cell>
          <cell r="BC27">
            <v>32089.956065536917</v>
          </cell>
          <cell r="BD27">
            <v>32410.855626192286</v>
          </cell>
          <cell r="BE27">
            <v>32734.964182454209</v>
          </cell>
        </row>
        <row r="28">
          <cell r="AC28">
            <v>443.61843282185259</v>
          </cell>
          <cell r="AD28">
            <v>452.49080147828965</v>
          </cell>
          <cell r="AE28">
            <v>461.54061750785547</v>
          </cell>
          <cell r="AF28">
            <v>470.7714298580126</v>
          </cell>
          <cell r="AG28">
            <v>480.18685845517285</v>
          </cell>
          <cell r="AH28">
            <v>489.79059562427631</v>
          </cell>
          <cell r="AI28">
            <v>499.58640753676184</v>
          </cell>
          <cell r="AJ28">
            <v>509.57813568749708</v>
          </cell>
          <cell r="AK28">
            <v>519.76969840124707</v>
          </cell>
          <cell r="AL28">
            <v>530.16509236927197</v>
          </cell>
          <cell r="AM28">
            <v>540.76839421665738</v>
          </cell>
          <cell r="AN28">
            <v>551.5837621009905</v>
          </cell>
          <cell r="AO28">
            <v>562.61543734301029</v>
          </cell>
          <cell r="AP28">
            <v>573.86774608987048</v>
          </cell>
          <cell r="AQ28">
            <v>585.34510101166791</v>
          </cell>
          <cell r="AR28">
            <v>597.05200303190122</v>
          </cell>
          <cell r="AS28">
            <v>608.99304309253921</v>
          </cell>
          <cell r="AT28">
            <v>621.17290395438999</v>
          </cell>
          <cell r="AU28">
            <v>627.38463299393391</v>
          </cell>
          <cell r="AV28">
            <v>633.65847932387328</v>
          </cell>
          <cell r="AW28">
            <v>639.99506411711207</v>
          </cell>
          <cell r="AX28">
            <v>646.3950147582832</v>
          </cell>
          <cell r="AY28">
            <v>652.85896490586606</v>
          </cell>
          <cell r="AZ28">
            <v>659.38755455492469</v>
          </cell>
          <cell r="BA28">
            <v>665.98143010047397</v>
          </cell>
          <cell r="BB28">
            <v>672.64124440147873</v>
          </cell>
          <cell r="BC28">
            <v>679.36765684549357</v>
          </cell>
          <cell r="BD28">
            <v>686.16133341394846</v>
          </cell>
          <cell r="BE28">
            <v>693.02294674808797</v>
          </cell>
        </row>
        <row r="29">
          <cell r="AC29">
            <v>601.63726144744692</v>
          </cell>
          <cell r="AD29">
            <v>613.67000667639581</v>
          </cell>
          <cell r="AE29">
            <v>625.94340680992377</v>
          </cell>
          <cell r="AF29">
            <v>638.46227494612219</v>
          </cell>
          <cell r="AG29">
            <v>651.23152044504468</v>
          </cell>
          <cell r="AH29">
            <v>664.25615085394554</v>
          </cell>
          <cell r="AI29">
            <v>677.54127387102449</v>
          </cell>
          <cell r="AJ29">
            <v>691.092099348445</v>
          </cell>
          <cell r="AK29">
            <v>704.91394133541394</v>
          </cell>
          <cell r="AL29">
            <v>719.01222016212216</v>
          </cell>
          <cell r="AM29">
            <v>733.39246456536466</v>
          </cell>
          <cell r="AN29">
            <v>748.060313856672</v>
          </cell>
          <cell r="AO29">
            <v>763.02152013380544</v>
          </cell>
          <cell r="AP29">
            <v>778.28195053648153</v>
          </cell>
          <cell r="AQ29">
            <v>793.84758954721121</v>
          </cell>
          <cell r="AR29">
            <v>809.7245413381554</v>
          </cell>
          <cell r="AS29">
            <v>825.91903216491846</v>
          </cell>
          <cell r="AT29">
            <v>842.43741280821678</v>
          </cell>
          <cell r="AU29">
            <v>850.86178693629893</v>
          </cell>
          <cell r="AV29">
            <v>859.37040480566191</v>
          </cell>
          <cell r="AW29">
            <v>867.96410885371847</v>
          </cell>
          <cell r="AX29">
            <v>876.64374994225568</v>
          </cell>
          <cell r="AY29">
            <v>885.4101874416782</v>
          </cell>
          <cell r="AZ29">
            <v>894.26428931609496</v>
          </cell>
          <cell r="BA29">
            <v>903.20693220925591</v>
          </cell>
          <cell r="BB29">
            <v>912.23900153134844</v>
          </cell>
          <cell r="BC29">
            <v>921.36139154666193</v>
          </cell>
          <cell r="BD29">
            <v>930.5750054621285</v>
          </cell>
          <cell r="BE29">
            <v>939.88075551674979</v>
          </cell>
        </row>
        <row r="30">
          <cell r="AC30">
            <v>184.57117277989488</v>
          </cell>
          <cell r="AD30">
            <v>188.26259623549277</v>
          </cell>
          <cell r="AE30">
            <v>192.02784816020261</v>
          </cell>
          <cell r="AF30">
            <v>195.86840512340666</v>
          </cell>
          <cell r="AG30">
            <v>199.78577322587481</v>
          </cell>
          <cell r="AH30">
            <v>203.78148869039231</v>
          </cell>
          <cell r="AI30">
            <v>207.85711846420014</v>
          </cell>
          <cell r="AJ30">
            <v>212.01426083348414</v>
          </cell>
          <cell r="AK30">
            <v>216.25454605015383</v>
          </cell>
          <cell r="AL30">
            <v>220.5796369711569</v>
          </cell>
          <cell r="AM30">
            <v>224.99122971058003</v>
          </cell>
          <cell r="AN30">
            <v>229.49105430479162</v>
          </cell>
          <cell r="AO30">
            <v>234.08087539088746</v>
          </cell>
          <cell r="AP30">
            <v>238.7624928987052</v>
          </cell>
          <cell r="AQ30">
            <v>243.53774275667931</v>
          </cell>
          <cell r="AR30">
            <v>248.40849761181289</v>
          </cell>
          <cell r="AS30">
            <v>253.37666756404914</v>
          </cell>
          <cell r="AT30">
            <v>258.4442009153301</v>
          </cell>
          <cell r="AU30">
            <v>261.02864292448339</v>
          </cell>
          <cell r="AV30">
            <v>263.6389293537282</v>
          </cell>
          <cell r="AW30">
            <v>266.27531864726546</v>
          </cell>
          <cell r="AX30">
            <v>268.93807183373809</v>
          </cell>
          <cell r="AY30">
            <v>271.62745255207545</v>
          </cell>
          <cell r="AZ30">
            <v>274.34372707759621</v>
          </cell>
          <cell r="BA30">
            <v>277.0871643483722</v>
          </cell>
          <cell r="BB30">
            <v>279.8580359918559</v>
          </cell>
          <cell r="BC30">
            <v>282.65661635177446</v>
          </cell>
          <cell r="BD30">
            <v>285.48318251529219</v>
          </cell>
          <cell r="BE30">
            <v>288.33801434044511</v>
          </cell>
        </row>
        <row r="31">
          <cell r="AC31">
            <v>106.20937661720266</v>
          </cell>
          <cell r="AD31">
            <v>108.33356414954672</v>
          </cell>
          <cell r="AE31">
            <v>110.50023543253765</v>
          </cell>
          <cell r="AF31">
            <v>112.71024014118841</v>
          </cell>
          <cell r="AG31">
            <v>114.96444494401217</v>
          </cell>
          <cell r="AH31">
            <v>117.26373384289242</v>
          </cell>
          <cell r="AI31">
            <v>119.60900851975028</v>
          </cell>
          <cell r="AJ31">
            <v>122.00118869014528</v>
          </cell>
          <cell r="AK31">
            <v>124.44121246394819</v>
          </cell>
          <cell r="AL31">
            <v>126.93003671322715</v>
          </cell>
          <cell r="AM31">
            <v>129.46863744749169</v>
          </cell>
          <cell r="AN31">
            <v>132.05801019644153</v>
          </cell>
          <cell r="AO31">
            <v>134.69917040037035</v>
          </cell>
          <cell r="AP31">
            <v>137.39315380837775</v>
          </cell>
          <cell r="AQ31">
            <v>140.14101688454531</v>
          </cell>
          <cell r="AR31">
            <v>142.94383722223623</v>
          </cell>
          <cell r="AS31">
            <v>145.80271396668095</v>
          </cell>
          <cell r="AT31">
            <v>148.71876824601458</v>
          </cell>
          <cell r="AU31">
            <v>150.20595592847474</v>
          </cell>
          <cell r="AV31">
            <v>151.7080154877595</v>
          </cell>
          <cell r="AW31">
            <v>153.22509564263709</v>
          </cell>
          <cell r="AX31">
            <v>154.75734659906345</v>
          </cell>
          <cell r="AY31">
            <v>156.30492006505409</v>
          </cell>
          <cell r="AZ31">
            <v>157.86796926570463</v>
          </cell>
          <cell r="BA31">
            <v>159.44664895836166</v>
          </cell>
          <cell r="BB31">
            <v>161.04111544794529</v>
          </cell>
          <cell r="BC31">
            <v>162.65152660242475</v>
          </cell>
          <cell r="BD31">
            <v>164.27804186844901</v>
          </cell>
          <cell r="BE31">
            <v>165.92082228713349</v>
          </cell>
        </row>
        <row r="32">
          <cell r="AC32">
            <v>7687.875059895201</v>
          </cell>
          <cell r="AD32">
            <v>7841.6325610931053</v>
          </cell>
          <cell r="AE32">
            <v>7998.4652123149672</v>
          </cell>
          <cell r="AF32">
            <v>8158.4345165612667</v>
          </cell>
          <cell r="AG32">
            <v>8321.6032068924924</v>
          </cell>
          <cell r="AH32">
            <v>8488.0352710303414</v>
          </cell>
          <cell r="AI32">
            <v>8657.7959764509487</v>
          </cell>
          <cell r="AJ32">
            <v>8830.951895979968</v>
          </cell>
          <cell r="AK32">
            <v>9007.5709338995675</v>
          </cell>
          <cell r="AL32">
            <v>9187.7223525775589</v>
          </cell>
          <cell r="AM32">
            <v>9371.4767996291102</v>
          </cell>
          <cell r="AN32">
            <v>9558.9063356216921</v>
          </cell>
          <cell r="AO32">
            <v>9750.0844623341254</v>
          </cell>
          <cell r="AP32">
            <v>9945.0861515808083</v>
          </cell>
          <cell r="AQ32">
            <v>10143.987874612425</v>
          </cell>
          <cell r="AR32">
            <v>10346.867632104673</v>
          </cell>
          <cell r="AS32">
            <v>10553.804984746766</v>
          </cell>
          <cell r="AT32">
            <v>10764.881084441702</v>
          </cell>
          <cell r="AU32">
            <v>10872.529895286119</v>
          </cell>
          <cell r="AV32">
            <v>10981.25519423898</v>
          </cell>
          <cell r="AW32">
            <v>11091.06774618137</v>
          </cell>
          <cell r="AX32">
            <v>11201.978423643184</v>
          </cell>
          <cell r="AY32">
            <v>11313.998207879617</v>
          </cell>
          <cell r="AZ32">
            <v>11427.138189958412</v>
          </cell>
          <cell r="BA32">
            <v>11541.409571857996</v>
          </cell>
          <cell r="BB32">
            <v>11656.823667576575</v>
          </cell>
          <cell r="BC32">
            <v>11773.391904252341</v>
          </cell>
          <cell r="BD32">
            <v>11891.125823294864</v>
          </cell>
          <cell r="BE32">
            <v>12010.037081527813</v>
          </cell>
        </row>
        <row r="33">
          <cell r="AC33">
            <v>2286.0920698702771</v>
          </cell>
          <cell r="AD33">
            <v>2331.8139112676827</v>
          </cell>
          <cell r="AE33">
            <v>2378.4501894930363</v>
          </cell>
          <cell r="AF33">
            <v>2426.019193282897</v>
          </cell>
          <cell r="AG33">
            <v>2474.5395771485551</v>
          </cell>
          <cell r="AH33">
            <v>2524.0303686915263</v>
          </cell>
          <cell r="AI33">
            <v>2574.5109760653568</v>
          </cell>
          <cell r="AJ33">
            <v>2626.0011955866639</v>
          </cell>
          <cell r="AK33">
            <v>2678.5212194983974</v>
          </cell>
          <cell r="AL33">
            <v>2732.0916438883655</v>
          </cell>
          <cell r="AM33">
            <v>2786.7334767661328</v>
          </cell>
          <cell r="AN33">
            <v>2842.4681463014554</v>
          </cell>
          <cell r="AO33">
            <v>2899.3175092274846</v>
          </cell>
          <cell r="AP33">
            <v>2957.3038594120344</v>
          </cell>
          <cell r="AQ33">
            <v>3016.4499366002751</v>
          </cell>
          <cell r="AR33">
            <v>3076.7789353322805</v>
          </cell>
          <cell r="AS33">
            <v>3138.3145140389261</v>
          </cell>
          <cell r="AT33">
            <v>3201.0808043197044</v>
          </cell>
          <cell r="AU33">
            <v>3233.0916123629013</v>
          </cell>
          <cell r="AV33">
            <v>3265.4225284865302</v>
          </cell>
          <cell r="AW33">
            <v>3298.0767537713955</v>
          </cell>
          <cell r="AX33">
            <v>3331.0575213091092</v>
          </cell>
          <cell r="AY33">
            <v>3364.3680965222002</v>
          </cell>
          <cell r="AZ33">
            <v>3398.011777487422</v>
          </cell>
          <cell r="BA33">
            <v>3431.9918952622961</v>
          </cell>
          <cell r="BB33">
            <v>3466.3118142149192</v>
          </cell>
          <cell r="BC33">
            <v>3500.9749323570686</v>
          </cell>
          <cell r="BD33">
            <v>3535.9846816806394</v>
          </cell>
          <cell r="BE33">
            <v>3571.3445284974459</v>
          </cell>
        </row>
        <row r="34">
          <cell r="AC34">
            <v>13500.247957086627</v>
          </cell>
          <cell r="AD34">
            <v>13770.252916228359</v>
          </cell>
          <cell r="AE34">
            <v>14045.657974552927</v>
          </cell>
          <cell r="AF34">
            <v>14326.571134043985</v>
          </cell>
          <cell r="AG34">
            <v>14613.102556724865</v>
          </cell>
          <cell r="AH34">
            <v>14905.364607859363</v>
          </cell>
          <cell r="AI34">
            <v>15203.47190001655</v>
          </cell>
          <cell r="AJ34">
            <v>15507.541338016881</v>
          </cell>
          <cell r="AK34">
            <v>15817.692164777218</v>
          </cell>
          <cell r="AL34">
            <v>16134.046008072763</v>
          </cell>
          <cell r="AM34">
            <v>16456.726928234217</v>
          </cell>
          <cell r="AN34">
            <v>16785.861466798902</v>
          </cell>
          <cell r="AO34">
            <v>17121.578696134879</v>
          </cell>
          <cell r="AP34">
            <v>17464.010270057577</v>
          </cell>
          <cell r="AQ34">
            <v>17813.290475458729</v>
          </cell>
          <cell r="AR34">
            <v>18169.556284967905</v>
          </cell>
          <cell r="AS34">
            <v>18532.947410667264</v>
          </cell>
          <cell r="AT34">
            <v>18903.60635888061</v>
          </cell>
          <cell r="AU34">
            <v>19092.642422469416</v>
          </cell>
          <cell r="AV34">
            <v>19283.56884669411</v>
          </cell>
          <cell r="AW34">
            <v>19476.404535161051</v>
          </cell>
          <cell r="AX34">
            <v>19671.168580512662</v>
          </cell>
          <cell r="AY34">
            <v>19867.880266317788</v>
          </cell>
          <cell r="AZ34">
            <v>20066.559068980965</v>
          </cell>
          <cell r="BA34">
            <v>20267.224659670774</v>
          </cell>
          <cell r="BB34">
            <v>20469.896906267481</v>
          </cell>
          <cell r="BC34">
            <v>20674.595875330157</v>
          </cell>
          <cell r="BD34">
            <v>20881.341834083458</v>
          </cell>
          <cell r="BE34">
            <v>21090.155252424291</v>
          </cell>
        </row>
        <row r="35">
          <cell r="AC35">
            <v>1858.6640908010468</v>
          </cell>
          <cell r="AD35">
            <v>1895.8373726170678</v>
          </cell>
          <cell r="AE35">
            <v>1933.7541200694091</v>
          </cell>
          <cell r="AF35">
            <v>1972.4292024707972</v>
          </cell>
          <cell r="AG35">
            <v>2011.8777865202132</v>
          </cell>
          <cell r="AH35">
            <v>2052.1153422506177</v>
          </cell>
          <cell r="AI35">
            <v>2093.1576490956299</v>
          </cell>
          <cell r="AJ35">
            <v>2135.0208020775426</v>
          </cell>
          <cell r="AK35">
            <v>2177.7212181190935</v>
          </cell>
          <cell r="AL35">
            <v>2221.2756424814752</v>
          </cell>
          <cell r="AM35">
            <v>2265.7011553311045</v>
          </cell>
          <cell r="AN35">
            <v>2311.0151784377267</v>
          </cell>
          <cell r="AO35">
            <v>2357.2354820064811</v>
          </cell>
          <cell r="AP35">
            <v>2404.3801916466109</v>
          </cell>
          <cell r="AQ35">
            <v>2452.4677954795429</v>
          </cell>
          <cell r="AR35">
            <v>2501.5171513891337</v>
          </cell>
          <cell r="AS35">
            <v>2551.5474944169164</v>
          </cell>
          <cell r="AT35">
            <v>2602.5784443052548</v>
          </cell>
          <cell r="AU35">
            <v>2628.6042287483074</v>
          </cell>
          <cell r="AV35">
            <v>2654.8902710357906</v>
          </cell>
          <cell r="AW35">
            <v>2681.4391737461488</v>
          </cell>
          <cell r="AX35">
            <v>2708.2535654836101</v>
          </cell>
          <cell r="AY35">
            <v>2735.3361011384463</v>
          </cell>
          <cell r="AZ35">
            <v>2762.6894621498309</v>
          </cell>
          <cell r="BA35">
            <v>2790.3163567713291</v>
          </cell>
          <cell r="BB35">
            <v>2818.2195203390424</v>
          </cell>
          <cell r="BC35">
            <v>2846.4017155424331</v>
          </cell>
          <cell r="BD35">
            <v>2874.8657326978573</v>
          </cell>
          <cell r="BE35">
            <v>2903.6143900248358</v>
          </cell>
        </row>
        <row r="36">
          <cell r="AC36">
            <v>4451.7271638210432</v>
          </cell>
          <cell r="AD36">
            <v>4540.7617070974638</v>
          </cell>
          <cell r="AE36">
            <v>4631.5769412394129</v>
          </cell>
          <cell r="AF36">
            <v>4724.2084800642015</v>
          </cell>
          <cell r="AG36">
            <v>4818.6926496654851</v>
          </cell>
          <cell r="AH36">
            <v>4915.0665026587949</v>
          </cell>
          <cell r="AI36">
            <v>5013.3678327119706</v>
          </cell>
          <cell r="AJ36">
            <v>5113.6351893662104</v>
          </cell>
          <cell r="AK36">
            <v>5215.907893153535</v>
          </cell>
          <cell r="AL36">
            <v>5320.2260510166061</v>
          </cell>
          <cell r="AM36">
            <v>5426.6305720369382</v>
          </cell>
          <cell r="AN36">
            <v>5535.1631834776772</v>
          </cell>
          <cell r="AO36">
            <v>5645.8664471472312</v>
          </cell>
          <cell r="AP36">
            <v>5758.7837760901757</v>
          </cell>
          <cell r="AQ36">
            <v>5873.9594516119796</v>
          </cell>
          <cell r="AR36">
            <v>5991.438640644219</v>
          </cell>
          <cell r="AS36">
            <v>6111.2674134571034</v>
          </cell>
          <cell r="AT36">
            <v>6233.4927617262456</v>
          </cell>
          <cell r="AU36">
            <v>6295.8276893435077</v>
          </cell>
          <cell r="AV36">
            <v>6358.7859662369428</v>
          </cell>
          <cell r="AW36">
            <v>6422.3738258993126</v>
          </cell>
          <cell r="AX36">
            <v>6486.5975641583054</v>
          </cell>
          <cell r="AY36">
            <v>6551.4635397998882</v>
          </cell>
          <cell r="AZ36">
            <v>6616.9781751978871</v>
          </cell>
          <cell r="BA36">
            <v>6683.1479569498661</v>
          </cell>
          <cell r="BB36">
            <v>6749.9794365193648</v>
          </cell>
          <cell r="BC36">
            <v>6817.4792308845581</v>
          </cell>
          <cell r="BD36">
            <v>6885.6540231934041</v>
          </cell>
          <cell r="BE36">
            <v>6954.5105634253378</v>
          </cell>
        </row>
        <row r="37">
          <cell r="AC37">
            <v>1470.0932007381102</v>
          </cell>
          <cell r="AD37">
            <v>1499.4950647528724</v>
          </cell>
          <cell r="AE37">
            <v>1529.4849660479299</v>
          </cell>
          <cell r="AF37">
            <v>1560.0746653688884</v>
          </cell>
          <cell r="AG37">
            <v>1591.2761586762663</v>
          </cell>
          <cell r="AH37">
            <v>1623.1016818497917</v>
          </cell>
          <cell r="AI37">
            <v>1655.5637154867875</v>
          </cell>
          <cell r="AJ37">
            <v>1688.6749897965233</v>
          </cell>
          <cell r="AK37">
            <v>1722.4484895924538</v>
          </cell>
          <cell r="AL37">
            <v>1756.8974593843029</v>
          </cell>
          <cell r="AM37">
            <v>1792.0354085719889</v>
          </cell>
          <cell r="AN37">
            <v>1827.8761167434286</v>
          </cell>
          <cell r="AO37">
            <v>1864.4336390782971</v>
          </cell>
          <cell r="AP37">
            <v>1901.7223118598631</v>
          </cell>
          <cell r="AQ37">
            <v>1939.7567580970604</v>
          </cell>
          <cell r="AR37">
            <v>1978.5518932590016</v>
          </cell>
          <cell r="AS37">
            <v>2018.1229311241816</v>
          </cell>
          <cell r="AT37">
            <v>2058.4853897466651</v>
          </cell>
          <cell r="AU37">
            <v>2079.0702436441316</v>
          </cell>
          <cell r="AV37">
            <v>2099.8609460805728</v>
          </cell>
          <cell r="AW37">
            <v>2120.8595555413785</v>
          </cell>
          <cell r="AX37">
            <v>2142.0681510967925</v>
          </cell>
          <cell r="AY37">
            <v>2163.4888326077603</v>
          </cell>
          <cell r="AZ37">
            <v>2185.1237209338378</v>
          </cell>
          <cell r="BA37">
            <v>2206.9749581431761</v>
          </cell>
          <cell r="BB37">
            <v>2229.0447077246076</v>
          </cell>
          <cell r="BC37">
            <v>2251.3351548018536</v>
          </cell>
          <cell r="BD37">
            <v>2273.848506349872</v>
          </cell>
          <cell r="BE37">
            <v>2296.5869914133705</v>
          </cell>
        </row>
        <row r="38">
          <cell r="AC38">
            <v>572.49444469272657</v>
          </cell>
          <cell r="AD38">
            <v>583.94433358658114</v>
          </cell>
          <cell r="AE38">
            <v>595.62322025831281</v>
          </cell>
          <cell r="AF38">
            <v>607.53568466347906</v>
          </cell>
          <cell r="AG38">
            <v>619.68639835674867</v>
          </cell>
          <cell r="AH38">
            <v>632.08012632388363</v>
          </cell>
          <cell r="AI38">
            <v>644.72172885036127</v>
          </cell>
          <cell r="AJ38">
            <v>657.61616342736852</v>
          </cell>
          <cell r="AK38">
            <v>670.76848669591584</v>
          </cell>
          <cell r="AL38">
            <v>684.18385642983412</v>
          </cell>
          <cell r="AM38">
            <v>697.86753355843075</v>
          </cell>
          <cell r="AN38">
            <v>711.82488422959932</v>
          </cell>
          <cell r="AO38">
            <v>726.06138191419132</v>
          </cell>
          <cell r="AP38">
            <v>740.58260955247511</v>
          </cell>
          <cell r="AQ38">
            <v>755.39426174352457</v>
          </cell>
          <cell r="AR38">
            <v>770.5021469783951</v>
          </cell>
          <cell r="AS38">
            <v>785.91218991796302</v>
          </cell>
          <cell r="AT38">
            <v>801.63043371632227</v>
          </cell>
          <cell r="AU38">
            <v>809.64673805348548</v>
          </cell>
          <cell r="AV38">
            <v>817.7432054340203</v>
          </cell>
          <cell r="AW38">
            <v>825.92063748836051</v>
          </cell>
          <cell r="AX38">
            <v>834.17984386324417</v>
          </cell>
          <cell r="AY38">
            <v>842.52164230187657</v>
          </cell>
          <cell r="AZ38">
            <v>850.94685872489538</v>
          </cell>
          <cell r="BA38">
            <v>859.45632731214437</v>
          </cell>
          <cell r="BB38">
            <v>868.05089058526585</v>
          </cell>
          <cell r="BC38">
            <v>876.73139949111851</v>
          </cell>
          <cell r="BD38">
            <v>885.49871348602971</v>
          </cell>
          <cell r="BE38">
            <v>894.35370062088998</v>
          </cell>
        </row>
        <row r="39">
          <cell r="AC39">
            <v>10174.036456791186</v>
          </cell>
          <cell r="AD39">
            <v>10377.517185927009</v>
          </cell>
          <cell r="AE39">
            <v>10585.067529645548</v>
          </cell>
          <cell r="AF39">
            <v>10796.76888023846</v>
          </cell>
          <cell r="AG39">
            <v>11012.70425784323</v>
          </cell>
          <cell r="AH39">
            <v>11232.958343000095</v>
          </cell>
          <cell r="AI39">
            <v>11457.617509860096</v>
          </cell>
          <cell r="AJ39">
            <v>11686.769860057299</v>
          </cell>
          <cell r="AK39">
            <v>11920.505257258445</v>
          </cell>
          <cell r="AL39">
            <v>12158.915362403613</v>
          </cell>
          <cell r="AM39">
            <v>12402.093669651686</v>
          </cell>
          <cell r="AN39">
            <v>12650.135543044718</v>
          </cell>
          <cell r="AO39">
            <v>12903.138253905612</v>
          </cell>
          <cell r="AP39">
            <v>13161.201018983724</v>
          </cell>
          <cell r="AQ39">
            <v>13424.425039363397</v>
          </cell>
          <cell r="AR39">
            <v>13692.913540150665</v>
          </cell>
          <cell r="AS39">
            <v>13966.771810953678</v>
          </cell>
          <cell r="AT39">
            <v>14246.107247172751</v>
          </cell>
          <cell r="AU39">
            <v>14388.568319644479</v>
          </cell>
          <cell r="AV39">
            <v>14532.454002840923</v>
          </cell>
          <cell r="AW39">
            <v>14677.778542869331</v>
          </cell>
          <cell r="AX39">
            <v>14824.556328298026</v>
          </cell>
          <cell r="AY39">
            <v>14972.801891581006</v>
          </cell>
          <cell r="AZ39">
            <v>15122.529910496816</v>
          </cell>
          <cell r="BA39">
            <v>15273.755209601784</v>
          </cell>
          <cell r="BB39">
            <v>15426.492761697802</v>
          </cell>
          <cell r="BC39">
            <v>15580.75768931478</v>
          </cell>
          <cell r="BD39">
            <v>15736.565266207928</v>
          </cell>
          <cell r="BE39">
            <v>15893.930918870008</v>
          </cell>
        </row>
        <row r="40">
          <cell r="AC40">
            <v>5128.7831342848822</v>
          </cell>
          <cell r="AD40">
            <v>5231.3587969705795</v>
          </cell>
          <cell r="AE40">
            <v>5335.9859729099908</v>
          </cell>
          <cell r="AF40">
            <v>5442.7056923681903</v>
          </cell>
          <cell r="AG40">
            <v>5551.5598062155541</v>
          </cell>
          <cell r="AH40">
            <v>5662.5910023398656</v>
          </cell>
          <cell r="AI40">
            <v>5775.8428223866631</v>
          </cell>
          <cell r="AJ40">
            <v>5891.3596788343966</v>
          </cell>
          <cell r="AK40">
            <v>6009.1868724110846</v>
          </cell>
          <cell r="AL40">
            <v>6129.3706098593066</v>
          </cell>
          <cell r="AM40">
            <v>6251.9580220564931</v>
          </cell>
          <cell r="AN40">
            <v>6376.9971824976228</v>
          </cell>
          <cell r="AO40">
            <v>6504.5371261475757</v>
          </cell>
          <cell r="AP40">
            <v>6634.6278686705273</v>
          </cell>
          <cell r="AQ40">
            <v>6767.3204260439379</v>
          </cell>
          <cell r="AR40">
            <v>6902.6668345648168</v>
          </cell>
          <cell r="AS40">
            <v>7040.7201712561127</v>
          </cell>
          <cell r="AT40">
            <v>7181.5345746812354</v>
          </cell>
          <cell r="AU40">
            <v>7253.3499204280479</v>
          </cell>
          <cell r="AV40">
            <v>7325.8834196323287</v>
          </cell>
          <cell r="AW40">
            <v>7399.1422538286524</v>
          </cell>
          <cell r="AX40">
            <v>7473.1336763669387</v>
          </cell>
          <cell r="AY40">
            <v>7547.8650131306085</v>
          </cell>
          <cell r="AZ40">
            <v>7623.343663261915</v>
          </cell>
          <cell r="BA40">
            <v>7699.5770998945345</v>
          </cell>
          <cell r="BB40">
            <v>7776.5728708934803</v>
          </cell>
          <cell r="BC40">
            <v>7854.3385996024153</v>
          </cell>
          <cell r="BD40">
            <v>7932.8819855984393</v>
          </cell>
          <cell r="BE40">
            <v>8012.2108054544233</v>
          </cell>
        </row>
        <row r="41">
          <cell r="AC41">
            <v>4283.9940629438761</v>
          </cell>
          <cell r="AD41">
            <v>4369.6739442027538</v>
          </cell>
          <cell r="AE41">
            <v>4457.067423086809</v>
          </cell>
          <cell r="AF41">
            <v>4546.208771548545</v>
          </cell>
          <cell r="AG41">
            <v>4637.1329469795155</v>
          </cell>
          <cell r="AH41">
            <v>4729.8756059191055</v>
          </cell>
          <cell r="AI41">
            <v>4824.4731180374874</v>
          </cell>
          <cell r="AJ41">
            <v>4920.9625803982372</v>
          </cell>
          <cell r="AK41">
            <v>5019.3818320062019</v>
          </cell>
          <cell r="AL41">
            <v>5119.7694686463255</v>
          </cell>
          <cell r="AM41">
            <v>5222.1648580192523</v>
          </cell>
          <cell r="AN41">
            <v>5326.6081551796369</v>
          </cell>
          <cell r="AO41">
            <v>5433.14031828323</v>
          </cell>
          <cell r="AP41">
            <v>5541.8031246488945</v>
          </cell>
          <cell r="AQ41">
            <v>5652.6391871418728</v>
          </cell>
          <cell r="AR41">
            <v>5765.6919708847099</v>
          </cell>
          <cell r="AS41">
            <v>5881.0058103024039</v>
          </cell>
          <cell r="AT41">
            <v>5998.6259265084518</v>
          </cell>
          <cell r="AU41">
            <v>6058.6121857735361</v>
          </cell>
          <cell r="AV41">
            <v>6119.1983076312717</v>
          </cell>
          <cell r="AW41">
            <v>6180.3902907075844</v>
          </cell>
          <cell r="AX41">
            <v>6242.1941936146604</v>
          </cell>
          <cell r="AY41">
            <v>6304.6161355508075</v>
          </cell>
          <cell r="AZ41">
            <v>6367.6622969063155</v>
          </cell>
          <cell r="BA41">
            <v>6431.3389198753785</v>
          </cell>
          <cell r="BB41">
            <v>6495.6523090741321</v>
          </cell>
          <cell r="BC41">
            <v>6560.6088321648731</v>
          </cell>
          <cell r="BD41">
            <v>6626.2149204865218</v>
          </cell>
          <cell r="BE41">
            <v>6692.4770696913874</v>
          </cell>
        </row>
        <row r="42">
          <cell r="AC42">
            <v>28154.311838944635</v>
          </cell>
          <cell r="AD42">
            <v>28717.398075723529</v>
          </cell>
          <cell r="AE42">
            <v>29291.746037238001</v>
          </cell>
          <cell r="AF42">
            <v>29877.580957982762</v>
          </cell>
          <cell r="AG42">
            <v>30475.132577142416</v>
          </cell>
          <cell r="AH42">
            <v>31084.635228685263</v>
          </cell>
          <cell r="AI42">
            <v>31706.32793325897</v>
          </cell>
          <cell r="AJ42">
            <v>32340.454491924149</v>
          </cell>
          <cell r="AK42">
            <v>32987.263581762629</v>
          </cell>
          <cell r="AL42">
            <v>33647.008853397878</v>
          </cell>
          <cell r="AM42">
            <v>34319.949030465832</v>
          </cell>
          <cell r="AN42">
            <v>35006.348011075148</v>
          </cell>
          <cell r="AO42">
            <v>35706.474971296651</v>
          </cell>
          <cell r="AP42">
            <v>36420.604470722581</v>
          </cell>
          <cell r="AQ42">
            <v>37149.016560137032</v>
          </cell>
          <cell r="AR42">
            <v>37891.996891339775</v>
          </cell>
          <cell r="AS42">
            <v>38649.836829166568</v>
          </cell>
          <cell r="AT42">
            <v>39422.833565749897</v>
          </cell>
          <cell r="AU42">
            <v>39817.061901407396</v>
          </cell>
          <cell r="AV42">
            <v>40215.232520421472</v>
          </cell>
          <cell r="AW42">
            <v>40617.384845625689</v>
          </cell>
          <cell r="AX42">
            <v>41023.558694081948</v>
          </cell>
          <cell r="AY42">
            <v>41433.794281022769</v>
          </cell>
          <cell r="AZ42">
            <v>41848.132223832996</v>
          </cell>
          <cell r="BA42">
            <v>42266.613546071327</v>
          </cell>
          <cell r="BB42">
            <v>42689.27968153204</v>
          </cell>
          <cell r="BC42">
            <v>43116.172478347362</v>
          </cell>
          <cell r="BD42">
            <v>43547.334203130835</v>
          </cell>
          <cell r="BE42">
            <v>43982.807545162141</v>
          </cell>
        </row>
      </sheetData>
      <sheetData sheetId="35">
        <row r="12">
          <cell r="AC12">
            <v>149.33611780446546</v>
          </cell>
          <cell r="AD12">
            <v>159.78964605077803</v>
          </cell>
          <cell r="AE12">
            <v>170.9749212743325</v>
          </cell>
          <cell r="AF12">
            <v>182.94316576353577</v>
          </cell>
          <cell r="AG12">
            <v>195.74918736698328</v>
          </cell>
          <cell r="AH12">
            <v>209.4516304826721</v>
          </cell>
          <cell r="AI12">
            <v>224.11324461645916</v>
          </cell>
          <cell r="AJ12">
            <v>239.80117173961131</v>
          </cell>
          <cell r="AK12">
            <v>251.79123032659186</v>
          </cell>
          <cell r="AL12">
            <v>264.38079184292144</v>
          </cell>
          <cell r="AM12">
            <v>277.59983143506753</v>
          </cell>
          <cell r="AN12">
            <v>291.47982300682088</v>
          </cell>
          <cell r="AO12">
            <v>306.05381415716192</v>
          </cell>
          <cell r="AP12">
            <v>321.35650486502004</v>
          </cell>
          <cell r="AQ12">
            <v>337.42433010827102</v>
          </cell>
          <cell r="AR12">
            <v>354.29554661368456</v>
          </cell>
          <cell r="AS12">
            <v>372.01032394436879</v>
          </cell>
          <cell r="AT12">
            <v>383.17063366269986</v>
          </cell>
          <cell r="AU12">
            <v>394.66575267258088</v>
          </cell>
          <cell r="AV12">
            <v>406.50572525275828</v>
          </cell>
          <cell r="AW12">
            <v>418.70089701034101</v>
          </cell>
          <cell r="AX12">
            <v>431.26192392065121</v>
          </cell>
          <cell r="AY12">
            <v>444.19978163827074</v>
          </cell>
          <cell r="AZ12">
            <v>457.52577508741888</v>
          </cell>
          <cell r="BA12">
            <v>462.10103283829307</v>
          </cell>
          <cell r="BB12">
            <v>466.72204316667597</v>
          </cell>
          <cell r="BC12">
            <v>471.38926359834272</v>
          </cell>
          <cell r="BD12">
            <v>476.10315623432615</v>
          </cell>
          <cell r="BE12">
            <v>480.8641877966694</v>
          </cell>
        </row>
        <row r="13">
          <cell r="AC13">
            <v>151.76869831928002</v>
          </cell>
          <cell r="AD13">
            <v>162.39250720162963</v>
          </cell>
          <cell r="AE13">
            <v>173.75998270574371</v>
          </cell>
          <cell r="AF13">
            <v>185.92318149514577</v>
          </cell>
          <cell r="AG13">
            <v>198.93780419980598</v>
          </cell>
          <cell r="AH13">
            <v>212.86345049379241</v>
          </cell>
          <cell r="AI13">
            <v>227.76389202835787</v>
          </cell>
          <cell r="AJ13">
            <v>243.70736447034292</v>
          </cell>
          <cell r="AK13">
            <v>255.89273269386007</v>
          </cell>
          <cell r="AL13">
            <v>268.68736932855307</v>
          </cell>
          <cell r="AM13">
            <v>282.12173779498073</v>
          </cell>
          <cell r="AN13">
            <v>296.22782468472974</v>
          </cell>
          <cell r="AO13">
            <v>311.03921591896625</v>
          </cell>
          <cell r="AP13">
            <v>326.59117671491458</v>
          </cell>
          <cell r="AQ13">
            <v>342.92073555066031</v>
          </cell>
          <cell r="AR13">
            <v>360.06677232819334</v>
          </cell>
          <cell r="AS13">
            <v>378.07011094460302</v>
          </cell>
          <cell r="AT13">
            <v>389.41221427294113</v>
          </cell>
          <cell r="AU13">
            <v>401.09458070112936</v>
          </cell>
          <cell r="AV13">
            <v>413.12741812216325</v>
          </cell>
          <cell r="AW13">
            <v>425.52124066582815</v>
          </cell>
          <cell r="AX13">
            <v>438.28687788580299</v>
          </cell>
          <cell r="AY13">
            <v>451.43548422237706</v>
          </cell>
          <cell r="AZ13">
            <v>464.97854874904834</v>
          </cell>
          <cell r="BA13">
            <v>469.62833423653882</v>
          </cell>
          <cell r="BB13">
            <v>474.32461757890422</v>
          </cell>
          <cell r="BC13">
            <v>479.06786375469329</v>
          </cell>
          <cell r="BD13">
            <v>483.85854239224022</v>
          </cell>
          <cell r="BE13">
            <v>488.69712781616261</v>
          </cell>
        </row>
        <row r="14">
          <cell r="AC14">
            <v>24.374456758441831</v>
          </cell>
          <cell r="AD14">
            <v>26.080668731532757</v>
          </cell>
          <cell r="AE14">
            <v>27.90631554274005</v>
          </cell>
          <cell r="AF14">
            <v>29.859757630731853</v>
          </cell>
          <cell r="AG14">
            <v>31.949940664883083</v>
          </cell>
          <cell r="AH14">
            <v>34.186436511424901</v>
          </cell>
          <cell r="AI14">
            <v>36.579487067224647</v>
          </cell>
          <cell r="AJ14">
            <v>39.140051161930373</v>
          </cell>
          <cell r="AK14">
            <v>41.097053720026892</v>
          </cell>
          <cell r="AL14">
            <v>43.151906406028239</v>
          </cell>
          <cell r="AM14">
            <v>45.30950172632965</v>
          </cell>
          <cell r="AN14">
            <v>47.574976812646135</v>
          </cell>
          <cell r="AO14">
            <v>49.95372565327844</v>
          </cell>
          <cell r="AP14">
            <v>52.45141193594236</v>
          </cell>
          <cell r="AQ14">
            <v>55.073982532739478</v>
          </cell>
          <cell r="AR14">
            <v>57.827681659376452</v>
          </cell>
          <cell r="AS14">
            <v>60.719065742345272</v>
          </cell>
          <cell r="AT14">
            <v>62.540637714615627</v>
          </cell>
          <cell r="AU14">
            <v>64.416856846054102</v>
          </cell>
          <cell r="AV14">
            <v>66.349362551435732</v>
          </cell>
          <cell r="AW14">
            <v>68.339843427978806</v>
          </cell>
          <cell r="AX14">
            <v>70.390038730818176</v>
          </cell>
          <cell r="AY14">
            <v>72.501739892742719</v>
          </cell>
          <cell r="AZ14">
            <v>74.676792089524994</v>
          </cell>
          <cell r="BA14">
            <v>75.423560010420246</v>
          </cell>
          <cell r="BB14">
            <v>76.177795610524456</v>
          </cell>
          <cell r="BC14">
            <v>76.939573566629704</v>
          </cell>
          <cell r="BD14">
            <v>77.708969302295998</v>
          </cell>
          <cell r="BE14">
            <v>78.486058995318956</v>
          </cell>
        </row>
        <row r="15">
          <cell r="AC15">
            <v>25.517769600404669</v>
          </cell>
          <cell r="AD15">
            <v>27.304013472432995</v>
          </cell>
          <cell r="AE15">
            <v>29.215294415503305</v>
          </cell>
          <cell r="AF15">
            <v>31.260365024588538</v>
          </cell>
          <cell r="AG15">
            <v>33.448590576309734</v>
          </cell>
          <cell r="AH15">
            <v>35.789991916651417</v>
          </cell>
          <cell r="AI15">
            <v>38.295291350817017</v>
          </cell>
          <cell r="AJ15">
            <v>40.975961745374207</v>
          </cell>
          <cell r="AK15">
            <v>43.024759832642914</v>
          </cell>
          <cell r="AL15">
            <v>45.175997824275058</v>
          </cell>
          <cell r="AM15">
            <v>47.434797715488813</v>
          </cell>
          <cell r="AN15">
            <v>49.806537601263251</v>
          </cell>
          <cell r="AO15">
            <v>52.296864481326416</v>
          </cell>
          <cell r="AP15">
            <v>54.911707705392736</v>
          </cell>
          <cell r="AQ15">
            <v>57.657293090662371</v>
          </cell>
          <cell r="AR15">
            <v>60.540157745195486</v>
          </cell>
          <cell r="AS15">
            <v>63.567165632455257</v>
          </cell>
          <cell r="AT15">
            <v>65.474180601428912</v>
          </cell>
          <cell r="AU15">
            <v>67.438406019471785</v>
          </cell>
          <cell r="AV15">
            <v>69.461558200055933</v>
          </cell>
          <cell r="AW15">
            <v>71.545404946057616</v>
          </cell>
          <cell r="AX15">
            <v>73.691767094439342</v>
          </cell>
          <cell r="AY15">
            <v>75.902520107272522</v>
          </cell>
          <cell r="AZ15">
            <v>78.179595710490702</v>
          </cell>
          <cell r="BA15">
            <v>78.961391667595606</v>
          </cell>
          <cell r="BB15">
            <v>79.751005584271567</v>
          </cell>
          <cell r="BC15">
            <v>80.548515640114289</v>
          </cell>
          <cell r="BD15">
            <v>81.354000796515436</v>
          </cell>
          <cell r="BE15">
            <v>82.167540804480595</v>
          </cell>
        </row>
        <row r="16">
          <cell r="AC16">
            <v>4.7921836141846708</v>
          </cell>
          <cell r="AD16">
            <v>5.1276364671775978</v>
          </cell>
          <cell r="AE16">
            <v>5.4865710198800297</v>
          </cell>
          <cell r="AF16">
            <v>5.8706309912716321</v>
          </cell>
          <cell r="AG16">
            <v>6.2815751606606467</v>
          </cell>
          <cell r="AH16">
            <v>6.7212854219068916</v>
          </cell>
          <cell r="AI16">
            <v>7.1917754014403741</v>
          </cell>
          <cell r="AJ16">
            <v>7.6951996795412008</v>
          </cell>
          <cell r="AK16">
            <v>8.0799596635182613</v>
          </cell>
          <cell r="AL16">
            <v>8.483957646694174</v>
          </cell>
          <cell r="AM16">
            <v>8.9081555290288819</v>
          </cell>
          <cell r="AN16">
            <v>9.3535633054803267</v>
          </cell>
          <cell r="AO16">
            <v>9.8212414707543427</v>
          </cell>
          <cell r="AP16">
            <v>10.31230354429206</v>
          </cell>
          <cell r="AQ16">
            <v>10.827918721506663</v>
          </cell>
          <cell r="AR16">
            <v>11.369314657581995</v>
          </cell>
          <cell r="AS16">
            <v>11.937780390461095</v>
          </cell>
          <cell r="AT16">
            <v>12.295913802174928</v>
          </cell>
          <cell r="AU16">
            <v>12.664791216240175</v>
          </cell>
          <cell r="AV16">
            <v>13.04473495272738</v>
          </cell>
          <cell r="AW16">
            <v>13.436077001309201</v>
          </cell>
          <cell r="AX16">
            <v>13.839159311348476</v>
          </cell>
          <cell r="AY16">
            <v>14.25433409068893</v>
          </cell>
          <cell r="AZ16">
            <v>14.681964113409599</v>
          </cell>
          <cell r="BA16">
            <v>14.828783754543695</v>
          </cell>
          <cell r="BB16">
            <v>14.977071592089132</v>
          </cell>
          <cell r="BC16">
            <v>15.126842308010023</v>
          </cell>
          <cell r="BD16">
            <v>15.278110731090123</v>
          </cell>
          <cell r="BE16">
            <v>15.430891838401024</v>
          </cell>
        </row>
        <row r="17">
          <cell r="AC17">
            <v>126.64014160124569</v>
          </cell>
          <cell r="AD17">
            <v>135.50495151333288</v>
          </cell>
          <cell r="AE17">
            <v>144.99029811926619</v>
          </cell>
          <cell r="AF17">
            <v>155.13961898761482</v>
          </cell>
          <cell r="AG17">
            <v>165.99939231674787</v>
          </cell>
          <cell r="AH17">
            <v>177.61934977892022</v>
          </cell>
          <cell r="AI17">
            <v>190.05270426344464</v>
          </cell>
          <cell r="AJ17">
            <v>203.35639356188577</v>
          </cell>
          <cell r="AK17">
            <v>213.52421323998004</v>
          </cell>
          <cell r="AL17">
            <v>224.20042390197904</v>
          </cell>
          <cell r="AM17">
            <v>235.410445097078</v>
          </cell>
          <cell r="AN17">
            <v>247.18096735193188</v>
          </cell>
          <cell r="AO17">
            <v>259.54001571952847</v>
          </cell>
          <cell r="AP17">
            <v>272.5170165055049</v>
          </cell>
          <cell r="AQ17">
            <v>286.14286733078012</v>
          </cell>
          <cell r="AR17">
            <v>300.4500106973191</v>
          </cell>
          <cell r="AS17">
            <v>315.47251123218507</v>
          </cell>
          <cell r="AT17">
            <v>324.9366865691506</v>
          </cell>
          <cell r="AU17">
            <v>334.68478716622514</v>
          </cell>
          <cell r="AV17">
            <v>344.72533078121188</v>
          </cell>
          <cell r="AW17">
            <v>355.06709070464825</v>
          </cell>
          <cell r="AX17">
            <v>365.71910342578769</v>
          </cell>
          <cell r="AY17">
            <v>376.69067652856131</v>
          </cell>
          <cell r="AZ17">
            <v>387.99139682441813</v>
          </cell>
          <cell r="BA17">
            <v>391.87131079266231</v>
          </cell>
          <cell r="BB17">
            <v>395.79002390058895</v>
          </cell>
          <cell r="BC17">
            <v>399.74792413959483</v>
          </cell>
          <cell r="BD17">
            <v>403.74540338099075</v>
          </cell>
          <cell r="BE17">
            <v>407.78285741480067</v>
          </cell>
        </row>
        <row r="18">
          <cell r="AC18">
            <v>124.40216752761629</v>
          </cell>
          <cell r="AD18">
            <v>133.11031925454944</v>
          </cell>
          <cell r="AE18">
            <v>142.4280416023679</v>
          </cell>
          <cell r="AF18">
            <v>152.39800451453365</v>
          </cell>
          <cell r="AG18">
            <v>163.06586483055102</v>
          </cell>
          <cell r="AH18">
            <v>174.48047536868958</v>
          </cell>
          <cell r="AI18">
            <v>186.69410864449785</v>
          </cell>
          <cell r="AJ18">
            <v>199.7626962496127</v>
          </cell>
          <cell r="AK18">
            <v>209.75083106209334</v>
          </cell>
          <cell r="AL18">
            <v>220.23837261519802</v>
          </cell>
          <cell r="AM18">
            <v>231.25029124595792</v>
          </cell>
          <cell r="AN18">
            <v>242.81280580825583</v>
          </cell>
          <cell r="AO18">
            <v>254.95344609866862</v>
          </cell>
          <cell r="AP18">
            <v>267.70111840360204</v>
          </cell>
          <cell r="AQ18">
            <v>281.08617432378213</v>
          </cell>
          <cell r="AR18">
            <v>295.14048303997123</v>
          </cell>
          <cell r="AS18">
            <v>309.89750719196979</v>
          </cell>
          <cell r="AT18">
            <v>319.19443240772887</v>
          </cell>
          <cell r="AU18">
            <v>328.77026537996073</v>
          </cell>
          <cell r="AV18">
            <v>338.63337334135957</v>
          </cell>
          <cell r="AW18">
            <v>348.79237454160034</v>
          </cell>
          <cell r="AX18">
            <v>359.25614577784836</v>
          </cell>
          <cell r="AY18">
            <v>370.03383015118379</v>
          </cell>
          <cell r="AZ18">
            <v>381.13484505571932</v>
          </cell>
          <cell r="BA18">
            <v>384.94619350627653</v>
          </cell>
          <cell r="BB18">
            <v>388.79565544133931</v>
          </cell>
          <cell r="BC18">
            <v>392.6836119957527</v>
          </cell>
          <cell r="BD18">
            <v>396.6104481157102</v>
          </cell>
          <cell r="BE18">
            <v>400.57655259686732</v>
          </cell>
        </row>
        <row r="19">
          <cell r="AC19">
            <v>12.64941867703568</v>
          </cell>
          <cell r="AD19">
            <v>13.534877984428178</v>
          </cell>
          <cell r="AE19">
            <v>14.482319443338151</v>
          </cell>
          <cell r="AF19">
            <v>15.496081804371821</v>
          </cell>
          <cell r="AG19">
            <v>16.580807530677848</v>
          </cell>
          <cell r="AH19">
            <v>17.741464057825297</v>
          </cell>
          <cell r="AI19">
            <v>18.983366541873067</v>
          </cell>
          <cell r="AJ19">
            <v>20.312202199804183</v>
          </cell>
          <cell r="AK19">
            <v>21.327812309794393</v>
          </cell>
          <cell r="AL19">
            <v>22.394202925284112</v>
          </cell>
          <cell r="AM19">
            <v>23.513913071548316</v>
          </cell>
          <cell r="AN19">
            <v>24.689608725125733</v>
          </cell>
          <cell r="AO19">
            <v>25.924089161382021</v>
          </cell>
          <cell r="AP19">
            <v>27.220293619451123</v>
          </cell>
          <cell r="AQ19">
            <v>28.581308300423679</v>
          </cell>
          <cell r="AR19">
            <v>30.010373715444864</v>
          </cell>
          <cell r="AS19">
            <v>31.510892401217106</v>
          </cell>
          <cell r="AT19">
            <v>32.456219173253622</v>
          </cell>
          <cell r="AU19">
            <v>33.429905748451233</v>
          </cell>
          <cell r="AV19">
            <v>34.43280292090477</v>
          </cell>
          <cell r="AW19">
            <v>35.465787008531912</v>
          </cell>
          <cell r="AX19">
            <v>36.529760618787869</v>
          </cell>
          <cell r="AY19">
            <v>37.625653437351502</v>
          </cell>
          <cell r="AZ19">
            <v>38.754423040472048</v>
          </cell>
          <cell r="BA19">
            <v>39.141967270876769</v>
          </cell>
          <cell r="BB19">
            <v>39.533386943585533</v>
          </cell>
          <cell r="BC19">
            <v>39.928720813021386</v>
          </cell>
          <cell r="BD19">
            <v>40.328008021151597</v>
          </cell>
          <cell r="BE19">
            <v>40.731288101363113</v>
          </cell>
        </row>
        <row r="20">
          <cell r="AC20">
            <v>98.908723732359761</v>
          </cell>
          <cell r="AD20">
            <v>105.83233439362495</v>
          </cell>
          <cell r="AE20">
            <v>113.24059780117869</v>
          </cell>
          <cell r="AF20">
            <v>121.1674396472612</v>
          </cell>
          <cell r="AG20">
            <v>129.64916042256948</v>
          </cell>
          <cell r="AH20">
            <v>138.72460165214935</v>
          </cell>
          <cell r="AI20">
            <v>148.43532376779979</v>
          </cell>
          <cell r="AJ20">
            <v>158.82579643154577</v>
          </cell>
          <cell r="AK20">
            <v>166.76708625312307</v>
          </cell>
          <cell r="AL20">
            <v>175.10544056577922</v>
          </cell>
          <cell r="AM20">
            <v>183.86071259406819</v>
          </cell>
          <cell r="AN20">
            <v>193.05374822377161</v>
          </cell>
          <cell r="AO20">
            <v>202.7064356349602</v>
          </cell>
          <cell r="AP20">
            <v>212.84175741670822</v>
          </cell>
          <cell r="AQ20">
            <v>223.48384528754363</v>
          </cell>
          <cell r="AR20">
            <v>234.65803755192081</v>
          </cell>
          <cell r="AS20">
            <v>246.39093942951686</v>
          </cell>
          <cell r="AT20">
            <v>253.78266761240238</v>
          </cell>
          <cell r="AU20">
            <v>261.39614764077447</v>
          </cell>
          <cell r="AV20">
            <v>269.2380320699977</v>
          </cell>
          <cell r="AW20">
            <v>277.31517303209762</v>
          </cell>
          <cell r="AX20">
            <v>285.63462822306053</v>
          </cell>
          <cell r="AY20">
            <v>294.20366706975233</v>
          </cell>
          <cell r="AZ20">
            <v>303.02977708184488</v>
          </cell>
          <cell r="BA20">
            <v>306.06007485266332</v>
          </cell>
          <cell r="BB20">
            <v>309.12067560118993</v>
          </cell>
          <cell r="BC20">
            <v>312.21188235720183</v>
          </cell>
          <cell r="BD20">
            <v>315.33400118077384</v>
          </cell>
          <cell r="BE20">
            <v>318.4873411925816</v>
          </cell>
        </row>
        <row r="21">
          <cell r="AC21">
            <v>916.9368992541979</v>
          </cell>
          <cell r="AD21">
            <v>981.12248220199172</v>
          </cell>
          <cell r="AE21">
            <v>1049.8010559561312</v>
          </cell>
          <cell r="AF21">
            <v>1123.2871298730604</v>
          </cell>
          <cell r="AG21">
            <v>1201.9172289641747</v>
          </cell>
          <cell r="AH21">
            <v>1286.0514349916668</v>
          </cell>
          <cell r="AI21">
            <v>1376.0750354410836</v>
          </cell>
          <cell r="AJ21">
            <v>1472.4002879219595</v>
          </cell>
          <cell r="AK21">
            <v>1546.0203023180575</v>
          </cell>
          <cell r="AL21">
            <v>1623.3213174339603</v>
          </cell>
          <cell r="AM21">
            <v>1704.4873833056583</v>
          </cell>
          <cell r="AN21">
            <v>1789.7117524709413</v>
          </cell>
          <cell r="AO21">
            <v>1879.1973400944885</v>
          </cell>
          <cell r="AP21">
            <v>1973.1572070992129</v>
          </cell>
          <cell r="AQ21">
            <v>2071.8150674541735</v>
          </cell>
          <cell r="AR21">
            <v>2175.4058208268821</v>
          </cell>
          <cell r="AS21">
            <v>2284.1761118682261</v>
          </cell>
          <cell r="AT21">
            <v>2352.7013952242728</v>
          </cell>
          <cell r="AU21">
            <v>2423.2824370810008</v>
          </cell>
          <cell r="AV21">
            <v>2495.9809101934306</v>
          </cell>
          <cell r="AW21">
            <v>2570.8603374992335</v>
          </cell>
          <cell r="AX21">
            <v>2647.9861476242104</v>
          </cell>
          <cell r="AY21">
            <v>2727.4257320529368</v>
          </cell>
          <cell r="AZ21">
            <v>2809.2485040145248</v>
          </cell>
          <cell r="BA21">
            <v>2837.34098905467</v>
          </cell>
          <cell r="BB21">
            <v>2865.7143989452165</v>
          </cell>
          <cell r="BC21">
            <v>2894.3715429346689</v>
          </cell>
          <cell r="BD21">
            <v>2923.3152583640158</v>
          </cell>
          <cell r="BE21">
            <v>2952.5484109476561</v>
          </cell>
        </row>
        <row r="22">
          <cell r="AC22">
            <v>1677.9605654727848</v>
          </cell>
          <cell r="AD22">
            <v>1795.4178050558796</v>
          </cell>
          <cell r="AE22">
            <v>1921.0970514097912</v>
          </cell>
          <cell r="AF22">
            <v>2055.5738450084764</v>
          </cell>
          <cell r="AG22">
            <v>2199.4640141590698</v>
          </cell>
          <cell r="AH22">
            <v>2353.4264951502046</v>
          </cell>
          <cell r="AI22">
            <v>2518.1663498107191</v>
          </cell>
          <cell r="AJ22">
            <v>2694.4379942974692</v>
          </cell>
          <cell r="AK22">
            <v>2829.1598940123426</v>
          </cell>
          <cell r="AL22">
            <v>2970.6178887129599</v>
          </cell>
          <cell r="AM22">
            <v>3119.1487831486079</v>
          </cell>
          <cell r="AN22">
            <v>3275.1062223060385</v>
          </cell>
          <cell r="AO22">
            <v>3438.8615334213405</v>
          </cell>
          <cell r="AP22">
            <v>3610.8046100924075</v>
          </cell>
          <cell r="AQ22">
            <v>3791.344840597028</v>
          </cell>
          <cell r="AR22">
            <v>3980.9120826268795</v>
          </cell>
          <cell r="AS22">
            <v>4179.9576867582236</v>
          </cell>
          <cell r="AT22">
            <v>4305.3564173609702</v>
          </cell>
          <cell r="AU22">
            <v>4434.5171098817991</v>
          </cell>
          <cell r="AV22">
            <v>4567.5526231782533</v>
          </cell>
          <cell r="AW22">
            <v>4704.5792018736011</v>
          </cell>
          <cell r="AX22">
            <v>4845.7165779298093</v>
          </cell>
          <cell r="AY22">
            <v>4991.088075267704</v>
          </cell>
          <cell r="AZ22">
            <v>5140.8207175257348</v>
          </cell>
          <cell r="BA22">
            <v>5192.2289247009921</v>
          </cell>
          <cell r="BB22">
            <v>5244.1512139480019</v>
          </cell>
          <cell r="BC22">
            <v>5296.5927260874823</v>
          </cell>
          <cell r="BD22">
            <v>5349.5586533483574</v>
          </cell>
          <cell r="BE22">
            <v>5403.0542398818407</v>
          </cell>
        </row>
        <row r="23">
          <cell r="AC23">
            <v>69.863712385473988</v>
          </cell>
          <cell r="AD23">
            <v>74.754172252457167</v>
          </cell>
          <cell r="AE23">
            <v>79.986964310129167</v>
          </cell>
          <cell r="AF23">
            <v>85.586051811838203</v>
          </cell>
          <cell r="AG23">
            <v>91.577075438666881</v>
          </cell>
          <cell r="AH23">
            <v>97.987470719373562</v>
          </cell>
          <cell r="AI23">
            <v>104.84659366972971</v>
          </cell>
          <cell r="AJ23">
            <v>112.1858552266108</v>
          </cell>
          <cell r="AK23">
            <v>117.79514798794133</v>
          </cell>
          <cell r="AL23">
            <v>123.6849053873384</v>
          </cell>
          <cell r="AM23">
            <v>129.86915065670533</v>
          </cell>
          <cell r="AN23">
            <v>136.36260818954059</v>
          </cell>
          <cell r="AO23">
            <v>143.18073859901762</v>
          </cell>
          <cell r="AP23">
            <v>150.33977552896849</v>
          </cell>
          <cell r="AQ23">
            <v>157.8567643054169</v>
          </cell>
          <cell r="AR23">
            <v>165.74960252068774</v>
          </cell>
          <cell r="AS23">
            <v>174.03708264672213</v>
          </cell>
          <cell r="AT23">
            <v>179.25819512612378</v>
          </cell>
          <cell r="AU23">
            <v>184.6359409799075</v>
          </cell>
          <cell r="AV23">
            <v>190.17501920930474</v>
          </cell>
          <cell r="AW23">
            <v>195.88026978558389</v>
          </cell>
          <cell r="AX23">
            <v>201.7566778791514</v>
          </cell>
          <cell r="AY23">
            <v>207.80937821552592</v>
          </cell>
          <cell r="AZ23">
            <v>214.04365956199169</v>
          </cell>
          <cell r="BA23">
            <v>216.18409615761161</v>
          </cell>
          <cell r="BB23">
            <v>218.34593711918771</v>
          </cell>
          <cell r="BC23">
            <v>220.52939649037958</v>
          </cell>
          <cell r="BD23">
            <v>222.73469045528338</v>
          </cell>
          <cell r="BE23">
            <v>224.96203735983622</v>
          </cell>
        </row>
        <row r="24">
          <cell r="AC24">
            <v>77.185779735065807</v>
          </cell>
          <cell r="AD24">
            <v>82.588784316520417</v>
          </cell>
          <cell r="AE24">
            <v>88.369999218676853</v>
          </cell>
          <cell r="AF24">
            <v>94.555899163984236</v>
          </cell>
          <cell r="AG24">
            <v>101.17481210546313</v>
          </cell>
          <cell r="AH24">
            <v>108.25704895284555</v>
          </cell>
          <cell r="AI24">
            <v>115.83504237954475</v>
          </cell>
          <cell r="AJ24">
            <v>123.94349534611288</v>
          </cell>
          <cell r="AK24">
            <v>130.14067011341854</v>
          </cell>
          <cell r="AL24">
            <v>136.64770361908947</v>
          </cell>
          <cell r="AM24">
            <v>143.48008880004394</v>
          </cell>
          <cell r="AN24">
            <v>150.65409324004614</v>
          </cell>
          <cell r="AO24">
            <v>158.18679790204845</v>
          </cell>
          <cell r="AP24">
            <v>166.09613779715087</v>
          </cell>
          <cell r="AQ24">
            <v>174.4009446870084</v>
          </cell>
          <cell r="AR24">
            <v>183.12099192135884</v>
          </cell>
          <cell r="AS24">
            <v>192.27704151742677</v>
          </cell>
          <cell r="AT24">
            <v>198.04535276294956</v>
          </cell>
          <cell r="AU24">
            <v>203.98671334583804</v>
          </cell>
          <cell r="AV24">
            <v>210.10631474621317</v>
          </cell>
          <cell r="AW24">
            <v>216.40950418859956</v>
          </cell>
          <cell r="AX24">
            <v>222.90178931425754</v>
          </cell>
          <cell r="AY24">
            <v>229.58884299368526</v>
          </cell>
          <cell r="AZ24">
            <v>236.47650828349583</v>
          </cell>
          <cell r="BA24">
            <v>238.8412733663308</v>
          </cell>
          <cell r="BB24">
            <v>241.2296860999941</v>
          </cell>
          <cell r="BC24">
            <v>243.64198296099403</v>
          </cell>
          <cell r="BD24">
            <v>246.07840279060397</v>
          </cell>
          <cell r="BE24">
            <v>248.53918681851002</v>
          </cell>
        </row>
        <row r="25">
          <cell r="AC25">
            <v>8.2683411698546685</v>
          </cell>
          <cell r="AD25">
            <v>8.847125051744495</v>
          </cell>
          <cell r="AE25">
            <v>9.4664238053666097</v>
          </cell>
          <cell r="AF25">
            <v>10.129073471742272</v>
          </cell>
          <cell r="AG25">
            <v>10.838108614764231</v>
          </cell>
          <cell r="AH25">
            <v>11.596776217797727</v>
          </cell>
          <cell r="AI25">
            <v>12.408550553043568</v>
          </cell>
          <cell r="AJ25">
            <v>13.277149091756618</v>
          </cell>
          <cell r="AK25">
            <v>13.941006546344449</v>
          </cell>
          <cell r="AL25">
            <v>14.638056873661672</v>
          </cell>
          <cell r="AM25">
            <v>15.369959717344756</v>
          </cell>
          <cell r="AN25">
            <v>16.138457703211994</v>
          </cell>
          <cell r="AO25">
            <v>16.945380588372593</v>
          </cell>
          <cell r="AP25">
            <v>17.792649617791223</v>
          </cell>
          <cell r="AQ25">
            <v>18.682282098680783</v>
          </cell>
          <cell r="AR25">
            <v>19.616396203614823</v>
          </cell>
          <cell r="AS25">
            <v>20.597216013795563</v>
          </cell>
          <cell r="AT25">
            <v>21.215132494209431</v>
          </cell>
          <cell r="AU25">
            <v>21.851586469035713</v>
          </cell>
          <cell r="AV25">
            <v>22.507134063106783</v>
          </cell>
          <cell r="AW25">
            <v>23.182348084999987</v>
          </cell>
          <cell r="AX25">
            <v>23.877818527549987</v>
          </cell>
          <cell r="AY25">
            <v>24.594153083376487</v>
          </cell>
          <cell r="AZ25">
            <v>25.331977675877781</v>
          </cell>
          <cell r="BA25">
            <v>25.58529745263656</v>
          </cell>
          <cell r="BB25">
            <v>25.841150427162926</v>
          </cell>
          <cell r="BC25">
            <v>26.099561931434554</v>
          </cell>
          <cell r="BD25">
            <v>26.360557550748901</v>
          </cell>
          <cell r="BE25">
            <v>26.624163126256391</v>
          </cell>
        </row>
        <row r="26">
          <cell r="AC26">
            <v>89.810872606953325</v>
          </cell>
          <cell r="AD26">
            <v>96.097633689440059</v>
          </cell>
          <cell r="AE26">
            <v>102.82446804770086</v>
          </cell>
          <cell r="AF26">
            <v>110.02218081103992</v>
          </cell>
          <cell r="AG26">
            <v>117.72373346781271</v>
          </cell>
          <cell r="AH26">
            <v>125.9643948105596</v>
          </cell>
          <cell r="AI26">
            <v>134.78190244729876</v>
          </cell>
          <cell r="AJ26">
            <v>144.21663561860967</v>
          </cell>
          <cell r="AK26">
            <v>151.42746739954015</v>
          </cell>
          <cell r="AL26">
            <v>158.99884076951716</v>
          </cell>
          <cell r="AM26">
            <v>166.94878280799301</v>
          </cell>
          <cell r="AN26">
            <v>175.29622194839266</v>
          </cell>
          <cell r="AO26">
            <v>184.06103304581228</v>
          </cell>
          <cell r="AP26">
            <v>193.26408469810289</v>
          </cell>
          <cell r="AQ26">
            <v>202.92728893300804</v>
          </cell>
          <cell r="AR26">
            <v>213.07365337965845</v>
          </cell>
          <cell r="AS26">
            <v>223.72733604864138</v>
          </cell>
          <cell r="AT26">
            <v>230.43915613010063</v>
          </cell>
          <cell r="AU26">
            <v>237.35233081400364</v>
          </cell>
          <cell r="AV26">
            <v>244.47290073842373</v>
          </cell>
          <cell r="AW26">
            <v>251.80708776057645</v>
          </cell>
          <cell r="AX26">
            <v>259.36130039339372</v>
          </cell>
          <cell r="AY26">
            <v>267.14213940519551</v>
          </cell>
          <cell r="AZ26">
            <v>275.15640358735135</v>
          </cell>
          <cell r="BA26">
            <v>277.90796762322486</v>
          </cell>
          <cell r="BB26">
            <v>280.68704729945711</v>
          </cell>
          <cell r="BC26">
            <v>283.49391777245165</v>
          </cell>
          <cell r="BD26">
            <v>286.32885695017615</v>
          </cell>
          <cell r="BE26">
            <v>289.19214551967792</v>
          </cell>
        </row>
        <row r="27">
          <cell r="AC27">
            <v>787.08575137339699</v>
          </cell>
          <cell r="AD27">
            <v>842.18175396953484</v>
          </cell>
          <cell r="AE27">
            <v>901.13447674740223</v>
          </cell>
          <cell r="AF27">
            <v>964.21389011972042</v>
          </cell>
          <cell r="AG27">
            <v>1031.7088624281009</v>
          </cell>
          <cell r="AH27">
            <v>1103.928482798068</v>
          </cell>
          <cell r="AI27">
            <v>1181.2034765939327</v>
          </cell>
          <cell r="AJ27">
            <v>1263.8877199555079</v>
          </cell>
          <cell r="AK27">
            <v>1327.0821059532834</v>
          </cell>
          <cell r="AL27">
            <v>1393.4362112509475</v>
          </cell>
          <cell r="AM27">
            <v>1463.1080218134948</v>
          </cell>
          <cell r="AN27">
            <v>1536.2634229041696</v>
          </cell>
          <cell r="AO27">
            <v>1613.0765940493782</v>
          </cell>
          <cell r="AP27">
            <v>1693.7304237518472</v>
          </cell>
          <cell r="AQ27">
            <v>1778.4169449394396</v>
          </cell>
          <cell r="AR27">
            <v>1867.3377921864117</v>
          </cell>
          <cell r="AS27">
            <v>1960.7046817957323</v>
          </cell>
          <cell r="AT27">
            <v>2019.5258222496043</v>
          </cell>
          <cell r="AU27">
            <v>2080.1115969170924</v>
          </cell>
          <cell r="AV27">
            <v>2142.5149448246052</v>
          </cell>
          <cell r="AW27">
            <v>2206.7903931693436</v>
          </cell>
          <cell r="AX27">
            <v>2272.994104964424</v>
          </cell>
          <cell r="AY27">
            <v>2341.1839281133566</v>
          </cell>
          <cell r="AZ27">
            <v>2411.4194459567575</v>
          </cell>
          <cell r="BA27">
            <v>2435.5336404163249</v>
          </cell>
          <cell r="BB27">
            <v>2459.8889768204881</v>
          </cell>
          <cell r="BC27">
            <v>2484.4878665886931</v>
          </cell>
          <cell r="BD27">
            <v>2509.33274525458</v>
          </cell>
          <cell r="BE27">
            <v>2534.426072707126</v>
          </cell>
        </row>
        <row r="28">
          <cell r="AC28">
            <v>16.663176526479695</v>
          </cell>
          <cell r="AD28">
            <v>17.829598883333276</v>
          </cell>
          <cell r="AE28">
            <v>19.077670805166605</v>
          </cell>
          <cell r="AF28">
            <v>20.413107761528266</v>
          </cell>
          <cell r="AG28">
            <v>21.842025304835246</v>
          </cell>
          <cell r="AH28">
            <v>23.370967076173713</v>
          </cell>
          <cell r="AI28">
            <v>25.006934771505872</v>
          </cell>
          <cell r="AJ28">
            <v>26.757420205511284</v>
          </cell>
          <cell r="AK28">
            <v>28.095291215786848</v>
          </cell>
          <cell r="AL28">
            <v>29.50005577657619</v>
          </cell>
          <cell r="AM28">
            <v>30.975058565405</v>
          </cell>
          <cell r="AN28">
            <v>32.523811493675247</v>
          </cell>
          <cell r="AO28">
            <v>34.150002068359008</v>
          </cell>
          <cell r="AP28">
            <v>35.857502171776957</v>
          </cell>
          <cell r="AQ28">
            <v>37.650377280365802</v>
          </cell>
          <cell r="AR28">
            <v>39.53289614438409</v>
          </cell>
          <cell r="AS28">
            <v>41.509540951603292</v>
          </cell>
          <cell r="AT28">
            <v>42.754827180151388</v>
          </cell>
          <cell r="AU28">
            <v>44.037471995555933</v>
          </cell>
          <cell r="AV28">
            <v>45.35859615542261</v>
          </cell>
          <cell r="AW28">
            <v>46.719354040085285</v>
          </cell>
          <cell r="AX28">
            <v>48.120934661287841</v>
          </cell>
          <cell r="AY28">
            <v>49.564562701126476</v>
          </cell>
          <cell r="AZ28">
            <v>51.051499582160268</v>
          </cell>
          <cell r="BA28">
            <v>51.56201457798187</v>
          </cell>
          <cell r="BB28">
            <v>52.07763472376169</v>
          </cell>
          <cell r="BC28">
            <v>52.598411070999305</v>
          </cell>
          <cell r="BD28">
            <v>53.124395181709296</v>
          </cell>
          <cell r="BE28">
            <v>53.655639133526392</v>
          </cell>
        </row>
        <row r="29">
          <cell r="AC29">
            <v>22.598672982627207</v>
          </cell>
          <cell r="AD29">
            <v>24.180580091411112</v>
          </cell>
          <cell r="AE29">
            <v>25.873220697809892</v>
          </cell>
          <cell r="AF29">
            <v>27.684346146656583</v>
          </cell>
          <cell r="AG29">
            <v>29.622250376922544</v>
          </cell>
          <cell r="AH29">
            <v>31.695807903307124</v>
          </cell>
          <cell r="AI29">
            <v>33.914514456538626</v>
          </cell>
          <cell r="AJ29">
            <v>36.288530468496333</v>
          </cell>
          <cell r="AK29">
            <v>38.102956991921147</v>
          </cell>
          <cell r="AL29">
            <v>40.008104841517202</v>
          </cell>
          <cell r="AM29">
            <v>42.008510083593059</v>
          </cell>
          <cell r="AN29">
            <v>44.108935587772713</v>
          </cell>
          <cell r="AO29">
            <v>46.31438236716135</v>
          </cell>
          <cell r="AP29">
            <v>48.630101485519418</v>
          </cell>
          <cell r="AQ29">
            <v>51.061606559795386</v>
          </cell>
          <cell r="AR29">
            <v>53.614686887785155</v>
          </cell>
          <cell r="AS29">
            <v>56.295421232174412</v>
          </cell>
          <cell r="AT29">
            <v>57.984283869139645</v>
          </cell>
          <cell r="AU29">
            <v>59.723812385213833</v>
          </cell>
          <cell r="AV29">
            <v>61.51552675677025</v>
          </cell>
          <cell r="AW29">
            <v>63.36099255947336</v>
          </cell>
          <cell r="AX29">
            <v>65.261822336257566</v>
          </cell>
          <cell r="AY29">
            <v>67.219677006345293</v>
          </cell>
          <cell r="AZ29">
            <v>69.236267316535645</v>
          </cell>
          <cell r="BA29">
            <v>69.928629989701008</v>
          </cell>
          <cell r="BB29">
            <v>70.627916289598019</v>
          </cell>
          <cell r="BC29">
            <v>71.334195452494001</v>
          </cell>
          <cell r="BD29">
            <v>72.047537407018936</v>
          </cell>
          <cell r="BE29">
            <v>72.768012781089126</v>
          </cell>
        </row>
        <row r="30">
          <cell r="AC30">
            <v>6.9328544672214791</v>
          </cell>
          <cell r="AD30">
            <v>7.4181542799269824</v>
          </cell>
          <cell r="AE30">
            <v>7.937425079521871</v>
          </cell>
          <cell r="AF30">
            <v>8.4930448350884014</v>
          </cell>
          <cell r="AG30">
            <v>9.0875579735445893</v>
          </cell>
          <cell r="AH30">
            <v>9.7236870316927106</v>
          </cell>
          <cell r="AI30">
            <v>10.404345123911201</v>
          </cell>
          <cell r="AJ30">
            <v>11.132649282584985</v>
          </cell>
          <cell r="AK30">
            <v>11.689281746714235</v>
          </cell>
          <cell r="AL30">
            <v>12.273745834049947</v>
          </cell>
          <cell r="AM30">
            <v>12.887433125752445</v>
          </cell>
          <cell r="AN30">
            <v>13.531804782040068</v>
          </cell>
          <cell r="AO30">
            <v>14.208395021142071</v>
          </cell>
          <cell r="AP30">
            <v>14.918814772199173</v>
          </cell>
          <cell r="AQ30">
            <v>15.664755510809131</v>
          </cell>
          <cell r="AR30">
            <v>16.44799328634959</v>
          </cell>
          <cell r="AS30">
            <v>17.27039295066707</v>
          </cell>
          <cell r="AT30">
            <v>17.788504739187083</v>
          </cell>
          <cell r="AU30">
            <v>18.322159881362694</v>
          </cell>
          <cell r="AV30">
            <v>18.871824677803573</v>
          </cell>
          <cell r="AW30">
            <v>19.437979418137679</v>
          </cell>
          <cell r="AX30">
            <v>20.021118800681808</v>
          </cell>
          <cell r="AY30">
            <v>20.621752364702264</v>
          </cell>
          <cell r="AZ30">
            <v>21.240404935643333</v>
          </cell>
          <cell r="BA30">
            <v>21.452808984999766</v>
          </cell>
          <cell r="BB30">
            <v>21.667337074849765</v>
          </cell>
          <cell r="BC30">
            <v>21.884010445598264</v>
          </cell>
          <cell r="BD30">
            <v>22.102850550054246</v>
          </cell>
          <cell r="BE30">
            <v>22.323879055554787</v>
          </cell>
        </row>
        <row r="31">
          <cell r="AC31">
            <v>3.9894320442958682</v>
          </cell>
          <cell r="AD31">
            <v>4.2686922873965791</v>
          </cell>
          <cell r="AE31">
            <v>4.5675007475143401</v>
          </cell>
          <cell r="AF31">
            <v>4.8872257998403441</v>
          </cell>
          <cell r="AG31">
            <v>5.2293316058291683</v>
          </cell>
          <cell r="AH31">
            <v>5.5953848182372106</v>
          </cell>
          <cell r="AI31">
            <v>5.9870617555138157</v>
          </cell>
          <cell r="AJ31">
            <v>6.4061560783997828</v>
          </cell>
          <cell r="AK31">
            <v>6.7264638823197718</v>
          </cell>
          <cell r="AL31">
            <v>7.0627870764357601</v>
          </cell>
          <cell r="AM31">
            <v>7.4159264302575485</v>
          </cell>
          <cell r="AN31">
            <v>7.7867227517704256</v>
          </cell>
          <cell r="AO31">
            <v>8.1760588893589468</v>
          </cell>
          <cell r="AP31">
            <v>8.5848618338268938</v>
          </cell>
          <cell r="AQ31">
            <v>9.0141049255182377</v>
          </cell>
          <cell r="AR31">
            <v>9.4648101717941504</v>
          </cell>
          <cell r="AS31">
            <v>9.9380506803838582</v>
          </cell>
          <cell r="AT31">
            <v>10.236192200795374</v>
          </cell>
          <cell r="AU31">
            <v>10.543277966819236</v>
          </cell>
          <cell r="AV31">
            <v>10.859576305823813</v>
          </cell>
          <cell r="AW31">
            <v>11.185363594998528</v>
          </cell>
          <cell r="AX31">
            <v>11.520924502848484</v>
          </cell>
          <cell r="AY31">
            <v>11.866552237933938</v>
          </cell>
          <cell r="AZ31">
            <v>12.222548805071956</v>
          </cell>
          <cell r="BA31">
            <v>12.344774293122676</v>
          </cell>
          <cell r="BB31">
            <v>12.468222036053902</v>
          </cell>
          <cell r="BC31">
            <v>12.592904256414441</v>
          </cell>
          <cell r="BD31">
            <v>12.718833298978586</v>
          </cell>
          <cell r="BE31">
            <v>12.846021631968371</v>
          </cell>
        </row>
        <row r="32">
          <cell r="AC32">
            <v>288.7716329136357</v>
          </cell>
          <cell r="AD32">
            <v>308.98564721759021</v>
          </cell>
          <cell r="AE32">
            <v>330.61464252282155</v>
          </cell>
          <cell r="AF32">
            <v>353.75766749941909</v>
          </cell>
          <cell r="AG32">
            <v>378.52070422437845</v>
          </cell>
          <cell r="AH32">
            <v>405.01715352008495</v>
          </cell>
          <cell r="AI32">
            <v>433.36835426649088</v>
          </cell>
          <cell r="AJ32">
            <v>463.70413906514523</v>
          </cell>
          <cell r="AK32">
            <v>486.88934601840248</v>
          </cell>
          <cell r="AL32">
            <v>511.23381331932262</v>
          </cell>
          <cell r="AM32">
            <v>536.79550398528875</v>
          </cell>
          <cell r="AN32">
            <v>563.63527918455316</v>
          </cell>
          <cell r="AO32">
            <v>591.81704314378078</v>
          </cell>
          <cell r="AP32">
            <v>621.40789530096981</v>
          </cell>
          <cell r="AQ32">
            <v>652.4782900660183</v>
          </cell>
          <cell r="AR32">
            <v>685.10220456931927</v>
          </cell>
          <cell r="AS32">
            <v>719.35731479778519</v>
          </cell>
          <cell r="AT32">
            <v>740.9380342417187</v>
          </cell>
          <cell r="AU32">
            <v>763.16617526897028</v>
          </cell>
          <cell r="AV32">
            <v>786.06116052703942</v>
          </cell>
          <cell r="AW32">
            <v>809.64299534285055</v>
          </cell>
          <cell r="AX32">
            <v>833.93228520313608</v>
          </cell>
          <cell r="AY32">
            <v>858.95025375923012</v>
          </cell>
          <cell r="AZ32">
            <v>884.71876137200707</v>
          </cell>
          <cell r="BA32">
            <v>893.56594898572712</v>
          </cell>
          <cell r="BB32">
            <v>902.50160847558436</v>
          </cell>
          <cell r="BC32">
            <v>911.52662456034022</v>
          </cell>
          <cell r="BD32">
            <v>920.6418908059436</v>
          </cell>
          <cell r="BE32">
            <v>929.84830971400299</v>
          </cell>
        </row>
        <row r="33">
          <cell r="AC33">
            <v>85.870092172953761</v>
          </cell>
          <cell r="AD33">
            <v>91.880998625060528</v>
          </cell>
          <cell r="AE33">
            <v>98.312668528814768</v>
          </cell>
          <cell r="AF33">
            <v>105.1945553258318</v>
          </cell>
          <cell r="AG33">
            <v>112.55817419864003</v>
          </cell>
          <cell r="AH33">
            <v>120.43724639254484</v>
          </cell>
          <cell r="AI33">
            <v>128.86785364002299</v>
          </cell>
          <cell r="AJ33">
            <v>137.8886033948246</v>
          </cell>
          <cell r="AK33">
            <v>144.78303356456584</v>
          </cell>
          <cell r="AL33">
            <v>152.02218524279414</v>
          </cell>
          <cell r="AM33">
            <v>159.62329450493385</v>
          </cell>
          <cell r="AN33">
            <v>167.60445923018054</v>
          </cell>
          <cell r="AO33">
            <v>175.98468219168956</v>
          </cell>
          <cell r="AP33">
            <v>184.78391630127405</v>
          </cell>
          <cell r="AQ33">
            <v>194.02311211633776</v>
          </cell>
          <cell r="AR33">
            <v>203.72426772215465</v>
          </cell>
          <cell r="AS33">
            <v>213.91048110826239</v>
          </cell>
          <cell r="AT33">
            <v>220.32779554151026</v>
          </cell>
          <cell r="AU33">
            <v>226.93762940775557</v>
          </cell>
          <cell r="AV33">
            <v>233.74575828998823</v>
          </cell>
          <cell r="AW33">
            <v>240.75813103868788</v>
          </cell>
          <cell r="AX33">
            <v>247.98087496984851</v>
          </cell>
          <cell r="AY33">
            <v>255.42030121894396</v>
          </cell>
          <cell r="AZ33">
            <v>263.08291025551227</v>
          </cell>
          <cell r="BA33">
            <v>265.71373935806741</v>
          </cell>
          <cell r="BB33">
            <v>268.3708767516481</v>
          </cell>
          <cell r="BC33">
            <v>271.05458551916456</v>
          </cell>
          <cell r="BD33">
            <v>273.7651313743562</v>
          </cell>
          <cell r="BE33">
            <v>276.50278268809978</v>
          </cell>
        </row>
        <row r="34">
          <cell r="AC34">
            <v>507.09573411824186</v>
          </cell>
          <cell r="AD34">
            <v>542.59243550651877</v>
          </cell>
          <cell r="AE34">
            <v>580.57390599197504</v>
          </cell>
          <cell r="AF34">
            <v>621.21407941141331</v>
          </cell>
          <cell r="AG34">
            <v>664.69906497021225</v>
          </cell>
          <cell r="AH34">
            <v>711.22799951812715</v>
          </cell>
          <cell r="AI34">
            <v>761.01395948439608</v>
          </cell>
          <cell r="AJ34">
            <v>814.28493664830376</v>
          </cell>
          <cell r="AK34">
            <v>854.9991834807189</v>
          </cell>
          <cell r="AL34">
            <v>897.74914265475491</v>
          </cell>
          <cell r="AM34">
            <v>942.63659978749263</v>
          </cell>
          <cell r="AN34">
            <v>989.76842977686726</v>
          </cell>
          <cell r="AO34">
            <v>1039.2568512657106</v>
          </cell>
          <cell r="AP34">
            <v>1091.219693828996</v>
          </cell>
          <cell r="AQ34">
            <v>1145.7806785204459</v>
          </cell>
          <cell r="AR34">
            <v>1203.0697124464682</v>
          </cell>
          <cell r="AS34">
            <v>1263.2231980687916</v>
          </cell>
          <cell r="AT34">
            <v>1301.1198940108554</v>
          </cell>
          <cell r="AU34">
            <v>1340.153490831181</v>
          </cell>
          <cell r="AV34">
            <v>1380.3580955561165</v>
          </cell>
          <cell r="AW34">
            <v>1421.7688384227999</v>
          </cell>
          <cell r="AX34">
            <v>1464.4219035754838</v>
          </cell>
          <cell r="AY34">
            <v>1508.3545606827483</v>
          </cell>
          <cell r="AZ34">
            <v>1553.6051975032308</v>
          </cell>
          <cell r="BA34">
            <v>1569.141249478263</v>
          </cell>
          <cell r="BB34">
            <v>1584.8326619730456</v>
          </cell>
          <cell r="BC34">
            <v>1600.680988592776</v>
          </cell>
          <cell r="BD34">
            <v>1616.6877984787038</v>
          </cell>
          <cell r="BE34">
            <v>1632.8546764634909</v>
          </cell>
        </row>
        <row r="35">
          <cell r="AC35">
            <v>69.815060775177699</v>
          </cell>
          <cell r="AD35">
            <v>74.702115029440137</v>
          </cell>
          <cell r="AE35">
            <v>79.931263081500944</v>
          </cell>
          <cell r="AF35">
            <v>85.526451497206011</v>
          </cell>
          <cell r="AG35">
            <v>91.51330310201044</v>
          </cell>
          <cell r="AH35">
            <v>97.919234319151172</v>
          </cell>
          <cell r="AI35">
            <v>104.77358072149175</v>
          </cell>
          <cell r="AJ35">
            <v>112.10773137199618</v>
          </cell>
          <cell r="AK35">
            <v>117.71311794059599</v>
          </cell>
          <cell r="AL35">
            <v>123.5987738376258</v>
          </cell>
          <cell r="AM35">
            <v>129.77871252950709</v>
          </cell>
          <cell r="AN35">
            <v>136.26764815598244</v>
          </cell>
          <cell r="AO35">
            <v>143.08103056378155</v>
          </cell>
          <cell r="AP35">
            <v>150.23508209197064</v>
          </cell>
          <cell r="AQ35">
            <v>157.74683619656918</v>
          </cell>
          <cell r="AR35">
            <v>165.63417800639763</v>
          </cell>
          <cell r="AS35">
            <v>173.9158869067175</v>
          </cell>
          <cell r="AT35">
            <v>179.13336351391902</v>
          </cell>
          <cell r="AU35">
            <v>184.5073644193366</v>
          </cell>
          <cell r="AV35">
            <v>190.0425853519167</v>
          </cell>
          <cell r="AW35">
            <v>195.74386291247421</v>
          </cell>
          <cell r="AX35">
            <v>201.61617879984843</v>
          </cell>
          <cell r="AY35">
            <v>207.66466416384387</v>
          </cell>
          <cell r="AZ35">
            <v>213.89460408875919</v>
          </cell>
          <cell r="BA35">
            <v>216.03355012964678</v>
          </cell>
          <cell r="BB35">
            <v>218.19388563094324</v>
          </cell>
          <cell r="BC35">
            <v>220.37582448725269</v>
          </cell>
          <cell r="BD35">
            <v>222.5795827321252</v>
          </cell>
          <cell r="BE35">
            <v>224.80537855944647</v>
          </cell>
        </row>
        <row r="36">
          <cell r="AC36">
            <v>167.21558458835244</v>
          </cell>
          <cell r="AD36">
            <v>178.92067550953712</v>
          </cell>
          <cell r="AE36">
            <v>191.44512279520472</v>
          </cell>
          <cell r="AF36">
            <v>204.84628139086905</v>
          </cell>
          <cell r="AG36">
            <v>219.18552108822988</v>
          </cell>
          <cell r="AH36">
            <v>234.52850756440597</v>
          </cell>
          <cell r="AI36">
            <v>250.9455030939144</v>
          </cell>
          <cell r="AJ36">
            <v>268.51168831048841</v>
          </cell>
          <cell r="AK36">
            <v>281.93727272601285</v>
          </cell>
          <cell r="AL36">
            <v>296.03413636231352</v>
          </cell>
          <cell r="AM36">
            <v>310.83584318042921</v>
          </cell>
          <cell r="AN36">
            <v>326.37763533945065</v>
          </cell>
          <cell r="AO36">
            <v>342.69651710642319</v>
          </cell>
          <cell r="AP36">
            <v>359.83134296174433</v>
          </cell>
          <cell r="AQ36">
            <v>377.82291010983153</v>
          </cell>
          <cell r="AR36">
            <v>396.7140556153231</v>
          </cell>
          <cell r="AS36">
            <v>416.54975839608926</v>
          </cell>
          <cell r="AT36">
            <v>429.04625114797193</v>
          </cell>
          <cell r="AU36">
            <v>441.91763868241111</v>
          </cell>
          <cell r="AV36">
            <v>455.17516784288347</v>
          </cell>
          <cell r="AW36">
            <v>468.83042287817</v>
          </cell>
          <cell r="AX36">
            <v>482.89533556451511</v>
          </cell>
          <cell r="AY36">
            <v>497.38219563145054</v>
          </cell>
          <cell r="AZ36">
            <v>512.30366150039401</v>
          </cell>
          <cell r="BA36">
            <v>517.42669811539793</v>
          </cell>
          <cell r="BB36">
            <v>522.60096509655193</v>
          </cell>
          <cell r="BC36">
            <v>527.8269747475174</v>
          </cell>
          <cell r="BD36">
            <v>533.10524449499258</v>
          </cell>
          <cell r="BE36">
            <v>538.43629693994251</v>
          </cell>
        </row>
        <row r="37">
          <cell r="AC37">
            <v>55.219577686290371</v>
          </cell>
          <cell r="AD37">
            <v>59.084948124330694</v>
          </cell>
          <cell r="AE37">
            <v>63.220894493033839</v>
          </cell>
          <cell r="AF37">
            <v>67.646357107546208</v>
          </cell>
          <cell r="AG37">
            <v>72.38160210507445</v>
          </cell>
          <cell r="AH37">
            <v>77.448314252429668</v>
          </cell>
          <cell r="AI37">
            <v>82.86969625009975</v>
          </cell>
          <cell r="AJ37">
            <v>88.670574987606727</v>
          </cell>
          <cell r="AK37">
            <v>93.104103736987071</v>
          </cell>
          <cell r="AL37">
            <v>97.759308923836429</v>
          </cell>
          <cell r="AM37">
            <v>102.64727437002826</v>
          </cell>
          <cell r="AN37">
            <v>107.77963808852967</v>
          </cell>
          <cell r="AO37">
            <v>113.16861999295615</v>
          </cell>
          <cell r="AP37">
            <v>118.82705099260396</v>
          </cell>
          <cell r="AQ37">
            <v>124.76840354223415</v>
          </cell>
          <cell r="AR37">
            <v>131.00682371934587</v>
          </cell>
          <cell r="AS37">
            <v>137.55716490531316</v>
          </cell>
          <cell r="AT37">
            <v>141.68387985247256</v>
          </cell>
          <cell r="AU37">
            <v>145.93439624804674</v>
          </cell>
          <cell r="AV37">
            <v>150.31242813548815</v>
          </cell>
          <cell r="AW37">
            <v>154.82180097955279</v>
          </cell>
          <cell r="AX37">
            <v>159.46645500893936</v>
          </cell>
          <cell r="AY37">
            <v>164.25044865920754</v>
          </cell>
          <cell r="AZ37">
            <v>169.17796211898377</v>
          </cell>
          <cell r="BA37">
            <v>170.86974174017359</v>
          </cell>
          <cell r="BB37">
            <v>172.57843915757533</v>
          </cell>
          <cell r="BC37">
            <v>174.30422354915109</v>
          </cell>
          <cell r="BD37">
            <v>176.0472657846426</v>
          </cell>
          <cell r="BE37">
            <v>177.80773844248904</v>
          </cell>
        </row>
        <row r="38">
          <cell r="AC38">
            <v>21.504011750960654</v>
          </cell>
          <cell r="AD38">
            <v>23.009292573527901</v>
          </cell>
          <cell r="AE38">
            <v>24.619943053674856</v>
          </cell>
          <cell r="AF38">
            <v>26.343339067432098</v>
          </cell>
          <cell r="AG38">
            <v>28.187372802152346</v>
          </cell>
          <cell r="AH38">
            <v>30.160488898303011</v>
          </cell>
          <cell r="AI38">
            <v>32.271723121184223</v>
          </cell>
          <cell r="AJ38">
            <v>34.530743739667116</v>
          </cell>
          <cell r="AK38">
            <v>36.257280926650473</v>
          </cell>
          <cell r="AL38">
            <v>38.070144972982995</v>
          </cell>
          <cell r="AM38">
            <v>39.973652221632143</v>
          </cell>
          <cell r="AN38">
            <v>41.972334832713749</v>
          </cell>
          <cell r="AO38">
            <v>44.070951574349436</v>
          </cell>
          <cell r="AP38">
            <v>46.274499153066905</v>
          </cell>
          <cell r="AQ38">
            <v>48.588224110720247</v>
          </cell>
          <cell r="AR38">
            <v>51.017635316256261</v>
          </cell>
          <cell r="AS38">
            <v>53.568517082069071</v>
          </cell>
          <cell r="AT38">
            <v>55.175572594531147</v>
          </cell>
          <cell r="AU38">
            <v>56.830839772367078</v>
          </cell>
          <cell r="AV38">
            <v>58.535764965538092</v>
          </cell>
          <cell r="AW38">
            <v>60.291837914504235</v>
          </cell>
          <cell r="AX38">
            <v>62.100593051939363</v>
          </cell>
          <cell r="AY38">
            <v>63.963610843497541</v>
          </cell>
          <cell r="AZ38">
            <v>65.882519168802474</v>
          </cell>
          <cell r="BA38">
            <v>66.541344360490498</v>
          </cell>
          <cell r="BB38">
            <v>67.206757804095403</v>
          </cell>
          <cell r="BC38">
            <v>67.878825382136355</v>
          </cell>
          <cell r="BD38">
            <v>68.557613635957722</v>
          </cell>
          <cell r="BE38">
            <v>69.243189772317294</v>
          </cell>
        </row>
        <row r="39">
          <cell r="AC39">
            <v>317.64555456910438</v>
          </cell>
          <cell r="AD39">
            <v>339.88074338894171</v>
          </cell>
          <cell r="AE39">
            <v>363.67239542616761</v>
          </cell>
          <cell r="AF39">
            <v>389.12946310599932</v>
          </cell>
          <cell r="AG39">
            <v>416.36852552341929</v>
          </cell>
          <cell r="AH39">
            <v>445.51432231005867</v>
          </cell>
          <cell r="AI39">
            <v>476.7003248717628</v>
          </cell>
          <cell r="AJ39">
            <v>510.0693476127862</v>
          </cell>
          <cell r="AK39">
            <v>535.57281499342548</v>
          </cell>
          <cell r="AL39">
            <v>562.35145574309672</v>
          </cell>
          <cell r="AM39">
            <v>590.46902853025153</v>
          </cell>
          <cell r="AN39">
            <v>619.9924799567641</v>
          </cell>
          <cell r="AO39">
            <v>650.99210395460227</v>
          </cell>
          <cell r="AP39">
            <v>683.54170915233237</v>
          </cell>
          <cell r="AQ39">
            <v>717.71879460994899</v>
          </cell>
          <cell r="AR39">
            <v>753.60473434044638</v>
          </cell>
          <cell r="AS39">
            <v>791.28497105746874</v>
          </cell>
          <cell r="AT39">
            <v>815.02352018919282</v>
          </cell>
          <cell r="AU39">
            <v>839.47422579486863</v>
          </cell>
          <cell r="AV39">
            <v>864.65845256871467</v>
          </cell>
          <cell r="AW39">
            <v>890.59820614577609</v>
          </cell>
          <cell r="AX39">
            <v>917.31615233014941</v>
          </cell>
          <cell r="AY39">
            <v>944.83563690005394</v>
          </cell>
          <cell r="AZ39">
            <v>973.18070600705551</v>
          </cell>
          <cell r="BA39">
            <v>982.91251306712604</v>
          </cell>
          <cell r="BB39">
            <v>992.74163819779733</v>
          </cell>
          <cell r="BC39">
            <v>1002.6690545797753</v>
          </cell>
          <cell r="BD39">
            <v>1012.6957451255731</v>
          </cell>
          <cell r="BE39">
            <v>1022.8227025768289</v>
          </cell>
        </row>
        <row r="40">
          <cell r="AC40">
            <v>215.89152068979166</v>
          </cell>
          <cell r="AD40">
            <v>231.00392713807707</v>
          </cell>
          <cell r="AE40">
            <v>247.17420203774248</v>
          </cell>
          <cell r="AF40">
            <v>264.47639618038443</v>
          </cell>
          <cell r="AG40">
            <v>282.98974391301135</v>
          </cell>
          <cell r="AH40">
            <v>302.79902598692217</v>
          </cell>
          <cell r="AI40">
            <v>323.99495780600671</v>
          </cell>
          <cell r="AJ40">
            <v>346.67460485242719</v>
          </cell>
          <cell r="AK40">
            <v>364.00833509504855</v>
          </cell>
          <cell r="AL40">
            <v>382.20875184980099</v>
          </cell>
          <cell r="AM40">
            <v>401.31918944229102</v>
          </cell>
          <cell r="AN40">
            <v>421.38514891440559</v>
          </cell>
          <cell r="AO40">
            <v>442.45440636012586</v>
          </cell>
          <cell r="AP40">
            <v>464.57712667813217</v>
          </cell>
          <cell r="AQ40">
            <v>487.80598301203878</v>
          </cell>
          <cell r="AR40">
            <v>512.19628216264073</v>
          </cell>
          <cell r="AS40">
            <v>537.80609627077274</v>
          </cell>
          <cell r="AT40">
            <v>553.94027915889592</v>
          </cell>
          <cell r="AU40">
            <v>570.55848753366274</v>
          </cell>
          <cell r="AV40">
            <v>587.67524215967262</v>
          </cell>
          <cell r="AW40">
            <v>605.30549942446282</v>
          </cell>
          <cell r="AX40">
            <v>623.46466440719666</v>
          </cell>
          <cell r="AY40">
            <v>642.16860433941258</v>
          </cell>
          <cell r="AZ40">
            <v>661.43366246959499</v>
          </cell>
          <cell r="BA40">
            <v>668.04799909429096</v>
          </cell>
          <cell r="BB40">
            <v>674.72847908523386</v>
          </cell>
          <cell r="BC40">
            <v>681.47576387608615</v>
          </cell>
          <cell r="BD40">
            <v>688.290521514847</v>
          </cell>
          <cell r="BE40">
            <v>695.17342672999553</v>
          </cell>
        </row>
        <row r="41">
          <cell r="AC41">
            <v>160.91520105498273</v>
          </cell>
          <cell r="AD41">
            <v>172.17926512883153</v>
          </cell>
          <cell r="AE41">
            <v>184.23181368784975</v>
          </cell>
          <cell r="AF41">
            <v>197.12804064599925</v>
          </cell>
          <cell r="AG41">
            <v>210.92700349121921</v>
          </cell>
          <cell r="AH41">
            <v>225.69189373560457</v>
          </cell>
          <cell r="AI41">
            <v>241.49032629709689</v>
          </cell>
          <cell r="AJ41">
            <v>258.39464913789368</v>
          </cell>
          <cell r="AK41">
            <v>271.31438159478836</v>
          </cell>
          <cell r="AL41">
            <v>284.8801006745278</v>
          </cell>
          <cell r="AM41">
            <v>299.12410570825421</v>
          </cell>
          <cell r="AN41">
            <v>314.0803109936669</v>
          </cell>
          <cell r="AO41">
            <v>329.78432654335023</v>
          </cell>
          <cell r="AP41">
            <v>346.27354287051776</v>
          </cell>
          <cell r="AQ41">
            <v>363.58722001404362</v>
          </cell>
          <cell r="AR41">
            <v>381.76658101474578</v>
          </cell>
          <cell r="AS41">
            <v>400.85491006548307</v>
          </cell>
          <cell r="AT41">
            <v>412.88055736744758</v>
          </cell>
          <cell r="AU41">
            <v>425.26697408847099</v>
          </cell>
          <cell r="AV41">
            <v>438.02498331112514</v>
          </cell>
          <cell r="AW41">
            <v>451.16573281045891</v>
          </cell>
          <cell r="AX41">
            <v>464.70070479477266</v>
          </cell>
          <cell r="AY41">
            <v>478.64172593861582</v>
          </cell>
          <cell r="AZ41">
            <v>493.00097771677429</v>
          </cell>
          <cell r="BA41">
            <v>497.93098749394204</v>
          </cell>
          <cell r="BB41">
            <v>502.91029736888146</v>
          </cell>
          <cell r="BC41">
            <v>507.93940034257025</v>
          </cell>
          <cell r="BD41">
            <v>513.01879434599596</v>
          </cell>
          <cell r="BE41">
            <v>518.14898228945594</v>
          </cell>
        </row>
        <row r="42">
          <cell r="AC42">
            <v>1057.5310524625743</v>
          </cell>
          <cell r="AD42">
            <v>1131.5582261349546</v>
          </cell>
          <cell r="AE42">
            <v>1210.7673019644014</v>
          </cell>
          <cell r="AF42">
            <v>1295.5210131019096</v>
          </cell>
          <cell r="AG42">
            <v>1386.2074840190432</v>
          </cell>
          <cell r="AH42">
            <v>1483.2420079003764</v>
          </cell>
          <cell r="AI42">
            <v>1587.0689484534028</v>
          </cell>
          <cell r="AJ42">
            <v>1698.163774845141</v>
          </cell>
          <cell r="AK42">
            <v>1783.0719635873982</v>
          </cell>
          <cell r="AL42">
            <v>1872.2255617667681</v>
          </cell>
          <cell r="AM42">
            <v>1965.8368398551065</v>
          </cell>
          <cell r="AN42">
            <v>2064.128681847862</v>
          </cell>
          <cell r="AO42">
            <v>2167.335115940255</v>
          </cell>
          <cell r="AP42">
            <v>2275.701871737268</v>
          </cell>
          <cell r="AQ42">
            <v>2389.4869653241312</v>
          </cell>
          <cell r="AR42">
            <v>2508.9613135903378</v>
          </cell>
          <cell r="AS42">
            <v>2634.4093792698545</v>
          </cell>
          <cell r="AT42">
            <v>2713.4416606479504</v>
          </cell>
          <cell r="AU42">
            <v>2794.8449104673887</v>
          </cell>
          <cell r="AV42">
            <v>2878.6902577814103</v>
          </cell>
          <cell r="AW42">
            <v>2965.0509655148526</v>
          </cell>
          <cell r="AX42">
            <v>3054.0024944802981</v>
          </cell>
          <cell r="AY42">
            <v>3145.6225693147071</v>
          </cell>
          <cell r="AZ42">
            <v>3239.9912463941482</v>
          </cell>
          <cell r="BA42">
            <v>3272.3911588580895</v>
          </cell>
          <cell r="BB42">
            <v>3305.1150704466704</v>
          </cell>
          <cell r="BC42">
            <v>3338.1662211511371</v>
          </cell>
          <cell r="BD42">
            <v>3371.5478833626485</v>
          </cell>
          <cell r="BE42">
            <v>3405.263362196275</v>
          </cell>
        </row>
      </sheetData>
      <sheetData sheetId="36">
        <row r="12">
          <cell r="AC12">
            <v>26.246123800989523</v>
          </cell>
          <cell r="AD12">
            <v>27.820891229048893</v>
          </cell>
          <cell r="AE12">
            <v>29.490144702791827</v>
          </cell>
          <cell r="AF12">
            <v>31.259553384959336</v>
          </cell>
          <cell r="AG12">
            <v>33.135126588056899</v>
          </cell>
          <cell r="AH12">
            <v>35.123234183340315</v>
          </cell>
          <cell r="AI12">
            <v>37.230628234340735</v>
          </cell>
          <cell r="AJ12">
            <v>39.464465928401182</v>
          </cell>
          <cell r="AK12">
            <v>41.832333884105253</v>
          </cell>
          <cell r="AL12">
            <v>44.342273917151566</v>
          </cell>
          <cell r="AM12">
            <v>46.559387613009143</v>
          </cell>
          <cell r="AN12">
            <v>48.887356993659601</v>
          </cell>
          <cell r="AO12">
            <v>51.331724843342585</v>
          </cell>
          <cell r="AP12">
            <v>53.898311085509711</v>
          </cell>
          <cell r="AQ12">
            <v>56.5932266397852</v>
          </cell>
          <cell r="AR12">
            <v>59.422887971774458</v>
          </cell>
          <cell r="AS12">
            <v>62.394032370363178</v>
          </cell>
          <cell r="AT12">
            <v>65.513733988881341</v>
          </cell>
          <cell r="AU12">
            <v>68.789420688325407</v>
          </cell>
          <cell r="AV12">
            <v>72.228891722741679</v>
          </cell>
          <cell r="AW12">
            <v>74.395758474423928</v>
          </cell>
          <cell r="AX12">
            <v>76.627631228656639</v>
          </cell>
          <cell r="AY12">
            <v>78.926460165516332</v>
          </cell>
          <cell r="AZ12">
            <v>81.294253970481819</v>
          </cell>
          <cell r="BA12">
            <v>83.733081589596267</v>
          </cell>
          <cell r="BB12">
            <v>86.245074037284155</v>
          </cell>
          <cell r="BC12">
            <v>88.832426258402677</v>
          </cell>
          <cell r="BD12">
            <v>91.497399046154754</v>
          </cell>
          <cell r="BE12">
            <v>94.242321017539396</v>
          </cell>
        </row>
        <row r="13">
          <cell r="AC13">
            <v>26.673654731124554</v>
          </cell>
          <cell r="AD13">
            <v>28.274074014992028</v>
          </cell>
          <cell r="AE13">
            <v>29.970518455891551</v>
          </cell>
          <cell r="AF13">
            <v>31.768749563245045</v>
          </cell>
          <cell r="AG13">
            <v>33.674874537039749</v>
          </cell>
          <cell r="AH13">
            <v>35.695367009262135</v>
          </cell>
          <cell r="AI13">
            <v>37.837089029817861</v>
          </cell>
          <cell r="AJ13">
            <v>40.107314371606932</v>
          </cell>
          <cell r="AK13">
            <v>42.513753233903351</v>
          </cell>
          <cell r="AL13">
            <v>45.064578427937555</v>
          </cell>
          <cell r="AM13">
            <v>47.31780734933443</v>
          </cell>
          <cell r="AN13">
            <v>49.683697716801149</v>
          </cell>
          <cell r="AO13">
            <v>52.167882602641207</v>
          </cell>
          <cell r="AP13">
            <v>54.776276732773269</v>
          </cell>
          <cell r="AQ13">
            <v>57.515090569411932</v>
          </cell>
          <cell r="AR13">
            <v>60.390845097882526</v>
          </cell>
          <cell r="AS13">
            <v>63.410387352776652</v>
          </cell>
          <cell r="AT13">
            <v>66.580906720415484</v>
          </cell>
          <cell r="AU13">
            <v>69.909952056436254</v>
          </cell>
          <cell r="AV13">
            <v>73.405449659258068</v>
          </cell>
          <cell r="AW13">
            <v>75.607613149035814</v>
          </cell>
          <cell r="AX13">
            <v>77.875841543506894</v>
          </cell>
          <cell r="AY13">
            <v>80.2121167898121</v>
          </cell>
          <cell r="AZ13">
            <v>82.618480293506465</v>
          </cell>
          <cell r="BA13">
            <v>85.09703470231166</v>
          </cell>
          <cell r="BB13">
            <v>87.649945743381011</v>
          </cell>
          <cell r="BC13">
            <v>90.279444115682438</v>
          </cell>
          <cell r="BD13">
            <v>92.987827439152909</v>
          </cell>
          <cell r="BE13">
            <v>95.777462262327489</v>
          </cell>
        </row>
        <row r="14">
          <cell r="AC14">
            <v>4.283859919953005</v>
          </cell>
          <cell r="AD14">
            <v>4.540891515150185</v>
          </cell>
          <cell r="AE14">
            <v>4.8133450060591958</v>
          </cell>
          <cell r="AF14">
            <v>5.1021457064227471</v>
          </cell>
          <cell r="AG14">
            <v>5.408274448808112</v>
          </cell>
          <cell r="AH14">
            <v>5.7327709157365989</v>
          </cell>
          <cell r="AI14">
            <v>6.0767371706807944</v>
          </cell>
          <cell r="AJ14">
            <v>6.4413414009216421</v>
          </cell>
          <cell r="AK14">
            <v>6.8278218849769408</v>
          </cell>
          <cell r="AL14">
            <v>7.2374911980755572</v>
          </cell>
          <cell r="AM14">
            <v>7.599365757979335</v>
          </cell>
          <cell r="AN14">
            <v>7.9793340458783018</v>
          </cell>
          <cell r="AO14">
            <v>8.3783007481722169</v>
          </cell>
          <cell r="AP14">
            <v>8.7972157855808284</v>
          </cell>
          <cell r="AQ14">
            <v>9.23707657485987</v>
          </cell>
          <cell r="AR14">
            <v>9.6989304036028638</v>
          </cell>
          <cell r="AS14">
            <v>10.183876923783007</v>
          </cell>
          <cell r="AT14">
            <v>10.693070769972158</v>
          </cell>
          <cell r="AU14">
            <v>11.227724308470766</v>
          </cell>
          <cell r="AV14">
            <v>11.789110523894305</v>
          </cell>
          <cell r="AW14">
            <v>12.142783839611134</v>
          </cell>
          <cell r="AX14">
            <v>12.507067354799467</v>
          </cell>
          <cell r="AY14">
            <v>12.882279375443451</v>
          </cell>
          <cell r="AZ14">
            <v>13.268747756706755</v>
          </cell>
          <cell r="BA14">
            <v>13.666810189407958</v>
          </cell>
          <cell r="BB14">
            <v>14.076814495090197</v>
          </cell>
          <cell r="BC14">
            <v>14.499118929942902</v>
          </cell>
          <cell r="BD14">
            <v>14.93409249784119</v>
          </cell>
          <cell r="BE14">
            <v>15.382115272776426</v>
          </cell>
        </row>
        <row r="15">
          <cell r="AC15">
            <v>4.4847994571164698</v>
          </cell>
          <cell r="AD15">
            <v>4.7538874245434579</v>
          </cell>
          <cell r="AE15">
            <v>5.0391206700160653</v>
          </cell>
          <cell r="AF15">
            <v>5.3414679102170295</v>
          </cell>
          <cell r="AG15">
            <v>5.6619559848300511</v>
          </cell>
          <cell r="AH15">
            <v>6.0016733439198546</v>
          </cell>
          <cell r="AI15">
            <v>6.3617737445550455</v>
          </cell>
          <cell r="AJ15">
            <v>6.7434801692283486</v>
          </cell>
          <cell r="AK15">
            <v>7.1480889793820497</v>
          </cell>
          <cell r="AL15">
            <v>7.5769743181449725</v>
          </cell>
          <cell r="AM15">
            <v>7.9558230340522211</v>
          </cell>
          <cell r="AN15">
            <v>8.3536141857548323</v>
          </cell>
          <cell r="AO15">
            <v>8.7712948950425744</v>
          </cell>
          <cell r="AP15">
            <v>9.2098596397947023</v>
          </cell>
          <cell r="AQ15">
            <v>9.6703526217844367</v>
          </cell>
          <cell r="AR15">
            <v>10.153870252873659</v>
          </cell>
          <cell r="AS15">
            <v>10.661563765517343</v>
          </cell>
          <cell r="AT15">
            <v>11.19464195379321</v>
          </cell>
          <cell r="AU15">
            <v>11.754374051482872</v>
          </cell>
          <cell r="AV15">
            <v>12.342092754057015</v>
          </cell>
          <cell r="AW15">
            <v>12.712355536678725</v>
          </cell>
          <cell r="AX15">
            <v>13.093726202779086</v>
          </cell>
          <cell r="AY15">
            <v>13.486537988862459</v>
          </cell>
          <cell r="AZ15">
            <v>13.891134128528332</v>
          </cell>
          <cell r="BA15">
            <v>14.307868152384183</v>
          </cell>
          <cell r="BB15">
            <v>14.737104196955707</v>
          </cell>
          <cell r="BC15">
            <v>15.179217322864378</v>
          </cell>
          <cell r="BD15">
            <v>15.634593842550309</v>
          </cell>
          <cell r="BE15">
            <v>16.103631657826817</v>
          </cell>
        </row>
        <row r="16">
          <cell r="AC16">
            <v>0.84223593236601013</v>
          </cell>
          <cell r="AD16">
            <v>0.89277008830797078</v>
          </cell>
          <cell r="AE16">
            <v>0.946336293606449</v>
          </cell>
          <cell r="AF16">
            <v>1.003116471222836</v>
          </cell>
          <cell r="AG16">
            <v>1.0633034594962061</v>
          </cell>
          <cell r="AH16">
            <v>1.1271016670659784</v>
          </cell>
          <cell r="AI16">
            <v>1.194727767089937</v>
          </cell>
          <cell r="AJ16">
            <v>1.2664114331153331</v>
          </cell>
          <cell r="AK16">
            <v>1.3423961191022531</v>
          </cell>
          <cell r="AL16">
            <v>1.4229398862483882</v>
          </cell>
          <cell r="AM16">
            <v>1.4940868805608076</v>
          </cell>
          <cell r="AN16">
            <v>1.568791224588848</v>
          </cell>
          <cell r="AO16">
            <v>1.6472307858182904</v>
          </cell>
          <cell r="AP16">
            <v>1.7295923251092049</v>
          </cell>
          <cell r="AQ16">
            <v>1.8160719413646651</v>
          </cell>
          <cell r="AR16">
            <v>1.9068755384328984</v>
          </cell>
          <cell r="AS16">
            <v>2.0022193153545431</v>
          </cell>
          <cell r="AT16">
            <v>2.1023302811222702</v>
          </cell>
          <cell r="AU16">
            <v>2.2074467951783836</v>
          </cell>
          <cell r="AV16">
            <v>2.3178191349373027</v>
          </cell>
          <cell r="AW16">
            <v>2.387353708985422</v>
          </cell>
          <cell r="AX16">
            <v>2.4589743202549847</v>
          </cell>
          <cell r="AY16">
            <v>2.5327435498626345</v>
          </cell>
          <cell r="AZ16">
            <v>2.6087258563585136</v>
          </cell>
          <cell r="BA16">
            <v>2.6869876320492692</v>
          </cell>
          <cell r="BB16">
            <v>2.7675972610107471</v>
          </cell>
          <cell r="BC16">
            <v>2.8506251788410695</v>
          </cell>
          <cell r="BD16">
            <v>2.9361439342063016</v>
          </cell>
          <cell r="BE16">
            <v>3.0242282522324908</v>
          </cell>
        </row>
        <row r="17">
          <cell r="AC17">
            <v>22.257260222829686</v>
          </cell>
          <cell r="AD17">
            <v>23.592695836199468</v>
          </cell>
          <cell r="AE17">
            <v>25.008257586371435</v>
          </cell>
          <cell r="AF17">
            <v>26.508753041553721</v>
          </cell>
          <cell r="AG17">
            <v>28.099278224046945</v>
          </cell>
          <cell r="AH17">
            <v>29.78523491748976</v>
          </cell>
          <cell r="AI17">
            <v>31.572349012539146</v>
          </cell>
          <cell r="AJ17">
            <v>33.466689953291493</v>
          </cell>
          <cell r="AK17">
            <v>35.474691350488982</v>
          </cell>
          <cell r="AL17">
            <v>37.603172831518322</v>
          </cell>
          <cell r="AM17">
            <v>39.483331473094239</v>
          </cell>
          <cell r="AN17">
            <v>41.457498046748952</v>
          </cell>
          <cell r="AO17">
            <v>43.530372949086399</v>
          </cell>
          <cell r="AP17">
            <v>45.706891596540721</v>
          </cell>
          <cell r="AQ17">
            <v>47.992236176367754</v>
          </cell>
          <cell r="AR17">
            <v>50.391847985186139</v>
          </cell>
          <cell r="AS17">
            <v>52.911440384445449</v>
          </cell>
          <cell r="AT17">
            <v>55.55701240366772</v>
          </cell>
          <cell r="AU17">
            <v>58.334863023851106</v>
          </cell>
          <cell r="AV17">
            <v>61.251606175043662</v>
          </cell>
          <cell r="AW17">
            <v>63.08915436029497</v>
          </cell>
          <cell r="AX17">
            <v>64.981828991103825</v>
          </cell>
          <cell r="AY17">
            <v>66.931283860836942</v>
          </cell>
          <cell r="AZ17">
            <v>68.939222376662045</v>
          </cell>
          <cell r="BA17">
            <v>71.007399047961911</v>
          </cell>
          <cell r="BB17">
            <v>73.137621019400768</v>
          </cell>
          <cell r="BC17">
            <v>75.331749649982797</v>
          </cell>
          <cell r="BD17">
            <v>77.59170213948228</v>
          </cell>
          <cell r="BE17">
            <v>79.919453203666748</v>
          </cell>
        </row>
        <row r="18">
          <cell r="AC18">
            <v>21.863931767105459</v>
          </cell>
          <cell r="AD18">
            <v>23.175767673131787</v>
          </cell>
          <cell r="AE18">
            <v>24.566313733519696</v>
          </cell>
          <cell r="AF18">
            <v>26.040292557530876</v>
          </cell>
          <cell r="AG18">
            <v>27.602710110982727</v>
          </cell>
          <cell r="AH18">
            <v>29.25887271764169</v>
          </cell>
          <cell r="AI18">
            <v>31.014405080700193</v>
          </cell>
          <cell r="AJ18">
            <v>32.875269385542204</v>
          </cell>
          <cell r="AK18">
            <v>34.847785548674736</v>
          </cell>
          <cell r="AL18">
            <v>36.938652681595222</v>
          </cell>
          <cell r="AM18">
            <v>38.785585315674986</v>
          </cell>
          <cell r="AN18">
            <v>40.724864581458732</v>
          </cell>
          <cell r="AO18">
            <v>42.761107810531669</v>
          </cell>
          <cell r="AP18">
            <v>44.899163201058251</v>
          </cell>
          <cell r="AQ18">
            <v>47.144121361111161</v>
          </cell>
          <cell r="AR18">
            <v>49.501327429166722</v>
          </cell>
          <cell r="AS18">
            <v>51.976393800625061</v>
          </cell>
          <cell r="AT18">
            <v>54.575213490656317</v>
          </cell>
          <cell r="AU18">
            <v>57.303974165189132</v>
          </cell>
          <cell r="AV18">
            <v>60.169172873448588</v>
          </cell>
          <cell r="AW18">
            <v>61.974248059652048</v>
          </cell>
          <cell r="AX18">
            <v>63.833475501441612</v>
          </cell>
          <cell r="AY18">
            <v>65.748479766484863</v>
          </cell>
          <cell r="AZ18">
            <v>67.720934159479413</v>
          </cell>
          <cell r="BA18">
            <v>69.752562184263795</v>
          </cell>
          <cell r="BB18">
            <v>71.845139049791712</v>
          </cell>
          <cell r="BC18">
            <v>74.000493221285467</v>
          </cell>
          <cell r="BD18">
            <v>76.220508017924033</v>
          </cell>
          <cell r="BE18">
            <v>78.507123258461746</v>
          </cell>
        </row>
        <row r="19">
          <cell r="AC19">
            <v>2.2231608367021587</v>
          </cell>
          <cell r="AD19">
            <v>2.3565504869042884</v>
          </cell>
          <cell r="AE19">
            <v>2.4979435161185455</v>
          </cell>
          <cell r="AF19">
            <v>2.6478201270856583</v>
          </cell>
          <cell r="AG19">
            <v>2.8066893347107977</v>
          </cell>
          <cell r="AH19">
            <v>2.9750906947934457</v>
          </cell>
          <cell r="AI19">
            <v>3.1535961364810525</v>
          </cell>
          <cell r="AJ19">
            <v>3.3428119046699156</v>
          </cell>
          <cell r="AK19">
            <v>3.5433806189501107</v>
          </cell>
          <cell r="AL19">
            <v>3.7559834560871175</v>
          </cell>
          <cell r="AM19">
            <v>3.9437826288914732</v>
          </cell>
          <cell r="AN19">
            <v>4.140971760336047</v>
          </cell>
          <cell r="AO19">
            <v>4.3480203483528497</v>
          </cell>
          <cell r="AP19">
            <v>4.5654213657704918</v>
          </cell>
          <cell r="AQ19">
            <v>4.7936924340590163</v>
          </cell>
          <cell r="AR19">
            <v>5.0333770557619673</v>
          </cell>
          <cell r="AS19">
            <v>5.2850459085500656</v>
          </cell>
          <cell r="AT19">
            <v>5.5492982039775693</v>
          </cell>
          <cell r="AU19">
            <v>5.8267631141764475</v>
          </cell>
          <cell r="AV19">
            <v>6.1181012698852699</v>
          </cell>
          <cell r="AW19">
            <v>6.3016443079818281</v>
          </cell>
          <cell r="AX19">
            <v>6.4906936372212831</v>
          </cell>
          <cell r="AY19">
            <v>6.6854144463379219</v>
          </cell>
          <cell r="AZ19">
            <v>6.8859768797280596</v>
          </cell>
          <cell r="BA19">
            <v>7.0925561861199018</v>
          </cell>
          <cell r="BB19">
            <v>7.3053328717034987</v>
          </cell>
          <cell r="BC19">
            <v>7.5244928578546038</v>
          </cell>
          <cell r="BD19">
            <v>7.7502276435902422</v>
          </cell>
          <cell r="BE19">
            <v>7.982734472897949</v>
          </cell>
        </row>
        <row r="20">
          <cell r="AC20">
            <v>17.383407619290338</v>
          </cell>
          <cell r="AD20">
            <v>18.426412076447757</v>
          </cell>
          <cell r="AE20">
            <v>19.531996801034623</v>
          </cell>
          <cell r="AF20">
            <v>20.703916609096702</v>
          </cell>
          <cell r="AG20">
            <v>21.946151605642502</v>
          </cell>
          <cell r="AH20">
            <v>23.262920701981052</v>
          </cell>
          <cell r="AI20">
            <v>24.658695944099914</v>
          </cell>
          <cell r="AJ20">
            <v>26.138217700745908</v>
          </cell>
          <cell r="AK20">
            <v>27.706510762790664</v>
          </cell>
          <cell r="AL20">
            <v>29.368901408558102</v>
          </cell>
          <cell r="AM20">
            <v>30.837346478986007</v>
          </cell>
          <cell r="AN20">
            <v>32.379213802935304</v>
          </cell>
          <cell r="AO20">
            <v>33.998174493082068</v>
          </cell>
          <cell r="AP20">
            <v>35.698083217736169</v>
          </cell>
          <cell r="AQ20">
            <v>37.48298737862298</v>
          </cell>
          <cell r="AR20">
            <v>39.357136747554129</v>
          </cell>
          <cell r="AS20">
            <v>41.324993584931839</v>
          </cell>
          <cell r="AT20">
            <v>43.391243264178428</v>
          </cell>
          <cell r="AU20">
            <v>45.560805427387351</v>
          </cell>
          <cell r="AV20">
            <v>47.838845698756721</v>
          </cell>
          <cell r="AW20">
            <v>49.274011069719421</v>
          </cell>
          <cell r="AX20">
            <v>50.752231401811002</v>
          </cell>
          <cell r="AY20">
            <v>52.274798343865335</v>
          </cell>
          <cell r="AZ20">
            <v>53.843042294181295</v>
          </cell>
          <cell r="BA20">
            <v>55.458333563006732</v>
          </cell>
          <cell r="BB20">
            <v>57.122083569896937</v>
          </cell>
          <cell r="BC20">
            <v>58.835746076993843</v>
          </cell>
          <cell r="BD20">
            <v>60.60081845930366</v>
          </cell>
          <cell r="BE20">
            <v>62.418843013082771</v>
          </cell>
        </row>
        <row r="21">
          <cell r="AC21">
            <v>161.1535088050984</v>
          </cell>
          <cell r="AD21">
            <v>170.82271933340431</v>
          </cell>
          <cell r="AE21">
            <v>181.07208249340857</v>
          </cell>
          <cell r="AF21">
            <v>191.93640744301308</v>
          </cell>
          <cell r="AG21">
            <v>203.45259188959386</v>
          </cell>
          <cell r="AH21">
            <v>215.65974740296949</v>
          </cell>
          <cell r="AI21">
            <v>228.59933224714766</v>
          </cell>
          <cell r="AJ21">
            <v>242.31529218197653</v>
          </cell>
          <cell r="AK21">
            <v>256.85420971289511</v>
          </cell>
          <cell r="AL21">
            <v>272.26546229566884</v>
          </cell>
          <cell r="AM21">
            <v>285.87873541045229</v>
          </cell>
          <cell r="AN21">
            <v>300.17267218097493</v>
          </cell>
          <cell r="AO21">
            <v>315.18130579002366</v>
          </cell>
          <cell r="AP21">
            <v>330.94037107952482</v>
          </cell>
          <cell r="AQ21">
            <v>347.48738963350104</v>
          </cell>
          <cell r="AR21">
            <v>364.86175911517608</v>
          </cell>
          <cell r="AS21">
            <v>383.10484707093491</v>
          </cell>
          <cell r="AT21">
            <v>402.26008942448163</v>
          </cell>
          <cell r="AU21">
            <v>422.37309389570572</v>
          </cell>
          <cell r="AV21">
            <v>443.491748590491</v>
          </cell>
          <cell r="AW21">
            <v>456.79650104820576</v>
          </cell>
          <cell r="AX21">
            <v>470.50039607965192</v>
          </cell>
          <cell r="AY21">
            <v>484.6154079620415</v>
          </cell>
          <cell r="AZ21">
            <v>499.15387020090276</v>
          </cell>
          <cell r="BA21">
            <v>514.12848630692986</v>
          </cell>
          <cell r="BB21">
            <v>529.55234089613771</v>
          </cell>
          <cell r="BC21">
            <v>545.43891112302185</v>
          </cell>
          <cell r="BD21">
            <v>561.80207845671248</v>
          </cell>
          <cell r="BE21">
            <v>578.65614081041383</v>
          </cell>
        </row>
        <row r="22">
          <cell r="AC22">
            <v>98.312744554776756</v>
          </cell>
          <cell r="AD22">
            <v>104.21150922806336</v>
          </cell>
          <cell r="AE22">
            <v>110.46419978174717</v>
          </cell>
          <cell r="AF22">
            <v>117.092051768652</v>
          </cell>
          <cell r="AG22">
            <v>124.11757487477112</v>
          </cell>
          <cell r="AH22">
            <v>131.5646293672574</v>
          </cell>
          <cell r="AI22">
            <v>139.45850712929283</v>
          </cell>
          <cell r="AJ22">
            <v>147.82601755705039</v>
          </cell>
          <cell r="AK22">
            <v>156.6955786104734</v>
          </cell>
          <cell r="AL22">
            <v>166.0973133271018</v>
          </cell>
          <cell r="AM22">
            <v>174.40217899345689</v>
          </cell>
          <cell r="AN22">
            <v>183.12228794312972</v>
          </cell>
          <cell r="AO22">
            <v>192.27840234028622</v>
          </cell>
          <cell r="AP22">
            <v>201.89232245730054</v>
          </cell>
          <cell r="AQ22">
            <v>211.98693858016557</v>
          </cell>
          <cell r="AR22">
            <v>222.58628550917385</v>
          </cell>
          <cell r="AS22">
            <v>233.71559978463253</v>
          </cell>
          <cell r="AT22">
            <v>245.40137977386416</v>
          </cell>
          <cell r="AU22">
            <v>257.67144876255736</v>
          </cell>
          <cell r="AV22">
            <v>270.55502120068525</v>
          </cell>
          <cell r="AW22">
            <v>278.6716718367058</v>
          </cell>
          <cell r="AX22">
            <v>287.03182199180696</v>
          </cell>
          <cell r="AY22">
            <v>295.64277665156118</v>
          </cell>
          <cell r="AZ22">
            <v>304.51205995110803</v>
          </cell>
          <cell r="BA22">
            <v>313.6474217496413</v>
          </cell>
          <cell r="BB22">
            <v>323.05684440213054</v>
          </cell>
          <cell r="BC22">
            <v>332.74854973419446</v>
          </cell>
          <cell r="BD22">
            <v>342.7310062262203</v>
          </cell>
          <cell r="BE22">
            <v>353.01293641300691</v>
          </cell>
        </row>
        <row r="23">
          <cell r="AC23">
            <v>12.278688313478076</v>
          </cell>
          <cell r="AD23">
            <v>13.01540961228676</v>
          </cell>
          <cell r="AE23">
            <v>13.796334189023966</v>
          </cell>
          <cell r="AF23">
            <v>14.624114240365405</v>
          </cell>
          <cell r="AG23">
            <v>15.501561094787329</v>
          </cell>
          <cell r="AH23">
            <v>16.431654760474569</v>
          </cell>
          <cell r="AI23">
            <v>17.417554046103042</v>
          </cell>
          <cell r="AJ23">
            <v>18.462607288869226</v>
          </cell>
          <cell r="AK23">
            <v>19.570363726201379</v>
          </cell>
          <cell r="AL23">
            <v>20.744585549773461</v>
          </cell>
          <cell r="AM23">
            <v>21.781814827262135</v>
          </cell>
          <cell r="AN23">
            <v>22.870905568625243</v>
          </cell>
          <cell r="AO23">
            <v>24.014450847056505</v>
          </cell>
          <cell r="AP23">
            <v>25.21517338940933</v>
          </cell>
          <cell r="AQ23">
            <v>26.475932058879796</v>
          </cell>
          <cell r="AR23">
            <v>27.799728661823785</v>
          </cell>
          <cell r="AS23">
            <v>29.189715094914973</v>
          </cell>
          <cell r="AT23">
            <v>30.649200849660723</v>
          </cell>
          <cell r="AU23">
            <v>32.181660892143761</v>
          </cell>
          <cell r="AV23">
            <v>33.79074393675095</v>
          </cell>
          <cell r="AW23">
            <v>34.80446625485348</v>
          </cell>
          <cell r="AX23">
            <v>35.848600242499082</v>
          </cell>
          <cell r="AY23">
            <v>36.924058249774056</v>
          </cell>
          <cell r="AZ23">
            <v>38.031779997267279</v>
          </cell>
          <cell r="BA23">
            <v>39.172733397185297</v>
          </cell>
          <cell r="BB23">
            <v>40.347915399100856</v>
          </cell>
          <cell r="BC23">
            <v>41.558352861073878</v>
          </cell>
          <cell r="BD23">
            <v>42.805103446906095</v>
          </cell>
          <cell r="BE23">
            <v>44.08925655031328</v>
          </cell>
        </row>
        <row r="24">
          <cell r="AC24">
            <v>13.565556413184519</v>
          </cell>
          <cell r="AD24">
            <v>14.379489797975589</v>
          </cell>
          <cell r="AE24">
            <v>15.242259185854124</v>
          </cell>
          <cell r="AF24">
            <v>16.15679473700537</v>
          </cell>
          <cell r="AG24">
            <v>17.126202421225692</v>
          </cell>
          <cell r="AH24">
            <v>18.153774566499234</v>
          </cell>
          <cell r="AI24">
            <v>19.243001040489187</v>
          </cell>
          <cell r="AJ24">
            <v>20.397581102918537</v>
          </cell>
          <cell r="AK24">
            <v>21.62143596909365</v>
          </cell>
          <cell r="AL24">
            <v>22.91872212723927</v>
          </cell>
          <cell r="AM24">
            <v>24.064658233601236</v>
          </cell>
          <cell r="AN24">
            <v>25.267891145281297</v>
          </cell>
          <cell r="AO24">
            <v>26.531285702545361</v>
          </cell>
          <cell r="AP24">
            <v>27.85784998767263</v>
          </cell>
          <cell r="AQ24">
            <v>29.250742487056261</v>
          </cell>
          <cell r="AR24">
            <v>30.713279611409074</v>
          </cell>
          <cell r="AS24">
            <v>32.248943591979526</v>
          </cell>
          <cell r="AT24">
            <v>33.861390771578499</v>
          </cell>
          <cell r="AU24">
            <v>35.554460310157424</v>
          </cell>
          <cell r="AV24">
            <v>37.332183325665298</v>
          </cell>
          <cell r="AW24">
            <v>38.452148825435259</v>
          </cell>
          <cell r="AX24">
            <v>39.605713290198317</v>
          </cell>
          <cell r="AY24">
            <v>40.793884688904264</v>
          </cell>
          <cell r="AZ24">
            <v>42.017701229571394</v>
          </cell>
          <cell r="BA24">
            <v>43.278232266458538</v>
          </cell>
          <cell r="BB24">
            <v>44.576579234452296</v>
          </cell>
          <cell r="BC24">
            <v>45.913876611485868</v>
          </cell>
          <cell r="BD24">
            <v>47.291292909830446</v>
          </cell>
          <cell r="BE24">
            <v>48.710031697125359</v>
          </cell>
        </row>
        <row r="25">
          <cell r="AC25">
            <v>1.4531776315289686</v>
          </cell>
          <cell r="AD25">
            <v>1.5403682894207067</v>
          </cell>
          <cell r="AE25">
            <v>1.632790386785949</v>
          </cell>
          <cell r="AF25">
            <v>1.730757809993106</v>
          </cell>
          <cell r="AG25">
            <v>1.8346032785926925</v>
          </cell>
          <cell r="AH25">
            <v>1.9446794753082539</v>
          </cell>
          <cell r="AI25">
            <v>2.0613602438267491</v>
          </cell>
          <cell r="AJ25">
            <v>2.185041858456354</v>
          </cell>
          <cell r="AK25">
            <v>2.3161443699637352</v>
          </cell>
          <cell r="AL25">
            <v>2.4551130321615595</v>
          </cell>
          <cell r="AM25">
            <v>2.5778686837696374</v>
          </cell>
          <cell r="AN25">
            <v>2.7067621179581192</v>
          </cell>
          <cell r="AO25">
            <v>2.8421002238560251</v>
          </cell>
          <cell r="AP25">
            <v>2.9842052350488264</v>
          </cell>
          <cell r="AQ25">
            <v>3.1334154968012675</v>
          </cell>
          <cell r="AR25">
            <v>3.2900862716413308</v>
          </cell>
          <cell r="AS25">
            <v>3.4545905852233973</v>
          </cell>
          <cell r="AT25">
            <v>3.6273201144845673</v>
          </cell>
          <cell r="AU25">
            <v>3.8086861202087956</v>
          </cell>
          <cell r="AV25">
            <v>3.9991204262192355</v>
          </cell>
          <cell r="AW25">
            <v>4.1190940390058124</v>
          </cell>
          <cell r="AX25">
            <v>4.2426668601759872</v>
          </cell>
          <cell r="AY25">
            <v>4.3699468659812668</v>
          </cell>
          <cell r="AZ25">
            <v>4.501045271960705</v>
          </cell>
          <cell r="BA25">
            <v>4.6360766301195264</v>
          </cell>
          <cell r="BB25">
            <v>4.775158929023112</v>
          </cell>
          <cell r="BC25">
            <v>4.918413696893805</v>
          </cell>
          <cell r="BD25">
            <v>5.0659661078006195</v>
          </cell>
          <cell r="BE25">
            <v>5.2179450910346379</v>
          </cell>
        </row>
        <row r="26">
          <cell r="AC26">
            <v>15.784441940585326</v>
          </cell>
          <cell r="AD26">
            <v>16.731508457020446</v>
          </cell>
          <cell r="AE26">
            <v>17.735398964441671</v>
          </cell>
          <cell r="AF26">
            <v>18.799522902308173</v>
          </cell>
          <cell r="AG26">
            <v>19.927494276446662</v>
          </cell>
          <cell r="AH26">
            <v>21.123143933033461</v>
          </cell>
          <cell r="AI26">
            <v>22.39053256901547</v>
          </cell>
          <cell r="AJ26">
            <v>23.733964523156398</v>
          </cell>
          <cell r="AK26">
            <v>25.158002394545782</v>
          </cell>
          <cell r="AL26">
            <v>26.667482538218529</v>
          </cell>
          <cell r="AM26">
            <v>28.000856665129454</v>
          </cell>
          <cell r="AN26">
            <v>29.400899498385925</v>
          </cell>
          <cell r="AO26">
            <v>30.870944473305222</v>
          </cell>
          <cell r="AP26">
            <v>32.414491696970487</v>
          </cell>
          <cell r="AQ26">
            <v>34.035216281819011</v>
          </cell>
          <cell r="AR26">
            <v>35.736977095909964</v>
          </cell>
          <cell r="AS26">
            <v>37.523825950705465</v>
          </cell>
          <cell r="AT26">
            <v>39.400017248240736</v>
          </cell>
          <cell r="AU26">
            <v>41.370018110652772</v>
          </cell>
          <cell r="AV26">
            <v>43.43851901618541</v>
          </cell>
          <cell r="AW26">
            <v>44.741674586670975</v>
          </cell>
          <cell r="AX26">
            <v>46.083924824271101</v>
          </cell>
          <cell r="AY26">
            <v>47.466442568999234</v>
          </cell>
          <cell r="AZ26">
            <v>48.890435846069209</v>
          </cell>
          <cell r="BA26">
            <v>50.357148921451284</v>
          </cell>
          <cell r="BB26">
            <v>51.867863389094822</v>
          </cell>
          <cell r="BC26">
            <v>53.423899290767665</v>
          </cell>
          <cell r="BD26">
            <v>55.026616269490695</v>
          </cell>
          <cell r="BE26">
            <v>56.677414757575413</v>
          </cell>
        </row>
        <row r="27">
          <cell r="AC27">
            <v>138.33190775449046</v>
          </cell>
          <cell r="AD27">
            <v>146.6318222197599</v>
          </cell>
          <cell r="AE27">
            <v>155.4297315529455</v>
          </cell>
          <cell r="AF27">
            <v>164.75551544612222</v>
          </cell>
          <cell r="AG27">
            <v>174.64084637288954</v>
          </cell>
          <cell r="AH27">
            <v>185.11929715526293</v>
          </cell>
          <cell r="AI27">
            <v>196.22645498457871</v>
          </cell>
          <cell r="AJ27">
            <v>208.00004228365344</v>
          </cell>
          <cell r="AK27">
            <v>220.48004482067265</v>
          </cell>
          <cell r="AL27">
            <v>233.708847509913</v>
          </cell>
          <cell r="AM27">
            <v>245.39428988540865</v>
          </cell>
          <cell r="AN27">
            <v>257.66400437967911</v>
          </cell>
          <cell r="AO27">
            <v>270.54720459866309</v>
          </cell>
          <cell r="AP27">
            <v>284.07456482859624</v>
          </cell>
          <cell r="AQ27">
            <v>298.27829307002605</v>
          </cell>
          <cell r="AR27">
            <v>313.19220772352736</v>
          </cell>
          <cell r="AS27">
            <v>328.85181810970374</v>
          </cell>
          <cell r="AT27">
            <v>345.29440901518893</v>
          </cell>
          <cell r="AU27">
            <v>362.55912946594839</v>
          </cell>
          <cell r="AV27">
            <v>380.68708593924583</v>
          </cell>
          <cell r="AW27">
            <v>392.10769851742322</v>
          </cell>
          <cell r="AX27">
            <v>403.87092947294593</v>
          </cell>
          <cell r="AY27">
            <v>415.98705735713429</v>
          </cell>
          <cell r="AZ27">
            <v>428.46666907784834</v>
          </cell>
          <cell r="BA27">
            <v>441.32066915018379</v>
          </cell>
          <cell r="BB27">
            <v>454.56028922468931</v>
          </cell>
          <cell r="BC27">
            <v>468.19709790142997</v>
          </cell>
          <cell r="BD27">
            <v>482.24301083847286</v>
          </cell>
          <cell r="BE27">
            <v>496.71030116362704</v>
          </cell>
        </row>
        <row r="28">
          <cell r="AC28">
            <v>2.928586871424959</v>
          </cell>
          <cell r="AD28">
            <v>3.1043020837104565</v>
          </cell>
          <cell r="AE28">
            <v>3.2905602087330839</v>
          </cell>
          <cell r="AF28">
            <v>3.4879938212570689</v>
          </cell>
          <cell r="AG28">
            <v>3.6972734505324931</v>
          </cell>
          <cell r="AH28">
            <v>3.9191098575644427</v>
          </cell>
          <cell r="AI28">
            <v>4.1542564490183089</v>
          </cell>
          <cell r="AJ28">
            <v>4.4035118359594074</v>
          </cell>
          <cell r="AK28">
            <v>4.6677225461169716</v>
          </cell>
          <cell r="AL28">
            <v>4.94778589888399</v>
          </cell>
          <cell r="AM28">
            <v>5.1951751938281898</v>
          </cell>
          <cell r="AN28">
            <v>5.4549339535195998</v>
          </cell>
          <cell r="AO28">
            <v>5.7276806511955796</v>
          </cell>
          <cell r="AP28">
            <v>6.0140646837553584</v>
          </cell>
          <cell r="AQ28">
            <v>6.3147679179431266</v>
          </cell>
          <cell r="AR28">
            <v>6.6305063138402831</v>
          </cell>
          <cell r="AS28">
            <v>6.962031629532297</v>
          </cell>
          <cell r="AT28">
            <v>7.3101332110089121</v>
          </cell>
          <cell r="AU28">
            <v>7.6756398715593575</v>
          </cell>
          <cell r="AV28">
            <v>8.0594218651373257</v>
          </cell>
          <cell r="AW28">
            <v>8.3012045210914458</v>
          </cell>
          <cell r="AX28">
            <v>8.5502406567241884</v>
          </cell>
          <cell r="AY28">
            <v>8.8067478764259146</v>
          </cell>
          <cell r="AZ28">
            <v>9.0709503127186917</v>
          </cell>
          <cell r="BA28">
            <v>9.343078822100253</v>
          </cell>
          <cell r="BB28">
            <v>9.6233711867632614</v>
          </cell>
          <cell r="BC28">
            <v>9.9120723223661589</v>
          </cell>
          <cell r="BD28">
            <v>10.209434492037143</v>
          </cell>
          <cell r="BE28">
            <v>10.515717526798257</v>
          </cell>
        </row>
        <row r="29">
          <cell r="AC29">
            <v>3.9717623409544331</v>
          </cell>
          <cell r="AD29">
            <v>4.2100680814116993</v>
          </cell>
          <cell r="AE29">
            <v>4.4626721662964011</v>
          </cell>
          <cell r="AF29">
            <v>4.7304324962741848</v>
          </cell>
          <cell r="AG29">
            <v>5.0142584460506363</v>
          </cell>
          <cell r="AH29">
            <v>5.3151139528136744</v>
          </cell>
          <cell r="AI29">
            <v>5.634020789982495</v>
          </cell>
          <cell r="AJ29">
            <v>5.9720620373814448</v>
          </cell>
          <cell r="AK29">
            <v>6.3303857596243311</v>
          </cell>
          <cell r="AL29">
            <v>6.7102089052017906</v>
          </cell>
          <cell r="AM29">
            <v>7.04571935046188</v>
          </cell>
          <cell r="AN29">
            <v>7.3980053179849738</v>
          </cell>
          <cell r="AO29">
            <v>7.7679055838842226</v>
          </cell>
          <cell r="AP29">
            <v>8.1563008630784335</v>
          </cell>
          <cell r="AQ29">
            <v>8.564115906232356</v>
          </cell>
          <cell r="AR29">
            <v>8.9923217015439736</v>
          </cell>
          <cell r="AS29">
            <v>9.4419377866211729</v>
          </cell>
          <cell r="AT29">
            <v>9.914034675952232</v>
          </cell>
          <cell r="AU29">
            <v>10.409736409749843</v>
          </cell>
          <cell r="AV29">
            <v>10.930223230237335</v>
          </cell>
          <cell r="AW29">
            <v>11.258129927144456</v>
          </cell>
          <cell r="AX29">
            <v>11.59587382495879</v>
          </cell>
          <cell r="AY29">
            <v>11.943750039707554</v>
          </cell>
          <cell r="AZ29">
            <v>12.302062540898781</v>
          </cell>
          <cell r="BA29">
            <v>12.671124417125744</v>
          </cell>
          <cell r="BB29">
            <v>13.051258149639517</v>
          </cell>
          <cell r="BC29">
            <v>13.442795894128704</v>
          </cell>
          <cell r="BD29">
            <v>13.846079770952565</v>
          </cell>
          <cell r="BE29">
            <v>14.261462164081141</v>
          </cell>
        </row>
        <row r="30">
          <cell r="AC30">
            <v>1.2184631508848369</v>
          </cell>
          <cell r="AD30">
            <v>1.2915709399379272</v>
          </cell>
          <cell r="AE30">
            <v>1.3690651963342029</v>
          </cell>
          <cell r="AF30">
            <v>1.4512091081142551</v>
          </cell>
          <cell r="AG30">
            <v>1.5382816546011104</v>
          </cell>
          <cell r="AH30">
            <v>1.6305785538771771</v>
          </cell>
          <cell r="AI30">
            <v>1.7284132671098078</v>
          </cell>
          <cell r="AJ30">
            <v>1.8321180631363962</v>
          </cell>
          <cell r="AK30">
            <v>1.9420451469245801</v>
          </cell>
          <cell r="AL30">
            <v>2.0585678557400549</v>
          </cell>
          <cell r="AM30">
            <v>2.1614962485270577</v>
          </cell>
          <cell r="AN30">
            <v>2.2695710609534108</v>
          </cell>
          <cell r="AO30">
            <v>2.3830496140010813</v>
          </cell>
          <cell r="AP30">
            <v>2.5022020947011354</v>
          </cell>
          <cell r="AQ30">
            <v>2.6273121994361923</v>
          </cell>
          <cell r="AR30">
            <v>2.758677809408002</v>
          </cell>
          <cell r="AS30">
            <v>2.8966116998784019</v>
          </cell>
          <cell r="AT30">
            <v>3.0414422848723222</v>
          </cell>
          <cell r="AU30">
            <v>3.193514399115938</v>
          </cell>
          <cell r="AV30">
            <v>3.3531901190717348</v>
          </cell>
          <cell r="AW30">
            <v>3.4537858226438867</v>
          </cell>
          <cell r="AX30">
            <v>3.5573993973232034</v>
          </cell>
          <cell r="AY30">
            <v>3.6641213792428995</v>
          </cell>
          <cell r="AZ30">
            <v>3.7740450206201865</v>
          </cell>
          <cell r="BA30">
            <v>3.887266371238792</v>
          </cell>
          <cell r="BB30">
            <v>4.0038843623759561</v>
          </cell>
          <cell r="BC30">
            <v>4.124000893247235</v>
          </cell>
          <cell r="BD30">
            <v>4.2477209200446522</v>
          </cell>
          <cell r="BE30">
            <v>4.3751525476459916</v>
          </cell>
        </row>
        <row r="31">
          <cell r="AC31">
            <v>0.70115072542144996</v>
          </cell>
          <cell r="AD31">
            <v>0.74321976894673691</v>
          </cell>
          <cell r="AE31">
            <v>0.7878129550835411</v>
          </cell>
          <cell r="AF31">
            <v>0.83508173238855354</v>
          </cell>
          <cell r="AG31">
            <v>0.88518663633186678</v>
          </cell>
          <cell r="AH31">
            <v>0.93829783451177884</v>
          </cell>
          <cell r="AI31">
            <v>0.99459570458248558</v>
          </cell>
          <cell r="AJ31">
            <v>1.0542714468574348</v>
          </cell>
          <cell r="AK31">
            <v>1.1175277336688809</v>
          </cell>
          <cell r="AL31">
            <v>1.1845793976890138</v>
          </cell>
          <cell r="AM31">
            <v>1.2438083675734644</v>
          </cell>
          <cell r="AN31">
            <v>1.3059987859521376</v>
          </cell>
          <cell r="AO31">
            <v>1.3712987252497444</v>
          </cell>
          <cell r="AP31">
            <v>1.4398636615122316</v>
          </cell>
          <cell r="AQ31">
            <v>1.5118568445878431</v>
          </cell>
          <cell r="AR31">
            <v>1.5874496868172352</v>
          </cell>
          <cell r="AS31">
            <v>1.6668221711580971</v>
          </cell>
          <cell r="AT31">
            <v>1.7501632797160018</v>
          </cell>
          <cell r="AU31">
            <v>1.837671443701802</v>
          </cell>
          <cell r="AV31">
            <v>1.9295550158868922</v>
          </cell>
          <cell r="AW31">
            <v>1.9874416663634988</v>
          </cell>
          <cell r="AX31">
            <v>2.0470649163544037</v>
          </cell>
          <cell r="AY31">
            <v>2.108476863845036</v>
          </cell>
          <cell r="AZ31">
            <v>2.1717311697603869</v>
          </cell>
          <cell r="BA31">
            <v>2.2368831048531987</v>
          </cell>
          <cell r="BB31">
            <v>2.3039895979987945</v>
          </cell>
          <cell r="BC31">
            <v>2.3731092859387584</v>
          </cell>
          <cell r="BD31">
            <v>2.4443025645169212</v>
          </cell>
          <cell r="BE31">
            <v>2.5176316414524287</v>
          </cell>
        </row>
        <row r="32">
          <cell r="AC32">
            <v>50.752196716329472</v>
          </cell>
          <cell r="AD32">
            <v>53.797328519309239</v>
          </cell>
          <cell r="AE32">
            <v>57.025168230467791</v>
          </cell>
          <cell r="AF32">
            <v>60.44667832429586</v>
          </cell>
          <cell r="AG32">
            <v>64.073479023753606</v>
          </cell>
          <cell r="AH32">
            <v>67.917887765178818</v>
          </cell>
          <cell r="AI32">
            <v>71.99296103108955</v>
          </cell>
          <cell r="AJ32">
            <v>76.312538692954917</v>
          </cell>
          <cell r="AK32">
            <v>80.891291014532214</v>
          </cell>
          <cell r="AL32">
            <v>85.744768475404143</v>
          </cell>
          <cell r="AM32">
            <v>90.032006899174348</v>
          </cell>
          <cell r="AN32">
            <v>94.533607244133066</v>
          </cell>
          <cell r="AO32">
            <v>99.260287606339716</v>
          </cell>
          <cell r="AP32">
            <v>104.22330198665671</v>
          </cell>
          <cell r="AQ32">
            <v>109.43446708598954</v>
          </cell>
          <cell r="AR32">
            <v>114.90619044028901</v>
          </cell>
          <cell r="AS32">
            <v>120.65149996230346</v>
          </cell>
          <cell r="AT32">
            <v>126.68407496041863</v>
          </cell>
          <cell r="AU32">
            <v>133.01827870843957</v>
          </cell>
          <cell r="AV32">
            <v>139.66919264386155</v>
          </cell>
          <cell r="AW32">
            <v>143.85926842317738</v>
          </cell>
          <cell r="AX32">
            <v>148.1750464758727</v>
          </cell>
          <cell r="AY32">
            <v>152.62029787014887</v>
          </cell>
          <cell r="AZ32">
            <v>157.19890680625335</v>
          </cell>
          <cell r="BA32">
            <v>161.91487401044094</v>
          </cell>
          <cell r="BB32">
            <v>166.77232023075416</v>
          </cell>
          <cell r="BC32">
            <v>171.77548983767679</v>
          </cell>
          <cell r="BD32">
            <v>176.92875453280709</v>
          </cell>
          <cell r="BE32">
            <v>182.2366171687913</v>
          </cell>
        </row>
        <row r="33">
          <cell r="AC33">
            <v>15.091841833766576</v>
          </cell>
          <cell r="AD33">
            <v>15.997352343792571</v>
          </cell>
          <cell r="AE33">
            <v>16.957193484420124</v>
          </cell>
          <cell r="AF33">
            <v>17.974625093485329</v>
          </cell>
          <cell r="AG33">
            <v>19.053102599094448</v>
          </cell>
          <cell r="AH33">
            <v>20.196288755040115</v>
          </cell>
          <cell r="AI33">
            <v>21.408066080342522</v>
          </cell>
          <cell r="AJ33">
            <v>22.692550045163074</v>
          </cell>
          <cell r="AK33">
            <v>24.054103047872857</v>
          </cell>
          <cell r="AL33">
            <v>25.497349230745229</v>
          </cell>
          <cell r="AM33">
            <v>26.772216692282491</v>
          </cell>
          <cell r="AN33">
            <v>28.110827526896614</v>
          </cell>
          <cell r="AO33">
            <v>29.516368903241446</v>
          </cell>
          <cell r="AP33">
            <v>30.992187348403519</v>
          </cell>
          <cell r="AQ33">
            <v>32.541796715823693</v>
          </cell>
          <cell r="AR33">
            <v>34.168886551614875</v>
          </cell>
          <cell r="AS33">
            <v>35.877330879195618</v>
          </cell>
          <cell r="AT33">
            <v>37.671197423155398</v>
          </cell>
          <cell r="AU33">
            <v>39.55475729431317</v>
          </cell>
          <cell r="AV33">
            <v>41.532495159028826</v>
          </cell>
          <cell r="AW33">
            <v>42.778470013799691</v>
          </cell>
          <cell r="AX33">
            <v>44.061824114213678</v>
          </cell>
          <cell r="AY33">
            <v>45.38367883764009</v>
          </cell>
          <cell r="AZ33">
            <v>46.745189202769296</v>
          </cell>
          <cell r="BA33">
            <v>48.147544878852372</v>
          </cell>
          <cell r="BB33">
            <v>49.591971225217947</v>
          </cell>
          <cell r="BC33">
            <v>51.079730361974484</v>
          </cell>
          <cell r="BD33">
            <v>52.612122272833716</v>
          </cell>
          <cell r="BE33">
            <v>54.190485941018729</v>
          </cell>
        </row>
        <row r="34">
          <cell r="AC34">
            <v>89.123097695948459</v>
          </cell>
          <cell r="AD34">
            <v>94.470483557705364</v>
          </cell>
          <cell r="AE34">
            <v>100.13871257116769</v>
          </cell>
          <cell r="AF34">
            <v>106.14703532543774</v>
          </cell>
          <cell r="AG34">
            <v>112.51585744496401</v>
          </cell>
          <cell r="AH34">
            <v>119.26680889166185</v>
          </cell>
          <cell r="AI34">
            <v>126.42281742516157</v>
          </cell>
          <cell r="AJ34">
            <v>134.00818647067126</v>
          </cell>
          <cell r="AK34">
            <v>142.04867765891154</v>
          </cell>
          <cell r="AL34">
            <v>150.57159831844623</v>
          </cell>
          <cell r="AM34">
            <v>158.10017823436854</v>
          </cell>
          <cell r="AN34">
            <v>166.00518714608697</v>
          </cell>
          <cell r="AO34">
            <v>174.30544650339132</v>
          </cell>
          <cell r="AP34">
            <v>183.02071882856089</v>
          </cell>
          <cell r="AQ34">
            <v>192.17175476998892</v>
          </cell>
          <cell r="AR34">
            <v>201.78034250848836</v>
          </cell>
          <cell r="AS34">
            <v>211.86935963391278</v>
          </cell>
          <cell r="AT34">
            <v>222.46282761560843</v>
          </cell>
          <cell r="AU34">
            <v>233.58596899638886</v>
          </cell>
          <cell r="AV34">
            <v>245.2652674462083</v>
          </cell>
          <cell r="AW34">
            <v>252.62322546959456</v>
          </cell>
          <cell r="AX34">
            <v>260.20192223368241</v>
          </cell>
          <cell r="AY34">
            <v>268.00797990069287</v>
          </cell>
          <cell r="AZ34">
            <v>276.04821929771367</v>
          </cell>
          <cell r="BA34">
            <v>284.32966587664509</v>
          </cell>
          <cell r="BB34">
            <v>292.85955585294442</v>
          </cell>
          <cell r="BC34">
            <v>301.64534252853275</v>
          </cell>
          <cell r="BD34">
            <v>310.69470280438873</v>
          </cell>
          <cell r="BE34">
            <v>320.01554388852037</v>
          </cell>
        </row>
        <row r="35">
          <cell r="AC35">
            <v>12.270137694875377</v>
          </cell>
          <cell r="AD35">
            <v>13.0063459565679</v>
          </cell>
          <cell r="AE35">
            <v>13.786726713961974</v>
          </cell>
          <cell r="AF35">
            <v>14.613930316799692</v>
          </cell>
          <cell r="AG35">
            <v>15.490766135807673</v>
          </cell>
          <cell r="AH35">
            <v>16.420212103956132</v>
          </cell>
          <cell r="AI35">
            <v>17.4054248301935</v>
          </cell>
          <cell r="AJ35">
            <v>18.449750320005109</v>
          </cell>
          <cell r="AK35">
            <v>19.556735339205414</v>
          </cell>
          <cell r="AL35">
            <v>20.730139459557737</v>
          </cell>
          <cell r="AM35">
            <v>21.766646432535623</v>
          </cell>
          <cell r="AN35">
            <v>22.854978754162403</v>
          </cell>
          <cell r="AO35">
            <v>23.997727691870523</v>
          </cell>
          <cell r="AP35">
            <v>25.197614076464049</v>
          </cell>
          <cell r="AQ35">
            <v>26.457494780287252</v>
          </cell>
          <cell r="AR35">
            <v>27.780369519301615</v>
          </cell>
          <cell r="AS35">
            <v>29.169387995266696</v>
          </cell>
          <cell r="AT35">
            <v>30.627857395030031</v>
          </cell>
          <cell r="AU35">
            <v>32.159250264781534</v>
          </cell>
          <cell r="AV35">
            <v>33.767212778020607</v>
          </cell>
          <cell r="AW35">
            <v>34.780229161361227</v>
          </cell>
          <cell r="AX35">
            <v>35.82363603620206</v>
          </cell>
          <cell r="AY35">
            <v>36.898345117288123</v>
          </cell>
          <cell r="AZ35">
            <v>38.005295470806765</v>
          </cell>
          <cell r="BA35">
            <v>39.145454334930967</v>
          </cell>
          <cell r="BB35">
            <v>40.319817964978895</v>
          </cell>
          <cell r="BC35">
            <v>41.529412503928263</v>
          </cell>
          <cell r="BD35">
            <v>42.775294879046115</v>
          </cell>
          <cell r="BE35">
            <v>44.058553725417497</v>
          </cell>
        </row>
        <row r="36">
          <cell r="AC36">
            <v>29.388476137481998</v>
          </cell>
          <cell r="AD36">
            <v>31.151784705730918</v>
          </cell>
          <cell r="AE36">
            <v>33.020891788074771</v>
          </cell>
          <cell r="AF36">
            <v>35.002145295359256</v>
          </cell>
          <cell r="AG36">
            <v>37.102274013080809</v>
          </cell>
          <cell r="AH36">
            <v>39.328410453865658</v>
          </cell>
          <cell r="AI36">
            <v>41.6881150810976</v>
          </cell>
          <cell r="AJ36">
            <v>44.189401985963457</v>
          </cell>
          <cell r="AK36">
            <v>46.840766105121261</v>
          </cell>
          <cell r="AL36">
            <v>49.651212071428539</v>
          </cell>
          <cell r="AM36">
            <v>52.133772674999967</v>
          </cell>
          <cell r="AN36">
            <v>54.740461308749964</v>
          </cell>
          <cell r="AO36">
            <v>57.477484374187462</v>
          </cell>
          <cell r="AP36">
            <v>60.351358592896837</v>
          </cell>
          <cell r="AQ36">
            <v>63.368926522541678</v>
          </cell>
          <cell r="AR36">
            <v>66.537372848668767</v>
          </cell>
          <cell r="AS36">
            <v>69.864241491102206</v>
          </cell>
          <cell r="AT36">
            <v>73.357453565657323</v>
          </cell>
          <cell r="AU36">
            <v>77.025326243940185</v>
          </cell>
          <cell r="AV36">
            <v>80.876592556137197</v>
          </cell>
          <cell r="AW36">
            <v>83.302890332821306</v>
          </cell>
          <cell r="AX36">
            <v>85.801977042805945</v>
          </cell>
          <cell r="AY36">
            <v>88.376036354090118</v>
          </cell>
          <cell r="AZ36">
            <v>91.027317444712821</v>
          </cell>
          <cell r="BA36">
            <v>93.758136968054202</v>
          </cell>
          <cell r="BB36">
            <v>96.570881077095834</v>
          </cell>
          <cell r="BC36">
            <v>99.468007509408707</v>
          </cell>
          <cell r="BD36">
            <v>102.45204773469096</v>
          </cell>
          <cell r="BE36">
            <v>105.5256091667317</v>
          </cell>
        </row>
        <row r="37">
          <cell r="AC37">
            <v>9.7049521140651933</v>
          </cell>
          <cell r="AD37">
            <v>10.287249240909105</v>
          </cell>
          <cell r="AE37">
            <v>10.904484195363651</v>
          </cell>
          <cell r="AF37">
            <v>11.55875324708547</v>
          </cell>
          <cell r="AG37">
            <v>12.252278441910597</v>
          </cell>
          <cell r="AH37">
            <v>12.987415148425233</v>
          </cell>
          <cell r="AI37">
            <v>13.766660057330748</v>
          </cell>
          <cell r="AJ37">
            <v>14.592659660770593</v>
          </cell>
          <cell r="AK37">
            <v>15.468219240416829</v>
          </cell>
          <cell r="AL37">
            <v>16.396312394841839</v>
          </cell>
          <cell r="AM37">
            <v>17.21612801458393</v>
          </cell>
          <cell r="AN37">
            <v>18.076934415313126</v>
          </cell>
          <cell r="AO37">
            <v>18.980781136078782</v>
          </cell>
          <cell r="AP37">
            <v>19.929820192882723</v>
          </cell>
          <cell r="AQ37">
            <v>20.926311202526858</v>
          </cell>
          <cell r="AR37">
            <v>21.972626762653199</v>
          </cell>
          <cell r="AS37">
            <v>23.071258100785858</v>
          </cell>
          <cell r="AT37">
            <v>24.224821005825152</v>
          </cell>
          <cell r="AU37">
            <v>25.436062056116409</v>
          </cell>
          <cell r="AV37">
            <v>26.707865158922228</v>
          </cell>
          <cell r="AW37">
            <v>27.509101113689894</v>
          </cell>
          <cell r="AX37">
            <v>28.33437414710059</v>
          </cell>
          <cell r="AY37">
            <v>29.184405371513609</v>
          </cell>
          <cell r="AZ37">
            <v>30.059937532659017</v>
          </cell>
          <cell r="BA37">
            <v>30.961735658638787</v>
          </cell>
          <cell r="BB37">
            <v>31.89058772839795</v>
          </cell>
          <cell r="BC37">
            <v>32.847305360249891</v>
          </cell>
          <cell r="BD37">
            <v>33.832724521057386</v>
          </cell>
          <cell r="BE37">
            <v>34.847706256689108</v>
          </cell>
        </row>
        <row r="38">
          <cell r="AC38">
            <v>3.7793734223936699</v>
          </cell>
          <cell r="AD38">
            <v>4.0061358277372898</v>
          </cell>
          <cell r="AE38">
            <v>4.2465039774015274</v>
          </cell>
          <cell r="AF38">
            <v>4.5012942160456193</v>
          </cell>
          <cell r="AG38">
            <v>4.7713718690083562</v>
          </cell>
          <cell r="AH38">
            <v>5.0576541811488571</v>
          </cell>
          <cell r="AI38">
            <v>5.3611134320177882</v>
          </cell>
          <cell r="AJ38">
            <v>5.6827802379388554</v>
          </cell>
          <cell r="AK38">
            <v>6.023747052215187</v>
          </cell>
          <cell r="AL38">
            <v>6.3851718753480986</v>
          </cell>
          <cell r="AM38">
            <v>6.7044304691155032</v>
          </cell>
          <cell r="AN38">
            <v>7.0396519925712786</v>
          </cell>
          <cell r="AO38">
            <v>7.3916345921998428</v>
          </cell>
          <cell r="AP38">
            <v>7.7612163218098349</v>
          </cell>
          <cell r="AQ38">
            <v>8.1492771379003273</v>
          </cell>
          <cell r="AR38">
            <v>8.5567409947953443</v>
          </cell>
          <cell r="AS38">
            <v>8.9845780445351124</v>
          </cell>
          <cell r="AT38">
            <v>9.4338069467618677</v>
          </cell>
          <cell r="AU38">
            <v>9.9054972940999608</v>
          </cell>
          <cell r="AV38">
            <v>10.400772158804958</v>
          </cell>
          <cell r="AW38">
            <v>10.712795323569107</v>
          </cell>
          <cell r="AX38">
            <v>11.03417918327618</v>
          </cell>
          <cell r="AY38">
            <v>11.365204558774465</v>
          </cell>
          <cell r="AZ38">
            <v>11.706160695537699</v>
          </cell>
          <cell r="BA38">
            <v>12.05734551640383</v>
          </cell>
          <cell r="BB38">
            <v>12.419065881895945</v>
          </cell>
          <cell r="BC38">
            <v>12.791637858352823</v>
          </cell>
          <cell r="BD38">
            <v>13.175386994103407</v>
          </cell>
          <cell r="BE38">
            <v>13.570648603926509</v>
          </cell>
        </row>
        <row r="39">
          <cell r="AC39">
            <v>155.26778408411894</v>
          </cell>
          <cell r="AD39">
            <v>164.58385112916608</v>
          </cell>
          <cell r="AE39">
            <v>174.45888219691605</v>
          </cell>
          <cell r="AF39">
            <v>184.92641512873101</v>
          </cell>
          <cell r="AG39">
            <v>196.02200003645487</v>
          </cell>
          <cell r="AH39">
            <v>207.78332003864216</v>
          </cell>
          <cell r="AI39">
            <v>220.25031924096069</v>
          </cell>
          <cell r="AJ39">
            <v>233.46533839541834</v>
          </cell>
          <cell r="AK39">
            <v>247.47325869914346</v>
          </cell>
          <cell r="AL39">
            <v>262.32165422109205</v>
          </cell>
          <cell r="AM39">
            <v>275.43773693214666</v>
          </cell>
          <cell r="AN39">
            <v>289.20962377875401</v>
          </cell>
          <cell r="AO39">
            <v>303.67010496769171</v>
          </cell>
          <cell r="AP39">
            <v>318.85361021607628</v>
          </cell>
          <cell r="AQ39">
            <v>334.7962907268801</v>
          </cell>
          <cell r="AR39">
            <v>351.5361052632241</v>
          </cell>
          <cell r="AS39">
            <v>369.11291052638529</v>
          </cell>
          <cell r="AT39">
            <v>387.56855605270454</v>
          </cell>
          <cell r="AU39">
            <v>406.94698385533979</v>
          </cell>
          <cell r="AV39">
            <v>427.29433304810681</v>
          </cell>
          <cell r="AW39">
            <v>440.11316303954999</v>
          </cell>
          <cell r="AX39">
            <v>453.31655793073651</v>
          </cell>
          <cell r="AY39">
            <v>466.9160546686586</v>
          </cell>
          <cell r="AZ39">
            <v>480.92353630871838</v>
          </cell>
          <cell r="BA39">
            <v>495.35124239797995</v>
          </cell>
          <cell r="BB39">
            <v>510.21177966991934</v>
          </cell>
          <cell r="BC39">
            <v>525.51813306001691</v>
          </cell>
          <cell r="BD39">
            <v>541.28367705181745</v>
          </cell>
          <cell r="BE39">
            <v>557.52218736337193</v>
          </cell>
        </row>
        <row r="40">
          <cell r="AC40">
            <v>2</v>
          </cell>
          <cell r="AD40">
            <v>2.12</v>
          </cell>
          <cell r="AE40">
            <v>2.2472000000000003</v>
          </cell>
          <cell r="AF40">
            <v>2.3820320000000001</v>
          </cell>
          <cell r="AG40">
            <v>2.5249539200000002</v>
          </cell>
          <cell r="AH40">
            <v>2.6764511552000001</v>
          </cell>
          <cell r="AI40">
            <v>2.8370382245120003</v>
          </cell>
          <cell r="AJ40">
            <v>3.0072605179827203</v>
          </cell>
          <cell r="AK40">
            <v>3.1876961490616837</v>
          </cell>
          <cell r="AL40">
            <v>3.3789579180053848</v>
          </cell>
          <cell r="AM40">
            <v>3.5479058139056541</v>
          </cell>
          <cell r="AN40">
            <v>3.7253011046009368</v>
          </cell>
          <cell r="AO40">
            <v>3.9115661598309837</v>
          </cell>
          <cell r="AP40">
            <v>4.1071444678225326</v>
          </cell>
          <cell r="AQ40">
            <v>4.3125016912136589</v>
          </cell>
          <cell r="AR40">
            <v>4.528126775774342</v>
          </cell>
          <cell r="AS40">
            <v>4.7545331145630589</v>
          </cell>
          <cell r="AT40">
            <v>4.9922597702912119</v>
          </cell>
          <cell r="AU40">
            <v>5.2418727588057727</v>
          </cell>
          <cell r="AV40">
            <v>5.503966396746061</v>
          </cell>
          <cell r="AW40">
            <v>5.6690853886484431</v>
          </cell>
          <cell r="AX40">
            <v>5.8391579503078965</v>
          </cell>
          <cell r="AY40">
            <v>6.0143326888171336</v>
          </cell>
          <cell r="AZ40">
            <v>6.1947626694816478</v>
          </cell>
          <cell r="BA40">
            <v>6.3806055495660976</v>
          </cell>
          <cell r="BB40">
            <v>6.5720237160530806</v>
          </cell>
          <cell r="BC40">
            <v>6.7691844275346726</v>
          </cell>
          <cell r="BD40">
            <v>6.9722599603607129</v>
          </cell>
          <cell r="BE40">
            <v>7.1814277591715339</v>
          </cell>
        </row>
        <row r="41">
          <cell r="AC41">
            <v>28.281171028432265</v>
          </cell>
          <cell r="AD41">
            <v>29.978041290138201</v>
          </cell>
          <cell r="AE41">
            <v>31.776723767546493</v>
          </cell>
          <cell r="AF41">
            <v>33.683327193599283</v>
          </cell>
          <cell r="AG41">
            <v>35.70432682521524</v>
          </cell>
          <cell r="AH41">
            <v>37.846586434728152</v>
          </cell>
          <cell r="AI41">
            <v>40.117381620811841</v>
          </cell>
          <cell r="AJ41">
            <v>42.524424518060549</v>
          </cell>
          <cell r="AK41">
            <v>45.07588998914418</v>
          </cell>
          <cell r="AL41">
            <v>47.780443388492827</v>
          </cell>
          <cell r="AM41">
            <v>50.169465557917469</v>
          </cell>
          <cell r="AN41">
            <v>52.677938835813343</v>
          </cell>
          <cell r="AO41">
            <v>55.31183577760401</v>
          </cell>
          <cell r="AP41">
            <v>58.077427566484211</v>
          </cell>
          <cell r="AQ41">
            <v>60.981298944808422</v>
          </cell>
          <cell r="AR41">
            <v>64.03036389204884</v>
          </cell>
          <cell r="AS41">
            <v>67.231882086651282</v>
          </cell>
          <cell r="AT41">
            <v>70.59347619098385</v>
          </cell>
          <cell r="AU41">
            <v>74.123150000533045</v>
          </cell>
          <cell r="AV41">
            <v>77.829307500559693</v>
          </cell>
          <cell r="AW41">
            <v>80.164186725576485</v>
          </cell>
          <cell r="AX41">
            <v>82.569112327343774</v>
          </cell>
          <cell r="AY41">
            <v>85.046185697164091</v>
          </cell>
          <cell r="AZ41">
            <v>87.597571268079008</v>
          </cell>
          <cell r="BA41">
            <v>90.225498406121375</v>
          </cell>
          <cell r="BB41">
            <v>92.932263358305022</v>
          </cell>
          <cell r="BC41">
            <v>95.720231259054174</v>
          </cell>
          <cell r="BD41">
            <v>98.591838196825805</v>
          </cell>
          <cell r="BE41">
            <v>101.54959334273057</v>
          </cell>
        </row>
        <row r="42">
          <cell r="AC42">
            <v>185.86321470246165</v>
          </cell>
          <cell r="AD42">
            <v>197.01500758460935</v>
          </cell>
          <cell r="AE42">
            <v>208.8359080396859</v>
          </cell>
          <cell r="AF42">
            <v>221.36606252206707</v>
          </cell>
          <cell r="AG42">
            <v>234.64802627339108</v>
          </cell>
          <cell r="AH42">
            <v>248.72690784979454</v>
          </cell>
          <cell r="AI42">
            <v>263.65052232078222</v>
          </cell>
          <cell r="AJ42">
            <v>279.46955366002913</v>
          </cell>
          <cell r="AK42">
            <v>296.23772687963088</v>
          </cell>
          <cell r="AL42">
            <v>314.01199049240876</v>
          </cell>
          <cell r="AM42">
            <v>329.71259001702919</v>
          </cell>
          <cell r="AN42">
            <v>346.19821951788066</v>
          </cell>
          <cell r="AO42">
            <v>363.50813049377467</v>
          </cell>
          <cell r="AP42">
            <v>381.68353701846343</v>
          </cell>
          <cell r="AQ42">
            <v>400.76771386938663</v>
          </cell>
          <cell r="AR42">
            <v>420.80609956285593</v>
          </cell>
          <cell r="AS42">
            <v>441.84640454099872</v>
          </cell>
          <cell r="AT42">
            <v>463.93872476804864</v>
          </cell>
          <cell r="AU42">
            <v>487.13566100645107</v>
          </cell>
          <cell r="AV42">
            <v>511.49244405677365</v>
          </cell>
          <cell r="AW42">
            <v>526.83721737847691</v>
          </cell>
          <cell r="AX42">
            <v>542.64233389983121</v>
          </cell>
          <cell r="AY42">
            <v>558.92160391682614</v>
          </cell>
          <cell r="AZ42">
            <v>575.68925203433093</v>
          </cell>
          <cell r="BA42">
            <v>592.9599295953609</v>
          </cell>
          <cell r="BB42">
            <v>610.74872748322173</v>
          </cell>
          <cell r="BC42">
            <v>629.07118930771833</v>
          </cell>
          <cell r="BD42">
            <v>647.94332498694985</v>
          </cell>
          <cell r="BE42">
            <v>667.38162473655836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3BCF-EDAD-40F1-860C-8007867C3E58}">
  <sheetPr>
    <tabColor theme="7" tint="0.79998168889431442"/>
  </sheetPr>
  <dimension ref="A1:AZ44"/>
  <sheetViews>
    <sheetView zoomScale="70" zoomScaleNormal="70" workbookViewId="0"/>
  </sheetViews>
  <sheetFormatPr baseColWidth="10" defaultRowHeight="14.5" x14ac:dyDescent="0.35"/>
  <cols>
    <col min="1" max="1" width="30.453125" customWidth="1"/>
    <col min="2" max="3" width="9.7265625" hidden="1" customWidth="1"/>
    <col min="4" max="4" width="12" hidden="1" customWidth="1"/>
    <col min="5" max="11" width="11" hidden="1" customWidth="1"/>
    <col min="12" max="12" width="11" customWidth="1"/>
    <col min="13" max="22" width="11.26953125" bestFit="1" customWidth="1"/>
  </cols>
  <sheetData>
    <row r="1" spans="1:52" x14ac:dyDescent="0.35">
      <c r="A1" s="52" t="s">
        <v>66</v>
      </c>
      <c r="D1" s="52"/>
      <c r="E1" s="52"/>
      <c r="F1" s="52"/>
      <c r="G1" s="52"/>
      <c r="H1" s="52"/>
      <c r="I1" s="52"/>
      <c r="J1" s="52"/>
      <c r="K1" s="52"/>
      <c r="L1" s="52"/>
      <c r="M1" s="52" t="s">
        <v>69</v>
      </c>
      <c r="N1" s="52" t="s">
        <v>70</v>
      </c>
      <c r="O1" s="52"/>
      <c r="P1" s="52"/>
      <c r="Q1" s="52"/>
      <c r="R1" s="52"/>
      <c r="S1" s="52"/>
      <c r="T1" s="52"/>
      <c r="U1" s="52"/>
      <c r="V1" s="52"/>
    </row>
    <row r="2" spans="1:52" x14ac:dyDescent="0.35">
      <c r="A2" s="52"/>
      <c r="B2" s="26"/>
      <c r="C2" s="26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52" x14ac:dyDescent="0.35">
      <c r="A3" t="s">
        <v>39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  <c r="Z3" s="10">
        <v>2024</v>
      </c>
      <c r="AA3" s="10">
        <v>2025</v>
      </c>
      <c r="AB3" s="10">
        <v>2026</v>
      </c>
      <c r="AC3" s="10">
        <v>2027</v>
      </c>
      <c r="AD3" s="10">
        <v>2028</v>
      </c>
      <c r="AE3" s="10">
        <v>2029</v>
      </c>
      <c r="AF3" s="10">
        <v>2030</v>
      </c>
      <c r="AG3" s="10">
        <v>2031</v>
      </c>
      <c r="AH3" s="10">
        <v>2032</v>
      </c>
      <c r="AI3" s="10">
        <v>2033</v>
      </c>
      <c r="AJ3" s="10">
        <v>2034</v>
      </c>
      <c r="AK3" s="10">
        <v>2035</v>
      </c>
      <c r="AL3" s="10">
        <v>2036</v>
      </c>
      <c r="AM3" s="10">
        <v>2037</v>
      </c>
      <c r="AN3" s="10">
        <v>2038</v>
      </c>
      <c r="AO3" s="10">
        <v>2039</v>
      </c>
      <c r="AP3" s="10">
        <v>2040</v>
      </c>
      <c r="AQ3" s="10">
        <v>2041</v>
      </c>
      <c r="AR3" s="10">
        <v>2042</v>
      </c>
      <c r="AS3" s="10">
        <v>2043</v>
      </c>
      <c r="AT3" s="10">
        <v>2044</v>
      </c>
      <c r="AU3" s="10">
        <v>2045</v>
      </c>
      <c r="AV3" s="10">
        <v>2046</v>
      </c>
      <c r="AW3" s="10">
        <v>2047</v>
      </c>
      <c r="AX3" s="10">
        <v>2048</v>
      </c>
      <c r="AY3" s="10">
        <v>2049</v>
      </c>
      <c r="AZ3" s="10">
        <v>2050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1">
        <v>0.81239815317762087</v>
      </c>
      <c r="N4" s="11">
        <v>0.81414099648542482</v>
      </c>
      <c r="O4" s="11">
        <v>0.80390039813752612</v>
      </c>
      <c r="P4" s="11">
        <v>0.8069521209296131</v>
      </c>
      <c r="Q4" s="11">
        <v>0.80577223088923555</v>
      </c>
      <c r="R4" s="11">
        <v>0.79798296166374338</v>
      </c>
      <c r="S4" s="11">
        <v>0.79418871635408417</v>
      </c>
      <c r="T4" s="11">
        <v>0.80984539236367947</v>
      </c>
      <c r="U4" s="11">
        <v>0.7982812333034679</v>
      </c>
      <c r="V4" s="11">
        <v>0.75583568656928679</v>
      </c>
      <c r="W4" s="42">
        <v>0.79810813797676428</v>
      </c>
    </row>
    <row r="5" spans="1:52" x14ac:dyDescent="0.35">
      <c r="A5" s="8" t="s">
        <v>28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2">
        <v>0.71889553126135342</v>
      </c>
      <c r="N5" s="12">
        <v>0.68859649122807021</v>
      </c>
      <c r="O5" s="12">
        <v>0.66981575094610657</v>
      </c>
      <c r="P5" s="12">
        <v>0.63148241280359729</v>
      </c>
      <c r="Q5" s="12">
        <v>0.70141562853907136</v>
      </c>
      <c r="R5" s="12">
        <v>0.69386431886431887</v>
      </c>
      <c r="S5" s="12">
        <v>0.67562667280628552</v>
      </c>
      <c r="T5" s="12">
        <v>0.73669371260298877</v>
      </c>
      <c r="U5" s="13"/>
      <c r="V5" s="13"/>
    </row>
    <row r="6" spans="1:52" x14ac:dyDescent="0.35">
      <c r="A6" s="14" t="s">
        <v>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15">
        <v>0.80255101907184101</v>
      </c>
      <c r="N6" s="15">
        <v>0.80085396016719057</v>
      </c>
      <c r="O6" s="15">
        <v>0.78963645669588911</v>
      </c>
      <c r="P6" s="15">
        <v>0.78818944259061186</v>
      </c>
      <c r="Q6" s="15">
        <v>0.7945944329108533</v>
      </c>
      <c r="R6" s="15">
        <v>0.78678583905801813</v>
      </c>
      <c r="S6" s="15">
        <v>0.78132709647863186</v>
      </c>
      <c r="T6" s="15">
        <v>0.8018487654687062</v>
      </c>
      <c r="U6" s="15">
        <v>0.7982812333034679</v>
      </c>
      <c r="V6" s="16">
        <v>0.75583568656928679</v>
      </c>
      <c r="W6" s="16">
        <v>0.79810813797676428</v>
      </c>
      <c r="X6" s="43">
        <f>'Weighted Average'!X9</f>
        <v>0.81532687913622803</v>
      </c>
      <c r="Y6" s="43">
        <f>'Weighted Average'!Y9</f>
        <v>0.81125334999999998</v>
      </c>
      <c r="Z6" s="43">
        <f>'Weighted Average'!Z9</f>
        <v>0.80719708324999995</v>
      </c>
      <c r="AA6" s="43">
        <f>'Weighted Average'!AA9</f>
        <v>0.80316109783374989</v>
      </c>
      <c r="AB6" s="43">
        <f>'Weighted Average'!AB9</f>
        <v>0.79914529234458109</v>
      </c>
      <c r="AC6" s="43">
        <f>'Weighted Average'!AC9</f>
        <v>0.79514956588285823</v>
      </c>
      <c r="AD6" s="43">
        <f>'Weighted Average'!AD9</f>
        <v>0.79117381805344389</v>
      </c>
      <c r="AE6" s="43">
        <f>'Weighted Average'!AE9</f>
        <v>0.78721794896317665</v>
      </c>
      <c r="AF6" s="43">
        <f>'Weighted Average'!AF9</f>
        <v>0.7832818592183608</v>
      </c>
      <c r="AG6" s="43">
        <f>'Weighted Average'!AG9</f>
        <v>0.77936544992226897</v>
      </c>
      <c r="AH6" s="43">
        <f>'Weighted Average'!AH9</f>
        <v>0.77546862267265759</v>
      </c>
      <c r="AI6" s="43">
        <f>'Weighted Average'!AI9</f>
        <v>0.7715912795592943</v>
      </c>
      <c r="AJ6" s="43">
        <f>'Weighted Average'!AJ9</f>
        <v>0.76773332316149778</v>
      </c>
      <c r="AK6" s="43">
        <f>'Weighted Average'!AK9</f>
        <v>0.76389465654569033</v>
      </c>
      <c r="AL6" s="43">
        <f>'Weighted Average'!AL9</f>
        <v>0.75625570998023339</v>
      </c>
      <c r="AM6" s="43">
        <f>'Weighted Average'!AM9</f>
        <v>0.74869315288043103</v>
      </c>
      <c r="AN6" s="43">
        <f>'Weighted Average'!AN9</f>
        <v>0.74120622135162673</v>
      </c>
      <c r="AO6" s="43">
        <f>'Weighted Average'!AO9</f>
        <v>0.73379415913811041</v>
      </c>
      <c r="AP6" s="43">
        <f>'Weighted Average'!AP9</f>
        <v>0.72645621754672929</v>
      </c>
      <c r="AQ6" s="43">
        <f>'Weighted Average'!AQ9</f>
        <v>0.71919165537126195</v>
      </c>
      <c r="AR6" s="43">
        <f>'Weighted Average'!AR9</f>
        <v>0.7119997388175493</v>
      </c>
      <c r="AS6" s="43">
        <f>'Weighted Average'!AS9</f>
        <v>0.70487974142937382</v>
      </c>
      <c r="AT6" s="43">
        <f>'Weighted Average'!AT9</f>
        <v>0.69783094401508006</v>
      </c>
      <c r="AU6" s="43">
        <f>'Weighted Average'!AU9</f>
        <v>0.69085263457492929</v>
      </c>
      <c r="AV6" s="43">
        <f>'Weighted Average'!AV9</f>
        <v>0.68394410822917995</v>
      </c>
      <c r="AW6" s="43">
        <f>'Weighted Average'!AW9</f>
        <v>0.67710466714688811</v>
      </c>
      <c r="AX6" s="43">
        <f>'Weighted Average'!AX9</f>
        <v>0.67033362047541922</v>
      </c>
      <c r="AY6" s="43">
        <f>'Weighted Average'!AY9</f>
        <v>0.66363028427066506</v>
      </c>
      <c r="AZ6" s="43">
        <f>'Weighted Average'!AZ9</f>
        <v>0.6569939814279584</v>
      </c>
    </row>
    <row r="7" spans="1:52" ht="14.5" customHeight="1" x14ac:dyDescent="0.35">
      <c r="A7" s="52"/>
      <c r="B7" s="26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7"/>
      <c r="X7" s="6" t="s">
        <v>78</v>
      </c>
    </row>
    <row r="8" spans="1:52" x14ac:dyDescent="0.3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7"/>
      <c r="X8" s="105" t="s">
        <v>79</v>
      </c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</row>
    <row r="9" spans="1:52" ht="14.5" customHeight="1" x14ac:dyDescent="0.35">
      <c r="A9" s="52"/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 s="52">
        <v>2011</v>
      </c>
      <c r="N9" s="52">
        <v>2012</v>
      </c>
      <c r="O9" s="52">
        <v>2013</v>
      </c>
      <c r="P9" s="52">
        <v>2014</v>
      </c>
      <c r="Q9" s="52">
        <v>2015</v>
      </c>
      <c r="R9" s="52">
        <v>2016</v>
      </c>
      <c r="S9" s="52">
        <v>2017</v>
      </c>
      <c r="T9" s="52">
        <v>2018</v>
      </c>
      <c r="U9" s="52">
        <v>2019</v>
      </c>
      <c r="V9" s="52">
        <v>2020</v>
      </c>
      <c r="W9" s="52">
        <v>2021</v>
      </c>
      <c r="X9" s="47">
        <v>2022</v>
      </c>
      <c r="Y9" s="47">
        <v>2023</v>
      </c>
      <c r="Z9" s="47">
        <v>2024</v>
      </c>
      <c r="AA9" s="47">
        <v>2025</v>
      </c>
      <c r="AB9" s="47">
        <v>2026</v>
      </c>
      <c r="AC9" s="47">
        <v>2027</v>
      </c>
      <c r="AD9" s="47">
        <v>2028</v>
      </c>
      <c r="AE9" s="47">
        <v>2029</v>
      </c>
      <c r="AF9" s="47">
        <v>2030</v>
      </c>
      <c r="AG9" s="47">
        <v>2031</v>
      </c>
      <c r="AH9" s="47">
        <v>2032</v>
      </c>
      <c r="AI9" s="47">
        <v>2033</v>
      </c>
      <c r="AJ9" s="47">
        <v>2034</v>
      </c>
      <c r="AK9" s="47">
        <v>2035</v>
      </c>
      <c r="AL9" s="47">
        <v>2036</v>
      </c>
      <c r="AM9" s="47">
        <v>2037</v>
      </c>
      <c r="AN9" s="47">
        <v>2038</v>
      </c>
      <c r="AO9" s="47">
        <v>2039</v>
      </c>
      <c r="AP9" s="47">
        <v>2040</v>
      </c>
      <c r="AQ9" s="47">
        <v>2041</v>
      </c>
      <c r="AR9" s="47">
        <v>2042</v>
      </c>
      <c r="AS9" s="47">
        <v>2043</v>
      </c>
      <c r="AT9" s="47">
        <v>2044</v>
      </c>
      <c r="AU9" s="47">
        <v>2045</v>
      </c>
      <c r="AV9" s="47">
        <v>2046</v>
      </c>
      <c r="AW9" s="47">
        <v>2047</v>
      </c>
      <c r="AX9" s="47">
        <v>2048</v>
      </c>
      <c r="AY9" s="47">
        <v>2049</v>
      </c>
      <c r="AZ9" s="47">
        <v>2050</v>
      </c>
    </row>
    <row r="10" spans="1:52" x14ac:dyDescent="0.35">
      <c r="A10" s="52" t="s">
        <v>0</v>
      </c>
      <c r="B10" s="23">
        <f t="shared" ref="B10:L25" si="0">C10/1.02</f>
        <v>1121.8131673862231</v>
      </c>
      <c r="C10" s="23">
        <f t="shared" si="0"/>
        <v>1144.2494307339475</v>
      </c>
      <c r="D10" s="23">
        <f t="shared" si="0"/>
        <v>1167.1344193486266</v>
      </c>
      <c r="E10" s="23">
        <f t="shared" si="0"/>
        <v>1190.4771077355992</v>
      </c>
      <c r="F10" s="23">
        <f t="shared" si="0"/>
        <v>1214.2866498903113</v>
      </c>
      <c r="G10" s="23">
        <f t="shared" si="0"/>
        <v>1238.5723828881175</v>
      </c>
      <c r="H10" s="23">
        <f t="shared" si="0"/>
        <v>1263.3438305458799</v>
      </c>
      <c r="I10" s="23">
        <f t="shared" si="0"/>
        <v>1288.6107071567974</v>
      </c>
      <c r="J10" s="23">
        <f t="shared" si="0"/>
        <v>1314.3829212999333</v>
      </c>
      <c r="K10" s="23">
        <f t="shared" si="0"/>
        <v>1340.6705797259319</v>
      </c>
      <c r="L10" s="23">
        <f>M10/1.02</f>
        <v>1367.4839913204505</v>
      </c>
      <c r="M10" s="4">
        <f>$M$6*'Eurostat Collected Portables'!M3</f>
        <v>1394.8336711468596</v>
      </c>
      <c r="N10" s="4">
        <f>$N$6*'Eurostat Collected Portables'!N3</f>
        <v>1528.8302099591667</v>
      </c>
      <c r="O10" s="4">
        <f>$O$6*'Eurostat Collected Portables'!O3</f>
        <v>1560.321638431077</v>
      </c>
      <c r="P10" s="4">
        <f>$P$6*'Eurostat Collected Portables'!P3</f>
        <v>1652.8332611125131</v>
      </c>
      <c r="Q10" s="4">
        <f>$Q$6*'Eurostat Collected Portables'!Q3</f>
        <v>1826.7726012620517</v>
      </c>
      <c r="R10" s="4">
        <f>$R$6*'Eurostat Collected Portables'!R3</f>
        <v>1721.4874158589437</v>
      </c>
      <c r="S10" s="4">
        <f>$S$6*'Eurostat Collected Portables'!S3</f>
        <v>1654.0694632452637</v>
      </c>
      <c r="T10" s="4">
        <f>$T$6*'Eurostat Collected Portables'!T3</f>
        <v>1820.1966976139631</v>
      </c>
      <c r="U10" s="4">
        <f>$U$6*'Eurostat Collected Portables'!U3</f>
        <v>1896.7162103290398</v>
      </c>
      <c r="V10" s="4">
        <f>$V$6*'Eurostat Collected Portables'!V3</f>
        <v>2138.2591573045124</v>
      </c>
      <c r="W10" s="4">
        <f>$W$6*'Eurostat Collected Portables'!W3</f>
        <v>2210.7595421956371</v>
      </c>
      <c r="X10" s="67">
        <f>X$6*'Eurostat Collected Portables'!X3</f>
        <v>2361.1856769760216</v>
      </c>
      <c r="Y10" s="67">
        <f>Y$6*'Eurostat Collected Portables'!Y3</f>
        <v>2412.5818223060037</v>
      </c>
      <c r="Z10" s="67">
        <f>Z$6*'Eurostat Collected Portables'!Z3</f>
        <v>2526.8898595166343</v>
      </c>
      <c r="AA10" s="67">
        <f>AA$6*'Eurostat Collected Portables'!AA3</f>
        <v>2651.027715546179</v>
      </c>
      <c r="AB10" s="67">
        <f>AB$6*'Eurostat Collected Portables'!AB3</f>
        <v>2774.6052706664595</v>
      </c>
      <c r="AC10" s="67">
        <f>AC$6*'Eurostat Collected Portables'!AC3</f>
        <v>2900.8807460180828</v>
      </c>
      <c r="AD10" s="67">
        <f>AD$6*'Eurostat Collected Portables'!AD3</f>
        <v>3036.0022136958828</v>
      </c>
      <c r="AE10" s="67">
        <f>AE$6*'Eurostat Collected Portables'!AE3</f>
        <v>3195.56270852642</v>
      </c>
      <c r="AF10" s="67">
        <f>AF$6*'Eurostat Collected Portables'!AF3</f>
        <v>3377.4173886056719</v>
      </c>
      <c r="AG10" s="67">
        <f>AG$6*'Eurostat Collected Portables'!AG3</f>
        <v>3556.2765840787647</v>
      </c>
      <c r="AH10" s="67">
        <f>AH$6*'Eurostat Collected Portables'!AH3</f>
        <v>3726.9260025892386</v>
      </c>
      <c r="AI10" s="67">
        <f>AI$6*'Eurostat Collected Portables'!AI3</f>
        <v>3887.45226474221</v>
      </c>
      <c r="AJ10" s="67">
        <f>AJ$6*'Eurostat Collected Portables'!AJ3</f>
        <v>4056.1117667701778</v>
      </c>
      <c r="AK10" s="67">
        <f>AK$6*'Eurostat Collected Portables'!AK3</f>
        <v>4233.4200769547579</v>
      </c>
      <c r="AL10" s="67">
        <f>AL$6*'Eurostat Collected Portables'!AL3</f>
        <v>4397.6571828484721</v>
      </c>
      <c r="AM10" s="67">
        <f>AM$6*'Eurostat Collected Portables'!AM3</f>
        <v>4569.6984907616697</v>
      </c>
      <c r="AN10" s="67">
        <f>AN$6*'Eurostat Collected Portables'!AN3</f>
        <v>4749.955212167285</v>
      </c>
      <c r="AO10" s="67">
        <f>AO$6*'Eurostat Collected Portables'!AO3</f>
        <v>4937.8688113549269</v>
      </c>
      <c r="AP10" s="67">
        <f>AP$6*'Eurostat Collected Portables'!AP3</f>
        <v>5126.5817486350925</v>
      </c>
      <c r="AQ10" s="67">
        <f>AQ$6*'Eurostat Collected Portables'!AQ3</f>
        <v>5278.5536726776181</v>
      </c>
      <c r="AR10" s="67">
        <f>AR$6*'Eurostat Collected Portables'!AR3</f>
        <v>5391.9093545965698</v>
      </c>
      <c r="AS10" s="67">
        <f>AS$6*'Eurostat Collected Portables'!AS3</f>
        <v>5471.1103297661157</v>
      </c>
      <c r="AT10" s="67">
        <f>AT$6*'Eurostat Collected Portables'!AT3</f>
        <v>5551.0596968471318</v>
      </c>
      <c r="AU10" s="67">
        <f>AU$6*'Eurostat Collected Portables'!AU3</f>
        <v>5631.948809915255</v>
      </c>
      <c r="AV10" s="67">
        <f>AV$6*'Eurostat Collected Portables'!AV3</f>
        <v>5712.5815699946288</v>
      </c>
      <c r="AW10" s="67">
        <f>AW$6*'Eurostat Collected Portables'!AW3</f>
        <v>5792.929255114791</v>
      </c>
      <c r="AX10" s="67">
        <f>AX$6*'Eurostat Collected Portables'!AX3</f>
        <v>5872.9625937150167</v>
      </c>
      <c r="AY10" s="67">
        <f>AY$6*'Eurostat Collected Portables'!AY3</f>
        <v>5953.8561683790522</v>
      </c>
      <c r="AZ10" s="67">
        <f>AZ$6*'Eurostat Collected Portables'!AZ3</f>
        <v>6035.6214878490928</v>
      </c>
    </row>
    <row r="11" spans="1:52" x14ac:dyDescent="0.35">
      <c r="A11" s="52" t="s">
        <v>1</v>
      </c>
      <c r="B11" s="23">
        <f t="shared" si="0"/>
        <v>1438.7350691046549</v>
      </c>
      <c r="C11" s="23">
        <f t="shared" si="0"/>
        <v>1467.509770486748</v>
      </c>
      <c r="D11" s="23">
        <f t="shared" si="0"/>
        <v>1496.8599658964831</v>
      </c>
      <c r="E11" s="23">
        <f t="shared" si="0"/>
        <v>1526.7971652144129</v>
      </c>
      <c r="F11" s="23">
        <f t="shared" si="0"/>
        <v>1557.3331085187012</v>
      </c>
      <c r="G11" s="23">
        <f t="shared" si="0"/>
        <v>1588.4797706890754</v>
      </c>
      <c r="H11" s="23">
        <f t="shared" si="0"/>
        <v>1620.249366102857</v>
      </c>
      <c r="I11" s="23">
        <f t="shared" si="0"/>
        <v>1652.6543534249142</v>
      </c>
      <c r="J11" s="23">
        <f t="shared" si="0"/>
        <v>1685.7074404934126</v>
      </c>
      <c r="K11" s="23">
        <f t="shared" si="0"/>
        <v>1719.4215893032808</v>
      </c>
      <c r="L11" s="23">
        <f t="shared" si="0"/>
        <v>1753.8100210893465</v>
      </c>
      <c r="M11" s="4">
        <f>$M$6*'Eurostat Collected Portables'!M4</f>
        <v>1788.8862215111335</v>
      </c>
      <c r="N11" s="4">
        <f>$N$6*'Eurostat Collected Portables'!N4</f>
        <v>1820.3410514600241</v>
      </c>
      <c r="O11" s="4">
        <f>$O$6*'Eurostat Collected Portables'!O4</f>
        <v>1814.5845774871532</v>
      </c>
      <c r="P11" s="4">
        <f>$P$6*'Eurostat Collected Portables'!P4</f>
        <v>1846.7278639898036</v>
      </c>
      <c r="Q11" s="4">
        <f>$Q$6*'Eurostat Collected Portables'!Q4</f>
        <v>1937.2212274366605</v>
      </c>
      <c r="R11" s="4">
        <f>$R$6*'Eurostat Collected Portables'!R4</f>
        <v>2480.7357505499313</v>
      </c>
      <c r="S11" s="4">
        <f>$S$6*'Eurostat Collected Portables'!S4</f>
        <v>2197.8731223943914</v>
      </c>
      <c r="T11" s="4">
        <f>$T$6*'Eurostat Collected Portables'!T4</f>
        <v>2353.4261266506528</v>
      </c>
      <c r="U11" s="4">
        <f>$U$6*'Eurostat Collected Portables'!U4</f>
        <v>2702.1819747322388</v>
      </c>
      <c r="V11" s="4">
        <f>$V$6*'Eurostat Collected Portables'!V4</f>
        <v>2380.1265770066843</v>
      </c>
      <c r="W11" s="4">
        <f>$W$6*'Eurostat Collected Portables'!W4</f>
        <v>2707.1828040171845</v>
      </c>
      <c r="X11" s="67">
        <f>X$6*'Eurostat Collected Portables'!X4</f>
        <v>2939.5947686440709</v>
      </c>
      <c r="Y11" s="67">
        <f>Y$6*'Eurostat Collected Portables'!Y4</f>
        <v>3109.3308796144343</v>
      </c>
      <c r="Z11" s="67">
        <f>Z$6*'Eurostat Collected Portables'!Z4</f>
        <v>3224.1197346756248</v>
      </c>
      <c r="AA11" s="67">
        <f>AA$6*'Eurostat Collected Portables'!AA4</f>
        <v>3349.0967572194154</v>
      </c>
      <c r="AB11" s="67">
        <f>AB$6*'Eurostat Collected Portables'!AB4</f>
        <v>3470.9695983505612</v>
      </c>
      <c r="AC11" s="67">
        <f>AC$6*'Eurostat Collected Portables'!AC4</f>
        <v>3593.869206541367</v>
      </c>
      <c r="AD11" s="67">
        <f>AD$6*'Eurostat Collected Portables'!AD4</f>
        <v>3725.3143238131593</v>
      </c>
      <c r="AE11" s="67">
        <f>AE$6*'Eurostat Collected Portables'!AE4</f>
        <v>3884.019122200385</v>
      </c>
      <c r="AF11" s="67">
        <f>AF$6*'Eurostat Collected Portables'!AF4</f>
        <v>4066.6402793798534</v>
      </c>
      <c r="AG11" s="67">
        <f>AG$6*'Eurostat Collected Portables'!AG4</f>
        <v>4242.3502402884997</v>
      </c>
      <c r="AH11" s="67">
        <f>AH$6*'Eurostat Collected Portables'!AH4</f>
        <v>4405.1818333892224</v>
      </c>
      <c r="AI11" s="67">
        <f>AI$6*'Eurostat Collected Portables'!AI4</f>
        <v>4553.2501346152858</v>
      </c>
      <c r="AJ11" s="67">
        <f>AJ$6*'Eurostat Collected Portables'!AJ4</f>
        <v>4708.1491925524851</v>
      </c>
      <c r="AK11" s="67">
        <f>AK$6*'Eurostat Collected Portables'!AK4</f>
        <v>4870.2947815574189</v>
      </c>
      <c r="AL11" s="67">
        <f>AL$6*'Eurostat Collected Portables'!AL4</f>
        <v>5014.7328156126723</v>
      </c>
      <c r="AM11" s="67">
        <f>AM$6*'Eurostat Collected Portables'!AM4</f>
        <v>5165.5283612424355</v>
      </c>
      <c r="AN11" s="67">
        <f>AN$6*'Eurostat Collected Portables'!AN4</f>
        <v>5322.9822200120261</v>
      </c>
      <c r="AO11" s="67">
        <f>AO$6*'Eurostat Collected Portables'!AO4</f>
        <v>5486.3078495398786</v>
      </c>
      <c r="AP11" s="67">
        <f>AP$6*'Eurostat Collected Portables'!AP4</f>
        <v>5647.8062875766745</v>
      </c>
      <c r="AQ11" s="67">
        <f>AQ$6*'Eurostat Collected Portables'!AQ4</f>
        <v>5766.5176685574907</v>
      </c>
      <c r="AR11" s="67">
        <f>AR$6*'Eurostat Collected Portables'!AR4</f>
        <v>5841.4802117350091</v>
      </c>
      <c r="AS11" s="67">
        <f>AS$6*'Eurostat Collected Portables'!AS4</f>
        <v>5878.5698685437392</v>
      </c>
      <c r="AT11" s="67">
        <f>AT$6*'Eurostat Collected Portables'!AT4</f>
        <v>5915.9109939603886</v>
      </c>
      <c r="AU11" s="67">
        <f>AU$6*'Eurostat Collected Portables'!AU4</f>
        <v>5953.7007752610125</v>
      </c>
      <c r="AV11" s="67">
        <f>AV$6*'Eurostat Collected Portables'!AV4</f>
        <v>5990.6751125881392</v>
      </c>
      <c r="AW11" s="67">
        <f>AW$6*'Eurostat Collected Portables'!AW4</f>
        <v>6026.8244841508968</v>
      </c>
      <c r="AX11" s="67">
        <f>AX$6*'Eurostat Collected Portables'!AX4</f>
        <v>6062.1390507990654</v>
      </c>
      <c r="AY11" s="67">
        <f>AY$6*'Eurostat Collected Portables'!AY4</f>
        <v>6097.8421982375339</v>
      </c>
      <c r="AZ11" s="67">
        <f>AZ$6*'Eurostat Collected Portables'!AZ4</f>
        <v>6133.9375244649736</v>
      </c>
    </row>
    <row r="12" spans="1:52" x14ac:dyDescent="0.35">
      <c r="A12" s="52" t="s">
        <v>2</v>
      </c>
      <c r="B12" s="23">
        <f t="shared" si="0"/>
        <v>69.709909135622581</v>
      </c>
      <c r="C12" s="23">
        <f t="shared" si="0"/>
        <v>71.104107318335039</v>
      </c>
      <c r="D12" s="23">
        <f t="shared" si="0"/>
        <v>72.526189464701744</v>
      </c>
      <c r="E12" s="23">
        <f t="shared" si="0"/>
        <v>73.976713253995783</v>
      </c>
      <c r="F12" s="23">
        <f t="shared" si="0"/>
        <v>75.456247519075703</v>
      </c>
      <c r="G12" s="23">
        <f t="shared" si="0"/>
        <v>76.965372469457222</v>
      </c>
      <c r="H12" s="23">
        <f t="shared" si="0"/>
        <v>78.504679918846364</v>
      </c>
      <c r="I12" s="23">
        <f t="shared" si="0"/>
        <v>80.074773517223292</v>
      </c>
      <c r="J12" s="23">
        <f t="shared" si="0"/>
        <v>81.676268987567767</v>
      </c>
      <c r="K12" s="23">
        <f t="shared" si="0"/>
        <v>83.309794367319128</v>
      </c>
      <c r="L12" s="23">
        <f t="shared" si="0"/>
        <v>84.975990254665518</v>
      </c>
      <c r="M12" s="4">
        <f>$M$6*'Eurostat Collected Portables'!M5</f>
        <v>86.675510059758835</v>
      </c>
      <c r="N12" s="4">
        <f>$N$6*'Eurostat Collected Portables'!N5</f>
        <v>209.02288360363673</v>
      </c>
      <c r="O12" s="4">
        <f>$O$6*'Eurostat Collected Portables'!O5</f>
        <v>195.04020480388462</v>
      </c>
      <c r="P12" s="4">
        <f>$P$6*'Eurostat Collected Portables'!P5</f>
        <v>238.82140110495538</v>
      </c>
      <c r="Q12" s="4">
        <f>$Q$6*'Eurostat Collected Portables'!Q5</f>
        <v>255.85940739729477</v>
      </c>
      <c r="R12" s="4">
        <f>$R$6*'Eurostat Collected Portables'!R5</f>
        <v>284.81647373900256</v>
      </c>
      <c r="S12" s="4">
        <f>$S$6*'Eurostat Collected Portables'!S5</f>
        <v>303.15491343370917</v>
      </c>
      <c r="T12" s="4">
        <f>$T$6*'Eurostat Collected Portables'!T5</f>
        <v>322.34320371841989</v>
      </c>
      <c r="U12" s="4">
        <f>$U$6*'Eurostat Collected Portables'!U5</f>
        <v>312.92624345495943</v>
      </c>
      <c r="V12" s="4">
        <f>$V$6*'Eurostat Collected Portables'!V5</f>
        <v>308.38096012026904</v>
      </c>
      <c r="W12" s="4">
        <f>$W$6*'Eurostat Collected Portables'!W5</f>
        <v>357.5524458135904</v>
      </c>
      <c r="X12" s="67">
        <f>X$6*'Eurostat Collected Portables'!X5</f>
        <v>381.67431520154389</v>
      </c>
      <c r="Y12" s="67">
        <f>Y$6*'Eurostat Collected Portables'!Y5</f>
        <v>402.11923516236999</v>
      </c>
      <c r="Z12" s="67">
        <f>Z$6*'Eurostat Collected Portables'!Z5</f>
        <v>420.75892978710164</v>
      </c>
      <c r="AA12" s="67">
        <f>AA$6*'Eurostat Collected Portables'!AA5</f>
        <v>441.00555008095745</v>
      </c>
      <c r="AB12" s="67">
        <f>AB$6*'Eurostat Collected Portables'!AB5</f>
        <v>461.12856209343397</v>
      </c>
      <c r="AC12" s="67">
        <f>AC$6*'Eurostat Collected Portables'!AC5</f>
        <v>481.67016702704245</v>
      </c>
      <c r="AD12" s="67">
        <f>AD$6*'Eurostat Collected Portables'!AD5</f>
        <v>503.64996385017838</v>
      </c>
      <c r="AE12" s="67">
        <f>AE$6*'Eurostat Collected Portables'!AE5</f>
        <v>529.64940183815384</v>
      </c>
      <c r="AF12" s="67">
        <f>AF$6*'Eurostat Collected Portables'!AF5</f>
        <v>559.30364148855949</v>
      </c>
      <c r="AG12" s="67">
        <f>AG$6*'Eurostat Collected Portables'!AG5</f>
        <v>588.4199049451671</v>
      </c>
      <c r="AH12" s="67">
        <f>AH$6*'Eurostat Collected Portables'!AH5</f>
        <v>616.13864813120063</v>
      </c>
      <c r="AI12" s="67">
        <f>AI$6*'Eurostat Collected Portables'!AI5</f>
        <v>642.1483280191095</v>
      </c>
      <c r="AJ12" s="67">
        <f>AJ$6*'Eurostat Collected Portables'!AJ5</f>
        <v>669.46730083533112</v>
      </c>
      <c r="AK12" s="67">
        <f>AK$6*'Eurostat Collected Portables'!AK5</f>
        <v>698.17834443926461</v>
      </c>
      <c r="AL12" s="67">
        <f>AL$6*'Eurostat Collected Portables'!AL5</f>
        <v>724.69980523438778</v>
      </c>
      <c r="AM12" s="67">
        <f>AM$6*'Eurostat Collected Portables'!AM5</f>
        <v>752.47509234368374</v>
      </c>
      <c r="AN12" s="67">
        <f>AN$6*'Eurostat Collected Portables'!AN5</f>
        <v>781.5698375249309</v>
      </c>
      <c r="AO12" s="67">
        <f>AO$6*'Eurostat Collected Portables'!AO5</f>
        <v>811.89010012877429</v>
      </c>
      <c r="AP12" s="67">
        <f>AP$6*'Eurostat Collected Portables'!AP5</f>
        <v>842.30734356805817</v>
      </c>
      <c r="AQ12" s="67">
        <f>AQ$6*'Eurostat Collected Portables'!AQ5</f>
        <v>866.65865479974673</v>
      </c>
      <c r="AR12" s="67">
        <f>AR$6*'Eurostat Collected Portables'!AR5</f>
        <v>884.64993708068255</v>
      </c>
      <c r="AS12" s="67">
        <f>AS$6*'Eurostat Collected Portables'!AS5</f>
        <v>897.02641843947367</v>
      </c>
      <c r="AT12" s="67">
        <f>AT$6*'Eurostat Collected Portables'!AT5</f>
        <v>909.51859262514722</v>
      </c>
      <c r="AU12" s="67">
        <f>AU$6*'Eurostat Collected Portables'!AU5</f>
        <v>922.15772667190777</v>
      </c>
      <c r="AV12" s="67">
        <f>AV$6*'Eurostat Collected Portables'!AV5</f>
        <v>934.74797927687109</v>
      </c>
      <c r="AW12" s="67">
        <f>AW$6*'Eurostat Collected Portables'!AW5</f>
        <v>947.28491199025302</v>
      </c>
      <c r="AX12" s="67">
        <f>AX$6*'Eurostat Collected Portables'!AX5</f>
        <v>959.76399971855028</v>
      </c>
      <c r="AY12" s="67">
        <f>AY$6*'Eurostat Collected Portables'!AY5</f>
        <v>972.37733278342193</v>
      </c>
      <c r="AZ12" s="67">
        <f>AZ$6*'Eurostat Collected Portables'!AZ5</f>
        <v>985.12668689115333</v>
      </c>
    </row>
    <row r="13" spans="1:52" x14ac:dyDescent="0.35">
      <c r="A13" s="52" t="s">
        <v>3</v>
      </c>
      <c r="B13" s="23">
        <f t="shared" si="0"/>
        <v>43.355683272245265</v>
      </c>
      <c r="C13" s="23">
        <f t="shared" si="0"/>
        <v>44.22279693769017</v>
      </c>
      <c r="D13" s="23">
        <f t="shared" si="0"/>
        <v>45.107252876443972</v>
      </c>
      <c r="E13" s="23">
        <f t="shared" si="0"/>
        <v>46.009397933972856</v>
      </c>
      <c r="F13" s="23">
        <f t="shared" si="0"/>
        <v>46.929585892652312</v>
      </c>
      <c r="G13" s="23">
        <f t="shared" si="0"/>
        <v>47.868177610505363</v>
      </c>
      <c r="H13" s="23">
        <f t="shared" si="0"/>
        <v>48.825541162715474</v>
      </c>
      <c r="I13" s="23">
        <f t="shared" si="0"/>
        <v>49.802051985969783</v>
      </c>
      <c r="J13" s="23">
        <f t="shared" si="0"/>
        <v>50.798093025689177</v>
      </c>
      <c r="K13" s="23">
        <f t="shared" si="0"/>
        <v>51.81405488620296</v>
      </c>
      <c r="L13" s="23">
        <f t="shared" si="0"/>
        <v>52.850335983927017</v>
      </c>
      <c r="M13" s="4">
        <f>$M$6*'Eurostat Collected Portables'!M6</f>
        <v>53.907342703605558</v>
      </c>
      <c r="N13" s="4">
        <f>$N$6*'Eurostat Collected Portables'!N6</f>
        <v>57.219987752849931</v>
      </c>
      <c r="O13" s="4">
        <f>$O$6*'Eurostat Collected Portables'!O6</f>
        <v>60.012370708887573</v>
      </c>
      <c r="P13" s="4">
        <f>$P$6*'Eurostat Collected Portables'!P6</f>
        <v>56.749639866524056</v>
      </c>
      <c r="Q13" s="4">
        <f>$Q$6*'Eurostat Collected Portables'!Q6</f>
        <v>77.870254425263624</v>
      </c>
      <c r="R13" s="4">
        <f>$R$6*'Eurostat Collected Portables'!R6</f>
        <v>265.14682776255211</v>
      </c>
      <c r="S13" s="4">
        <f>$S$6*'Eurostat Collected Portables'!S6</f>
        <v>371.91169792382874</v>
      </c>
      <c r="T13" s="4">
        <f>$T$6*'Eurostat Collected Portables'!T6</f>
        <v>420.97060187107076</v>
      </c>
      <c r="U13" s="4">
        <f>$U$6*'Eurostat Collected Portables'!U6</f>
        <v>519.6810828805576</v>
      </c>
      <c r="V13" s="4">
        <f>$V$6*'Eurostat Collected Portables'!V6</f>
        <v>450.47806919529495</v>
      </c>
      <c r="W13" s="4">
        <f>$W$6*'Eurostat Collected Portables'!W6</f>
        <v>588.20569768887526</v>
      </c>
      <c r="X13" s="67">
        <f>X$6*'Eurostat Collected Portables'!X6</f>
        <v>637.83340319187505</v>
      </c>
      <c r="Y13" s="67">
        <f>Y$6*'Eurostat Collected Portables'!Y6</f>
        <v>651.30912219371203</v>
      </c>
      <c r="Z13" s="67">
        <f>Z$6*'Eurostat Collected Portables'!Z6</f>
        <v>674.93856750100917</v>
      </c>
      <c r="AA13" s="67">
        <f>AA$6*'Eurostat Collected Portables'!AA6</f>
        <v>700.67045488160818</v>
      </c>
      <c r="AB13" s="67">
        <f>AB$6*'Eurostat Collected Portables'!AB6</f>
        <v>725.72170272986727</v>
      </c>
      <c r="AC13" s="67">
        <f>AC$6*'Eurostat Collected Portables'!AC6</f>
        <v>750.95674646081477</v>
      </c>
      <c r="AD13" s="67">
        <f>AD$6*'Eurostat Collected Portables'!AD6</f>
        <v>777.94536246929511</v>
      </c>
      <c r="AE13" s="67">
        <f>AE$6*'Eurostat Collected Portables'!AE6</f>
        <v>810.58995014389222</v>
      </c>
      <c r="AF13" s="67">
        <f>AF$6*'Eurostat Collected Portables'!AF6</f>
        <v>848.18279424819787</v>
      </c>
      <c r="AG13" s="67">
        <f>AG$6*'Eurostat Collected Portables'!AG6</f>
        <v>884.28901171943846</v>
      </c>
      <c r="AH13" s="67">
        <f>AH$6*'Eurostat Collected Portables'!AH6</f>
        <v>917.66827642845192</v>
      </c>
      <c r="AI13" s="67">
        <f>AI$6*'Eurostat Collected Portables'!AI6</f>
        <v>947.93317220058293</v>
      </c>
      <c r="AJ13" s="67">
        <f>AJ$6*'Eurostat Collected Portables'!AJ6</f>
        <v>979.58228877975034</v>
      </c>
      <c r="AK13" s="67">
        <f>AK$6*'Eurostat Collected Portables'!AK6</f>
        <v>1012.6995433741315</v>
      </c>
      <c r="AL13" s="67">
        <f>AL$6*'Eurostat Collected Portables'!AL6</f>
        <v>1042.0966135618535</v>
      </c>
      <c r="AM13" s="67">
        <f>AM$6*'Eurostat Collected Portables'!AM6</f>
        <v>1072.7781464194543</v>
      </c>
      <c r="AN13" s="67">
        <f>AN$6*'Eurostat Collected Portables'!AN6</f>
        <v>1104.8042251093311</v>
      </c>
      <c r="AO13" s="67">
        <f>AO$6*'Eurostat Collected Portables'!AO6</f>
        <v>1138.0092416958073</v>
      </c>
      <c r="AP13" s="67">
        <f>AP$6*'Eurostat Collected Portables'!AP6</f>
        <v>1170.7950411049114</v>
      </c>
      <c r="AQ13" s="67">
        <f>AQ$6*'Eurostat Collected Portables'!AQ6</f>
        <v>1194.6765410193398</v>
      </c>
      <c r="AR13" s="67">
        <f>AR$6*'Eurostat Collected Portables'!AR6</f>
        <v>1209.4708523969284</v>
      </c>
      <c r="AS13" s="67">
        <f>AS$6*'Eurostat Collected Portables'!AS6</f>
        <v>1216.4104138576902</v>
      </c>
      <c r="AT13" s="67">
        <f>AT$6*'Eurostat Collected Portables'!AT6</f>
        <v>1223.3935474797613</v>
      </c>
      <c r="AU13" s="67">
        <f>AU$6*'Eurostat Collected Portables'!AU6</f>
        <v>1230.4609269199063</v>
      </c>
      <c r="AV13" s="67">
        <f>AV$6*'Eurostat Collected Portables'!AV6</f>
        <v>1237.3513037917066</v>
      </c>
      <c r="AW13" s="67">
        <f>AW$6*'Eurostat Collected Portables'!AW6</f>
        <v>1244.063034569991</v>
      </c>
      <c r="AX13" s="67">
        <f>AX$6*'Eurostat Collected Portables'!AX6</f>
        <v>1250.5944142433968</v>
      </c>
      <c r="AY13" s="67">
        <f>AY$6*'Eurostat Collected Portables'!AY6</f>
        <v>1257.1979970865716</v>
      </c>
      <c r="AZ13" s="67">
        <f>AZ$6*'Eurostat Collected Portables'!AZ6</f>
        <v>1263.8743933524372</v>
      </c>
    </row>
    <row r="14" spans="1:52" x14ac:dyDescent="0.35">
      <c r="A14" s="52" t="s">
        <v>4</v>
      </c>
      <c r="B14" s="23">
        <f t="shared" si="0"/>
        <v>21.300250013662463</v>
      </c>
      <c r="C14" s="23">
        <f t="shared" si="0"/>
        <v>21.726255013935713</v>
      </c>
      <c r="D14" s="23">
        <f t="shared" si="0"/>
        <v>22.160780114214429</v>
      </c>
      <c r="E14" s="23">
        <f t="shared" si="0"/>
        <v>22.603995716498719</v>
      </c>
      <c r="F14" s="23">
        <f t="shared" si="0"/>
        <v>23.056075630828694</v>
      </c>
      <c r="G14" s="23">
        <f t="shared" si="0"/>
        <v>23.517197143445269</v>
      </c>
      <c r="H14" s="23">
        <f t="shared" si="0"/>
        <v>23.987541086314174</v>
      </c>
      <c r="I14" s="23">
        <f t="shared" si="0"/>
        <v>24.467291908040458</v>
      </c>
      <c r="J14" s="23">
        <f t="shared" si="0"/>
        <v>24.956637746201267</v>
      </c>
      <c r="K14" s="23">
        <f t="shared" si="0"/>
        <v>25.455770501125293</v>
      </c>
      <c r="L14" s="23">
        <f t="shared" si="0"/>
        <v>25.9648859111478</v>
      </c>
      <c r="M14" s="4">
        <f>$M$6*'Eurostat Collected Portables'!M7</f>
        <v>26.484183629370754</v>
      </c>
      <c r="N14" s="4">
        <f>$N$6*'Eurostat Collected Portables'!N7</f>
        <v>24.826472765182906</v>
      </c>
      <c r="O14" s="4">
        <f>$O$6*'Eurostat Collected Portables'!O7</f>
        <v>30.795821811139675</v>
      </c>
      <c r="P14" s="4">
        <f>$P$6*'Eurostat Collected Portables'!P7</f>
        <v>32.315767146215087</v>
      </c>
      <c r="Q14" s="4">
        <f>$Q$6*'Eurostat Collected Portables'!Q7</f>
        <v>43.702693810096932</v>
      </c>
      <c r="R14" s="4">
        <f>$R$6*'Eurostat Collected Portables'!R7</f>
        <v>44.846792826307031</v>
      </c>
      <c r="S14" s="4">
        <f>$S$6*'Eurostat Collected Portables'!S7</f>
        <v>50.004934174632439</v>
      </c>
      <c r="T14" s="4">
        <f>$T$6*'Eurostat Collected Portables'!T7</f>
        <v>61.742354941090376</v>
      </c>
      <c r="U14" s="4">
        <f>$U$6*'Eurostat Collected Portables'!U7</f>
        <v>67.055623597491305</v>
      </c>
      <c r="V14" s="4">
        <f>$V$6*'Eurostat Collected Portables'!V7</f>
        <v>60.466854925542947</v>
      </c>
      <c r="W14" s="4">
        <f>$W$6*'Eurostat Collected Portables'!W7</f>
        <v>71.031624279932018</v>
      </c>
      <c r="X14" s="67">
        <f>X$6*'Eurostat Collected Portables'!X7</f>
        <v>77.101054298696354</v>
      </c>
      <c r="Y14" s="67">
        <f>Y$6*'Eurostat Collected Portables'!Y7</f>
        <v>78.800478678020198</v>
      </c>
      <c r="Z14" s="67">
        <f>Z$6*'Eurostat Collected Portables'!Z7</f>
        <v>82.465713021953263</v>
      </c>
      <c r="AA14" s="67">
        <f>AA$6*'Eurostat Collected Portables'!AA7</f>
        <v>86.446801799170132</v>
      </c>
      <c r="AB14" s="67">
        <f>AB$6*'Eurostat Collected Portables'!AB7</f>
        <v>90.404586489800721</v>
      </c>
      <c r="AC14" s="67">
        <f>AC$6*'Eurostat Collected Portables'!AC7</f>
        <v>94.445344765175946</v>
      </c>
      <c r="AD14" s="67">
        <f>AD$6*'Eurostat Collected Portables'!AD7</f>
        <v>98.76903639313808</v>
      </c>
      <c r="AE14" s="67">
        <f>AE$6*'Eurostat Collected Portables'!AE7</f>
        <v>103.88206279278734</v>
      </c>
      <c r="AF14" s="67">
        <f>AF$6*'Eurostat Collected Portables'!AF7</f>
        <v>109.71315222409012</v>
      </c>
      <c r="AG14" s="67">
        <f>AG$6*'Eurostat Collected Portables'!AG7</f>
        <v>115.43999460727179</v>
      </c>
      <c r="AH14" s="67">
        <f>AH$6*'Eurostat Collected Portables'!AH7</f>
        <v>120.89386076716255</v>
      </c>
      <c r="AI14" s="67">
        <f>AI$6*'Eurostat Collected Portables'!AI7</f>
        <v>126.01347575184199</v>
      </c>
      <c r="AJ14" s="67">
        <f>AJ$6*'Eurostat Collected Portables'!AJ7</f>
        <v>131.39107167621978</v>
      </c>
      <c r="AK14" s="67">
        <f>AK$6*'Eurostat Collected Portables'!AK7</f>
        <v>137.04296583335116</v>
      </c>
      <c r="AL14" s="67">
        <f>AL$6*'Eurostat Collected Portables'!AL7</f>
        <v>142.26611501799573</v>
      </c>
      <c r="AM14" s="67">
        <f>AM$6*'Eurostat Collected Portables'!AM7</f>
        <v>147.73639470522195</v>
      </c>
      <c r="AN14" s="67">
        <f>AN$6*'Eurostat Collected Portables'!AN7</f>
        <v>153.46675465913901</v>
      </c>
      <c r="AO14" s="67">
        <f>AO$6*'Eurostat Collected Portables'!AO7</f>
        <v>159.43881171280026</v>
      </c>
      <c r="AP14" s="67">
        <f>AP$6*'Eurostat Collected Portables'!AP7</f>
        <v>165.43097526428843</v>
      </c>
      <c r="AQ14" s="67">
        <f>AQ$6*'Eurostat Collected Portables'!AQ7</f>
        <v>170.23268052835095</v>
      </c>
      <c r="AR14" s="67">
        <f>AR$6*'Eurostat Collected Portables'!AR7</f>
        <v>173.78573436143407</v>
      </c>
      <c r="AS14" s="67">
        <f>AS$6*'Eurostat Collected Portables'!AS7</f>
        <v>176.23612529800235</v>
      </c>
      <c r="AT14" s="67">
        <f>AT$6*'Eurostat Collected Portables'!AT7</f>
        <v>178.7094627094485</v>
      </c>
      <c r="AU14" s="67">
        <f>AU$6*'Eurostat Collected Portables'!AU7</f>
        <v>181.21189283730709</v>
      </c>
      <c r="AV14" s="67">
        <f>AV$6*'Eurostat Collected Portables'!AV7</f>
        <v>183.70493105759644</v>
      </c>
      <c r="AW14" s="67">
        <f>AW$6*'Eurostat Collected Portables'!AW7</f>
        <v>186.18769699604718</v>
      </c>
      <c r="AX14" s="67">
        <f>AX$6*'Eurostat Collected Portables'!AX7</f>
        <v>188.65929314867304</v>
      </c>
      <c r="AY14" s="67">
        <f>AY$6*'Eurostat Collected Portables'!AY7</f>
        <v>191.15747409280837</v>
      </c>
      <c r="AZ14" s="67">
        <f>AZ$6*'Eurostat Collected Portables'!AZ7</f>
        <v>193.6825921332906</v>
      </c>
    </row>
    <row r="15" spans="1:52" x14ac:dyDescent="0.35">
      <c r="A15" s="52" t="s">
        <v>5</v>
      </c>
      <c r="B15" s="23">
        <f t="shared" si="0"/>
        <v>551.87011399034554</v>
      </c>
      <c r="C15" s="23">
        <f t="shared" si="0"/>
        <v>562.90751627015243</v>
      </c>
      <c r="D15" s="23">
        <f t="shared" si="0"/>
        <v>574.16566659555554</v>
      </c>
      <c r="E15" s="23">
        <f t="shared" si="0"/>
        <v>585.6489799274666</v>
      </c>
      <c r="F15" s="23">
        <f t="shared" si="0"/>
        <v>597.36195952601599</v>
      </c>
      <c r="G15" s="23">
        <f t="shared" si="0"/>
        <v>609.30919871653634</v>
      </c>
      <c r="H15" s="23">
        <f t="shared" si="0"/>
        <v>621.49538269086713</v>
      </c>
      <c r="I15" s="23">
        <f t="shared" si="0"/>
        <v>633.92529034468453</v>
      </c>
      <c r="J15" s="23">
        <f t="shared" si="0"/>
        <v>646.60379615157819</v>
      </c>
      <c r="K15" s="23">
        <f t="shared" si="0"/>
        <v>659.53587207460976</v>
      </c>
      <c r="L15" s="23">
        <f t="shared" si="0"/>
        <v>672.72658951610197</v>
      </c>
      <c r="M15" s="4">
        <f>$M$6*'Eurostat Collected Portables'!M8</f>
        <v>686.18112130642407</v>
      </c>
      <c r="N15" s="4">
        <f>$N$6*'Eurostat Collected Portables'!N8</f>
        <v>808.86249976886245</v>
      </c>
      <c r="O15" s="4">
        <f>$O$6*'Eurostat Collected Portables'!O8</f>
        <v>879.65501275922043</v>
      </c>
      <c r="P15" s="4">
        <f>$P$6*'Eurostat Collected Portables'!P8</f>
        <v>941.88638389578114</v>
      </c>
      <c r="Q15" s="4">
        <f>$Q$6*'Eurostat Collected Portables'!Q8</f>
        <v>1117.9943671055705</v>
      </c>
      <c r="R15" s="4">
        <f>$R$6*'Eurostat Collected Portables'!R8</f>
        <v>1638.0881169187937</v>
      </c>
      <c r="S15" s="4">
        <f>$S$6*'Eurostat Collected Portables'!S8</f>
        <v>1476.7082123446141</v>
      </c>
      <c r="T15" s="4">
        <f>$T$6*'Eurostat Collected Portables'!T8</f>
        <v>1540.3514784653846</v>
      </c>
      <c r="U15" s="4">
        <f>$U$6*'Eurostat Collected Portables'!U8</f>
        <v>1630.0902784056814</v>
      </c>
      <c r="V15" s="4">
        <f>$V$6*'Eurostat Collected Portables'!V8</f>
        <v>1628.0700688702439</v>
      </c>
      <c r="W15" s="4">
        <f>$W$6*'Eurostat Collected Portables'!W8</f>
        <v>1941.7970996974675</v>
      </c>
      <c r="X15" s="67">
        <f>X$6*'Eurostat Collected Portables'!X8</f>
        <v>2151.322660493378</v>
      </c>
      <c r="Y15" s="67">
        <f>Y$6*'Eurostat Collected Portables'!Y8</f>
        <v>2247.5763136501037</v>
      </c>
      <c r="Z15" s="67">
        <f>Z$6*'Eurostat Collected Portables'!Z8</f>
        <v>2344.0882694714574</v>
      </c>
      <c r="AA15" s="67">
        <f>AA$6*'Eurostat Collected Portables'!AA8</f>
        <v>2448.9969181346432</v>
      </c>
      <c r="AB15" s="67">
        <f>AB$6*'Eurostat Collected Portables'!AB8</f>
        <v>2552.6529463469042</v>
      </c>
      <c r="AC15" s="67">
        <f>AC$6*'Eurostat Collected Portables'!AC8</f>
        <v>2658.0708021178648</v>
      </c>
      <c r="AD15" s="67">
        <f>AD$6*'Eurostat Collected Portables'!AD8</f>
        <v>2770.8538803312031</v>
      </c>
      <c r="AE15" s="67">
        <f>AE$6*'Eurostat Collected Portables'!AE8</f>
        <v>2905.1048238968042</v>
      </c>
      <c r="AF15" s="67">
        <f>AF$6*'Eurostat Collected Portables'!AF8</f>
        <v>3058.6478740041516</v>
      </c>
      <c r="AG15" s="67">
        <f>AG$6*'Eurostat Collected Portables'!AG8</f>
        <v>3208.4646085078975</v>
      </c>
      <c r="AH15" s="67">
        <f>AH$6*'Eurostat Collected Portables'!AH8</f>
        <v>3349.9283239115998</v>
      </c>
      <c r="AI15" s="67">
        <f>AI$6*'Eurostat Collected Portables'!AI8</f>
        <v>3481.4347224692528</v>
      </c>
      <c r="AJ15" s="67">
        <f>AJ$6*'Eurostat Collected Portables'!AJ8</f>
        <v>3619.3981367461374</v>
      </c>
      <c r="AK15" s="67">
        <f>AK$6*'Eurostat Collected Portables'!AK8</f>
        <v>3764.2225940958342</v>
      </c>
      <c r="AL15" s="67">
        <f>AL$6*'Eurostat Collected Portables'!AL8</f>
        <v>3896.6056188563666</v>
      </c>
      <c r="AM15" s="67">
        <f>AM$6*'Eurostat Collected Portables'!AM8</f>
        <v>4035.1240403078759</v>
      </c>
      <c r="AN15" s="67">
        <f>AN$6*'Eurostat Collected Portables'!AN8</f>
        <v>4180.0906542640332</v>
      </c>
      <c r="AO15" s="67">
        <f>AO$6*'Eurostat Collected Portables'!AO8</f>
        <v>4330.9646659696828</v>
      </c>
      <c r="AP15" s="67">
        <f>AP$6*'Eurostat Collected Portables'!AP8</f>
        <v>4481.7069156420857</v>
      </c>
      <c r="AQ15" s="67">
        <f>AQ$6*'Eurostat Collected Portables'!AQ8</f>
        <v>4599.6211148485045</v>
      </c>
      <c r="AR15" s="67">
        <f>AR$6*'Eurostat Collected Portables'!AR8</f>
        <v>4683.4065775309655</v>
      </c>
      <c r="AS15" s="67">
        <f>AS$6*'Eurostat Collected Portables'!AS8</f>
        <v>4737.2583248409737</v>
      </c>
      <c r="AT15" s="67">
        <f>AT$6*'Eurostat Collected Portables'!AT8</f>
        <v>4791.5885658178777</v>
      </c>
      <c r="AU15" s="67">
        <f>AU$6*'Eurostat Collected Portables'!AU8</f>
        <v>4846.5604058283525</v>
      </c>
      <c r="AV15" s="67">
        <f>AV$6*'Eurostat Collected Portables'!AV8</f>
        <v>4901.1446465175977</v>
      </c>
      <c r="AW15" s="67">
        <f>AW$6*'Eurostat Collected Portables'!AW8</f>
        <v>4955.3229637455624</v>
      </c>
      <c r="AX15" s="67">
        <f>AX$6*'Eurostat Collected Portables'!AX8</f>
        <v>5009.0766412852845</v>
      </c>
      <c r="AY15" s="67">
        <f>AY$6*'Eurostat Collected Portables'!AY8</f>
        <v>5063.4108502027757</v>
      </c>
      <c r="AZ15" s="67">
        <f>AZ$6*'Eurostat Collected Portables'!AZ8</f>
        <v>5118.3328662228969</v>
      </c>
    </row>
    <row r="16" spans="1:52" x14ac:dyDescent="0.35">
      <c r="A16" s="52" t="s">
        <v>6</v>
      </c>
      <c r="B16" s="23">
        <f t="shared" si="0"/>
        <v>1025.6393112639287</v>
      </c>
      <c r="C16" s="23">
        <f t="shared" si="0"/>
        <v>1046.1520974892073</v>
      </c>
      <c r="D16" s="23">
        <f t="shared" si="0"/>
        <v>1067.0751394389915</v>
      </c>
      <c r="E16" s="23">
        <f t="shared" si="0"/>
        <v>1088.4166422277715</v>
      </c>
      <c r="F16" s="23">
        <f t="shared" si="0"/>
        <v>1110.184975072327</v>
      </c>
      <c r="G16" s="23">
        <f t="shared" si="0"/>
        <v>1132.3886745737736</v>
      </c>
      <c r="H16" s="23">
        <f t="shared" si="0"/>
        <v>1155.036448065249</v>
      </c>
      <c r="I16" s="23">
        <f t="shared" si="0"/>
        <v>1178.1371770265541</v>
      </c>
      <c r="J16" s="23">
        <f t="shared" si="0"/>
        <v>1201.6999205670852</v>
      </c>
      <c r="K16" s="23">
        <f t="shared" si="0"/>
        <v>1225.733918978427</v>
      </c>
      <c r="L16" s="23">
        <f t="shared" si="0"/>
        <v>1250.2485973579955</v>
      </c>
      <c r="M16" s="4">
        <f>$M$6*'Eurostat Collected Portables'!M9</f>
        <v>1275.2535693051555</v>
      </c>
      <c r="N16" s="4">
        <f>$N$6*'Eurostat Collected Portables'!N9</f>
        <v>1210.090333812625</v>
      </c>
      <c r="O16" s="4">
        <f>$O$6*'Eurostat Collected Portables'!O9</f>
        <v>1107.8599487443323</v>
      </c>
      <c r="P16" s="4">
        <f>$P$6*'Eurostat Collected Portables'!P9</f>
        <v>1216.9644993599047</v>
      </c>
      <c r="Q16" s="4">
        <f>$Q$6*'Eurostat Collected Portables'!Q9</f>
        <v>1264.1997427611675</v>
      </c>
      <c r="R16" s="4">
        <f>$R$6*'Eurostat Collected Portables'!R9</f>
        <v>1324.1605671346445</v>
      </c>
      <c r="S16" s="4">
        <f>$S$6*'Eurostat Collected Portables'!S9</f>
        <v>1550.9342865100841</v>
      </c>
      <c r="T16" s="4">
        <f>$T$6*'Eurostat Collected Portables'!T9</f>
        <v>1586.8587068625695</v>
      </c>
      <c r="U16" s="4">
        <f>$U$6*'Eurostat Collected Portables'!U9</f>
        <v>1795.3344936994993</v>
      </c>
      <c r="V16" s="4">
        <f>$V$6*'Eurostat Collected Portables'!V9</f>
        <v>2006.7437478414565</v>
      </c>
      <c r="W16" s="4">
        <f>$W$6*'Eurostat Collected Portables'!W9</f>
        <v>2090.2452133611455</v>
      </c>
      <c r="X16" s="67">
        <f>X$6*'Eurostat Collected Portables'!X9</f>
        <v>2336.1113034215605</v>
      </c>
      <c r="Y16" s="67">
        <f>Y$6*'Eurostat Collected Portables'!Y9</f>
        <v>2422.2462006897999</v>
      </c>
      <c r="Z16" s="67">
        <f>Z$6*'Eurostat Collected Portables'!Z9</f>
        <v>2516.6022140682794</v>
      </c>
      <c r="AA16" s="67">
        <f>AA$6*'Eurostat Collected Portables'!AA9</f>
        <v>2619.2711750595208</v>
      </c>
      <c r="AB16" s="67">
        <f>AB$6*'Eurostat Collected Portables'!AB9</f>
        <v>2719.8830898945416</v>
      </c>
      <c r="AC16" s="67">
        <f>AC$6*'Eurostat Collected Portables'!AC9</f>
        <v>2821.6664175479273</v>
      </c>
      <c r="AD16" s="67">
        <f>AD$6*'Eurostat Collected Portables'!AD9</f>
        <v>2930.539836801524</v>
      </c>
      <c r="AE16" s="67">
        <f>AE$6*'Eurostat Collected Portables'!AE9</f>
        <v>3061.2917193849617</v>
      </c>
      <c r="AF16" s="67">
        <f>AF$6*'Eurostat Collected Portables'!AF9</f>
        <v>3211.4053348725083</v>
      </c>
      <c r="AG16" s="67">
        <f>AG$6*'Eurostat Collected Portables'!AG9</f>
        <v>3356.597516556245</v>
      </c>
      <c r="AH16" s="67">
        <f>AH$6*'Eurostat Collected Portables'!AH9</f>
        <v>3492.1055133639402</v>
      </c>
      <c r="AI16" s="67">
        <f>AI$6*'Eurostat Collected Portables'!AI9</f>
        <v>3616.3728211058387</v>
      </c>
      <c r="AJ16" s="67">
        <f>AJ$6*'Eurostat Collected Portables'!AJ9</f>
        <v>3746.5151057014127</v>
      </c>
      <c r="AK16" s="67">
        <f>AK$6*'Eurostat Collected Portables'!AK9</f>
        <v>3882.8939740061091</v>
      </c>
      <c r="AL16" s="67">
        <f>AL$6*'Eurostat Collected Portables'!AL9</f>
        <v>4005.608830251319</v>
      </c>
      <c r="AM16" s="67">
        <f>AM$6*'Eurostat Collected Portables'!AM9</f>
        <v>4133.8374509450541</v>
      </c>
      <c r="AN16" s="67">
        <f>AN$6*'Eurostat Collected Portables'!AN9</f>
        <v>4267.8489161789394</v>
      </c>
      <c r="AO16" s="67">
        <f>AO$6*'Eurostat Collected Portables'!AO9</f>
        <v>4407.040603844719</v>
      </c>
      <c r="AP16" s="67">
        <f>AP$6*'Eurostat Collected Portables'!AP9</f>
        <v>4545.2421227471168</v>
      </c>
      <c r="AQ16" s="67">
        <f>AQ$6*'Eurostat Collected Portables'!AQ9</f>
        <v>4649.4193225801764</v>
      </c>
      <c r="AR16" s="67">
        <f>AR$6*'Eurostat Collected Portables'!AR9</f>
        <v>4718.6023315342172</v>
      </c>
      <c r="AS16" s="67">
        <f>AS$6*'Eurostat Collected Portables'!AS9</f>
        <v>4757.349567122149</v>
      </c>
      <c r="AT16" s="67">
        <f>AT$6*'Eurostat Collected Portables'!AT9</f>
        <v>4796.4008226399365</v>
      </c>
      <c r="AU16" s="67">
        <f>AU$6*'Eurostat Collected Portables'!AU9</f>
        <v>4835.9172067922691</v>
      </c>
      <c r="AV16" s="67">
        <f>AV$6*'Eurostat Collected Portables'!AV9</f>
        <v>4874.8718880573379</v>
      </c>
      <c r="AW16" s="67">
        <f>AW$6*'Eurostat Collected Portables'!AW9</f>
        <v>4913.2532797009308</v>
      </c>
      <c r="AX16" s="67">
        <f>AX$6*'Eurostat Collected Portables'!AX9</f>
        <v>4951.0494884787313</v>
      </c>
      <c r="AY16" s="67">
        <f>AY$6*'Eurostat Collected Portables'!AY9</f>
        <v>4989.2575972940249</v>
      </c>
      <c r="AZ16" s="67">
        <f>AZ$6*'Eurostat Collected Portables'!AZ9</f>
        <v>5027.8821125362847</v>
      </c>
    </row>
    <row r="17" spans="1:52" x14ac:dyDescent="0.35">
      <c r="A17" s="52" t="s">
        <v>7</v>
      </c>
      <c r="B17" s="23">
        <f t="shared" si="0"/>
        <v>46.473272757081737</v>
      </c>
      <c r="C17" s="23">
        <f t="shared" si="0"/>
        <v>47.402738212223376</v>
      </c>
      <c r="D17" s="23">
        <f t="shared" si="0"/>
        <v>48.350792976467844</v>
      </c>
      <c r="E17" s="23">
        <f t="shared" si="0"/>
        <v>49.317808835997198</v>
      </c>
      <c r="F17" s="23">
        <f t="shared" si="0"/>
        <v>50.304165012717142</v>
      </c>
      <c r="G17" s="23">
        <f t="shared" si="0"/>
        <v>51.310248312971488</v>
      </c>
      <c r="H17" s="23">
        <f t="shared" si="0"/>
        <v>52.336453279230916</v>
      </c>
      <c r="I17" s="23">
        <f t="shared" si="0"/>
        <v>53.383182344815538</v>
      </c>
      <c r="J17" s="23">
        <f t="shared" si="0"/>
        <v>54.450845991711851</v>
      </c>
      <c r="K17" s="23">
        <f t="shared" si="0"/>
        <v>55.539862911546088</v>
      </c>
      <c r="L17" s="23">
        <f t="shared" si="0"/>
        <v>56.650660169777012</v>
      </c>
      <c r="M17" s="4">
        <f>$M$6*'Eurostat Collected Portables'!M10</f>
        <v>57.783673373172554</v>
      </c>
      <c r="N17" s="4">
        <f>$N$6*'Eurostat Collected Portables'!N10</f>
        <v>98.505037100564437</v>
      </c>
      <c r="O17" s="4">
        <f>$O$6*'Eurostat Collected Portables'!O10</f>
        <v>231.3634818118955</v>
      </c>
      <c r="P17" s="4">
        <f>$P$6*'Eurostat Collected Portables'!P10</f>
        <v>84.336270357195474</v>
      </c>
      <c r="Q17" s="4">
        <f>$Q$6*'Eurostat Collected Portables'!Q10</f>
        <v>137.46483689357763</v>
      </c>
      <c r="R17" s="4">
        <f>$R$6*'Eurostat Collected Portables'!R10</f>
        <v>99.921801560368309</v>
      </c>
      <c r="S17" s="4">
        <f>$S$6*'Eurostat Collected Portables'!S10</f>
        <v>121.88702705066657</v>
      </c>
      <c r="T17" s="4">
        <f>$T$6*'Eurostat Collected Portables'!T10</f>
        <v>130.70134877139913</v>
      </c>
      <c r="U17" s="4">
        <f>$U$6*'Eurostat Collected Portables'!U10</f>
        <v>111.7593726624855</v>
      </c>
      <c r="V17" s="4">
        <f>$V$6*'Eurostat Collected Portables'!V10</f>
        <v>148.14379456758022</v>
      </c>
      <c r="W17" s="4">
        <f>$W$6*'Eurostat Collected Portables'!W10</f>
        <v>182.76676359667903</v>
      </c>
      <c r="X17" s="67">
        <f>X$6*'Eurostat Collected Portables'!X10</f>
        <v>196.99442127685219</v>
      </c>
      <c r="Y17" s="67">
        <f>Y$6*'Eurostat Collected Portables'!Y10</f>
        <v>200.89886082470971</v>
      </c>
      <c r="Z17" s="67">
        <f>Z$6*'Eurostat Collected Portables'!Z10</f>
        <v>210.5885119006727</v>
      </c>
      <c r="AA17" s="67">
        <f>AA$6*'Eurostat Collected Portables'!AA10</f>
        <v>221.10974896791447</v>
      </c>
      <c r="AB17" s="67">
        <f>AB$6*'Eurostat Collected Portables'!AB10</f>
        <v>231.59685554750658</v>
      </c>
      <c r="AC17" s="67">
        <f>AC$6*'Eurostat Collected Portables'!AC10</f>
        <v>242.3215068540238</v>
      </c>
      <c r="AD17" s="67">
        <f>AD$6*'Eurostat Collected Portables'!AD10</f>
        <v>253.7977900748636</v>
      </c>
      <c r="AE17" s="67">
        <f>AE$6*'Eurostat Collected Portables'!AE10</f>
        <v>267.3314257431191</v>
      </c>
      <c r="AF17" s="67">
        <f>AF$6*'Eurostat Collected Portables'!AF10</f>
        <v>282.74685510849486</v>
      </c>
      <c r="AG17" s="67">
        <f>AG$6*'Eurostat Collected Portables'!AG10</f>
        <v>297.92888874719586</v>
      </c>
      <c r="AH17" s="67">
        <f>AH$6*'Eurostat Collected Portables'!AH10</f>
        <v>312.43936590600327</v>
      </c>
      <c r="AI17" s="67">
        <f>AI$6*'Eurostat Collected Portables'!AI10</f>
        <v>326.11590149099538</v>
      </c>
      <c r="AJ17" s="67">
        <f>AJ$6*'Eurostat Collected Portables'!AJ10</f>
        <v>340.48890389166075</v>
      </c>
      <c r="AK17" s="67">
        <f>AK$6*'Eurostat Collected Portables'!AK10</f>
        <v>355.60261293085648</v>
      </c>
      <c r="AL17" s="67">
        <f>AL$6*'Eurostat Collected Portables'!AL10</f>
        <v>369.63239548120055</v>
      </c>
      <c r="AM17" s="67">
        <f>AM$6*'Eurostat Collected Portables'!AM10</f>
        <v>384.33150406309221</v>
      </c>
      <c r="AN17" s="67">
        <f>AN$6*'Eurostat Collected Portables'!AN10</f>
        <v>399.73538591057269</v>
      </c>
      <c r="AO17" s="67">
        <f>AO$6*'Eurostat Collected Portables'!AO10</f>
        <v>415.79788178772151</v>
      </c>
      <c r="AP17" s="67">
        <f>AP$6*'Eurostat Collected Portables'!AP10</f>
        <v>431.94196560519191</v>
      </c>
      <c r="AQ17" s="67">
        <f>AQ$6*'Eurostat Collected Portables'!AQ10</f>
        <v>445.00257272600879</v>
      </c>
      <c r="AR17" s="67">
        <f>AR$6*'Eurostat Collected Portables'!AR10</f>
        <v>454.81589895187227</v>
      </c>
      <c r="AS17" s="67">
        <f>AS$6*'Eurostat Collected Portables'!AS10</f>
        <v>461.75279995939354</v>
      </c>
      <c r="AT17" s="67">
        <f>AT$6*'Eurostat Collected Portables'!AT10</f>
        <v>468.7557702804213</v>
      </c>
      <c r="AU17" s="67">
        <f>AU$6*'Eurostat Collected Portables'!AU10</f>
        <v>475.84100415392572</v>
      </c>
      <c r="AV17" s="67">
        <f>AV$6*'Eurostat Collected Portables'!AV10</f>
        <v>482.90744193090228</v>
      </c>
      <c r="AW17" s="67">
        <f>AW$6*'Eurostat Collected Portables'!AW10</f>
        <v>489.95254730777327</v>
      </c>
      <c r="AX17" s="67">
        <f>AX$6*'Eurostat Collected Portables'!AX10</f>
        <v>496.97373615997066</v>
      </c>
      <c r="AY17" s="67">
        <f>AY$6*'Eurostat Collected Portables'!AY10</f>
        <v>504.07034471612513</v>
      </c>
      <c r="AZ17" s="67">
        <f>AZ$6*'Eurostat Collected Portables'!AZ10</f>
        <v>511.24339040259446</v>
      </c>
    </row>
    <row r="18" spans="1:52" x14ac:dyDescent="0.35">
      <c r="A18" s="52" t="s">
        <v>8</v>
      </c>
      <c r="B18" s="23">
        <f t="shared" si="0"/>
        <v>624.80733373409896</v>
      </c>
      <c r="C18" s="23">
        <f t="shared" si="0"/>
        <v>637.30348040878096</v>
      </c>
      <c r="D18" s="23">
        <f t="shared" si="0"/>
        <v>650.04955001695657</v>
      </c>
      <c r="E18" s="23">
        <f t="shared" si="0"/>
        <v>663.0505410172957</v>
      </c>
      <c r="F18" s="23">
        <f t="shared" si="0"/>
        <v>676.31155183764167</v>
      </c>
      <c r="G18" s="23">
        <f t="shared" si="0"/>
        <v>689.83778287439452</v>
      </c>
      <c r="H18" s="23">
        <f t="shared" si="0"/>
        <v>703.63453853188241</v>
      </c>
      <c r="I18" s="23">
        <f t="shared" si="0"/>
        <v>717.70722930252009</v>
      </c>
      <c r="J18" s="23">
        <f t="shared" si="0"/>
        <v>732.06137388857053</v>
      </c>
      <c r="K18" s="23">
        <f t="shared" si="0"/>
        <v>746.70260136634192</v>
      </c>
      <c r="L18" s="23">
        <f t="shared" si="0"/>
        <v>761.63665339366878</v>
      </c>
      <c r="M18" s="4">
        <f>$M$6*'Eurostat Collected Portables'!M11</f>
        <v>776.86938646154215</v>
      </c>
      <c r="N18" s="4">
        <f>$N$6*'Eurostat Collected Portables'!N11</f>
        <v>736.78564335381532</v>
      </c>
      <c r="O18" s="4">
        <f>$O$6*'Eurostat Collected Portables'!O11</f>
        <v>889.920286696267</v>
      </c>
      <c r="P18" s="4">
        <f>$P$6*'Eurostat Collected Portables'!P11</f>
        <v>986.81318212344604</v>
      </c>
      <c r="Q18" s="4">
        <f>$Q$6*'Eurostat Collected Portables'!Q11</f>
        <v>1027.4106017537333</v>
      </c>
      <c r="R18" s="4">
        <f>$R$6*'Eurostat Collected Portables'!R11</f>
        <v>1027.5423058097717</v>
      </c>
      <c r="S18" s="4">
        <f>$S$6*'Eurostat Collected Portables'!S11</f>
        <v>1070.4181221757256</v>
      </c>
      <c r="T18" s="4">
        <f>$T$6*'Eurostat Collected Portables'!T11</f>
        <v>1175.5102901771234</v>
      </c>
      <c r="U18" s="4">
        <f>$U$6*'Eurostat Collected Portables'!U11</f>
        <v>1340.3141907165225</v>
      </c>
      <c r="V18" s="4">
        <f>$V$6*'Eurostat Collected Portables'!V11</f>
        <v>1321.2007801231134</v>
      </c>
      <c r="W18" s="4">
        <f>$W$6*'Eurostat Collected Portables'!W11</f>
        <v>1671.2384409233443</v>
      </c>
      <c r="X18" s="67">
        <f>X$6*'Eurostat Collected Portables'!X11</f>
        <v>1804.6898594768702</v>
      </c>
      <c r="Y18" s="67">
        <f>Y$6*'Eurostat Collected Portables'!Y11</f>
        <v>1917.9024967869443</v>
      </c>
      <c r="Z18" s="67">
        <f>Z$6*'Eurostat Collected Portables'!Z11</f>
        <v>1992.9390734133522</v>
      </c>
      <c r="AA18" s="67">
        <f>AA$6*'Eurostat Collected Portables'!AA11</f>
        <v>2074.5826452732244</v>
      </c>
      <c r="AB18" s="67">
        <f>AB$6*'Eurostat Collected Portables'!AB11</f>
        <v>2154.6214000093851</v>
      </c>
      <c r="AC18" s="67">
        <f>AC$6*'Eurostat Collected Portables'!AC11</f>
        <v>2235.6122741182858</v>
      </c>
      <c r="AD18" s="67">
        <f>AD$6*'Eurostat Collected Portables'!AD11</f>
        <v>2322.2456656762984</v>
      </c>
      <c r="AE18" s="67">
        <f>AE$6*'Eurostat Collected Portables'!AE11</f>
        <v>2426.244693218971</v>
      </c>
      <c r="AF18" s="67">
        <f>AF$6*'Eurostat Collected Portables'!AF11</f>
        <v>2545.6224587474521</v>
      </c>
      <c r="AG18" s="67">
        <f>AG$6*'Eurostat Collected Portables'!AG11</f>
        <v>2661.1341376831474</v>
      </c>
      <c r="AH18" s="67">
        <f>AH$6*'Eurostat Collected Portables'!AH11</f>
        <v>2769.001083829151</v>
      </c>
      <c r="AI18" s="67">
        <f>AI$6*'Eurostat Collected Portables'!AI11</f>
        <v>2867.9850420004059</v>
      </c>
      <c r="AJ18" s="67">
        <f>AJ$6*'Eurostat Collected Portables'!AJ11</f>
        <v>2971.6574022309487</v>
      </c>
      <c r="AK18" s="67">
        <f>AK$6*'Eurostat Collected Portables'!AK11</f>
        <v>3080.3069778082931</v>
      </c>
      <c r="AL18" s="67">
        <f>AL$6*'Eurostat Collected Portables'!AL11</f>
        <v>3178.1462211807188</v>
      </c>
      <c r="AM18" s="67">
        <f>AM$6*'Eurostat Collected Portables'!AM11</f>
        <v>3280.388357376587</v>
      </c>
      <c r="AN18" s="67">
        <f>AN$6*'Eurostat Collected Portables'!AN11</f>
        <v>3387.2487421417409</v>
      </c>
      <c r="AO18" s="67">
        <f>AO$6*'Eurostat Collected Portables'!AO11</f>
        <v>3498.2508972055707</v>
      </c>
      <c r="AP18" s="67">
        <f>AP$6*'Eurostat Collected Portables'!AP11</f>
        <v>3608.4977484339306</v>
      </c>
      <c r="AQ18" s="67">
        <f>AQ$6*'Eurostat Collected Portables'!AQ11</f>
        <v>3691.7587474679185</v>
      </c>
      <c r="AR18" s="67">
        <f>AR$6*'Eurostat Collected Portables'!AR11</f>
        <v>3747.2513489203566</v>
      </c>
      <c r="AS18" s="67">
        <f>AS$6*'Eurostat Collected Portables'!AS11</f>
        <v>3778.5835826359998</v>
      </c>
      <c r="AT18" s="67">
        <f>AT$6*'Eurostat Collected Portables'!AT11</f>
        <v>3810.1636970592599</v>
      </c>
      <c r="AU18" s="67">
        <f>AU$6*'Eurostat Collected Portables'!AU11</f>
        <v>3842.1197523871019</v>
      </c>
      <c r="AV18" s="67">
        <f>AV$6*'Eurostat Collected Portables'!AV11</f>
        <v>3873.6359305734936</v>
      </c>
      <c r="AW18" s="67">
        <f>AW$6*'Eurostat Collected Portables'!AW11</f>
        <v>3904.7027812432079</v>
      </c>
      <c r="AX18" s="67">
        <f>AX$6*'Eurostat Collected Portables'!AX11</f>
        <v>3935.3106074037551</v>
      </c>
      <c r="AY18" s="67">
        <f>AY$6*'Eurostat Collected Portables'!AY11</f>
        <v>3966.2518029448947</v>
      </c>
      <c r="AZ18" s="67">
        <f>AZ$6*'Eurostat Collected Portables'!AZ11</f>
        <v>3997.5300488018252</v>
      </c>
    </row>
    <row r="19" spans="1:52" x14ac:dyDescent="0.35">
      <c r="A19" s="52" t="s">
        <v>9</v>
      </c>
      <c r="B19" s="23">
        <f t="shared" si="0"/>
        <v>7500.9153154173164</v>
      </c>
      <c r="C19" s="23">
        <f t="shared" si="0"/>
        <v>7650.9336217256632</v>
      </c>
      <c r="D19" s="23">
        <f t="shared" si="0"/>
        <v>7803.9522941601763</v>
      </c>
      <c r="E19" s="23">
        <f t="shared" si="0"/>
        <v>7960.0313400433797</v>
      </c>
      <c r="F19" s="23">
        <f t="shared" si="0"/>
        <v>8119.2319668442478</v>
      </c>
      <c r="G19" s="23">
        <f t="shared" si="0"/>
        <v>8281.6166061811327</v>
      </c>
      <c r="H19" s="23">
        <f t="shared" si="0"/>
        <v>8447.2489383047559</v>
      </c>
      <c r="I19" s="23">
        <f t="shared" si="0"/>
        <v>8616.193917070852</v>
      </c>
      <c r="J19" s="23">
        <f t="shared" si="0"/>
        <v>8788.5177954122701</v>
      </c>
      <c r="K19" s="23">
        <f t="shared" si="0"/>
        <v>8964.2881513205157</v>
      </c>
      <c r="L19" s="23">
        <f t="shared" si="0"/>
        <v>9143.5739143469254</v>
      </c>
      <c r="M19" s="4">
        <f>$M$6*'Eurostat Collected Portables'!M12</f>
        <v>9326.4453926338647</v>
      </c>
      <c r="N19" s="4">
        <f>$N$6*'Eurostat Collected Portables'!N12</f>
        <v>9430.8562349288368</v>
      </c>
      <c r="O19" s="4">
        <f>$O$6*'Eurostat Collected Portables'!O12</f>
        <v>8975.007966805475</v>
      </c>
      <c r="P19" s="4">
        <f>$P$6*'Eurostat Collected Portables'!P12</f>
        <v>9449.6032272188459</v>
      </c>
      <c r="Q19" s="4">
        <f>$Q$6*'Eurostat Collected Portables'!Q12</f>
        <v>9770.3331470718513</v>
      </c>
      <c r="R19" s="4">
        <f>$R$6*'Eurostat Collected Portables'!R12</f>
        <v>10761.656706635573</v>
      </c>
      <c r="S19" s="4">
        <f>$S$6*'Eurostat Collected Portables'!S12</f>
        <v>10923.734135867751</v>
      </c>
      <c r="T19" s="4">
        <f>$T$6*'Eurostat Collected Portables'!T12</f>
        <v>11546.622222749369</v>
      </c>
      <c r="U19" s="4">
        <f>$U$6*'Eurostat Collected Portables'!U12</f>
        <v>12392.517865803036</v>
      </c>
      <c r="V19" s="4">
        <f>$V$6*'Eurostat Collected Portables'!V12</f>
        <v>11431.258923673893</v>
      </c>
      <c r="W19" s="4">
        <f>$W$6*'Eurostat Collected Portables'!W12</f>
        <v>16010.049247813891</v>
      </c>
      <c r="X19" s="67">
        <f>X$6*'Eurostat Collected Portables'!X12</f>
        <v>17321.035654332183</v>
      </c>
      <c r="Y19" s="67">
        <f>Y$6*'Eurostat Collected Portables'!Y12</f>
        <v>18110.814541022803</v>
      </c>
      <c r="Z19" s="67">
        <f>Z$6*'Eurostat Collected Portables'!Z12</f>
        <v>18802.771273151491</v>
      </c>
      <c r="AA19" s="67">
        <f>AA$6*'Eurostat Collected Portables'!AA12</f>
        <v>19583.138222364181</v>
      </c>
      <c r="AB19" s="67">
        <f>AB$6*'Eurostat Collected Portables'!AB12</f>
        <v>20335.087520035941</v>
      </c>
      <c r="AC19" s="67">
        <f>AC$6*'Eurostat Collected Portables'!AC12</f>
        <v>21085.877069380414</v>
      </c>
      <c r="AD19" s="67">
        <f>AD$6*'Eurostat Collected Portables'!AD12</f>
        <v>21885.733361839728</v>
      </c>
      <c r="AE19" s="67">
        <f>AE$6*'Eurostat Collected Portables'!AE12</f>
        <v>22847.931070692091</v>
      </c>
      <c r="AF19" s="67">
        <f>AF$6*'Eurostat Collected Portables'!AF12</f>
        <v>23953.400910681525</v>
      </c>
      <c r="AG19" s="67">
        <f>AG$6*'Eurostat Collected Portables'!AG12</f>
        <v>25020.870923310347</v>
      </c>
      <c r="AH19" s="67">
        <f>AH$6*'Eurostat Collected Portables'!AH12</f>
        <v>26014.938080315223</v>
      </c>
      <c r="AI19" s="67">
        <f>AI$6*'Eurostat Collected Portables'!AI12</f>
        <v>26924.156383295991</v>
      </c>
      <c r="AJ19" s="67">
        <f>AJ$6*'Eurostat Collected Portables'!AJ12</f>
        <v>27876.037458422372</v>
      </c>
      <c r="AK19" s="67">
        <f>AK$6*'Eurostat Collected Portables'!AK12</f>
        <v>28873.198349541159</v>
      </c>
      <c r="AL19" s="67">
        <f>AL$6*'Eurostat Collected Portables'!AL12</f>
        <v>29767.671798939631</v>
      </c>
      <c r="AM19" s="67">
        <f>AM$6*'Eurostat Collected Portables'!AM12</f>
        <v>30702.083669913209</v>
      </c>
      <c r="AN19" s="67">
        <f>AN$6*'Eurostat Collected Portables'!AN12</f>
        <v>31678.365037128864</v>
      </c>
      <c r="AO19" s="67">
        <f>AO$6*'Eurostat Collected Portables'!AO12</f>
        <v>32691.976461800448</v>
      </c>
      <c r="AP19" s="67">
        <f>AP$6*'Eurostat Collected Portables'!AP12</f>
        <v>33697.111995773164</v>
      </c>
      <c r="AQ19" s="67">
        <f>AQ$6*'Eurostat Collected Portables'!AQ12</f>
        <v>34449.032512756516</v>
      </c>
      <c r="AR19" s="67">
        <f>AR$6*'Eurostat Collected Portables'!AR12</f>
        <v>34941.010486073646</v>
      </c>
      <c r="AS19" s="67">
        <f>AS$6*'Eurostat Collected Portables'!AS12</f>
        <v>35207.243461181759</v>
      </c>
      <c r="AT19" s="67">
        <f>AT$6*'Eurostat Collected Portables'!AT12</f>
        <v>35475.490154429259</v>
      </c>
      <c r="AU19" s="67">
        <f>AU$6*'Eurostat Collected Portables'!AU12</f>
        <v>35746.939269106384</v>
      </c>
      <c r="AV19" s="67">
        <f>AV$6*'Eurostat Collected Portables'!AV12</f>
        <v>36014.000644421983</v>
      </c>
      <c r="AW19" s="67">
        <f>AW$6*'Eurostat Collected Portables'!AW12</f>
        <v>36276.597652177195</v>
      </c>
      <c r="AX19" s="67">
        <f>AX$6*'Eurostat Collected Portables'!AX12</f>
        <v>36534.65151256603</v>
      </c>
      <c r="AY19" s="67">
        <f>AY$6*'Eurostat Collected Portables'!AY12</f>
        <v>36795.524708329023</v>
      </c>
      <c r="AZ19" s="67">
        <f>AZ$6*'Eurostat Collected Portables'!AZ12</f>
        <v>37059.246841991146</v>
      </c>
    </row>
    <row r="20" spans="1:52" x14ac:dyDescent="0.35">
      <c r="A20" s="52" t="s">
        <v>10</v>
      </c>
      <c r="B20" s="23">
        <f t="shared" si="0"/>
        <v>11583.152685636433</v>
      </c>
      <c r="C20" s="23">
        <f t="shared" si="0"/>
        <v>11814.815739349162</v>
      </c>
      <c r="D20" s="23">
        <f t="shared" si="0"/>
        <v>12051.112054136145</v>
      </c>
      <c r="E20" s="23">
        <f t="shared" si="0"/>
        <v>12292.134295218868</v>
      </c>
      <c r="F20" s="23">
        <f t="shared" si="0"/>
        <v>12537.976981123245</v>
      </c>
      <c r="G20" s="23">
        <f t="shared" si="0"/>
        <v>12788.736520745711</v>
      </c>
      <c r="H20" s="23">
        <f t="shared" si="0"/>
        <v>13044.511251160626</v>
      </c>
      <c r="I20" s="23">
        <f t="shared" si="0"/>
        <v>13305.401476183839</v>
      </c>
      <c r="J20" s="23">
        <f t="shared" si="0"/>
        <v>13571.509505707516</v>
      </c>
      <c r="K20" s="23">
        <f t="shared" si="0"/>
        <v>13842.939695821666</v>
      </c>
      <c r="L20" s="23">
        <f t="shared" si="0"/>
        <v>14119.798489738099</v>
      </c>
      <c r="M20" s="4">
        <f>M4*'Eurostat Collected Portables'!M13</f>
        <v>14402.194459532862</v>
      </c>
      <c r="N20" s="4">
        <f>N4*'Eurostat Collected Portables'!N13</f>
        <v>14782.358073185858</v>
      </c>
      <c r="O20" s="4">
        <f>O4*'Eurostat Collected Portables'!O13</f>
        <v>14951.743504959848</v>
      </c>
      <c r="P20" s="4">
        <f>P4*'Eurostat Collected Portables'!P13</f>
        <v>15446.677498834653</v>
      </c>
      <c r="Q20" s="4">
        <f>Q4*'Eurostat Collected Portables'!Q13</f>
        <v>15855.985959438378</v>
      </c>
      <c r="R20" s="4">
        <f>R4*'Eurostat Collected Portables'!R13</f>
        <v>16377.802305186669</v>
      </c>
      <c r="S20" s="4">
        <f>S4*'Eurostat Collected Portables'!S13</f>
        <v>16707.348025940868</v>
      </c>
      <c r="T20" s="4">
        <f>T4*'Eurostat Collected Portables'!T13</f>
        <v>19087.246052619561</v>
      </c>
      <c r="U20" s="4">
        <f>$U$6*'Eurostat Collected Portables'!U13</f>
        <v>22052.5190700083</v>
      </c>
      <c r="V20" s="4">
        <f>$V$6*'Eurostat Collected Portables'!V13</f>
        <v>19910.979491294722</v>
      </c>
      <c r="W20" s="4">
        <f>$W$6*'Eurostat Collected Portables'!W13</f>
        <v>23643.155479423665</v>
      </c>
      <c r="X20" s="67">
        <f>X$6*'Eurostat Collected Portables'!X13</f>
        <v>25660.874293630415</v>
      </c>
      <c r="Y20" s="67">
        <f>Y$6*'Eurostat Collected Portables'!Y13</f>
        <v>26162.357784273601</v>
      </c>
      <c r="Z20" s="67">
        <f>Z$6*'Eurostat Collected Portables'!Z13</f>
        <v>27343.979657254549</v>
      </c>
      <c r="AA20" s="67">
        <f>AA$6*'Eurostat Collected Portables'!AA13</f>
        <v>28613.656903737217</v>
      </c>
      <c r="AB20" s="67">
        <f>AB$6*'Eurostat Collected Portables'!AB13</f>
        <v>29808.121689216969</v>
      </c>
      <c r="AC20" s="67">
        <f>AC$6*'Eurostat Collected Portables'!AC13</f>
        <v>30976.437838706213</v>
      </c>
      <c r="AD20" s="67">
        <f>AD$6*'Eurostat Collected Portables'!AD13</f>
        <v>32214.356292660621</v>
      </c>
      <c r="AE20" s="67">
        <f>AE$6*'Eurostat Collected Portables'!AE13</f>
        <v>33753.127460274038</v>
      </c>
      <c r="AF20" s="67">
        <f>AF$6*'Eurostat Collected Portables'!AF13</f>
        <v>35555.269356450721</v>
      </c>
      <c r="AG20" s="67">
        <f>AG$6*'Eurostat Collected Portables'!AG13</f>
        <v>37333.787781113795</v>
      </c>
      <c r="AH20" s="67">
        <f>AH$6*'Eurostat Collected Portables'!AH13</f>
        <v>39022.478607326804</v>
      </c>
      <c r="AI20" s="67">
        <f>AI$6*'Eurostat Collected Portables'!AI13</f>
        <v>40603.367406749356</v>
      </c>
      <c r="AJ20" s="67">
        <f>AJ$6*'Eurostat Collected Portables'!AJ13</f>
        <v>42262.784024769113</v>
      </c>
      <c r="AK20" s="67">
        <f>AK$6*'Eurostat Collected Portables'!AK13</f>
        <v>44005.298590100552</v>
      </c>
      <c r="AL20" s="67">
        <f>AL$6*'Eurostat Collected Portables'!AL13</f>
        <v>45605.203173186856</v>
      </c>
      <c r="AM20" s="67">
        <f>AM$6*'Eurostat Collected Portables'!AM13</f>
        <v>47279.598771860583</v>
      </c>
      <c r="AN20" s="67">
        <f>AN$6*'Eurostat Collected Portables'!AN13</f>
        <v>49032.334014342574</v>
      </c>
      <c r="AO20" s="67">
        <f>AO$6*'Eurostat Collected Portables'!AO13</f>
        <v>50856.112494375324</v>
      </c>
      <c r="AP20" s="67">
        <f>AP$6*'Eurostat Collected Portables'!AP13</f>
        <v>52678.03027073932</v>
      </c>
      <c r="AQ20" s="67">
        <f>AQ$6*'Eurostat Collected Portables'!AQ13</f>
        <v>54121.439145756638</v>
      </c>
      <c r="AR20" s="67">
        <f>AR$6*'Eurostat Collected Portables'!AR13</f>
        <v>55171.968571889556</v>
      </c>
      <c r="AS20" s="67">
        <f>AS$6*'Eurostat Collected Portables'!AS13</f>
        <v>55879.877347801921</v>
      </c>
      <c r="AT20" s="67">
        <f>AT$6*'Eurostat Collected Portables'!AT13</f>
        <v>56595.346062345234</v>
      </c>
      <c r="AU20" s="67">
        <f>AU$6*'Eurostat Collected Portables'!AU13</f>
        <v>57319.167922555876</v>
      </c>
      <c r="AV20" s="67">
        <f>AV$6*'Eurostat Collected Portables'!AV13</f>
        <v>58037.782393545662</v>
      </c>
      <c r="AW20" s="67">
        <f>AW$6*'Eurostat Collected Portables'!AW13</f>
        <v>58750.893443273424</v>
      </c>
      <c r="AX20" s="67">
        <f>AX$6*'Eurostat Collected Portables'!AX13</f>
        <v>59458.199157836163</v>
      </c>
      <c r="AY20" s="67">
        <f>AY$6*'Eurostat Collected Portables'!AY13</f>
        <v>60172.945231238504</v>
      </c>
      <c r="AZ20" s="67">
        <f>AZ$6*'Eurostat Collected Portables'!AZ13</f>
        <v>60895.226730554808</v>
      </c>
    </row>
    <row r="21" spans="1:52" x14ac:dyDescent="0.35">
      <c r="A21" s="52" t="s">
        <v>11</v>
      </c>
      <c r="B21" s="23">
        <f t="shared" si="0"/>
        <v>278.68085451391391</v>
      </c>
      <c r="C21" s="23">
        <f t="shared" si="0"/>
        <v>284.25447160419219</v>
      </c>
      <c r="D21" s="23">
        <f t="shared" si="0"/>
        <v>289.93956103627602</v>
      </c>
      <c r="E21" s="23">
        <f t="shared" si="0"/>
        <v>295.73835225700157</v>
      </c>
      <c r="F21" s="23">
        <f t="shared" si="0"/>
        <v>301.65311930214159</v>
      </c>
      <c r="G21" s="23">
        <f t="shared" si="0"/>
        <v>307.68618168818443</v>
      </c>
      <c r="H21" s="23">
        <f t="shared" si="0"/>
        <v>313.83990532194815</v>
      </c>
      <c r="I21" s="23">
        <f t="shared" si="0"/>
        <v>320.1167034283871</v>
      </c>
      <c r="J21" s="23">
        <f t="shared" si="0"/>
        <v>326.51903749695487</v>
      </c>
      <c r="K21" s="23">
        <f t="shared" si="0"/>
        <v>333.04941824689399</v>
      </c>
      <c r="L21" s="23">
        <f t="shared" si="0"/>
        <v>339.7104066118319</v>
      </c>
      <c r="M21" s="4">
        <f>$M$6*'Eurostat Collected Portables'!M14</f>
        <v>346.50461474406853</v>
      </c>
      <c r="N21" s="4">
        <f>$N$6*'Eurostat Collected Portables'!N14</f>
        <v>370.14882191464602</v>
      </c>
      <c r="O21" s="4">
        <f>$O$6*'Eurostat Collected Portables'!O14</f>
        <v>390.69414842712462</v>
      </c>
      <c r="P21" s="4">
        <f>$P$6*'Eurostat Collected Portables'!P14</f>
        <v>417.4716617925053</v>
      </c>
      <c r="Q21" s="4">
        <f>$Q$6*'Eurostat Collected Portables'!Q14</f>
        <v>450.53504346045383</v>
      </c>
      <c r="R21" s="4">
        <f>$R$6*'Eurostat Collected Portables'!R14</f>
        <v>497.24865028466746</v>
      </c>
      <c r="S21" s="4">
        <f>$S$6*'Eurostat Collected Portables'!S14</f>
        <v>446.13777208929878</v>
      </c>
      <c r="T21" s="4">
        <f>$T$6*'Eurostat Collected Portables'!T14</f>
        <v>443.42236730419455</v>
      </c>
      <c r="U21" s="4">
        <f>$U$6*'Eurostat Collected Portables'!U14</f>
        <v>486.95155231511541</v>
      </c>
      <c r="V21" s="4">
        <f>$V$6*'Eurostat Collected Portables'!V14</f>
        <v>454.25724762814139</v>
      </c>
      <c r="W21" s="4">
        <f>$W$6*'Eurostat Collected Portables'!W14</f>
        <v>507.59677575322206</v>
      </c>
      <c r="X21" s="67">
        <f>X$6*'Eurostat Collected Portables'!X14</f>
        <v>635.28038953270209</v>
      </c>
      <c r="Y21" s="67">
        <f>Y$6*'Eurostat Collected Portables'!Y14</f>
        <v>761.10178794273293</v>
      </c>
      <c r="Z21" s="67">
        <f>Z$6*'Eurostat Collected Portables'!Z14</f>
        <v>815.35056385953499</v>
      </c>
      <c r="AA21" s="67">
        <f>AA$6*'Eurostat Collected Portables'!AA14</f>
        <v>874.08718348171431</v>
      </c>
      <c r="AB21" s="67">
        <f>AB$6*'Eurostat Collected Portables'!AB14</f>
        <v>933.97883164418238</v>
      </c>
      <c r="AC21" s="67">
        <f>AC$6*'Eurostat Collected Portables'!AC14</f>
        <v>996.09153825361955</v>
      </c>
      <c r="AD21" s="67">
        <f>AD$6*'Eurostat Collected Portables'!AD14</f>
        <v>1062.5912122886652</v>
      </c>
      <c r="AE21" s="67">
        <f>AE$6*'Eurostat Collected Portables'!AE14</f>
        <v>1139.1697363053609</v>
      </c>
      <c r="AF21" s="67">
        <f>AF$6*'Eurostat Collected Portables'!AF14</f>
        <v>1225.4742158537447</v>
      </c>
      <c r="AG21" s="67">
        <f>AG$6*'Eurostat Collected Portables'!AG14</f>
        <v>1312.539273622262</v>
      </c>
      <c r="AH21" s="67">
        <f>AH$6*'Eurostat Collected Portables'!AH14</f>
        <v>1398.2989534937249</v>
      </c>
      <c r="AI21" s="67">
        <f>AI$6*'Eurostat Collected Portables'!AI14</f>
        <v>1481.8247872556346</v>
      </c>
      <c r="AJ21" s="67">
        <f>AJ$6*'Eurostat Collected Portables'!AJ14</f>
        <v>1569.9578586070354</v>
      </c>
      <c r="AK21" s="67">
        <f>AK$6*'Eurostat Collected Portables'!AK14</f>
        <v>1662.9998542277788</v>
      </c>
      <c r="AL21" s="67">
        <f>AL$6*'Eurostat Collected Portables'!AL14</f>
        <v>1752.3998580451569</v>
      </c>
      <c r="AM21" s="67">
        <f>AM$6*'Eurostat Collected Portables'!AM14</f>
        <v>1846.3307942497752</v>
      </c>
      <c r="AN21" s="67">
        <f>AN$6*'Eurostat Collected Portables'!AN14</f>
        <v>1945.0505133038946</v>
      </c>
      <c r="AO21" s="67">
        <f>AO$6*'Eurostat Collected Portables'!AO14</f>
        <v>2048.420105594284</v>
      </c>
      <c r="AP21" s="67">
        <f>AP$6*'Eurostat Collected Portables'!AP14</f>
        <v>2153.6393951574541</v>
      </c>
      <c r="AQ21" s="67">
        <f>AQ$6*'Eurostat Collected Portables'!AQ14</f>
        <v>2244.7158576997372</v>
      </c>
      <c r="AR21" s="67">
        <f>AR$6*'Eurostat Collected Portables'!AR14</f>
        <v>2320.2444304330897</v>
      </c>
      <c r="AS21" s="67">
        <f>AS$6*'Eurostat Collected Portables'!AS14</f>
        <v>2381.5621945932903</v>
      </c>
      <c r="AT21" s="67">
        <f>AT$6*'Eurostat Collected Portables'!AT14</f>
        <v>2443.5147181043071</v>
      </c>
      <c r="AU21" s="67">
        <f>AU$6*'Eurostat Collected Portables'!AU14</f>
        <v>2506.190003297309</v>
      </c>
      <c r="AV21" s="67">
        <f>AV$6*'Eurostat Collected Portables'!AV14</f>
        <v>2569.0556063001609</v>
      </c>
      <c r="AW21" s="67">
        <f>AW$6*'Eurostat Collected Portables'!AW14</f>
        <v>2632.0870939637252</v>
      </c>
      <c r="AX21" s="67">
        <f>AX$6*'Eurostat Collected Portables'!AX14</f>
        <v>2695.2596411817867</v>
      </c>
      <c r="AY21" s="67">
        <f>AY$6*'Eurostat Collected Portables'!AY14</f>
        <v>2759.1061631491125</v>
      </c>
      <c r="AZ21" s="67">
        <f>AZ$6*'Eurostat Collected Portables'!AZ14</f>
        <v>2823.6365716081759</v>
      </c>
    </row>
    <row r="22" spans="1:52" x14ac:dyDescent="0.35">
      <c r="A22" s="52" t="s">
        <v>12</v>
      </c>
      <c r="B22" s="23">
        <f t="shared" si="0"/>
        <v>291.10341685338705</v>
      </c>
      <c r="C22" s="23">
        <f t="shared" si="0"/>
        <v>296.92548519045476</v>
      </c>
      <c r="D22" s="23">
        <f t="shared" si="0"/>
        <v>302.86399489426384</v>
      </c>
      <c r="E22" s="23">
        <f t="shared" si="0"/>
        <v>308.92127479214912</v>
      </c>
      <c r="F22" s="23">
        <f t="shared" si="0"/>
        <v>315.09970028799211</v>
      </c>
      <c r="G22" s="23">
        <f t="shared" si="0"/>
        <v>321.40169429375197</v>
      </c>
      <c r="H22" s="23">
        <f t="shared" si="0"/>
        <v>327.82972817962701</v>
      </c>
      <c r="I22" s="23">
        <f t="shared" si="0"/>
        <v>334.38632274321958</v>
      </c>
      <c r="J22" s="23">
        <f t="shared" si="0"/>
        <v>341.07404919808397</v>
      </c>
      <c r="K22" s="23">
        <f t="shared" si="0"/>
        <v>347.89553018204566</v>
      </c>
      <c r="L22" s="23">
        <f t="shared" si="0"/>
        <v>354.85344078568659</v>
      </c>
      <c r="M22" s="4">
        <f>$M$6*'Eurostat Collected Portables'!M15</f>
        <v>361.95050960140031</v>
      </c>
      <c r="N22" s="4">
        <f>$N$6*'Eurostat Collected Portables'!N15</f>
        <v>422.05003700810943</v>
      </c>
      <c r="O22" s="4">
        <f>$O$6*'Eurostat Collected Portables'!O15</f>
        <v>410.61095748186233</v>
      </c>
      <c r="P22" s="4">
        <f>$P$6*'Eurostat Collected Portables'!P15</f>
        <v>478.4309916525014</v>
      </c>
      <c r="Q22" s="4">
        <f>$Q$6*'Eurostat Collected Portables'!Q15</f>
        <v>592.76744695149659</v>
      </c>
      <c r="R22" s="4">
        <f>$R$6*'Eurostat Collected Portables'!R15</f>
        <v>725.41654361149267</v>
      </c>
      <c r="S22" s="4">
        <f>$S$6*'Eurostat Collected Portables'!S15</f>
        <v>773.51382551384552</v>
      </c>
      <c r="T22" s="4">
        <f>$T$6*'Eurostat Collected Portables'!T15</f>
        <v>857.17633028604689</v>
      </c>
      <c r="U22" s="4">
        <f>$U$6*'Eurostat Collected Portables'!U15</f>
        <v>1164.6923193897596</v>
      </c>
      <c r="V22" s="4">
        <f>$V$6*'Eurostat Collected Portables'!V15</f>
        <v>959.91132194299428</v>
      </c>
      <c r="W22" s="4">
        <f>$W$6*'Eurostat Collected Portables'!W15</f>
        <v>1062.2819316470732</v>
      </c>
      <c r="X22" s="67">
        <f>X$6*'Eurostat Collected Portables'!X15</f>
        <v>1144.5151143531873</v>
      </c>
      <c r="Y22" s="67">
        <f>Y$6*'Eurostat Collected Portables'!Y15</f>
        <v>1269.0942065931106</v>
      </c>
      <c r="Z22" s="67">
        <f>Z$6*'Eurostat Collected Portables'!Z15</f>
        <v>1328.128904805352</v>
      </c>
      <c r="AA22" s="67">
        <f>AA$6*'Eurostat Collected Portables'!AA15</f>
        <v>1392.2509094896618</v>
      </c>
      <c r="AB22" s="67">
        <f>AB$6*'Eurostat Collected Portables'!AB15</f>
        <v>1455.9980022009122</v>
      </c>
      <c r="AC22" s="67">
        <f>AC$6*'Eurostat Collected Portables'!AC15</f>
        <v>1521.0818132659044</v>
      </c>
      <c r="AD22" s="67">
        <f>AD$6*'Eurostat Collected Portables'!AD15</f>
        <v>1590.7227951331981</v>
      </c>
      <c r="AE22" s="67">
        <f>AE$6*'Eurostat Collected Portables'!AE15</f>
        <v>1673.0768573979071</v>
      </c>
      <c r="AF22" s="67">
        <f>AF$6*'Eurostat Collected Portables'!AF15</f>
        <v>1766.9962556003675</v>
      </c>
      <c r="AG22" s="67">
        <f>AG$6*'Eurostat Collected Portables'!AG15</f>
        <v>1859.2372559947617</v>
      </c>
      <c r="AH22" s="67">
        <f>AH$6*'Eurostat Collected Portables'!AH15</f>
        <v>1947.0823207342773</v>
      </c>
      <c r="AI22" s="67">
        <f>AI$6*'Eurostat Collected Portables'!AI15</f>
        <v>2029.5445084471148</v>
      </c>
      <c r="AJ22" s="67">
        <f>AJ$6*'Eurostat Collected Portables'!AJ15</f>
        <v>2116.1621394367603</v>
      </c>
      <c r="AK22" s="67">
        <f>AK$6*'Eurostat Collected Portables'!AK15</f>
        <v>2207.1980484774585</v>
      </c>
      <c r="AL22" s="67">
        <f>AL$6*'Eurostat Collected Portables'!AL15</f>
        <v>2291.3290978482487</v>
      </c>
      <c r="AM22" s="67">
        <f>AM$6*'Eurostat Collected Portables'!AM15</f>
        <v>2379.4408508272718</v>
      </c>
      <c r="AN22" s="67">
        <f>AN$6*'Eurostat Collected Portables'!AN15</f>
        <v>2471.741904289755</v>
      </c>
      <c r="AO22" s="67">
        <f>AO$6*'Eurostat Collected Portables'!AO15</f>
        <v>2567.9362057303692</v>
      </c>
      <c r="AP22" s="67">
        <f>AP$6*'Eurostat Collected Portables'!AP15</f>
        <v>2664.4548101650375</v>
      </c>
      <c r="AQ22" s="67">
        <f>AQ$6*'Eurostat Collected Portables'!AQ15</f>
        <v>2741.8001208320688</v>
      </c>
      <c r="AR22" s="67">
        <f>AR$6*'Eurostat Collected Portables'!AR15</f>
        <v>2799.0346811317527</v>
      </c>
      <c r="AS22" s="67">
        <f>AS$6*'Eurostat Collected Portables'!AS15</f>
        <v>2838.5096382046095</v>
      </c>
      <c r="AT22" s="67">
        <f>AT$6*'Eurostat Collected Portables'!AT15</f>
        <v>2878.3542728407833</v>
      </c>
      <c r="AU22" s="67">
        <f>AU$6*'Eurostat Collected Portables'!AU15</f>
        <v>2918.6675796190102</v>
      </c>
      <c r="AV22" s="67">
        <f>AV$6*'Eurostat Collected Portables'!AV15</f>
        <v>2958.8297105098441</v>
      </c>
      <c r="AW22" s="67">
        <f>AW$6*'Eurostat Collected Portables'!AW15</f>
        <v>2998.8264822824444</v>
      </c>
      <c r="AX22" s="67">
        <f>AX$6*'Eurostat Collected Portables'!AX15</f>
        <v>3038.6434357628564</v>
      </c>
      <c r="AY22" s="67">
        <f>AY$6*'Eurostat Collected Portables'!AY15</f>
        <v>3078.888663665763</v>
      </c>
      <c r="AZ22" s="67">
        <f>AZ$6*'Eurostat Collected Portables'!AZ15</f>
        <v>3119.567841821985</v>
      </c>
    </row>
    <row r="23" spans="1:52" x14ac:dyDescent="0.35">
      <c r="A23" s="52" t="s">
        <v>13</v>
      </c>
      <c r="B23" s="23">
        <f t="shared" si="0"/>
        <v>23.688459863679171</v>
      </c>
      <c r="C23" s="23">
        <f t="shared" si="0"/>
        <v>24.162229060952754</v>
      </c>
      <c r="D23" s="23">
        <f t="shared" si="0"/>
        <v>24.645473642171808</v>
      </c>
      <c r="E23" s="23">
        <f t="shared" si="0"/>
        <v>25.138383115015245</v>
      </c>
      <c r="F23" s="23">
        <f t="shared" si="0"/>
        <v>25.641150777315548</v>
      </c>
      <c r="G23" s="23">
        <f t="shared" si="0"/>
        <v>26.153973792861859</v>
      </c>
      <c r="H23" s="23">
        <f t="shared" si="0"/>
        <v>26.677053268719096</v>
      </c>
      <c r="I23" s="23">
        <f t="shared" si="0"/>
        <v>27.210594334093479</v>
      </c>
      <c r="J23" s="23">
        <f t="shared" si="0"/>
        <v>27.75480622077535</v>
      </c>
      <c r="K23" s="23">
        <f t="shared" si="0"/>
        <v>28.309902345190856</v>
      </c>
      <c r="L23" s="23">
        <f t="shared" si="0"/>
        <v>28.876100392094674</v>
      </c>
      <c r="M23" s="4">
        <f>$M$6*'Eurostat Collected Portables'!M16</f>
        <v>29.453622399936567</v>
      </c>
      <c r="N23" s="4">
        <f>$N$6*'Eurostat Collected Portables'!N16</f>
        <v>44.447394789279073</v>
      </c>
      <c r="O23" s="4">
        <f>$O$6*'Eurostat Collected Portables'!O16</f>
        <v>51.168442393893613</v>
      </c>
      <c r="P23" s="4">
        <f>$P$6*'Eurostat Collected Portables'!P16</f>
        <v>49.183021217654179</v>
      </c>
      <c r="Q23" s="4">
        <f>$Q$6*'Eurostat Collected Portables'!Q16</f>
        <v>48.708638737435308</v>
      </c>
      <c r="R23" s="4">
        <f>$R$6*'Eurostat Collected Portables'!R16</f>
        <v>46.577721672234674</v>
      </c>
      <c r="S23" s="4">
        <f>$S$6*'Eurostat Collected Portables'!S16</f>
        <v>80.164160098707626</v>
      </c>
      <c r="T23" s="4">
        <f>$T$6*'Eurostat Collected Portables'!T16</f>
        <v>65.591229015340161</v>
      </c>
      <c r="U23" s="4">
        <f>$U$6*'Eurostat Collected Portables'!U16</f>
        <v>67.135451720821649</v>
      </c>
      <c r="V23" s="4">
        <f>$V$6*'Eurostat Collected Portables'!V16</f>
        <v>74.22306442110397</v>
      </c>
      <c r="W23" s="4">
        <f>$W$6*'Eurostat Collected Portables'!W16</f>
        <v>77.735732638936838</v>
      </c>
      <c r="X23" s="67">
        <f>X$6*'Eurostat Collected Portables'!X16</f>
        <v>99.559517081995011</v>
      </c>
      <c r="Y23" s="67">
        <f>Y$6*'Eurostat Collected Portables'!Y16</f>
        <v>107.01785977034626</v>
      </c>
      <c r="Z23" s="67">
        <f>Z$6*'Eurostat Collected Portables'!Z16</f>
        <v>113.40258819998783</v>
      </c>
      <c r="AA23" s="67">
        <f>AA$6*'Eurostat Collected Portables'!AA16</f>
        <v>120.32355917678858</v>
      </c>
      <c r="AB23" s="67">
        <f>AB$6*'Eurostat Collected Portables'!AB16</f>
        <v>127.31590939737181</v>
      </c>
      <c r="AC23" s="67">
        <f>AC$6*'Eurostat Collected Portables'!AC16</f>
        <v>134.52692464596376</v>
      </c>
      <c r="AD23" s="67">
        <f>AD$6*'Eurostat Collected Portables'!AD16</f>
        <v>142.2456793482352</v>
      </c>
      <c r="AE23" s="67">
        <f>AE$6*'Eurostat Collected Portables'!AE16</f>
        <v>151.21968851020739</v>
      </c>
      <c r="AF23" s="67">
        <f>AF$6*'Eurostat Collected Portables'!AF16</f>
        <v>161.37720397106807</v>
      </c>
      <c r="AG23" s="67">
        <f>AG$6*'Eurostat Collected Portables'!AG16</f>
        <v>171.52508720422009</v>
      </c>
      <c r="AH23" s="67">
        <f>AH$6*'Eurostat Collected Portables'!AH16</f>
        <v>181.40162101174468</v>
      </c>
      <c r="AI23" s="67">
        <f>AI$6*'Eurostat Collected Portables'!AI16</f>
        <v>190.89845798819019</v>
      </c>
      <c r="AJ23" s="67">
        <f>AJ$6*'Eurostat Collected Portables'!AJ16</f>
        <v>200.90358201255995</v>
      </c>
      <c r="AK23" s="67">
        <f>AK$6*'Eurostat Collected Portables'!AK16</f>
        <v>211.44990958032471</v>
      </c>
      <c r="AL23" s="67">
        <f>AL$6*'Eurostat Collected Portables'!AL16</f>
        <v>221.45122186058339</v>
      </c>
      <c r="AM23" s="67">
        <f>AM$6*'Eurostat Collected Portables'!AM16</f>
        <v>231.94821254809497</v>
      </c>
      <c r="AN23" s="67">
        <f>AN$6*'Eurostat Collected Portables'!AN16</f>
        <v>242.96838038231661</v>
      </c>
      <c r="AO23" s="67">
        <f>AO$6*'Eurostat Collected Portables'!AO16</f>
        <v>254.48964442916522</v>
      </c>
      <c r="AP23" s="67">
        <f>AP$6*'Eurostat Collected Portables'!AP16</f>
        <v>266.16180097607219</v>
      </c>
      <c r="AQ23" s="67">
        <f>AQ$6*'Eurostat Collected Portables'!AQ16</f>
        <v>276.01978207166292</v>
      </c>
      <c r="AR23" s="67">
        <f>AR$6*'Eurostat Collected Portables'!AR16</f>
        <v>283.92162485009084</v>
      </c>
      <c r="AS23" s="67">
        <f>AS$6*'Eurostat Collected Portables'!AS16</f>
        <v>290.06014754831011</v>
      </c>
      <c r="AT23" s="67">
        <f>AT$6*'Eurostat Collected Portables'!AT16</f>
        <v>296.26067442263604</v>
      </c>
      <c r="AU23" s="67">
        <f>AU$6*'Eurostat Collected Portables'!AU16</f>
        <v>302.53369050517881</v>
      </c>
      <c r="AV23" s="67">
        <f>AV$6*'Eurostat Collected Portables'!AV16</f>
        <v>308.81493104777462</v>
      </c>
      <c r="AW23" s="67">
        <f>AW$6*'Eurostat Collected Portables'!AW16</f>
        <v>315.10201122189005</v>
      </c>
      <c r="AX23" s="67">
        <f>AX$6*'Eurostat Collected Portables'!AX16</f>
        <v>321.3925060260737</v>
      </c>
      <c r="AY23" s="67">
        <f>AY$6*'Eurostat Collected Portables'!AY16</f>
        <v>327.75025031515378</v>
      </c>
      <c r="AZ23" s="67">
        <f>AZ$6*'Eurostat Collected Portables'!AZ16</f>
        <v>334.1762084573881</v>
      </c>
    </row>
    <row r="24" spans="1:52" x14ac:dyDescent="0.35">
      <c r="A24" s="52" t="s">
        <v>14</v>
      </c>
      <c r="B24" s="23">
        <f t="shared" si="0"/>
        <v>395.66828055682095</v>
      </c>
      <c r="C24" s="23">
        <f t="shared" si="0"/>
        <v>403.58164616795739</v>
      </c>
      <c r="D24" s="23">
        <f t="shared" si="0"/>
        <v>411.65327909131656</v>
      </c>
      <c r="E24" s="23">
        <f t="shared" si="0"/>
        <v>419.8863446731429</v>
      </c>
      <c r="F24" s="23">
        <f t="shared" si="0"/>
        <v>428.28407156660575</v>
      </c>
      <c r="G24" s="23">
        <f t="shared" si="0"/>
        <v>436.84975299793786</v>
      </c>
      <c r="H24" s="23">
        <f t="shared" si="0"/>
        <v>445.58674805789661</v>
      </c>
      <c r="I24" s="23">
        <f t="shared" si="0"/>
        <v>454.49848301905456</v>
      </c>
      <c r="J24" s="23">
        <f t="shared" si="0"/>
        <v>463.58845267943565</v>
      </c>
      <c r="K24" s="23">
        <f t="shared" si="0"/>
        <v>472.86022173302439</v>
      </c>
      <c r="L24" s="23">
        <f t="shared" si="0"/>
        <v>482.31742616768486</v>
      </c>
      <c r="M24" s="4">
        <f>$M$6*'Eurostat Collected Portables'!M17</f>
        <v>491.96377469103857</v>
      </c>
      <c r="N24" s="4">
        <f>$N$6*'Eurostat Collected Portables'!N17</f>
        <v>459.69017313596737</v>
      </c>
      <c r="O24" s="4">
        <f>$O$6*'Eurostat Collected Portables'!O17</f>
        <v>486.41605732466769</v>
      </c>
      <c r="P24" s="4">
        <f>$P$6*'Eurostat Collected Portables'!P17</f>
        <v>534.3924420764348</v>
      </c>
      <c r="Q24" s="4">
        <f>$Q$6*'Eurostat Collected Portables'!Q17</f>
        <v>614.22149664008964</v>
      </c>
      <c r="R24" s="4">
        <f>$R$6*'Eurostat Collected Portables'!R17</f>
        <v>888.28121229650242</v>
      </c>
      <c r="S24" s="4">
        <f>$S$6*'Eurostat Collected Portables'!S17</f>
        <v>1037.6023841236231</v>
      </c>
      <c r="T24" s="4">
        <f>$T$6*'Eurostat Collected Portables'!T17</f>
        <v>983.86843523010248</v>
      </c>
      <c r="U24" s="4">
        <f>$U$6*'Eurostat Collected Portables'!U17</f>
        <v>1005.0360727290661</v>
      </c>
      <c r="V24" s="4">
        <f>$V$6*'Eurostat Collected Portables'!V17</f>
        <v>1104.2759380777279</v>
      </c>
      <c r="W24" s="4">
        <f>$W$6*'Eurostat Collected Portables'!W17</f>
        <v>1270.5881556590086</v>
      </c>
      <c r="X24" s="67">
        <f>X$6*'Eurostat Collected Portables'!X17</f>
        <v>1464.0205802439336</v>
      </c>
      <c r="Y24" s="67">
        <f>Y$6*'Eurostat Collected Portables'!Y17</f>
        <v>1529.1357418853136</v>
      </c>
      <c r="Z24" s="67">
        <f>Z$6*'Eurostat Collected Portables'!Z17</f>
        <v>1597.7163978253404</v>
      </c>
      <c r="AA24" s="67">
        <f>AA$6*'Eurostat Collected Portables'!AA17</f>
        <v>1672.2322956309288</v>
      </c>
      <c r="AB24" s="67">
        <f>AB$6*'Eurostat Collected Portables'!AB17</f>
        <v>1746.1097064722965</v>
      </c>
      <c r="AC24" s="67">
        <f>AC$6*'Eurostat Collected Portables'!AC17</f>
        <v>1821.4056292200735</v>
      </c>
      <c r="AD24" s="67">
        <f>AD$6*'Eurostat Collected Portables'!AD17</f>
        <v>1901.9686547474314</v>
      </c>
      <c r="AE24" s="67">
        <f>AE$6*'Eurostat Collected Portables'!AE17</f>
        <v>1997.5175081466953</v>
      </c>
      <c r="AF24" s="67">
        <f>AF$6*'Eurostat Collected Portables'!AF17</f>
        <v>2106.6238704681459</v>
      </c>
      <c r="AG24" s="67">
        <f>AG$6*'Eurostat Collected Portables'!AG17</f>
        <v>2213.4687567291635</v>
      </c>
      <c r="AH24" s="67">
        <f>AH$6*'Eurostat Collected Portables'!AH17</f>
        <v>2314.8368319059177</v>
      </c>
      <c r="AI24" s="67">
        <f>AI$6*'Eurostat Collected Portables'!AI17</f>
        <v>2409.5844803909581</v>
      </c>
      <c r="AJ24" s="67">
        <f>AJ$6*'Eurostat Collected Portables'!AJ17</f>
        <v>2509.0527699426311</v>
      </c>
      <c r="AK24" s="67">
        <f>AK$6*'Eurostat Collected Portables'!AK17</f>
        <v>2613.5388937840494</v>
      </c>
      <c r="AL24" s="67">
        <f>AL$6*'Eurostat Collected Portables'!AL17</f>
        <v>2709.6377949521752</v>
      </c>
      <c r="AM24" s="67">
        <f>AM$6*'Eurostat Collected Portables'!AM17</f>
        <v>2810.2429369345582</v>
      </c>
      <c r="AN24" s="67">
        <f>AN$6*'Eurostat Collected Portables'!AN17</f>
        <v>2915.5876920654509</v>
      </c>
      <c r="AO24" s="67">
        <f>AO$6*'Eurostat Collected Portables'!AO17</f>
        <v>3025.3101162241778</v>
      </c>
      <c r="AP24" s="67">
        <f>AP$6*'Eurostat Collected Portables'!AP17</f>
        <v>3135.1992754299454</v>
      </c>
      <c r="AQ24" s="67">
        <f>AQ$6*'Eurostat Collected Portables'!AQ17</f>
        <v>3222.3443428691471</v>
      </c>
      <c r="AR24" s="67">
        <f>AR$6*'Eurostat Collected Portables'!AR17</f>
        <v>3285.7298470415972</v>
      </c>
      <c r="AS24" s="67">
        <f>AS$6*'Eurostat Collected Portables'!AS17</f>
        <v>3328.1985659625561</v>
      </c>
      <c r="AT24" s="67">
        <f>AT$6*'Eurostat Collected Portables'!AT17</f>
        <v>3371.0568067936688</v>
      </c>
      <c r="AU24" s="67">
        <f>AU$6*'Eurostat Collected Portables'!AU17</f>
        <v>3414.4199731470485</v>
      </c>
      <c r="AV24" s="67">
        <f>AV$6*'Eurostat Collected Portables'!AV17</f>
        <v>3457.5629586768518</v>
      </c>
      <c r="AW24" s="67">
        <f>AW$6*'Eurostat Collected Portables'!AW17</f>
        <v>3500.4708295756668</v>
      </c>
      <c r="AX24" s="67">
        <f>AX$6*'Eurostat Collected Portables'!AX17</f>
        <v>3543.1283502019696</v>
      </c>
      <c r="AY24" s="67">
        <f>AY$6*'Eurostat Collected Portables'!AY17</f>
        <v>3586.2454449478478</v>
      </c>
      <c r="AZ24" s="67">
        <f>AZ$6*'Eurostat Collected Portables'!AZ17</f>
        <v>3629.828071858421</v>
      </c>
    </row>
    <row r="25" spans="1:52" x14ac:dyDescent="0.35">
      <c r="A25" s="52" t="s">
        <v>15</v>
      </c>
      <c r="B25" s="23">
        <f t="shared" si="0"/>
        <v>4806.1109576282033</v>
      </c>
      <c r="C25" s="23">
        <f t="shared" si="0"/>
        <v>4902.2331767807673</v>
      </c>
      <c r="D25" s="23">
        <f t="shared" si="0"/>
        <v>5000.2778403163829</v>
      </c>
      <c r="E25" s="23">
        <f t="shared" si="0"/>
        <v>5100.283397122711</v>
      </c>
      <c r="F25" s="23">
        <f t="shared" si="0"/>
        <v>5202.2890650651652</v>
      </c>
      <c r="G25" s="23">
        <f t="shared" si="0"/>
        <v>5306.3348463664688</v>
      </c>
      <c r="H25" s="23">
        <f t="shared" si="0"/>
        <v>5412.4615432937981</v>
      </c>
      <c r="I25" s="23">
        <f t="shared" si="0"/>
        <v>5520.7107741596737</v>
      </c>
      <c r="J25" s="23">
        <f t="shared" si="0"/>
        <v>5631.1249896428671</v>
      </c>
      <c r="K25" s="23">
        <f t="shared" si="0"/>
        <v>5743.7474894357247</v>
      </c>
      <c r="L25" s="23">
        <f t="shared" si="0"/>
        <v>5858.6224392244394</v>
      </c>
      <c r="M25" s="4">
        <f>$M$6*'Eurostat Collected Portables'!M18</f>
        <v>5975.794888008928</v>
      </c>
      <c r="N25" s="4">
        <f>$N$6*'Eurostat Collected Portables'!N18</f>
        <v>6446.8743793458843</v>
      </c>
      <c r="O25" s="4">
        <f>$O$6*'Eurostat Collected Portables'!O18</f>
        <v>6655.8456934896494</v>
      </c>
      <c r="P25" s="4">
        <f>$P$6*'Eurostat Collected Portables'!P18</f>
        <v>7554.7958072310148</v>
      </c>
      <c r="Q25" s="4">
        <f>$Q$6*'Eurostat Collected Portables'!Q18</f>
        <v>8029.3767445641724</v>
      </c>
      <c r="R25" s="4">
        <f>$R$6*'Eurostat Collected Portables'!R18</f>
        <v>7470.5315418558821</v>
      </c>
      <c r="S25" s="4">
        <f>$S$6*'Eurostat Collected Portables'!S18</f>
        <v>7413.2314913892587</v>
      </c>
      <c r="T25" s="4">
        <f>$T$6*'Eurostat Collected Portables'!T18</f>
        <v>8364.886321369544</v>
      </c>
      <c r="U25" s="4">
        <f>$U$6*'Eurostat Collected Portables'!U18</f>
        <v>8755.5485668724359</v>
      </c>
      <c r="V25" s="4">
        <f>$V$6*'Eurostat Collected Portables'!V18</f>
        <v>7918.134652499848</v>
      </c>
      <c r="W25" s="4">
        <f>$W$6*'Eurostat Collected Portables'!W18</f>
        <v>8379.337340618049</v>
      </c>
      <c r="X25" s="67">
        <f>X$6*'Eurostat Collected Portables'!X18</f>
        <v>9551.3617159652295</v>
      </c>
      <c r="Y25" s="67">
        <f>Y$6*'Eurostat Collected Portables'!Y18</f>
        <v>10418.166918027931</v>
      </c>
      <c r="Z25" s="67">
        <f>Z$6*'Eurostat Collected Portables'!Z18</f>
        <v>11025.461512178746</v>
      </c>
      <c r="AA25" s="67">
        <f>AA$6*'Eurostat Collected Portables'!AA18</f>
        <v>11683.872087126729</v>
      </c>
      <c r="AB25" s="67">
        <f>AB$6*'Eurostat Collected Portables'!AB18</f>
        <v>12348.187428229536</v>
      </c>
      <c r="AC25" s="67">
        <f>AC$6*'Eurostat Collected Portables'!AC18</f>
        <v>13032.715868786579</v>
      </c>
      <c r="AD25" s="67">
        <f>AD$6*'Eurostat Collected Portables'!AD18</f>
        <v>13765.421297897721</v>
      </c>
      <c r="AE25" s="67">
        <f>AE$6*'Eurostat Collected Portables'!AE18</f>
        <v>14618.468415683545</v>
      </c>
      <c r="AF25" s="67">
        <f>AF$6*'Eurostat Collected Portables'!AF18</f>
        <v>15584.618771107045</v>
      </c>
      <c r="AG25" s="67">
        <f>AG$6*'Eurostat Collected Portables'!AG18</f>
        <v>16548.49443480021</v>
      </c>
      <c r="AH25" s="67">
        <f>AH$6*'Eurostat Collected Portables'!AH18</f>
        <v>17484.94730749066</v>
      </c>
      <c r="AI25" s="67">
        <f>AI$6*'Eurostat Collected Portables'!AI18</f>
        <v>18383.684441853617</v>
      </c>
      <c r="AJ25" s="67">
        <f>AJ$6*'Eurostat Collected Portables'!AJ18</f>
        <v>19330.302940507943</v>
      </c>
      <c r="AK25" s="67">
        <f>AK$6*'Eurostat Collected Portables'!AK18</f>
        <v>20327.898224606852</v>
      </c>
      <c r="AL25" s="67">
        <f>AL$6*'Eurostat Collected Portables'!AL18</f>
        <v>21272.05885012171</v>
      </c>
      <c r="AM25" s="67">
        <f>AM$6*'Eurostat Collected Portables'!AM18</f>
        <v>22262.851836415786</v>
      </c>
      <c r="AN25" s="67">
        <f>AN$6*'Eurostat Collected Portables'!AN18</f>
        <v>23302.853743133412</v>
      </c>
      <c r="AO25" s="67">
        <f>AO$6*'Eurostat Collected Portables'!AO18</f>
        <v>24389.885762058864</v>
      </c>
      <c r="AP25" s="67">
        <f>AP$6*'Eurostat Collected Portables'!AP18</f>
        <v>25490.35483219488</v>
      </c>
      <c r="AQ25" s="67">
        <f>AQ$6*'Eurostat Collected Portables'!AQ18</f>
        <v>26416.214858443152</v>
      </c>
      <c r="AR25" s="67">
        <f>AR$6*'Eurostat Collected Portables'!AR18</f>
        <v>27154.283472403851</v>
      </c>
      <c r="AS25" s="67">
        <f>AS$6*'Eurostat Collected Portables'!AS18</f>
        <v>27723.386683011664</v>
      </c>
      <c r="AT25" s="67">
        <f>AT$6*'Eurostat Collected Portables'!AT18</f>
        <v>28298.213475763314</v>
      </c>
      <c r="AU25" s="67">
        <f>AU$6*'Eurostat Collected Portables'!AU18</f>
        <v>28879.762902933537</v>
      </c>
      <c r="AV25" s="67">
        <f>AV$6*'Eurostat Collected Portables'!AV18</f>
        <v>29461.900393731146</v>
      </c>
      <c r="AW25" s="67">
        <f>AW$6*'Eurostat Collected Portables'!AW18</f>
        <v>30044.405835833903</v>
      </c>
      <c r="AX25" s="67">
        <f>AX$6*'Eurostat Collected Portables'!AX18</f>
        <v>30627.055377436576</v>
      </c>
      <c r="AY25" s="67">
        <f>AY$6*'Eurostat Collected Portables'!AY18</f>
        <v>31215.936048859887</v>
      </c>
      <c r="AZ25" s="67">
        <f>AZ$6*'Eurostat Collected Portables'!AZ18</f>
        <v>31811.136807435287</v>
      </c>
    </row>
    <row r="26" spans="1:52" x14ac:dyDescent="0.35">
      <c r="A26" s="52" t="s">
        <v>16</v>
      </c>
      <c r="B26" s="23">
        <f t="shared" ref="B26:L40" si="1">C26/1.02</f>
        <v>81.973689446519174</v>
      </c>
      <c r="C26" s="23">
        <f t="shared" si="1"/>
        <v>83.613163235449562</v>
      </c>
      <c r="D26" s="23">
        <f t="shared" si="1"/>
        <v>85.28542650015855</v>
      </c>
      <c r="E26" s="23">
        <f t="shared" si="1"/>
        <v>86.991135030161729</v>
      </c>
      <c r="F26" s="23">
        <f t="shared" si="1"/>
        <v>88.73095773076497</v>
      </c>
      <c r="G26" s="23">
        <f t="shared" si="1"/>
        <v>90.505576885380265</v>
      </c>
      <c r="H26" s="23">
        <f t="shared" si="1"/>
        <v>92.315688423087877</v>
      </c>
      <c r="I26" s="23">
        <f t="shared" si="1"/>
        <v>94.162002191549632</v>
      </c>
      <c r="J26" s="23">
        <f t="shared" si="1"/>
        <v>96.045242235380627</v>
      </c>
      <c r="K26" s="23">
        <f t="shared" si="1"/>
        <v>97.966147080088234</v>
      </c>
      <c r="L26" s="23">
        <f t="shared" si="1"/>
        <v>99.925470021690003</v>
      </c>
      <c r="M26" s="4">
        <f>$M$6*'Eurostat Collected Portables'!M19</f>
        <v>101.92397942212381</v>
      </c>
      <c r="N26" s="4">
        <f>$N$6*'Eurostat Collected Portables'!N19</f>
        <v>103.31016086156758</v>
      </c>
      <c r="O26" s="4">
        <f>$O$6*'Eurostat Collected Portables'!O19</f>
        <v>105.02164874055325</v>
      </c>
      <c r="P26" s="4">
        <f>$P$6*'Eurostat Collected Portables'!P19</f>
        <v>115.86384806081995</v>
      </c>
      <c r="Q26" s="4">
        <f>$Q$6*'Eurostat Collected Portables'!Q19</f>
        <v>103.29727627841093</v>
      </c>
      <c r="R26" s="4">
        <f>$R$6*'Eurostat Collected Portables'!R19</f>
        <v>132.96680680080507</v>
      </c>
      <c r="S26" s="4">
        <f>$S$6*'Eurostat Collected Portables'!S19</f>
        <v>175.79859670769216</v>
      </c>
      <c r="T26" s="4">
        <f>$T$6*'Eurostat Collected Portables'!T19</f>
        <v>186.02891358873984</v>
      </c>
      <c r="U26" s="4">
        <f>$U$6*'Eurostat Collected Portables'!U19</f>
        <v>212.34280805872245</v>
      </c>
      <c r="V26" s="4">
        <f>$V$6*'Eurostat Collected Portables'!V19</f>
        <v>234.30906283647892</v>
      </c>
      <c r="W26" s="4">
        <f>$W$6*'Eurostat Collected Portables'!W19</f>
        <v>253.00027973863428</v>
      </c>
      <c r="X26" s="67">
        <f>X$6*'Eurostat Collected Portables'!X19</f>
        <v>280.30688147946665</v>
      </c>
      <c r="Y26" s="67">
        <f>Y$6*'Eurostat Collected Portables'!Y19</f>
        <v>291.12207218104021</v>
      </c>
      <c r="Z26" s="67">
        <f>Z$6*'Eurostat Collected Portables'!Z19</f>
        <v>303.83070196295211</v>
      </c>
      <c r="AA26" s="67">
        <f>AA$6*'Eurostat Collected Portables'!AA19</f>
        <v>317.64276928987607</v>
      </c>
      <c r="AB26" s="67">
        <f>AB$6*'Eurostat Collected Portables'!AB19</f>
        <v>331.30779805649343</v>
      </c>
      <c r="AC26" s="67">
        <f>AC$6*'Eurostat Collected Portables'!AC19</f>
        <v>345.21667673670942</v>
      </c>
      <c r="AD26" s="67">
        <f>AD$6*'Eurostat Collected Portables'!AD19</f>
        <v>360.09778210803995</v>
      </c>
      <c r="AE26" s="67">
        <f>AE$6*'Eurostat Collected Portables'!AE19</f>
        <v>377.78661366616797</v>
      </c>
      <c r="AF26" s="67">
        <f>AF$6*'Eurostat Collected Portables'!AF19</f>
        <v>398.00504897555516</v>
      </c>
      <c r="AG26" s="67">
        <f>AG$6*'Eurostat Collected Portables'!AG19</f>
        <v>417.76030392551667</v>
      </c>
      <c r="AH26" s="67">
        <f>AH$6*'Eurostat Collected Portables'!AH19</f>
        <v>436.44828699077033</v>
      </c>
      <c r="AI26" s="67">
        <f>AI$6*'Eurostat Collected Portables'!AI19</f>
        <v>453.85748814011646</v>
      </c>
      <c r="AJ26" s="67">
        <f>AJ$6*'Eurostat Collected Portables'!AJ19</f>
        <v>472.12636214178042</v>
      </c>
      <c r="AK26" s="67">
        <f>AK$6*'Eurostat Collected Portables'!AK19</f>
        <v>491.30882939898009</v>
      </c>
      <c r="AL26" s="67">
        <f>AL$6*'Eurostat Collected Portables'!AL19</f>
        <v>508.8852940112597</v>
      </c>
      <c r="AM26" s="67">
        <f>AM$6*'Eurostat Collected Portables'!AM19</f>
        <v>527.28008712238091</v>
      </c>
      <c r="AN26" s="67">
        <f>AN$6*'Eurostat Collected Portables'!AN19</f>
        <v>546.53518752705759</v>
      </c>
      <c r="AO26" s="67">
        <f>AO$6*'Eurostat Collected Portables'!AO19</f>
        <v>566.58097354503877</v>
      </c>
      <c r="AP26" s="67">
        <f>AP$6*'Eurostat Collected Portables'!AP19</f>
        <v>586.62793746501973</v>
      </c>
      <c r="AQ26" s="67">
        <f>AQ$6*'Eurostat Collected Portables'!AQ19</f>
        <v>602.39363272539288</v>
      </c>
      <c r="AR26" s="67">
        <f>AR$6*'Eurostat Collected Portables'!AR19</f>
        <v>613.7002948163705</v>
      </c>
      <c r="AS26" s="67">
        <f>AS$6*'Eurostat Collected Portables'!AS19</f>
        <v>621.09048862225018</v>
      </c>
      <c r="AT26" s="67">
        <f>AT$6*'Eurostat Collected Portables'!AT19</f>
        <v>628.54721327997731</v>
      </c>
      <c r="AU26" s="67">
        <f>AU$6*'Eurostat Collected Portables'!AU19</f>
        <v>636.09191096950349</v>
      </c>
      <c r="AV26" s="67">
        <f>AV$6*'Eurostat Collected Portables'!AV19</f>
        <v>643.5895011769677</v>
      </c>
      <c r="AW26" s="67">
        <f>AW$6*'Eurostat Collected Portables'!AW19</f>
        <v>651.03743487068789</v>
      </c>
      <c r="AX26" s="67">
        <f>AX$6*'Eurostat Collected Portables'!AX19</f>
        <v>658.43310973682833</v>
      </c>
      <c r="AY26" s="67">
        <f>AY$6*'Eurostat Collected Portables'!AY19</f>
        <v>665.9085770072727</v>
      </c>
      <c r="AZ26" s="67">
        <f>AZ$6*'Eurostat Collected Portables'!AZ19</f>
        <v>673.46485081880257</v>
      </c>
    </row>
    <row r="27" spans="1:52" x14ac:dyDescent="0.35">
      <c r="A27" s="52" t="s">
        <v>17</v>
      </c>
      <c r="B27" s="23">
        <f t="shared" si="1"/>
        <v>137.4834319063668</v>
      </c>
      <c r="C27" s="23">
        <f t="shared" si="1"/>
        <v>140.23310054449414</v>
      </c>
      <c r="D27" s="23">
        <f t="shared" si="1"/>
        <v>143.03776255538403</v>
      </c>
      <c r="E27" s="23">
        <f t="shared" si="1"/>
        <v>145.89851780649172</v>
      </c>
      <c r="F27" s="23">
        <f t="shared" si="1"/>
        <v>148.81648816262157</v>
      </c>
      <c r="G27" s="23">
        <f t="shared" si="1"/>
        <v>151.792817925874</v>
      </c>
      <c r="H27" s="23">
        <f t="shared" si="1"/>
        <v>154.8286742843915</v>
      </c>
      <c r="I27" s="23">
        <f t="shared" si="1"/>
        <v>157.92524777007932</v>
      </c>
      <c r="J27" s="23">
        <f t="shared" si="1"/>
        <v>161.08375272548091</v>
      </c>
      <c r="K27" s="23">
        <f t="shared" si="1"/>
        <v>164.30542777999054</v>
      </c>
      <c r="L27" s="23">
        <f t="shared" si="1"/>
        <v>167.59153633559035</v>
      </c>
      <c r="M27" s="4">
        <f>$M$6*'Eurostat Collected Portables'!M20</f>
        <v>170.94336706230214</v>
      </c>
      <c r="N27" s="4">
        <f>$N$6*'Eurostat Collected Portables'!N20</f>
        <v>202.61605192229922</v>
      </c>
      <c r="O27" s="4">
        <f>$O$6*'Eurostat Collected Portables'!O20</f>
        <v>217.9396620480654</v>
      </c>
      <c r="P27" s="4">
        <f>$P$6*'Eurostat Collected Portables'!P20</f>
        <v>195.47098176247175</v>
      </c>
      <c r="Q27" s="4">
        <f>$Q$6*'Eurostat Collected Portables'!Q20</f>
        <v>245.52967976945368</v>
      </c>
      <c r="R27" s="4">
        <f>$R$6*'Eurostat Collected Portables'!R20</f>
        <v>295.04468964675681</v>
      </c>
      <c r="S27" s="4">
        <f>$S$6*'Eurostat Collected Portables'!S20</f>
        <v>271.12050247808526</v>
      </c>
      <c r="T27" s="4">
        <f>$T$6*'Eurostat Collected Portables'!T20</f>
        <v>291.07110186514035</v>
      </c>
      <c r="U27" s="4">
        <f>$U$6*'Eurostat Collected Portables'!U20</f>
        <v>282.59155658942763</v>
      </c>
      <c r="V27" s="4">
        <f>$V$6*'Eurostat Collected Portables'!V20</f>
        <v>267.56583304552754</v>
      </c>
      <c r="W27" s="4">
        <f>$W$6*'Eurostat Collected Portables'!W20</f>
        <v>316.05082263879865</v>
      </c>
      <c r="X27" s="67">
        <f>X$6*'Eurostat Collected Portables'!X20</f>
        <v>353.96784849708592</v>
      </c>
      <c r="Y27" s="67">
        <f>Y$6*'Eurostat Collected Portables'!Y20</f>
        <v>380.08237598369453</v>
      </c>
      <c r="Z27" s="67">
        <f>Z$6*'Eurostat Collected Portables'!Z20</f>
        <v>397.3488385234387</v>
      </c>
      <c r="AA27" s="67">
        <f>AA$6*'Eurostat Collected Portables'!AA20</f>
        <v>416.10734404005012</v>
      </c>
      <c r="AB27" s="67">
        <f>AB$6*'Eurostat Collected Portables'!AB20</f>
        <v>434.72325910674482</v>
      </c>
      <c r="AC27" s="67">
        <f>AC$6*'Eurostat Collected Portables'!AC20</f>
        <v>453.7083334684138</v>
      </c>
      <c r="AD27" s="67">
        <f>AD$6*'Eurostat Collected Portables'!AD20</f>
        <v>474.02191244371869</v>
      </c>
      <c r="AE27" s="67">
        <f>AE$6*'Eurostat Collected Portables'!AE20</f>
        <v>498.08903324122252</v>
      </c>
      <c r="AF27" s="67">
        <f>AF$6*'Eurostat Collected Portables'!AF20</f>
        <v>525.55858919103935</v>
      </c>
      <c r="AG27" s="67">
        <f>AG$6*'Eurostat Collected Portables'!AG20</f>
        <v>552.48666613106445</v>
      </c>
      <c r="AH27" s="67">
        <f>AH$6*'Eurostat Collected Portables'!AH20</f>
        <v>578.06896635616897</v>
      </c>
      <c r="AI27" s="67">
        <f>AI$6*'Eurostat Collected Portables'!AI20</f>
        <v>602.01730241385224</v>
      </c>
      <c r="AJ27" s="67">
        <f>AJ$6*'Eurostat Collected Portables'!AJ20</f>
        <v>627.16369954732795</v>
      </c>
      <c r="AK27" s="67">
        <f>AK$6*'Eurostat Collected Portables'!AK20</f>
        <v>653.58371028642011</v>
      </c>
      <c r="AL27" s="67">
        <f>AL$6*'Eurostat Collected Portables'!AL20</f>
        <v>677.92481727886627</v>
      </c>
      <c r="AM27" s="67">
        <f>AM$6*'Eurostat Collected Portables'!AM20</f>
        <v>703.41102662491664</v>
      </c>
      <c r="AN27" s="67">
        <f>AN$6*'Eurostat Collected Portables'!AN20</f>
        <v>730.10189547264008</v>
      </c>
      <c r="AO27" s="67">
        <f>AO$6*'Eurostat Collected Portables'!AO20</f>
        <v>757.90791006679001</v>
      </c>
      <c r="AP27" s="67">
        <f>AP$6*'Eurostat Collected Portables'!AP20</f>
        <v>785.7746953485597</v>
      </c>
      <c r="AQ27" s="67">
        <f>AQ$6*'Eurostat Collected Portables'!AQ20</f>
        <v>807.95732822529658</v>
      </c>
      <c r="AR27" s="67">
        <f>AR$6*'Eurostat Collected Portables'!AR20</f>
        <v>824.19356130671406</v>
      </c>
      <c r="AS27" s="67">
        <f>AS$6*'Eurostat Collected Portables'!AS20</f>
        <v>835.18914443488654</v>
      </c>
      <c r="AT27" s="67">
        <f>AT$6*'Eurostat Collected Portables'!AT20</f>
        <v>846.28637027171305</v>
      </c>
      <c r="AU27" s="67">
        <f>AU$6*'Eurostat Collected Portables'!AU20</f>
        <v>857.51425790453038</v>
      </c>
      <c r="AV27" s="67">
        <f>AV$6*'Eurostat Collected Portables'!AV20</f>
        <v>868.69069820483878</v>
      </c>
      <c r="AW27" s="67">
        <f>AW$6*'Eurostat Collected Portables'!AW20</f>
        <v>879.81179324826007</v>
      </c>
      <c r="AX27" s="67">
        <f>AX$6*'Eurostat Collected Portables'!AX20</f>
        <v>890.87356744209751</v>
      </c>
      <c r="AY27" s="67">
        <f>AY$6*'Eurostat Collected Portables'!AY20</f>
        <v>902.05444410593395</v>
      </c>
      <c r="AZ27" s="67">
        <f>AZ$6*'Eurostat Collected Portables'!AZ20</f>
        <v>913.35598016155825</v>
      </c>
    </row>
    <row r="28" spans="1:52" x14ac:dyDescent="0.35">
      <c r="A28" s="52" t="s">
        <v>18</v>
      </c>
      <c r="B28" s="23">
        <f t="shared" si="1"/>
        <v>85.846462176275963</v>
      </c>
      <c r="C28" s="23">
        <f t="shared" si="1"/>
        <v>87.563391419801491</v>
      </c>
      <c r="D28" s="23">
        <f t="shared" si="1"/>
        <v>89.314659248197529</v>
      </c>
      <c r="E28" s="23">
        <f t="shared" si="1"/>
        <v>91.100952433161481</v>
      </c>
      <c r="F28" s="23">
        <f t="shared" si="1"/>
        <v>92.922971481824717</v>
      </c>
      <c r="G28" s="23">
        <f t="shared" si="1"/>
        <v>94.781430911461214</v>
      </c>
      <c r="H28" s="23">
        <f t="shared" si="1"/>
        <v>96.677059529690439</v>
      </c>
      <c r="I28" s="23">
        <f t="shared" si="1"/>
        <v>98.610600720284253</v>
      </c>
      <c r="J28" s="23">
        <f t="shared" si="1"/>
        <v>100.58281273468994</v>
      </c>
      <c r="K28" s="23">
        <f t="shared" si="1"/>
        <v>102.59446898938374</v>
      </c>
      <c r="L28" s="23">
        <f t="shared" si="1"/>
        <v>104.64635836917142</v>
      </c>
      <c r="M28" s="4">
        <f>$M$6*'Eurostat Collected Portables'!M21</f>
        <v>106.73928553655486</v>
      </c>
      <c r="N28" s="4">
        <f>$N$6*'Eurostat Collected Portables'!N21</f>
        <v>102.50930690140039</v>
      </c>
      <c r="O28" s="4">
        <f>$O$6*'Eurostat Collected Portables'!O21</f>
        <v>92.387465433419024</v>
      </c>
      <c r="P28" s="4">
        <f>$P$6*'Eurostat Collected Portables'!P21</f>
        <v>95.370922553464041</v>
      </c>
      <c r="Q28" s="4">
        <f>$Q$6*'Eurostat Collected Portables'!Q21</f>
        <v>84.227009888550455</v>
      </c>
      <c r="R28" s="4">
        <f>$R$6*'Eurostat Collected Portables'!R21</f>
        <v>89.693585652614061</v>
      </c>
      <c r="S28" s="4">
        <f>$S$6*'Eurostat Collected Portables'!S21</f>
        <v>85.164653516170873</v>
      </c>
      <c r="T28" s="4">
        <f>$T$6*'Eurostat Collected Portables'!T21</f>
        <v>112.25882716561887</v>
      </c>
      <c r="U28" s="4">
        <f>$U$6*'Eurostat Collected Portables'!U21</f>
        <v>124.531872395341</v>
      </c>
      <c r="V28" s="4">
        <f>$V$6*'Eurostat Collected Portables'!V21</f>
        <v>123.20121691079375</v>
      </c>
      <c r="W28" s="4">
        <f>$W$6*'Eurostat Collected Portables'!W21</f>
        <v>131.68784276616611</v>
      </c>
      <c r="X28" s="67">
        <f>X$6*'Eurostat Collected Portables'!X21</f>
        <v>143.81075716041104</v>
      </c>
      <c r="Y28" s="67">
        <f>Y$6*'Eurostat Collected Portables'!Y21</f>
        <v>151.17507742295814</v>
      </c>
      <c r="Z28" s="67">
        <f>Z$6*'Eurostat Collected Portables'!Z21</f>
        <v>156.65969770857697</v>
      </c>
      <c r="AA28" s="67">
        <f>AA$6*'Eurostat Collected Portables'!AA21</f>
        <v>162.63231491052665</v>
      </c>
      <c r="AB28" s="67">
        <f>AB$6*'Eurostat Collected Portables'!AB21</f>
        <v>168.4469491662955</v>
      </c>
      <c r="AC28" s="67">
        <f>AC$6*'Eurostat Collected Portables'!AC21</f>
        <v>174.30424420455395</v>
      </c>
      <c r="AD28" s="67">
        <f>AD$6*'Eurostat Collected Portables'!AD21</f>
        <v>180.56856014239682</v>
      </c>
      <c r="AE28" s="67">
        <f>AE$6*'Eurostat Collected Portables'!AE21</f>
        <v>188.14568120670143</v>
      </c>
      <c r="AF28" s="67">
        <f>AF$6*'Eurostat Collected Portables'!AF21</f>
        <v>196.87133992137754</v>
      </c>
      <c r="AG28" s="67">
        <f>AG$6*'Eurostat Collected Portables'!AG21</f>
        <v>205.25193837404524</v>
      </c>
      <c r="AH28" s="67">
        <f>AH$6*'Eurostat Collected Portables'!AH21</f>
        <v>212.99958500566376</v>
      </c>
      <c r="AI28" s="67">
        <f>AI$6*'Eurostat Collected Portables'!AI21</f>
        <v>220.02435681622791</v>
      </c>
      <c r="AJ28" s="67">
        <f>AJ$6*'Eurostat Collected Portables'!AJ21</f>
        <v>227.37041951700607</v>
      </c>
      <c r="AK28" s="67">
        <f>AK$6*'Eurostat Collected Portables'!AK21</f>
        <v>235.05725109473482</v>
      </c>
      <c r="AL28" s="67">
        <f>AL$6*'Eurostat Collected Portables'!AL21</f>
        <v>241.88059228588634</v>
      </c>
      <c r="AM28" s="67">
        <f>AM$6*'Eurostat Collected Portables'!AM21</f>
        <v>249.00206954937124</v>
      </c>
      <c r="AN28" s="67">
        <f>AN$6*'Eurostat Collected Portables'!AN21</f>
        <v>256.43562876191334</v>
      </c>
      <c r="AO28" s="67">
        <f>AO$6*'Eurostat Collected Portables'!AO21</f>
        <v>264.1428307375034</v>
      </c>
      <c r="AP28" s="67">
        <f>AP$6*'Eurostat Collected Portables'!AP21</f>
        <v>271.75272839616201</v>
      </c>
      <c r="AQ28" s="67">
        <f>AQ$6*'Eurostat Collected Portables'!AQ21</f>
        <v>277.29585296714913</v>
      </c>
      <c r="AR28" s="67">
        <f>AR$6*'Eurostat Collected Portables'!AR21</f>
        <v>280.72975415433552</v>
      </c>
      <c r="AS28" s="67">
        <f>AS$6*'Eurostat Collected Portables'!AS21</f>
        <v>282.34049275043947</v>
      </c>
      <c r="AT28" s="67">
        <f>AT$6*'Eurostat Collected Portables'!AT21</f>
        <v>283.96134486197724</v>
      </c>
      <c r="AU28" s="67">
        <f>AU$6*'Eurostat Collected Portables'!AU21</f>
        <v>285.60175123375154</v>
      </c>
      <c r="AV28" s="67">
        <f>AV$6*'Eurostat Collected Portables'!AV21</f>
        <v>287.2010736162776</v>
      </c>
      <c r="AW28" s="67">
        <f>AW$6*'Eurostat Collected Portables'!AW21</f>
        <v>288.75893053164174</v>
      </c>
      <c r="AX28" s="67">
        <f>AX$6*'Eurostat Collected Portables'!AX21</f>
        <v>290.27492623039711</v>
      </c>
      <c r="AY28" s="67">
        <f>AY$6*'Eurostat Collected Portables'!AY21</f>
        <v>291.80768097552254</v>
      </c>
      <c r="AZ28" s="67">
        <f>AZ$6*'Eurostat Collected Portables'!AZ21</f>
        <v>293.35733641255848</v>
      </c>
    </row>
    <row r="29" spans="1:52" x14ac:dyDescent="0.35">
      <c r="A29" s="52" t="s">
        <v>19</v>
      </c>
      <c r="B29" s="23">
        <f t="shared" si="1"/>
        <v>11.618318189270434</v>
      </c>
      <c r="C29" s="23">
        <f t="shared" si="1"/>
        <v>11.850684553055844</v>
      </c>
      <c r="D29" s="23">
        <f t="shared" si="1"/>
        <v>12.087698244116961</v>
      </c>
      <c r="E29" s="23">
        <f t="shared" si="1"/>
        <v>12.3294522089993</v>
      </c>
      <c r="F29" s="23">
        <f t="shared" si="1"/>
        <v>12.576041253179286</v>
      </c>
      <c r="G29" s="23">
        <f t="shared" si="1"/>
        <v>12.827562078242872</v>
      </c>
      <c r="H29" s="23">
        <f t="shared" si="1"/>
        <v>13.084113319807729</v>
      </c>
      <c r="I29" s="23">
        <f t="shared" si="1"/>
        <v>13.345795586203884</v>
      </c>
      <c r="J29" s="23">
        <f t="shared" si="1"/>
        <v>13.612711497927963</v>
      </c>
      <c r="K29" s="23">
        <f t="shared" si="1"/>
        <v>13.884965727886522</v>
      </c>
      <c r="L29" s="23">
        <f t="shared" si="1"/>
        <v>14.162665042444253</v>
      </c>
      <c r="M29" s="4">
        <f>$M$6*'Eurostat Collected Portables'!M22</f>
        <v>14.445918343293139</v>
      </c>
      <c r="N29" s="4">
        <f>$N$6*'Eurostat Collected Portables'!N22</f>
        <v>16.017079203343812</v>
      </c>
      <c r="O29" s="4">
        <f>$O$6*'Eurostat Collected Portables'!O22</f>
        <v>30.795821811139675</v>
      </c>
      <c r="P29" s="4">
        <f>$P$6*'Eurostat Collected Portables'!P22</f>
        <v>16.551978294402851</v>
      </c>
      <c r="Q29" s="4">
        <f>$Q$6*'Eurostat Collected Portables'!Q22</f>
        <v>27.810805151879865</v>
      </c>
      <c r="R29" s="4">
        <f>$R$6*'Eurostat Collected Portables'!R22</f>
        <v>18.096074298334418</v>
      </c>
      <c r="S29" s="4">
        <f>$S$6*'Eurostat Collected Portables'!S22</f>
        <v>17.970523219008534</v>
      </c>
      <c r="T29" s="4">
        <f>$T$6*'Eurostat Collected Portables'!T22</f>
        <v>20.848067902186362</v>
      </c>
      <c r="U29" s="4">
        <f>$U$6*'Eurostat Collected Portables'!U22</f>
        <v>23.948436999104036</v>
      </c>
      <c r="V29" s="4">
        <f>$V$6*'Eurostat Collected Portables'!V22</f>
        <v>26.454249029925037</v>
      </c>
      <c r="W29" s="4">
        <f>$W$6*'Eurostat Collected Portables'!W22</f>
        <v>27.933784829186749</v>
      </c>
      <c r="X29" s="67">
        <f>X$6*'Eurostat Collected Portables'!X22</f>
        <v>30.177260369383191</v>
      </c>
      <c r="Y29" s="67">
        <f>Y$6*'Eurostat Collected Portables'!Y22</f>
        <v>34.011190427246802</v>
      </c>
      <c r="Z29" s="67">
        <f>Z$6*'Eurostat Collected Portables'!Z22</f>
        <v>37.128814560496636</v>
      </c>
      <c r="AA29" s="67">
        <f>AA$6*'Eurostat Collected Portables'!AA22</f>
        <v>40.499859032819415</v>
      </c>
      <c r="AB29" s="67">
        <f>AB$6*'Eurostat Collected Portables'!AB22</f>
        <v>43.973293222399519</v>
      </c>
      <c r="AC29" s="67">
        <f>AC$6*'Eurostat Collected Portables'!AC22</f>
        <v>47.598209169814623</v>
      </c>
      <c r="AD29" s="67">
        <f>AD$6*'Eurostat Collected Portables'!AD22</f>
        <v>51.480024679319108</v>
      </c>
      <c r="AE29" s="67">
        <f>AE$6*'Eurostat Collected Portables'!AE22</f>
        <v>55.902552014222309</v>
      </c>
      <c r="AF29" s="67">
        <f>AF$6*'Eurostat Collected Portables'!AF22</f>
        <v>60.862364349963144</v>
      </c>
      <c r="AG29" s="67">
        <f>AG$6*'Eurostat Collected Portables'!AG22</f>
        <v>65.921190339895531</v>
      </c>
      <c r="AH29" s="67">
        <f>AH$6*'Eurostat Collected Portables'!AH22</f>
        <v>70.970658426415838</v>
      </c>
      <c r="AI29" s="67">
        <f>AI$6*'Eurostat Collected Portables'!AI22</f>
        <v>75.956893221384476</v>
      </c>
      <c r="AJ29" s="67">
        <f>AJ$6*'Eurostat Collected Portables'!AJ22</f>
        <v>81.226841345780684</v>
      </c>
      <c r="AK29" s="67">
        <f>AK$6*'Eurostat Collected Portables'!AK22</f>
        <v>86.799285166341932</v>
      </c>
      <c r="AL29" s="67">
        <f>AL$6*'Eurostat Collected Portables'!AL22</f>
        <v>92.227341605315146</v>
      </c>
      <c r="AM29" s="67">
        <f>AM$6*'Eurostat Collected Portables'!AM22</f>
        <v>97.936749879249419</v>
      </c>
      <c r="AN29" s="67">
        <f>AN$6*'Eurostat Collected Portables'!AN22</f>
        <v>103.94391733056669</v>
      </c>
      <c r="AO29" s="67">
        <f>AO$6*'Eurostat Collected Portables'!AO22</f>
        <v>110.24405834258921</v>
      </c>
      <c r="AP29" s="67">
        <f>AP$6*'Eurostat Collected Portables'!AP22</f>
        <v>116.68776311132312</v>
      </c>
      <c r="AQ29" s="67">
        <f>AQ$6*'Eurostat Collected Portables'!AQ22</f>
        <v>122.40217125475795</v>
      </c>
      <c r="AR29" s="67">
        <f>AR$6*'Eurostat Collected Portables'!AR22</f>
        <v>127.29348059449343</v>
      </c>
      <c r="AS29" s="67">
        <f>AS$6*'Eurostat Collected Portables'!AS22</f>
        <v>131.41875664849124</v>
      </c>
      <c r="AT29" s="67">
        <f>AT$6*'Eurostat Collected Portables'!AT22</f>
        <v>135.58759731182892</v>
      </c>
      <c r="AU29" s="67">
        <f>AU$6*'Eurostat Collected Portables'!AU22</f>
        <v>139.80498874547027</v>
      </c>
      <c r="AV29" s="67">
        <f>AV$6*'Eurostat Collected Portables'!AV22</f>
        <v>144.04122415053436</v>
      </c>
      <c r="AW29" s="67">
        <f>AW$6*'Eurostat Collected Portables'!AW22</f>
        <v>148.29462561480594</v>
      </c>
      <c r="AX29" s="67">
        <f>AX$6*'Eurostat Collected Portables'!AX22</f>
        <v>152.56348937739764</v>
      </c>
      <c r="AY29" s="67">
        <f>AY$6*'Eurostat Collected Portables'!AY22</f>
        <v>156.87782005815185</v>
      </c>
      <c r="AZ29" s="67">
        <f>AZ$6*'Eurostat Collected Portables'!AZ22</f>
        <v>161.23830005004908</v>
      </c>
    </row>
    <row r="30" spans="1:52" x14ac:dyDescent="0.35">
      <c r="A30" s="52" t="s">
        <v>20</v>
      </c>
      <c r="B30" s="23">
        <f t="shared" si="1"/>
        <v>2143.5797059203951</v>
      </c>
      <c r="C30" s="23">
        <f t="shared" si="1"/>
        <v>2186.4513000388029</v>
      </c>
      <c r="D30" s="23">
        <f t="shared" si="1"/>
        <v>2230.1803260395791</v>
      </c>
      <c r="E30" s="23">
        <f t="shared" si="1"/>
        <v>2274.7839325603709</v>
      </c>
      <c r="F30" s="23">
        <f t="shared" si="1"/>
        <v>2320.2796112115784</v>
      </c>
      <c r="G30" s="23">
        <f t="shared" si="1"/>
        <v>2366.6852034358099</v>
      </c>
      <c r="H30" s="23">
        <f t="shared" si="1"/>
        <v>2414.0189075045259</v>
      </c>
      <c r="I30" s="23">
        <f t="shared" si="1"/>
        <v>2462.2992856546166</v>
      </c>
      <c r="J30" s="23">
        <f t="shared" si="1"/>
        <v>2511.5452713677091</v>
      </c>
      <c r="K30" s="23">
        <f t="shared" si="1"/>
        <v>2561.7761767950633</v>
      </c>
      <c r="L30" s="23">
        <f t="shared" si="1"/>
        <v>2613.0117003309647</v>
      </c>
      <c r="M30" s="4">
        <f>$M$6*'Eurostat Collected Portables'!M23</f>
        <v>2665.2719343375838</v>
      </c>
      <c r="N30" s="4">
        <f>$N$6*'Eurostat Collected Portables'!N23</f>
        <v>2641.2163606313943</v>
      </c>
      <c r="O30" s="4">
        <f>$O$6*'Eurostat Collected Portables'!O23</f>
        <v>2492.8822937889217</v>
      </c>
      <c r="P30" s="4">
        <f>$P$6*'Eurostat Collected Portables'!P23</f>
        <v>2570.2857722879853</v>
      </c>
      <c r="Q30" s="4">
        <f>$Q$6*'Eurostat Collected Portables'!Q23</f>
        <v>2725.4589048842267</v>
      </c>
      <c r="R30" s="4">
        <f>$R$6*'Eurostat Collected Portables'!R23</f>
        <v>3103.0833492448237</v>
      </c>
      <c r="S30" s="4">
        <f>$S$6*'Eurostat Collected Portables'!S23</f>
        <v>3125.3083859145272</v>
      </c>
      <c r="T30" s="4">
        <f>$T$6*'Eurostat Collected Portables'!T23</f>
        <v>3455.1663304046551</v>
      </c>
      <c r="U30" s="4">
        <f>$U$6*'Eurostat Collected Portables'!U23</f>
        <v>3668.1022670294351</v>
      </c>
      <c r="V30" s="4">
        <f>$V$6*'Eurostat Collected Portables'!V23</f>
        <v>3539.5785202039701</v>
      </c>
      <c r="W30" s="4">
        <f>$W$6*'Eurostat Collected Portables'!W23</f>
        <v>3629.7958115183237</v>
      </c>
      <c r="X30" s="67">
        <f>X$6*'Eurostat Collected Portables'!X23</f>
        <v>4184.7755127887413</v>
      </c>
      <c r="Y30" s="67">
        <f>Y$6*'Eurostat Collected Portables'!Y23</f>
        <v>4454.507660758165</v>
      </c>
      <c r="Z30" s="67">
        <f>Z$6*'Eurostat Collected Portables'!Z23</f>
        <v>4675.9880629482313</v>
      </c>
      <c r="AA30" s="67">
        <f>AA$6*'Eurostat Collected Portables'!AA23</f>
        <v>4916.4128803232488</v>
      </c>
      <c r="AB30" s="67">
        <f>AB$6*'Eurostat Collected Portables'!AB23</f>
        <v>5156.5666128819767</v>
      </c>
      <c r="AC30" s="67">
        <f>AC$6*'Eurostat Collected Portables'!AC23</f>
        <v>5402.4869981613301</v>
      </c>
      <c r="AD30" s="67">
        <f>AD$6*'Eurostat Collected Portables'!AD23</f>
        <v>5665.6553855892607</v>
      </c>
      <c r="AE30" s="67">
        <f>AE$6*'Eurostat Collected Portables'!AE23</f>
        <v>5975.3051692894678</v>
      </c>
      <c r="AF30" s="67">
        <f>AF$6*'Eurostat Collected Portables'!AF23</f>
        <v>6327.6617700601728</v>
      </c>
      <c r="AG30" s="67">
        <f>AG$6*'Eurostat Collected Portables'!AG23</f>
        <v>6675.4653140648015</v>
      </c>
      <c r="AH30" s="67">
        <f>AH$6*'Eurostat Collected Portables'!AH23</f>
        <v>7008.8469815012177</v>
      </c>
      <c r="AI30" s="67">
        <f>AI$6*'Eurostat Collected Portables'!AI23</f>
        <v>7324.0877570138946</v>
      </c>
      <c r="AJ30" s="67">
        <f>AJ$6*'Eurostat Collected Portables'!AJ23</f>
        <v>7655.5156962808896</v>
      </c>
      <c r="AK30" s="67">
        <f>AK$6*'Eurostat Collected Portables'!AK23</f>
        <v>8004.16242982739</v>
      </c>
      <c r="AL30" s="67">
        <f>AL$6*'Eurostat Collected Portables'!AL23</f>
        <v>8328.951020010898</v>
      </c>
      <c r="AM30" s="67">
        <f>AM$6*'Eurostat Collected Portables'!AM23</f>
        <v>8669.3350122368083</v>
      </c>
      <c r="AN30" s="67">
        <f>AN$6*'Eurostat Collected Portables'!AN23</f>
        <v>9026.1470995437485</v>
      </c>
      <c r="AO30" s="67">
        <f>AO$6*'Eurostat Collected Portables'!AO23</f>
        <v>9398.3773986215074</v>
      </c>
      <c r="AP30" s="67">
        <f>AP$6*'Eurostat Collected Portables'!AP23</f>
        <v>9772.9993368766773</v>
      </c>
      <c r="AQ30" s="67">
        <f>AQ$6*'Eurostat Collected Portables'!AQ23</f>
        <v>10078.320987598094</v>
      </c>
      <c r="AR30" s="67">
        <f>AR$6*'Eurostat Collected Portables'!AR23</f>
        <v>10310.413672439256</v>
      </c>
      <c r="AS30" s="67">
        <f>AS$6*'Eurostat Collected Portables'!AS23</f>
        <v>10477.474655393238</v>
      </c>
      <c r="AT30" s="67">
        <f>AT$6*'Eurostat Collected Portables'!AT23</f>
        <v>10646.145973139925</v>
      </c>
      <c r="AU30" s="67">
        <f>AU$6*'Eurostat Collected Portables'!AU23</f>
        <v>10816.796777029394</v>
      </c>
      <c r="AV30" s="67">
        <f>AV$6*'Eurostat Collected Portables'!AV23</f>
        <v>10987.12971685248</v>
      </c>
      <c r="AW30" s="67">
        <f>AW$6*'Eurostat Collected Portables'!AW23</f>
        <v>11157.082949394526</v>
      </c>
      <c r="AX30" s="67">
        <f>AX$6*'Eurostat Collected Portables'!AX23</f>
        <v>11326.593491399228</v>
      </c>
      <c r="AY30" s="67">
        <f>AY$6*'Eurostat Collected Portables'!AY23</f>
        <v>11497.923127190303</v>
      </c>
      <c r="AZ30" s="67">
        <f>AZ$6*'Eurostat Collected Portables'!AZ23</f>
        <v>11671.096706671537</v>
      </c>
    </row>
    <row r="31" spans="1:52" x14ac:dyDescent="0.35">
      <c r="A31" s="52" t="s">
        <v>21</v>
      </c>
      <c r="B31" s="23">
        <f t="shared" si="1"/>
        <v>293.03980321826526</v>
      </c>
      <c r="C31" s="23">
        <f t="shared" si="1"/>
        <v>298.90059928263059</v>
      </c>
      <c r="D31" s="23">
        <f t="shared" si="1"/>
        <v>304.87861126828324</v>
      </c>
      <c r="E31" s="23">
        <f t="shared" si="1"/>
        <v>310.97618349364893</v>
      </c>
      <c r="F31" s="23">
        <f t="shared" si="1"/>
        <v>317.19570716352194</v>
      </c>
      <c r="G31" s="23">
        <f t="shared" si="1"/>
        <v>323.53962130679241</v>
      </c>
      <c r="H31" s="23">
        <f t="shared" si="1"/>
        <v>330.01041373292827</v>
      </c>
      <c r="I31" s="23">
        <f t="shared" si="1"/>
        <v>336.61062200758687</v>
      </c>
      <c r="J31" s="23">
        <f t="shared" si="1"/>
        <v>343.3428344477386</v>
      </c>
      <c r="K31" s="23">
        <f t="shared" si="1"/>
        <v>350.20969113669338</v>
      </c>
      <c r="L31" s="23">
        <f t="shared" si="1"/>
        <v>357.21388495942728</v>
      </c>
      <c r="M31" s="4">
        <f>$M$6*'Eurostat Collected Portables'!M24</f>
        <v>364.35816265861581</v>
      </c>
      <c r="N31" s="4">
        <f>$N$6*'Eurostat Collected Portables'!N24</f>
        <v>531.7670295510145</v>
      </c>
      <c r="O31" s="4">
        <f>$O$6*'Eurostat Collected Portables'!O24</f>
        <v>643.5537122071496</v>
      </c>
      <c r="P31" s="4">
        <f>$P$6*'Eurostat Collected Portables'!P24</f>
        <v>692.81852003714778</v>
      </c>
      <c r="Q31" s="4">
        <f>$Q$6*'Eurostat Collected Portables'!Q24</f>
        <v>516.48638139205468</v>
      </c>
      <c r="R31" s="4">
        <f>$R$6*'Eurostat Collected Portables'!R24</f>
        <v>1398.1184360060981</v>
      </c>
      <c r="S31" s="4">
        <f>$S$6*'Eurostat Collected Portables'!S24</f>
        <v>827.42539517087118</v>
      </c>
      <c r="T31" s="4">
        <f>$T$6*'Eurostat Collected Portables'!T24</f>
        <v>938.16305559838622</v>
      </c>
      <c r="U31" s="4">
        <f>$U$6*'Eurostat Collected Portables'!U24</f>
        <v>1549.4638738420313</v>
      </c>
      <c r="V31" s="4">
        <f>$V$6*'Eurostat Collected Portables'!V24</f>
        <v>1754.2946285273147</v>
      </c>
      <c r="W31" s="4">
        <f>$W$6*'Eurostat Collected Portables'!W24</f>
        <v>1854.0052045200234</v>
      </c>
      <c r="X31" s="67">
        <f>X$6*'Eurostat Collected Portables'!X24</f>
        <v>1778.5707635832173</v>
      </c>
      <c r="Y31" s="67">
        <f>Y$6*'Eurostat Collected Portables'!Y24</f>
        <v>1818.5336907993169</v>
      </c>
      <c r="Z31" s="67">
        <f>Z$6*'Eurostat Collected Portables'!Z24</f>
        <v>1884.5099544841969</v>
      </c>
      <c r="AA31" s="67">
        <f>AA$6*'Eurostat Collected Portables'!AA24</f>
        <v>1956.3564902303306</v>
      </c>
      <c r="AB31" s="67">
        <f>AB$6*'Eurostat Collected Portables'!AB24</f>
        <v>2026.3025982399672</v>
      </c>
      <c r="AC31" s="67">
        <f>AC$6*'Eurostat Collected Portables'!AC24</f>
        <v>2096.7618865406662</v>
      </c>
      <c r="AD31" s="67">
        <f>AD$6*'Eurostat Collected Portables'!AD24</f>
        <v>2172.1173603196289</v>
      </c>
      <c r="AE31" s="67">
        <f>AE$6*'Eurostat Collected Portables'!AE24</f>
        <v>2263.2649897410547</v>
      </c>
      <c r="AF31" s="67">
        <f>AF$6*'Eurostat Collected Portables'!AF24</f>
        <v>2368.2287484342946</v>
      </c>
      <c r="AG31" s="67">
        <f>AG$6*'Eurostat Collected Portables'!AG24</f>
        <v>2469.0416661124987</v>
      </c>
      <c r="AH31" s="67">
        <f>AH$6*'Eurostat Collected Portables'!AH24</f>
        <v>2562.2406024992611</v>
      </c>
      <c r="AI31" s="67">
        <f>AI$6*'Eurostat Collected Portables'!AI24</f>
        <v>2646.7438448686812</v>
      </c>
      <c r="AJ31" s="67">
        <f>AJ$6*'Eurostat Collected Portables'!AJ24</f>
        <v>2735.1119988251266</v>
      </c>
      <c r="AK31" s="67">
        <f>AK$6*'Eurostat Collected Portables'!AK24</f>
        <v>2827.5793713437452</v>
      </c>
      <c r="AL31" s="67">
        <f>AL$6*'Eurostat Collected Portables'!AL24</f>
        <v>2909.6595399234593</v>
      </c>
      <c r="AM31" s="67">
        <f>AM$6*'Eurostat Collected Portables'!AM24</f>
        <v>2995.3260833291247</v>
      </c>
      <c r="AN31" s="67">
        <f>AN$6*'Eurostat Collected Portables'!AN24</f>
        <v>3084.7467610029876</v>
      </c>
      <c r="AO31" s="67">
        <f>AO$6*'Eurostat Collected Portables'!AO24</f>
        <v>3177.4591755975698</v>
      </c>
      <c r="AP31" s="67">
        <f>AP$6*'Eurostat Collected Portables'!AP24</f>
        <v>3269.0010852278665</v>
      </c>
      <c r="AQ31" s="67">
        <f>AQ$6*'Eurostat Collected Portables'!AQ24</f>
        <v>3335.6811158021846</v>
      </c>
      <c r="AR31" s="67">
        <f>AR$6*'Eurostat Collected Portables'!AR24</f>
        <v>3376.9886190376733</v>
      </c>
      <c r="AS31" s="67">
        <f>AS$6*'Eurostat Collected Portables'!AS24</f>
        <v>3396.3647123330684</v>
      </c>
      <c r="AT31" s="67">
        <f>AT$6*'Eurostat Collected Portables'!AT24</f>
        <v>3415.8624643625767</v>
      </c>
      <c r="AU31" s="67">
        <f>AU$6*'Eurostat Collected Portables'!AU24</f>
        <v>3435.5954408857328</v>
      </c>
      <c r="AV31" s="67">
        <f>AV$6*'Eurostat Collected Portables'!AV24</f>
        <v>3454.8342048715172</v>
      </c>
      <c r="AW31" s="67">
        <f>AW$6*'Eurostat Collected Portables'!AW24</f>
        <v>3473.574167399257</v>
      </c>
      <c r="AX31" s="67">
        <f>AX$6*'Eurostat Collected Portables'!AX24</f>
        <v>3491.8105678714087</v>
      </c>
      <c r="AY31" s="67">
        <f>AY$6*'Eurostat Collected Portables'!AY24</f>
        <v>3510.2485683094351</v>
      </c>
      <c r="AZ31" s="67">
        <f>AZ$6*'Eurostat Collected Portables'!AZ24</f>
        <v>3528.8898726131579</v>
      </c>
    </row>
    <row r="32" spans="1:52" x14ac:dyDescent="0.35">
      <c r="A32" s="52" t="s">
        <v>22</v>
      </c>
      <c r="B32" s="23">
        <f t="shared" si="1"/>
        <v>1439.3805312262816</v>
      </c>
      <c r="C32" s="23">
        <f t="shared" si="1"/>
        <v>1468.1681418508074</v>
      </c>
      <c r="D32" s="23">
        <f t="shared" si="1"/>
        <v>1497.5315046878236</v>
      </c>
      <c r="E32" s="23">
        <f t="shared" si="1"/>
        <v>1527.48213478158</v>
      </c>
      <c r="F32" s="23">
        <f t="shared" si="1"/>
        <v>1558.0317774772116</v>
      </c>
      <c r="G32" s="23">
        <f t="shared" si="1"/>
        <v>1589.1924130267557</v>
      </c>
      <c r="H32" s="23">
        <f t="shared" si="1"/>
        <v>1620.976261287291</v>
      </c>
      <c r="I32" s="23">
        <f t="shared" si="1"/>
        <v>1653.3957865130369</v>
      </c>
      <c r="J32" s="23">
        <f t="shared" si="1"/>
        <v>1686.4637022432976</v>
      </c>
      <c r="K32" s="23">
        <f t="shared" si="1"/>
        <v>1720.1929762881637</v>
      </c>
      <c r="L32" s="23">
        <f t="shared" si="1"/>
        <v>1754.5968358139269</v>
      </c>
      <c r="M32" s="4">
        <f>$M$6*'Eurostat Collected Portables'!M25</f>
        <v>1789.6887725302054</v>
      </c>
      <c r="N32" s="4">
        <f>$N$6*'Eurostat Collected Portables'!N25</f>
        <v>2348.9046651703698</v>
      </c>
      <c r="O32" s="4">
        <f>$O$6*'Eurostat Collected Portables'!O25</f>
        <v>2503.1475677259687</v>
      </c>
      <c r="P32" s="4">
        <f>$P$6*'Eurostat Collected Portables'!P25</f>
        <v>2924.1828320111699</v>
      </c>
      <c r="Q32" s="4">
        <f>$Q$6*'Eurostat Collected Portables'!Q25</f>
        <v>5144.2043586648642</v>
      </c>
      <c r="R32" s="4">
        <f>$R$6*'Eurostat Collected Portables'!R25</f>
        <v>7564.9458425428447</v>
      </c>
      <c r="S32" s="4">
        <f>$S$6*'Eurostat Collected Portables'!S25</f>
        <v>6493.6094988339091</v>
      </c>
      <c r="T32" s="4">
        <f>$T$6*'Eurostat Collected Portables'!T25</f>
        <v>8584.5928831079691</v>
      </c>
      <c r="U32" s="4">
        <f>$U$6*'Eurostat Collected Portables'!U25</f>
        <v>8923.187625866165</v>
      </c>
      <c r="V32" s="4">
        <f>$V$6*'Eurostat Collected Portables'!V25</f>
        <v>8294.5408244113532</v>
      </c>
      <c r="W32" s="4">
        <f>$W$6*'Eurostat Collected Portables'!W25</f>
        <v>7248.4181091049732</v>
      </c>
      <c r="X32" s="67">
        <f>X$6*'Eurostat Collected Portables'!X25</f>
        <v>7770.8119718057569</v>
      </c>
      <c r="Y32" s="67">
        <f>Y$6*'Eurostat Collected Portables'!Y25</f>
        <v>8195.0174043278148</v>
      </c>
      <c r="Z32" s="67">
        <f>Z$6*'Eurostat Collected Portables'!Z25</f>
        <v>8583.1637823635829</v>
      </c>
      <c r="AA32" s="67">
        <f>AA$6*'Eurostat Collected Portables'!AA25</f>
        <v>9004.6897641487576</v>
      </c>
      <c r="AB32" s="67">
        <f>AB$6*'Eurostat Collected Portables'!AB25</f>
        <v>9424.3027686411442</v>
      </c>
      <c r="AC32" s="67">
        <f>AC$6*'Eurostat Collected Portables'!AC25</f>
        <v>9853.0699871717206</v>
      </c>
      <c r="AD32" s="67">
        <f>AD$6*'Eurostat Collected Portables'!AD25</f>
        <v>10311.873429416306</v>
      </c>
      <c r="AE32" s="67">
        <f>AE$6*'Eurostat Collected Portables'!AE25</f>
        <v>10853.673593246811</v>
      </c>
      <c r="AF32" s="67">
        <f>AF$6*'Eurostat Collected Portables'!AF25</f>
        <v>11471.182543999219</v>
      </c>
      <c r="AG32" s="67">
        <f>AG$6*'Eurostat Collected Portables'!AG25</f>
        <v>12078.503988089769</v>
      </c>
      <c r="AH32" s="67">
        <f>AH$6*'Eurostat Collected Portables'!AH25</f>
        <v>12657.929189004251</v>
      </c>
      <c r="AI32" s="67">
        <f>AI$6*'Eurostat Collected Portables'!AI25</f>
        <v>13202.961191589851</v>
      </c>
      <c r="AJ32" s="67">
        <f>AJ$6*'Eurostat Collected Portables'!AJ25</f>
        <v>13775.605091395439</v>
      </c>
      <c r="AK32" s="67">
        <f>AK$6*'Eurostat Collected Portables'!AK25</f>
        <v>14377.61114350684</v>
      </c>
      <c r="AL32" s="67">
        <f>AL$6*'Eurostat Collected Portables'!AL25</f>
        <v>14935.213620261176</v>
      </c>
      <c r="AM32" s="67">
        <f>AM$6*'Eurostat Collected Portables'!AM25</f>
        <v>15519.310122534564</v>
      </c>
      <c r="AN32" s="67">
        <f>AN$6*'Eurostat Collected Portables'!AN25</f>
        <v>16131.296507917577</v>
      </c>
      <c r="AO32" s="67">
        <f>AO$6*'Eurostat Collected Portables'!AO25</f>
        <v>16769.275278488571</v>
      </c>
      <c r="AP32" s="67">
        <f>AP$6*'Eurostat Collected Portables'!AP25</f>
        <v>17409.957523889749</v>
      </c>
      <c r="AQ32" s="67">
        <f>AQ$6*'Eurostat Collected Portables'!AQ25</f>
        <v>17925.857209018021</v>
      </c>
      <c r="AR32" s="67">
        <f>AR$6*'Eurostat Collected Portables'!AR25</f>
        <v>18310.610547395034</v>
      </c>
      <c r="AS32" s="67">
        <f>AS$6*'Eurostat Collected Portables'!AS25</f>
        <v>18579.37292323164</v>
      </c>
      <c r="AT32" s="67">
        <f>AT$6*'Eurostat Collected Portables'!AT25</f>
        <v>18850.674503567479</v>
      </c>
      <c r="AU32" s="67">
        <f>AU$6*'Eurostat Collected Portables'!AU25</f>
        <v>19125.165074256503</v>
      </c>
      <c r="AV32" s="67">
        <f>AV$6*'Eurostat Collected Portables'!AV25</f>
        <v>19398.782882702511</v>
      </c>
      <c r="AW32" s="67">
        <f>AW$6*'Eurostat Collected Portables'!AW25</f>
        <v>19671.430479214137</v>
      </c>
      <c r="AX32" s="67">
        <f>AX$6*'Eurostat Collected Portables'!AX25</f>
        <v>19943.008548862337</v>
      </c>
      <c r="AY32" s="67">
        <f>AY$6*'Eurostat Collected Portables'!AY25</f>
        <v>20217.505704544117</v>
      </c>
      <c r="AZ32" s="67">
        <f>AZ$6*'Eurostat Collected Portables'!AZ25</f>
        <v>20494.96099294709</v>
      </c>
    </row>
    <row r="33" spans="1:52" x14ac:dyDescent="0.35">
      <c r="A33" s="52" t="s">
        <v>23</v>
      </c>
      <c r="B33" s="23">
        <f t="shared" si="1"/>
        <v>265.28493198834161</v>
      </c>
      <c r="C33" s="23">
        <f t="shared" si="1"/>
        <v>270.59063062810844</v>
      </c>
      <c r="D33" s="23">
        <f t="shared" si="1"/>
        <v>276.00244324067063</v>
      </c>
      <c r="E33" s="23">
        <f t="shared" si="1"/>
        <v>281.52249210548405</v>
      </c>
      <c r="F33" s="23">
        <f t="shared" si="1"/>
        <v>287.15294194759372</v>
      </c>
      <c r="G33" s="23">
        <f t="shared" si="1"/>
        <v>292.89600078654559</v>
      </c>
      <c r="H33" s="23">
        <f t="shared" si="1"/>
        <v>298.75392080227653</v>
      </c>
      <c r="I33" s="23">
        <f t="shared" si="1"/>
        <v>304.72899921832209</v>
      </c>
      <c r="J33" s="23">
        <f t="shared" si="1"/>
        <v>310.82357920268851</v>
      </c>
      <c r="K33" s="23">
        <f t="shared" si="1"/>
        <v>317.04005078674226</v>
      </c>
      <c r="L33" s="23">
        <f t="shared" si="1"/>
        <v>323.38085180247708</v>
      </c>
      <c r="M33" s="4">
        <f>$M$6*'Eurostat Collected Portables'!M26</f>
        <v>329.84846883852663</v>
      </c>
      <c r="N33" s="4">
        <f>$N$6*'Eurostat Collected Portables'!N26</f>
        <v>358.7825741549014</v>
      </c>
      <c r="O33" s="4">
        <f>$O$6*'Eurostat Collected Portables'!O26</f>
        <v>383.76331795420208</v>
      </c>
      <c r="P33" s="4">
        <f>$P$6*'Eurostat Collected Portables'!P26</f>
        <v>385.42463742680917</v>
      </c>
      <c r="Q33" s="4">
        <f>$Q$6*'Eurostat Collected Portables'!Q26</f>
        <v>418.75126614401967</v>
      </c>
      <c r="R33" s="4">
        <f>$R$6*'Eurostat Collected Portables'!R26</f>
        <v>559.40473157025087</v>
      </c>
      <c r="S33" s="4">
        <f>$S$6*'Eurostat Collected Portables'!S26</f>
        <v>571.93143462235855</v>
      </c>
      <c r="T33" s="4">
        <f>$T$6*'Eurostat Collected Portables'!T26</f>
        <v>536.43682409856444</v>
      </c>
      <c r="U33" s="4">
        <f>$U$6*'Eurostat Collected Portables'!U26</f>
        <v>601.10576867751138</v>
      </c>
      <c r="V33" s="4">
        <f>$V$6*'Eurostat Collected Portables'!V26</f>
        <v>293.26424638888329</v>
      </c>
      <c r="W33" s="4">
        <f>$W$6*'Eurostat Collected Portables'!W26</f>
        <v>340.79217491607835</v>
      </c>
      <c r="X33" s="67">
        <f>X$6*'Eurostat Collected Portables'!X26</f>
        <v>399.71476559962423</v>
      </c>
      <c r="Y33" s="67">
        <f>Y$6*'Eurostat Collected Portables'!Y26</f>
        <v>466.70762981815562</v>
      </c>
      <c r="Z33" s="67">
        <f>Z$6*'Eurostat Collected Portables'!Z26</f>
        <v>521.53598198330121</v>
      </c>
      <c r="AA33" s="67">
        <f>AA$6*'Eurostat Collected Portables'!AA26</f>
        <v>580.76044957899364</v>
      </c>
      <c r="AB33" s="67">
        <f>AB$6*'Eurostat Collected Portables'!AB26</f>
        <v>642.27211487674651</v>
      </c>
      <c r="AC33" s="67">
        <f>AC$6*'Eurostat Collected Portables'!AC26</f>
        <v>706.7699002846141</v>
      </c>
      <c r="AD33" s="67">
        <f>AD$6*'Eurostat Collected Portables'!AD26</f>
        <v>775.85031384273464</v>
      </c>
      <c r="AE33" s="67">
        <f>AE$6*'Eurostat Collected Portables'!AE26</f>
        <v>853.91973328903885</v>
      </c>
      <c r="AF33" s="67">
        <f>AF$6*'Eurostat Collected Portables'!AF26</f>
        <v>941.14558523171286</v>
      </c>
      <c r="AG33" s="67">
        <f>AG$6*'Eurostat Collected Portables'!AG26</f>
        <v>1030.8599041826524</v>
      </c>
      <c r="AH33" s="67">
        <f>AH$6*'Eurostat Collected Portables'!AH26</f>
        <v>1121.2967266266448</v>
      </c>
      <c r="AI33" s="67">
        <f>AI$6*'Eurostat Collected Portables'!AI26</f>
        <v>1211.5015809080469</v>
      </c>
      <c r="AJ33" s="67">
        <f>AJ$6*'Eurostat Collected Portables'!AJ26</f>
        <v>1306.9518603258421</v>
      </c>
      <c r="AK33" s="67">
        <f>AK$6*'Eurostat Collected Portables'!AK26</f>
        <v>1407.9974007528504</v>
      </c>
      <c r="AL33" s="67">
        <f>AL$6*'Eurostat Collected Portables'!AL26</f>
        <v>1507.3806516795846</v>
      </c>
      <c r="AM33" s="67">
        <f>AM$6*'Eurostat Collected Portables'!AM26</f>
        <v>1611.9951371427617</v>
      </c>
      <c r="AN33" s="67">
        <f>AN$6*'Eurostat Collected Portables'!AN26</f>
        <v>1722.1508725977005</v>
      </c>
      <c r="AO33" s="67">
        <f>AO$6*'Eurostat Collected Portables'!AO26</f>
        <v>1837.8068919727677</v>
      </c>
      <c r="AP33" s="67">
        <f>AP$6*'Eurostat Collected Portables'!AP26</f>
        <v>1956.4911355933236</v>
      </c>
      <c r="AQ33" s="67">
        <f>AQ$6*'Eurostat Collected Portables'!AQ26</f>
        <v>2063.4773277443228</v>
      </c>
      <c r="AR33" s="67">
        <f>AR$6*'Eurostat Collected Portables'!AR26</f>
        <v>2156.9394414922062</v>
      </c>
      <c r="AS33" s="67">
        <f>AS$6*'Eurostat Collected Portables'!AS26</f>
        <v>2237.6139013073703</v>
      </c>
      <c r="AT33" s="67">
        <f>AT$6*'Eurostat Collected Portables'!AT26</f>
        <v>2319.1502401112766</v>
      </c>
      <c r="AU33" s="67">
        <f>AU$6*'Eurostat Collected Portables'!AU26</f>
        <v>2401.6351848868226</v>
      </c>
      <c r="AV33" s="67">
        <f>AV$6*'Eurostat Collected Portables'!AV26</f>
        <v>2484.5583485893399</v>
      </c>
      <c r="AW33" s="67">
        <f>AW$6*'Eurostat Collected Portables'!AW26</f>
        <v>2567.8865239464899</v>
      </c>
      <c r="AX33" s="67">
        <f>AX$6*'Eurostat Collected Portables'!AX26</f>
        <v>2651.5860041986843</v>
      </c>
      <c r="AY33" s="67">
        <f>AY$6*'Eurostat Collected Portables'!AY26</f>
        <v>2736.1760716600556</v>
      </c>
      <c r="AZ33" s="67">
        <f>AZ$6*'Eurostat Collected Portables'!AZ26</f>
        <v>2821.6702508758567</v>
      </c>
    </row>
    <row r="34" spans="1:52" x14ac:dyDescent="0.35">
      <c r="A34" s="52" t="s">
        <v>24</v>
      </c>
      <c r="B34" s="23">
        <f t="shared" si="1"/>
        <v>102.62847733855551</v>
      </c>
      <c r="C34" s="23">
        <f t="shared" si="1"/>
        <v>104.68104688532662</v>
      </c>
      <c r="D34" s="23">
        <f t="shared" si="1"/>
        <v>106.77466782303316</v>
      </c>
      <c r="E34" s="23">
        <f t="shared" si="1"/>
        <v>108.91016117949383</v>
      </c>
      <c r="F34" s="23">
        <f t="shared" si="1"/>
        <v>111.0883644030837</v>
      </c>
      <c r="G34" s="23">
        <f t="shared" si="1"/>
        <v>113.31013169114537</v>
      </c>
      <c r="H34" s="23">
        <f t="shared" si="1"/>
        <v>115.57633432496829</v>
      </c>
      <c r="I34" s="23">
        <f t="shared" si="1"/>
        <v>117.88786101146765</v>
      </c>
      <c r="J34" s="23">
        <f t="shared" si="1"/>
        <v>120.24561823169701</v>
      </c>
      <c r="K34" s="23">
        <f t="shared" si="1"/>
        <v>122.65053059633095</v>
      </c>
      <c r="L34" s="23">
        <f t="shared" si="1"/>
        <v>125.10354120825757</v>
      </c>
      <c r="M34" s="4">
        <f>$M$6*'Eurostat Collected Portables'!M27</f>
        <v>127.60561203242273</v>
      </c>
      <c r="N34" s="4">
        <f>$N$6*'Eurostat Collected Portables'!N27</f>
        <v>249.86643557216345</v>
      </c>
      <c r="O34" s="4">
        <f>$O$6*'Eurostat Collected Portables'!O27</f>
        <v>368.76022527698024</v>
      </c>
      <c r="P34" s="4">
        <f>$P$6*'Eurostat Collected Portables'!P27</f>
        <v>613.99957577808664</v>
      </c>
      <c r="Q34" s="4">
        <f>$Q$6*'Eurostat Collected Portables'!Q27</f>
        <v>402.06478305289176</v>
      </c>
      <c r="R34" s="4">
        <f>$R$6*'Eurostat Collected Portables'!R27</f>
        <v>602.67795271844193</v>
      </c>
      <c r="S34" s="4">
        <f>$S$6*'Eurostat Collected Portables'!S27</f>
        <v>1099.3272247454349</v>
      </c>
      <c r="T34" s="4">
        <f>$T$6*'Eurostat Collected Portables'!T27</f>
        <v>1234.8470988218075</v>
      </c>
      <c r="U34" s="4">
        <f>$U$6*'Eurostat Collected Portables'!U27</f>
        <v>1501.5669998438232</v>
      </c>
      <c r="V34" s="4">
        <f>$V$6*'Eurostat Collected Portables'!V27</f>
        <v>1581.208256302948</v>
      </c>
      <c r="W34" s="4">
        <f>$W$6*'Eurostat Collected Portables'!W27</f>
        <v>2543.5706357319477</v>
      </c>
      <c r="X34" s="67">
        <f>X$6*'Eurostat Collected Portables'!X27</f>
        <v>3062.7846643828475</v>
      </c>
      <c r="Y34" s="67">
        <f>Y$6*'Eurostat Collected Portables'!Y27</f>
        <v>3446.6895081435118</v>
      </c>
      <c r="Z34" s="67">
        <f>Z$6*'Eurostat Collected Portables'!Z27</f>
        <v>3573.1175795132226</v>
      </c>
      <c r="AA34" s="67">
        <f>AA$6*'Eurostat Collected Portables'!AA27</f>
        <v>3710.7770608444785</v>
      </c>
      <c r="AB34" s="67">
        <f>AB$6*'Eurostat Collected Portables'!AB27</f>
        <v>3844.9358658754099</v>
      </c>
      <c r="AC34" s="67">
        <f>AC$6*'Eurostat Collected Portables'!AC27</f>
        <v>3980.1714358520767</v>
      </c>
      <c r="AD34" s="67">
        <f>AD$6*'Eurostat Collected Portables'!AD27</f>
        <v>4124.8081407857544</v>
      </c>
      <c r="AE34" s="67">
        <f>AE$6*'Eurostat Collected Portables'!AE27</f>
        <v>4299.5559819859527</v>
      </c>
      <c r="AF34" s="67">
        <f>AF$6*'Eurostat Collected Portables'!AF27</f>
        <v>4500.6943795241023</v>
      </c>
      <c r="AG34" s="67">
        <f>AG$6*'Eurostat Collected Portables'!AG27</f>
        <v>4694.0952753219763</v>
      </c>
      <c r="AH34" s="67">
        <f>AH$6*'Eurostat Collected Portables'!AH27</f>
        <v>4873.1629372335165</v>
      </c>
      <c r="AI34" s="67">
        <f>AI$6*'Eurostat Collected Portables'!AI27</f>
        <v>5035.8224900638152</v>
      </c>
      <c r="AJ34" s="67">
        <f>AJ$6*'Eurostat Collected Portables'!AJ27</f>
        <v>5205.9624250739107</v>
      </c>
      <c r="AK34" s="67">
        <f>AK$6*'Eurostat Collected Portables'!AK27</f>
        <v>5384.0373954460783</v>
      </c>
      <c r="AL34" s="67">
        <f>AL$6*'Eurostat Collected Portables'!AL27</f>
        <v>5542.461975524614</v>
      </c>
      <c r="AM34" s="67">
        <f>AM$6*'Eurostat Collected Portables'!AM27</f>
        <v>5707.8411136200521</v>
      </c>
      <c r="AN34" s="67">
        <f>AN$6*'Eurostat Collected Portables'!AN27</f>
        <v>5880.5025049410688</v>
      </c>
      <c r="AO34" s="67">
        <f>AO$6*'Eurostat Collected Portables'!AO27</f>
        <v>6059.5725966336558</v>
      </c>
      <c r="AP34" s="67">
        <f>AP$6*'Eurostat Collected Portables'!AP27</f>
        <v>6236.5456424543827</v>
      </c>
      <c r="AQ34" s="67">
        <f>AQ$6*'Eurostat Collected Portables'!AQ27</f>
        <v>6366.20367932103</v>
      </c>
      <c r="AR34" s="67">
        <f>AR$6*'Eurostat Collected Portables'!AR27</f>
        <v>6447.5170372415323</v>
      </c>
      <c r="AS34" s="67">
        <f>AS$6*'Eurostat Collected Portables'!AS27</f>
        <v>6487.0023571565398</v>
      </c>
      <c r="AT34" s="67">
        <f>AT$6*'Eurostat Collected Portables'!AT27</f>
        <v>6526.7485603846008</v>
      </c>
      <c r="AU34" s="67">
        <f>AU$6*'Eurostat Collected Portables'!AU27</f>
        <v>6566.9729900710163</v>
      </c>
      <c r="AV34" s="67">
        <f>AV$6*'Eurostat Collected Portables'!AV27</f>
        <v>6606.2813455031528</v>
      </c>
      <c r="AW34" s="67">
        <f>AW$6*'Eurostat Collected Portables'!AW27</f>
        <v>6644.6637608172132</v>
      </c>
      <c r="AX34" s="67">
        <f>AX$6*'Eurostat Collected Portables'!AX27</f>
        <v>6682.1100281542649</v>
      </c>
      <c r="AY34" s="67">
        <f>AY$6*'Eurostat Collected Portables'!AY27</f>
        <v>6719.9689912604154</v>
      </c>
      <c r="AZ34" s="67">
        <f>AZ$6*'Eurostat Collected Portables'!AZ27</f>
        <v>6758.244356975837</v>
      </c>
    </row>
    <row r="35" spans="1:52" x14ac:dyDescent="0.35">
      <c r="A35" s="52" t="s">
        <v>25</v>
      </c>
      <c r="B35" s="23">
        <f t="shared" si="1"/>
        <v>272.38501532622911</v>
      </c>
      <c r="C35" s="23">
        <f t="shared" si="1"/>
        <v>277.83271563275372</v>
      </c>
      <c r="D35" s="23">
        <f t="shared" si="1"/>
        <v>283.38936994540882</v>
      </c>
      <c r="E35" s="23">
        <f t="shared" si="1"/>
        <v>289.05715734431698</v>
      </c>
      <c r="F35" s="23">
        <f t="shared" si="1"/>
        <v>294.83830049120331</v>
      </c>
      <c r="G35" s="23">
        <f t="shared" si="1"/>
        <v>300.7350665010274</v>
      </c>
      <c r="H35" s="23">
        <f t="shared" si="1"/>
        <v>306.74976783104796</v>
      </c>
      <c r="I35" s="23">
        <f t="shared" si="1"/>
        <v>312.88476318766891</v>
      </c>
      <c r="J35" s="23">
        <f t="shared" si="1"/>
        <v>319.14245845142227</v>
      </c>
      <c r="K35" s="23">
        <f t="shared" si="1"/>
        <v>325.52530762045075</v>
      </c>
      <c r="L35" s="23">
        <f t="shared" si="1"/>
        <v>332.03581377285974</v>
      </c>
      <c r="M35" s="4">
        <f>$M$6*'Eurostat Collected Portables'!M28</f>
        <v>338.67653004831692</v>
      </c>
      <c r="N35" s="4">
        <f>$N$6*'Eurostat Collected Portables'!N28</f>
        <v>474.10554441897682</v>
      </c>
      <c r="O35" s="4">
        <f>$O$6*'Eurostat Collected Portables'!O28</f>
        <v>369.5498617336761</v>
      </c>
      <c r="P35" s="4">
        <f>$P$6*'Eurostat Collected Portables'!P28</f>
        <v>486.31288607840753</v>
      </c>
      <c r="Q35" s="4">
        <f>$Q$6*'Eurostat Collected Portables'!Q28</f>
        <v>382.99451666303128</v>
      </c>
      <c r="R35" s="4">
        <f>$R$6*'Eurostat Collected Portables'!R28</f>
        <v>376.08363106973269</v>
      </c>
      <c r="S35" s="4">
        <f>$S$6*'Eurostat Collected Portables'!S28</f>
        <v>862.58511451240952</v>
      </c>
      <c r="T35" s="4">
        <f>$T$6*'Eurostat Collected Portables'!T28</f>
        <v>651.90304632605819</v>
      </c>
      <c r="U35" s="4">
        <f>$U$6*'Eurostat Collected Portables'!U28</f>
        <v>711.26857887338986</v>
      </c>
      <c r="V35" s="4">
        <f>$V$6*'Eurostat Collected Portables'!V28</f>
        <v>696.88050301688247</v>
      </c>
      <c r="W35" s="4">
        <f>$W$6*'Eurostat Collected Portables'!W28</f>
        <v>761.39516362983306</v>
      </c>
      <c r="X35" s="67">
        <f>X$6*'Eurostat Collected Portables'!X28</f>
        <v>864.51410114484395</v>
      </c>
      <c r="Y35" s="67">
        <f>Y$6*'Eurostat Collected Portables'!Y28</f>
        <v>923.82885801265911</v>
      </c>
      <c r="Z35" s="67">
        <f>Z$6*'Eurostat Collected Portables'!Z28</f>
        <v>966.02953469379122</v>
      </c>
      <c r="AA35" s="67">
        <f>AA$6*'Eurostat Collected Portables'!AA28</f>
        <v>1011.8745232057111</v>
      </c>
      <c r="AB35" s="67">
        <f>AB$6*'Eurostat Collected Portables'!AB28</f>
        <v>1057.3899765598474</v>
      </c>
      <c r="AC35" s="67">
        <f>AC$6*'Eurostat Collected Portables'!AC28</f>
        <v>1103.8202428535353</v>
      </c>
      <c r="AD35" s="67">
        <f>AD$6*'Eurostat Collected Portables'!AD28</f>
        <v>1153.5000056450112</v>
      </c>
      <c r="AE35" s="67">
        <f>AE$6*'Eurostat Collected Portables'!AE28</f>
        <v>1212.3334543723322</v>
      </c>
      <c r="AF35" s="67">
        <f>AF$6*'Eurostat Collected Portables'!AF28</f>
        <v>1279.4713321327456</v>
      </c>
      <c r="AG35" s="67">
        <f>AG$6*'Eurostat Collected Portables'!AG28</f>
        <v>1345.314919533077</v>
      </c>
      <c r="AH35" s="67">
        <f>AH$6*'Eurostat Collected Portables'!AH28</f>
        <v>1407.90390097251</v>
      </c>
      <c r="AI35" s="67">
        <f>AI$6*'Eurostat Collected Portables'!AI28</f>
        <v>1466.5336498126696</v>
      </c>
      <c r="AJ35" s="67">
        <f>AJ$6*'Eurostat Collected Portables'!AJ28</f>
        <v>1528.1015359646015</v>
      </c>
      <c r="AK35" s="67">
        <f>AK$6*'Eurostat Collected Portables'!AK28</f>
        <v>1592.7929770855501</v>
      </c>
      <c r="AL35" s="67">
        <f>AL$6*'Eurostat Collected Portables'!AL28</f>
        <v>1652.4375953168339</v>
      </c>
      <c r="AM35" s="67">
        <f>AM$6*'Eurostat Collected Portables'!AM28</f>
        <v>1714.8919812327954</v>
      </c>
      <c r="AN35" s="67">
        <f>AN$6*'Eurostat Collected Portables'!AN28</f>
        <v>1780.3025343944137</v>
      </c>
      <c r="AO35" s="67">
        <f>AO$6*'Eurostat Collected Portables'!AO28</f>
        <v>1848.4521598246233</v>
      </c>
      <c r="AP35" s="67">
        <f>AP$6*'Eurostat Collected Portables'!AP28</f>
        <v>1916.7699412098841</v>
      </c>
      <c r="AQ35" s="67">
        <f>AQ$6*'Eurostat Collected Portables'!AQ28</f>
        <v>1971.2391485622732</v>
      </c>
      <c r="AR35" s="67">
        <f>AR$6*'Eurostat Collected Portables'!AR28</f>
        <v>2011.2119512719553</v>
      </c>
      <c r="AS35" s="67">
        <f>AS$6*'Eurostat Collected Portables'!AS28</f>
        <v>2038.4028449406883</v>
      </c>
      <c r="AT35" s="67">
        <f>AT$6*'Eurostat Collected Portables'!AT28</f>
        <v>2065.8458939942279</v>
      </c>
      <c r="AU35" s="67">
        <f>AU$6*'Eurostat Collected Portables'!AU28</f>
        <v>2093.6119859788901</v>
      </c>
      <c r="AV35" s="67">
        <f>AV$6*'Eurostat Collected Portables'!AV28</f>
        <v>2121.2565009266177</v>
      </c>
      <c r="AW35" s="67">
        <f>AW$6*'Eurostat Collected Portables'!AW28</f>
        <v>2148.7697677888659</v>
      </c>
      <c r="AX35" s="67">
        <f>AX$6*'Eurostat Collected Portables'!AX28</f>
        <v>2176.141923938806</v>
      </c>
      <c r="AY35" s="67">
        <f>AY$6*'Eurostat Collected Portables'!AY28</f>
        <v>2203.8087235202447</v>
      </c>
      <c r="AZ35" s="67">
        <f>AZ$6*'Eurostat Collected Portables'!AZ28</f>
        <v>2231.7740311805564</v>
      </c>
    </row>
    <row r="36" spans="1:52" x14ac:dyDescent="0.35">
      <c r="A36" s="52" t="s">
        <v>26</v>
      </c>
      <c r="B36" s="23">
        <f t="shared" si="1"/>
        <v>165.88376525791676</v>
      </c>
      <c r="C36" s="23">
        <f t="shared" si="1"/>
        <v>169.2014405630751</v>
      </c>
      <c r="D36" s="23">
        <f t="shared" si="1"/>
        <v>172.58546937433661</v>
      </c>
      <c r="E36" s="23">
        <f t="shared" si="1"/>
        <v>176.03717876182336</v>
      </c>
      <c r="F36" s="23">
        <f t="shared" si="1"/>
        <v>179.55792233705984</v>
      </c>
      <c r="G36" s="23">
        <f t="shared" si="1"/>
        <v>183.14908078380103</v>
      </c>
      <c r="H36" s="23">
        <f t="shared" si="1"/>
        <v>186.81206239947704</v>
      </c>
      <c r="I36" s="23">
        <f t="shared" si="1"/>
        <v>190.54830364746658</v>
      </c>
      <c r="J36" s="23">
        <f t="shared" si="1"/>
        <v>194.35926972041591</v>
      </c>
      <c r="K36" s="23">
        <f t="shared" si="1"/>
        <v>198.24645511482424</v>
      </c>
      <c r="L36" s="23">
        <f t="shared" si="1"/>
        <v>202.21138421712072</v>
      </c>
      <c r="M36" s="4">
        <f>$M$6*'Eurostat Collected Portables'!M29</f>
        <v>206.25561190146314</v>
      </c>
      <c r="N36" s="4">
        <f>$N$6*'Eurostat Collected Portables'!N29</f>
        <v>218.63313112564302</v>
      </c>
      <c r="O36" s="4">
        <f>$O$6*'Eurostat Collected Portables'!O29</f>
        <v>180.03711212666272</v>
      </c>
      <c r="P36" s="4">
        <f>$P$6*'Eurostat Collected Portables'!P29</f>
        <v>165.51978294402849</v>
      </c>
      <c r="Q36" s="4">
        <f>$Q$6*'Eurostat Collected Portables'!Q29</f>
        <v>196.26482492898077</v>
      </c>
      <c r="R36" s="4">
        <f>$R$6*'Eurostat Collected Portables'!R29</f>
        <v>210.85860486754885</v>
      </c>
      <c r="S36" s="4">
        <f>$S$6*'Eurostat Collected Portables'!S29</f>
        <v>211.73964314570924</v>
      </c>
      <c r="T36" s="4">
        <f>$T$6*'Eurostat Collected Portables'!T29</f>
        <v>256.59160494998599</v>
      </c>
      <c r="U36" s="4">
        <f>$U$6*'Eurostat Collected Portables'!U29</f>
        <v>245.07233862416464</v>
      </c>
      <c r="V36" s="4">
        <f>$V$6*'Eurostat Collected Portables'!V29</f>
        <v>259.25164049326537</v>
      </c>
      <c r="W36" s="4">
        <f>$W$6*'Eurostat Collected Portables'!W29</f>
        <v>276.14541573996041</v>
      </c>
      <c r="X36" s="67">
        <f>X$6*'Eurostat Collected Portables'!X29</f>
        <v>296.39881804820635</v>
      </c>
      <c r="Y36" s="67">
        <f>Y$6*'Eurostat Collected Portables'!Y29</f>
        <v>314.56596946615014</v>
      </c>
      <c r="Z36" s="67">
        <f>Z$6*'Eurostat Collected Portables'!Z29</f>
        <v>331.0950186435357</v>
      </c>
      <c r="AA36" s="67">
        <f>AA$6*'Eurostat Collected Portables'!AA29</f>
        <v>349.02963465985488</v>
      </c>
      <c r="AB36" s="67">
        <f>AB$6*'Eurostat Collected Portables'!AB29</f>
        <v>367.01017939249749</v>
      </c>
      <c r="AC36" s="67">
        <f>AC$6*'Eurostat Collected Portables'!AC29</f>
        <v>385.46488663150029</v>
      </c>
      <c r="AD36" s="67">
        <f>AD$6*'Eurostat Collected Portables'!AD29</f>
        <v>405.21560033155919</v>
      </c>
      <c r="AE36" s="67">
        <f>AE$6*'Eurostat Collected Portables'!AE29</f>
        <v>428.36446374542982</v>
      </c>
      <c r="AF36" s="67">
        <f>AF$6*'Eurostat Collected Portables'!AF29</f>
        <v>454.66074401139377</v>
      </c>
      <c r="AG36" s="67">
        <f>AG$6*'Eurostat Collected Portables'!AG29</f>
        <v>480.71883427972261</v>
      </c>
      <c r="AH36" s="67">
        <f>AH$6*'Eurostat Collected Portables'!AH29</f>
        <v>505.82125365130162</v>
      </c>
      <c r="AI36" s="67">
        <f>AI$6*'Eurostat Collected Portables'!AI29</f>
        <v>529.68950232282543</v>
      </c>
      <c r="AJ36" s="67">
        <f>AJ$6*'Eurostat Collected Portables'!AJ29</f>
        <v>554.80059278591943</v>
      </c>
      <c r="AK36" s="67">
        <f>AK$6*'Eurostat Collected Portables'!AK29</f>
        <v>581.2341697131684</v>
      </c>
      <c r="AL36" s="67">
        <f>AL$6*'Eurostat Collected Portables'!AL29</f>
        <v>606.00647699452941</v>
      </c>
      <c r="AM36" s="67">
        <f>AM$6*'Eurostat Collected Portables'!AM29</f>
        <v>631.98118088627962</v>
      </c>
      <c r="AN36" s="67">
        <f>AN$6*'Eurostat Collected Portables'!AN29</f>
        <v>659.22334430965759</v>
      </c>
      <c r="AO36" s="67">
        <f>AO$6*'Eurostat Collected Portables'!AO29</f>
        <v>687.66347402780593</v>
      </c>
      <c r="AP36" s="67">
        <f>AP$6*'Eurostat Collected Portables'!AP29</f>
        <v>716.35055151265954</v>
      </c>
      <c r="AQ36" s="67">
        <f>AQ$6*'Eurostat Collected Portables'!AQ29</f>
        <v>740.01912363319354</v>
      </c>
      <c r="AR36" s="67">
        <f>AR$6*'Eurostat Collected Portables'!AR29</f>
        <v>758.35200993415458</v>
      </c>
      <c r="AS36" s="67">
        <f>AS$6*'Eurostat Collected Portables'!AS29</f>
        <v>771.92464011732386</v>
      </c>
      <c r="AT36" s="67">
        <f>AT$6*'Eurostat Collected Portables'!AT29</f>
        <v>785.63046696230788</v>
      </c>
      <c r="AU36" s="67">
        <f>AU$6*'Eurostat Collected Portables'!AU29</f>
        <v>799.4969092846211</v>
      </c>
      <c r="AV36" s="67">
        <f>AV$6*'Eurostat Collected Portables'!AV29</f>
        <v>813.35415537990934</v>
      </c>
      <c r="AW36" s="67">
        <f>AW$6*'Eurostat Collected Portables'!AW29</f>
        <v>827.19708694342512</v>
      </c>
      <c r="AX36" s="67">
        <f>AX$6*'Eurostat Collected Portables'!AX29</f>
        <v>841.02049448378102</v>
      </c>
      <c r="AY36" s="67">
        <f>AY$6*'Eurostat Collected Portables'!AY29</f>
        <v>854.99203281961786</v>
      </c>
      <c r="AZ36" s="67">
        <f>AZ$6*'Eurostat Collected Portables'!AZ29</f>
        <v>869.11376368441063</v>
      </c>
    </row>
    <row r="37" spans="1:52" x14ac:dyDescent="0.35">
      <c r="A37" s="52" t="s">
        <v>27</v>
      </c>
      <c r="B37" s="23">
        <f t="shared" si="1"/>
        <v>2340.445653016367</v>
      </c>
      <c r="C37" s="23">
        <f t="shared" si="1"/>
        <v>2387.2545660766946</v>
      </c>
      <c r="D37" s="23">
        <f t="shared" si="1"/>
        <v>2434.9996573982285</v>
      </c>
      <c r="E37" s="23">
        <f t="shared" si="1"/>
        <v>2483.699650546193</v>
      </c>
      <c r="F37" s="23">
        <f t="shared" si="1"/>
        <v>2533.3736435571168</v>
      </c>
      <c r="G37" s="23">
        <f t="shared" si="1"/>
        <v>2584.0411164282591</v>
      </c>
      <c r="H37" s="23">
        <f t="shared" si="1"/>
        <v>2635.7219387568243</v>
      </c>
      <c r="I37" s="23">
        <f t="shared" si="1"/>
        <v>2688.4363775319607</v>
      </c>
      <c r="J37" s="23">
        <f t="shared" si="1"/>
        <v>2742.2051050825999</v>
      </c>
      <c r="K37" s="23">
        <f t="shared" si="1"/>
        <v>2797.0492071842518</v>
      </c>
      <c r="L37" s="23">
        <f t="shared" si="1"/>
        <v>2852.9901913279368</v>
      </c>
      <c r="M37" s="4">
        <f>$M$6*'Eurostat Collected Portables'!M30</f>
        <v>2910.0499951544957</v>
      </c>
      <c r="N37" s="4">
        <f>$N$6*'Eurostat Collected Portables'!N30</f>
        <v>3172.1825362222417</v>
      </c>
      <c r="O37" s="4">
        <f>$O$6*'Eurostat Collected Portables'!O30</f>
        <v>2919.2859804047021</v>
      </c>
      <c r="P37" s="4">
        <f>$P$6*'Eurostat Collected Portables'!P30</f>
        <v>3055.0222794812116</v>
      </c>
      <c r="Q37" s="4">
        <f>$Q$6*'Eurostat Collected Portables'!Q30</f>
        <v>3742.5397790101192</v>
      </c>
      <c r="R37" s="4">
        <f>$R$6*'Eurostat Collected Portables'!R30</f>
        <v>3549.19091999072</v>
      </c>
      <c r="S37" s="4">
        <f>$S$6*'Eurostat Collected Portables'!S30</f>
        <v>3648.7975405552106</v>
      </c>
      <c r="T37" s="4">
        <f>$T$6*'Eurostat Collected Portables'!T30</f>
        <v>3682.089531032299</v>
      </c>
      <c r="U37" s="4">
        <f>$U$6*'Eurostat Collected Portables'!U30</f>
        <v>4582.1342791619054</v>
      </c>
      <c r="V37" s="4">
        <f>$V$6*'Eurostat Collected Portables'!V30</f>
        <v>4143.4912337728301</v>
      </c>
      <c r="W37" s="4">
        <f>$W$6*'Eurostat Collected Portables'!W30</f>
        <v>5964.2621151003596</v>
      </c>
      <c r="X37" s="67">
        <f>X$6*'Eurostat Collected Portables'!X30</f>
        <v>6580.180541479991</v>
      </c>
      <c r="Y37" s="67">
        <f>Y$6*'Eurostat Collected Portables'!Y30</f>
        <v>6918.4154077722205</v>
      </c>
      <c r="Z37" s="67">
        <f>Z$6*'Eurostat Collected Portables'!Z30</f>
        <v>7183.1041833975351</v>
      </c>
      <c r="AA37" s="67">
        <f>AA$6*'Eurostat Collected Portables'!AA30</f>
        <v>7474.4535601159105</v>
      </c>
      <c r="AB37" s="67">
        <f>AB$6*'Eurostat Collected Portables'!AB30</f>
        <v>7798.5249192462024</v>
      </c>
      <c r="AC37" s="67">
        <f>AC$6*'Eurostat Collected Portables'!AC30</f>
        <v>8155.5885856514178</v>
      </c>
      <c r="AD37" s="67">
        <f>AD$6*'Eurostat Collected Portables'!AD30</f>
        <v>8544.2676987082341</v>
      </c>
      <c r="AE37" s="67">
        <f>AE$6*'Eurostat Collected Portables'!AE30</f>
        <v>8973.2801967101223</v>
      </c>
      <c r="AF37" s="67">
        <f>AF$6*'Eurostat Collected Portables'!AF30</f>
        <v>9442.253877160907</v>
      </c>
      <c r="AG37" s="67">
        <f>AG$6*'Eurostat Collected Portables'!AG30</f>
        <v>9892.7080147261931</v>
      </c>
      <c r="AH37" s="67">
        <f>AH$6*'Eurostat Collected Portables'!AH30</f>
        <v>10316.585964665885</v>
      </c>
      <c r="AI37" s="67">
        <f>AI$6*'Eurostat Collected Portables'!AI30</f>
        <v>10708.80047708731</v>
      </c>
      <c r="AJ37" s="67">
        <f>AJ$6*'Eurostat Collected Portables'!AJ30</f>
        <v>11119.812003300896</v>
      </c>
      <c r="AK37" s="67">
        <f>AK$6*'Eurostat Collected Portables'!AK30</f>
        <v>11550.993165049556</v>
      </c>
      <c r="AL37" s="67">
        <f>AL$6*'Eurostat Collected Portables'!AL30</f>
        <v>11943.120364646005</v>
      </c>
      <c r="AM37" s="67">
        <f>AM$6*'Eurostat Collected Portables'!AM30</f>
        <v>12353.212562831504</v>
      </c>
      <c r="AN37" s="67">
        <f>AN$6*'Eurostat Collected Portables'!AN30</f>
        <v>12782.173043865396</v>
      </c>
      <c r="AO37" s="67">
        <f>AO$6*'Eurostat Collected Portables'!AO30</f>
        <v>13228.742809269508</v>
      </c>
      <c r="AP37" s="67">
        <f>AP$6*'Eurostat Collected Portables'!AP30</f>
        <v>13674.444136754837</v>
      </c>
      <c r="AQ37" s="67">
        <f>AQ$6*'Eurostat Collected Portables'!AQ30</f>
        <v>14019.879062563299</v>
      </c>
      <c r="AR37" s="67">
        <f>AR$6*'Eurostat Collected Portables'!AR30</f>
        <v>14260.386448633742</v>
      </c>
      <c r="AS37" s="67">
        <f>AS$6*'Eurostat Collected Portables'!AS30</f>
        <v>14409.095785854628</v>
      </c>
      <c r="AT37" s="67">
        <f>AT$6*'Eurostat Collected Portables'!AT30</f>
        <v>14558.468251388413</v>
      </c>
      <c r="AU37" s="67">
        <f>AU$6*'Eurostat Collected Portables'!AU30</f>
        <v>14709.613231743726</v>
      </c>
      <c r="AV37" s="67">
        <f>AV$6*'Eurostat Collected Portables'!AV30</f>
        <v>14859.939706538642</v>
      </c>
      <c r="AW37" s="67">
        <f>AW$6*'Eurostat Collected Portables'!AW30</f>
        <v>15009.411827153024</v>
      </c>
      <c r="AX37" s="67">
        <f>AX$6*'Eurostat Collected Portables'!AX30</f>
        <v>15157.992900234736</v>
      </c>
      <c r="AY37" s="67">
        <f>AY$6*'Eurostat Collected Portables'!AY30</f>
        <v>15308.217273920322</v>
      </c>
      <c r="AZ37" s="67">
        <f>AZ$6*'Eurostat Collected Portables'!AZ30</f>
        <v>15460.105551281373</v>
      </c>
    </row>
    <row r="38" spans="1:52" x14ac:dyDescent="0.35">
      <c r="A38" s="52" t="s">
        <v>28</v>
      </c>
      <c r="B38" s="23">
        <f t="shared" si="1"/>
        <v>1750.7323852218822</v>
      </c>
      <c r="C38" s="23">
        <f t="shared" si="1"/>
        <v>1785.7470329263199</v>
      </c>
      <c r="D38" s="23">
        <f t="shared" si="1"/>
        <v>1821.4619735848464</v>
      </c>
      <c r="E38" s="23">
        <f t="shared" si="1"/>
        <v>1857.8912130565434</v>
      </c>
      <c r="F38" s="23">
        <f t="shared" si="1"/>
        <v>1895.0490373176742</v>
      </c>
      <c r="G38" s="23">
        <f t="shared" si="1"/>
        <v>1932.9500180640277</v>
      </c>
      <c r="H38" s="23">
        <f t="shared" si="1"/>
        <v>1971.6090184253082</v>
      </c>
      <c r="I38" s="23">
        <f t="shared" si="1"/>
        <v>2011.0411987938144</v>
      </c>
      <c r="J38" s="23">
        <f t="shared" si="1"/>
        <v>2051.2620227696907</v>
      </c>
      <c r="K38" s="23">
        <f t="shared" si="1"/>
        <v>2092.2872632250846</v>
      </c>
      <c r="L38" s="23">
        <f t="shared" si="1"/>
        <v>2134.1330084895862</v>
      </c>
      <c r="M38" s="4">
        <f>M5*'Eurostat Collected Portables'!M31</f>
        <v>2176.8156686593779</v>
      </c>
      <c r="N38" s="4">
        <f>N5*'Eurostat Collected Portables'!N31</f>
        <v>2468.6184210526317</v>
      </c>
      <c r="O38" s="4">
        <f>O5*'Eurostat Collected Portables'!O31</f>
        <v>2424.7330184249058</v>
      </c>
      <c r="P38" s="4">
        <f>P5*'Eurostat Collected Portables'!P31</f>
        <v>2135.0420376889624</v>
      </c>
      <c r="Q38" s="4">
        <f>Q5*'Eurostat Collected Portables'!Q31</f>
        <v>2477.4</v>
      </c>
      <c r="R38" s="4">
        <f>R5*'Eurostat Collected Portables'!R31</f>
        <v>2033.7163185913187</v>
      </c>
      <c r="S38" s="4">
        <f>S5*'Eurostat Collected Portables'!S31</f>
        <v>2347.8026880018424</v>
      </c>
      <c r="T38" s="4">
        <f>T5*'Eurostat Collected Portables'!T31</f>
        <v>2351.5263306287402</v>
      </c>
      <c r="U38" s="4">
        <f>$U$6*'Eurostat Collected Portables'!U31</f>
        <v>2950.4474382896174</v>
      </c>
      <c r="V38" s="4">
        <f>$V$6*'Eurostat Collected Portables'!V31</f>
        <v>2597.8072547386387</v>
      </c>
      <c r="W38" s="4">
        <f>$W$6*'Eurostat Collected Portables'!W31</f>
        <v>2970.5584895495167</v>
      </c>
      <c r="X38" s="67">
        <f>X$6*'Eurostat Collected Portables'!X31</f>
        <v>3335.0351128887169</v>
      </c>
      <c r="Y38" s="67">
        <f>Y$6*'Eurostat Collected Portables'!Y31</f>
        <v>3656.9928196783389</v>
      </c>
      <c r="Z38" s="67">
        <f>Z$6*'Eurostat Collected Portables'!Z31</f>
        <v>3873.0438597631482</v>
      </c>
      <c r="AA38" s="67">
        <f>AA$6*'Eurostat Collected Portables'!AA31</f>
        <v>4078.9529756925704</v>
      </c>
      <c r="AB38" s="67">
        <f>AB$6*'Eurostat Collected Portables'!AB31</f>
        <v>4281.6972993542277</v>
      </c>
      <c r="AC38" s="67">
        <f>AC$6*'Eurostat Collected Portables'!AC31</f>
        <v>4487.6712875979201</v>
      </c>
      <c r="AD38" s="67">
        <f>AD$6*'Eurostat Collected Portables'!AD31</f>
        <v>4708.9644447713235</v>
      </c>
      <c r="AE38" s="67">
        <f>AE$6*'Eurostat Collected Portables'!AE31</f>
        <v>4975.6298272876393</v>
      </c>
      <c r="AF38" s="67">
        <f>AF$6*'Eurostat Collected Portables'!AF31</f>
        <v>5283.613755519641</v>
      </c>
      <c r="AG38" s="67">
        <f>AG$6*'Eurostat Collected Portables'!AG31</f>
        <v>5584.9581963389301</v>
      </c>
      <c r="AH38" s="67">
        <f>AH$6*'Eurostat Collected Portables'!AH31</f>
        <v>5869.8932736197976</v>
      </c>
      <c r="AI38" s="67">
        <f>AI$6*'Eurostat Collected Portables'!AI31</f>
        <v>6134.6479081595771</v>
      </c>
      <c r="AJ38" s="67">
        <f>AJ$6*'Eurostat Collected Portables'!AJ31</f>
        <v>6413.5630468382669</v>
      </c>
      <c r="AK38" s="67">
        <f>AK$6*'Eurostat Collected Portables'!AK31</f>
        <v>6707.4580592121119</v>
      </c>
      <c r="AL38" s="67">
        <f>AL$6*'Eurostat Collected Portables'!AL31</f>
        <v>6981.9343110919172</v>
      </c>
      <c r="AM38" s="67">
        <f>AM$6*'Eurostat Collected Portables'!AM31</f>
        <v>7270.0730667038561</v>
      </c>
      <c r="AN38" s="67">
        <f>AN$6*'Eurostat Collected Portables'!AN31</f>
        <v>7572.6013800247065</v>
      </c>
      <c r="AO38" s="67">
        <f>AO$6*'Eurostat Collected Portables'!AO31</f>
        <v>7888.8382530435829</v>
      </c>
      <c r="AP38" s="67">
        <f>AP$6*'Eurostat Collected Portables'!AP31</f>
        <v>8210.1850051953679</v>
      </c>
      <c r="AQ38" s="67">
        <f>AQ$6*'Eurostat Collected Portables'!AQ31</f>
        <v>8466.7514330239665</v>
      </c>
      <c r="AR38" s="67">
        <f>AR$6*'Eurostat Collected Portables'!AR31</f>
        <v>8655.2962974557286</v>
      </c>
      <c r="AS38" s="67">
        <f>AS$6*'Eurostat Collected Portables'!AS31</f>
        <v>8780.2519018866842</v>
      </c>
      <c r="AT38" s="67">
        <f>AT$6*'Eurostat Collected Portables'!AT31</f>
        <v>8906.7366728516154</v>
      </c>
      <c r="AU38" s="67">
        <f>AU$6*'Eurostat Collected Portables'!AU31</f>
        <v>9034.7860769584968</v>
      </c>
      <c r="AV38" s="67">
        <f>AV$6*'Eurostat Collected Portables'!AV31</f>
        <v>9162.6673095962542</v>
      </c>
      <c r="AW38" s="67">
        <f>AW$6*'Eurostat Collected Portables'!AW31</f>
        <v>9290.3449062039344</v>
      </c>
      <c r="AX38" s="67">
        <f>AX$6*'Eurostat Collected Portables'!AX31</f>
        <v>9417.7826709044075</v>
      </c>
      <c r="AY38" s="67">
        <f>AY$6*'Eurostat Collected Portables'!AY31</f>
        <v>9546.6862024856146</v>
      </c>
      <c r="AZ38" s="67">
        <f>AZ$6*'Eurostat Collected Portables'!AZ31</f>
        <v>9677.0743497195017</v>
      </c>
    </row>
    <row r="39" spans="1:52" x14ac:dyDescent="0.35">
      <c r="A39" s="52" t="s">
        <v>29</v>
      </c>
      <c r="B39" s="23">
        <f t="shared" si="1"/>
        <v>1532.3270767404451</v>
      </c>
      <c r="C39" s="23">
        <f t="shared" si="1"/>
        <v>1562.973618275254</v>
      </c>
      <c r="D39" s="23">
        <f t="shared" si="1"/>
        <v>1594.2330906407592</v>
      </c>
      <c r="E39" s="23">
        <f t="shared" si="1"/>
        <v>1626.1177524535744</v>
      </c>
      <c r="F39" s="23">
        <f t="shared" si="1"/>
        <v>1658.6401075026461</v>
      </c>
      <c r="G39" s="23">
        <f t="shared" si="1"/>
        <v>1691.8129096526991</v>
      </c>
      <c r="H39" s="23">
        <f t="shared" si="1"/>
        <v>1725.649167845753</v>
      </c>
      <c r="I39" s="23">
        <f t="shared" si="1"/>
        <v>1760.1621512026682</v>
      </c>
      <c r="J39" s="23">
        <f t="shared" si="1"/>
        <v>1795.3653942267215</v>
      </c>
      <c r="K39" s="23">
        <f t="shared" si="1"/>
        <v>1831.272702111256</v>
      </c>
      <c r="L39" s="23">
        <f t="shared" si="1"/>
        <v>1867.8981561534811</v>
      </c>
      <c r="M39" s="4">
        <f>$M$6*'Eurostat Collected Portables'!M32</f>
        <v>1905.2561192765506</v>
      </c>
      <c r="N39" s="4">
        <f>$N$6*'Eurostat Collected Portables'!N32</f>
        <v>2059.7963855500143</v>
      </c>
      <c r="O39" s="4">
        <f>$O$6*'Eurostat Collected Portables'!O32</f>
        <v>1993.8320531571201</v>
      </c>
      <c r="P39" s="4">
        <f>$P$6*'Eurostat Collected Portables'!P32</f>
        <v>2154.9099360427326</v>
      </c>
      <c r="Q39" s="4">
        <f>$Q$6*'Eurostat Collected Portables'!Q32</f>
        <v>2164.4752352491646</v>
      </c>
      <c r="R39" s="4">
        <f>$R$6*'Eurostat Collected Portables'!R32</f>
        <v>2206.1474927186828</v>
      </c>
      <c r="S39" s="4">
        <f>$S$6*'Eurostat Collected Portables'!S32</f>
        <v>2171.3080011141178</v>
      </c>
      <c r="T39" s="4">
        <f>$T$6*'Eurostat Collected Portables'!T32</f>
        <v>2297.2967130678435</v>
      </c>
      <c r="U39" s="4">
        <f>$U$6*'Eurostat Collected Portables'!U32</f>
        <v>2483.4529168070885</v>
      </c>
      <c r="V39" s="4">
        <f>$V$6*'Eurostat Collected Portables'!V32</f>
        <v>2399.7783048574856</v>
      </c>
      <c r="W39" s="4">
        <f>$W$6*'Eurostat Collected Portables'!W32</f>
        <v>2610.6117193219961</v>
      </c>
      <c r="X39" s="67">
        <f>X$6*'Eurostat Collected Portables'!X32</f>
        <v>2980.6692647769923</v>
      </c>
      <c r="Y39" s="67">
        <f>Y$6*'Eurostat Collected Portables'!Y32</f>
        <v>3187.5333556627479</v>
      </c>
      <c r="Z39" s="67">
        <f>Z$6*'Eurostat Collected Portables'!Z32</f>
        <v>3309.4694604019282</v>
      </c>
      <c r="AA39" s="67">
        <f>AA$6*'Eurostat Collected Portables'!AA32</f>
        <v>3442.1748131292425</v>
      </c>
      <c r="AB39" s="67">
        <f>AB$6*'Eurostat Collected Portables'!AB32</f>
        <v>3572.0098618132024</v>
      </c>
      <c r="AC39" s="67">
        <f>AC$6*'Eurostat Collected Portables'!AC32</f>
        <v>3703.2183886690664</v>
      </c>
      <c r="AD39" s="67">
        <f>AD$6*'Eurostat Collected Portables'!AD32</f>
        <v>3843.5612612911423</v>
      </c>
      <c r="AE39" s="67">
        <f>AE$6*'Eurostat Collected Portables'!AE32</f>
        <v>4012.40432708757</v>
      </c>
      <c r="AF39" s="67">
        <f>AF$6*'Eurostat Collected Portables'!AF32</f>
        <v>4206.3960078495284</v>
      </c>
      <c r="AG39" s="67">
        <f>AG$6*'Eurostat Collected Portables'!AG32</f>
        <v>4393.7021723428361</v>
      </c>
      <c r="AH39" s="67">
        <f>AH$6*'Eurostat Collected Portables'!AH32</f>
        <v>4568.1069582097289</v>
      </c>
      <c r="AI39" s="67">
        <f>AI$6*'Eurostat Collected Portables'!AI32</f>
        <v>4727.6019426602088</v>
      </c>
      <c r="AJ39" s="67">
        <f>AJ$6*'Eurostat Collected Portables'!AJ32</f>
        <v>4894.5776561266266</v>
      </c>
      <c r="AK39" s="67">
        <f>AK$6*'Eurostat Collected Portables'!AK32</f>
        <v>5069.4928978515545</v>
      </c>
      <c r="AL39" s="67">
        <f>AL$6*'Eurostat Collected Portables'!AL32</f>
        <v>5226.3680322654991</v>
      </c>
      <c r="AM39" s="67">
        <f>AM$6*'Eurostat Collected Portables'!AM32</f>
        <v>5390.2451887559282</v>
      </c>
      <c r="AN39" s="67">
        <f>AN$6*'Eurostat Collected Portables'!AN32</f>
        <v>5561.4627455369236</v>
      </c>
      <c r="AO39" s="67">
        <f>AO$6*'Eurostat Collected Portables'!AO32</f>
        <v>5739.223113207966</v>
      </c>
      <c r="AP39" s="67">
        <f>AP$6*'Eurostat Collected Portables'!AP32</f>
        <v>5915.4845298141081</v>
      </c>
      <c r="AQ39" s="67">
        <f>AQ$6*'Eurostat Collected Portables'!AQ32</f>
        <v>6047.2849741418358</v>
      </c>
      <c r="AR39" s="67">
        <f>AR$6*'Eurostat Collected Portables'!AR32</f>
        <v>6133.447930717588</v>
      </c>
      <c r="AS39" s="67">
        <f>AS$6*'Eurostat Collected Portables'!AS32</f>
        <v>6179.9806445258992</v>
      </c>
      <c r="AT39" s="67">
        <f>AT$6*'Eurostat Collected Portables'!AT32</f>
        <v>6226.8645320783608</v>
      </c>
      <c r="AU39" s="67">
        <f>AU$6*'Eurostat Collected Portables'!AU32</f>
        <v>6274.3082132691816</v>
      </c>
      <c r="AV39" s="67">
        <f>AV$6*'Eurostat Collected Portables'!AV32</f>
        <v>6320.9794633218407</v>
      </c>
      <c r="AW39" s="67">
        <f>AW$6*'Eurostat Collected Portables'!AW32</f>
        <v>6366.8649202737588</v>
      </c>
      <c r="AX39" s="67">
        <f>AX$6*'Eurostat Collected Portables'!AX32</f>
        <v>6411.9508456229651</v>
      </c>
      <c r="AY39" s="67">
        <f>AY$6*'Eurostat Collected Portables'!AY32</f>
        <v>6457.5294263350925</v>
      </c>
      <c r="AZ39" s="67">
        <f>AZ$6*'Eurostat Collected Portables'!AZ32</f>
        <v>6503.6058221406956</v>
      </c>
    </row>
    <row r="40" spans="1:52" x14ac:dyDescent="0.35">
      <c r="A40" s="52" t="s">
        <v>30</v>
      </c>
      <c r="B40" s="23">
        <f t="shared" si="1"/>
        <v>5150.7877305765596</v>
      </c>
      <c r="C40" s="23">
        <f t="shared" si="1"/>
        <v>5253.8034851880911</v>
      </c>
      <c r="D40" s="23">
        <f t="shared" si="1"/>
        <v>5358.8795548918533</v>
      </c>
      <c r="E40" s="23">
        <f t="shared" si="1"/>
        <v>5466.0571459896901</v>
      </c>
      <c r="F40" s="23">
        <f t="shared" si="1"/>
        <v>5575.3782889094837</v>
      </c>
      <c r="G40" s="23">
        <f t="shared" si="1"/>
        <v>5686.8858546876736</v>
      </c>
      <c r="H40" s="23">
        <f t="shared" si="1"/>
        <v>5800.623571781427</v>
      </c>
      <c r="I40" s="23">
        <f t="shared" si="1"/>
        <v>5916.6360432170559</v>
      </c>
      <c r="J40" s="23">
        <f t="shared" si="1"/>
        <v>6034.9687640813972</v>
      </c>
      <c r="K40" s="23">
        <f t="shared" si="1"/>
        <v>6155.6681393630251</v>
      </c>
      <c r="L40" s="23">
        <f t="shared" si="1"/>
        <v>6278.7815021502856</v>
      </c>
      <c r="M40" s="4">
        <f>$M$6*'Eurostat Collected Portables'!M33</f>
        <v>6404.3571321932914</v>
      </c>
      <c r="N40" s="4">
        <f>$N$6*'Eurostat Collected Portables'!N33</f>
        <v>8735.7149975037155</v>
      </c>
      <c r="O40" s="4">
        <f>$O$6*'Eurostat Collected Portables'!O33</f>
        <v>9623.2994977528015</v>
      </c>
      <c r="P40" s="4">
        <f>$P$6*'Eurostat Collected Portables'!P33</f>
        <v>10378.090390590587</v>
      </c>
      <c r="Q40" s="4">
        <f>$Q$6*'Eurostat Collected Portables'!Q33</f>
        <v>12108.029968695582</v>
      </c>
      <c r="R40" s="4">
        <f>$R$6*'Eurostat Collected Portables'!R33</f>
        <v>13558.680364486827</v>
      </c>
      <c r="S40" s="4">
        <f>$S$6*'Eurostat Collected Portables'!S33</f>
        <v>13616.187310333118</v>
      </c>
      <c r="T40" s="4">
        <f>$T$6*'Eurostat Collected Portables'!T33</f>
        <v>14281.984151519311</v>
      </c>
      <c r="U40" s="4">
        <f>$U$6*'Eurostat Collected Portables'!U33</f>
        <v>14110.106951909876</v>
      </c>
      <c r="V40" s="4">
        <f>$V$6*'Eurostat Collected Portables'!V33</f>
        <v>13399.624358694109</v>
      </c>
      <c r="W40" s="4">
        <f>$W$6*'Eurostat Collected Portables'!W33</f>
        <v>14599.184009607812</v>
      </c>
      <c r="X40" s="67">
        <f>X$6*'Eurostat Collected Portables'!X33</f>
        <v>16008.858935619968</v>
      </c>
      <c r="Y40" s="67">
        <f>Y$6*'Eurostat Collected Portables'!Y33</f>
        <v>16944.460877315949</v>
      </c>
      <c r="Z40" s="67">
        <f>Z$6*'Eurostat Collected Portables'!Z33</f>
        <v>17754.233718163323</v>
      </c>
      <c r="AA40" s="67">
        <f>AA$6*'Eurostat Collected Portables'!AA33</f>
        <v>18633.574585040988</v>
      </c>
      <c r="AB40" s="67">
        <f>AB$6*'Eurostat Collected Portables'!AB33</f>
        <v>19509.488785828664</v>
      </c>
      <c r="AC40" s="67">
        <f>AC$6*'Eurostat Collected Portables'!AC33</f>
        <v>20404.874589745334</v>
      </c>
      <c r="AD40" s="67">
        <f>AD$6*'Eurostat Collected Portables'!AD33</f>
        <v>21362.998633632014</v>
      </c>
      <c r="AE40" s="67">
        <f>AE$6*'Eurostat Collected Portables'!AE33</f>
        <v>22493.671668043611</v>
      </c>
      <c r="AF40" s="67">
        <f>AF$6*'Eurostat Collected Portables'!AF33</f>
        <v>23781.953288763278</v>
      </c>
      <c r="AG40" s="67">
        <f>AG$6*'Eurostat Collected Portables'!AG33</f>
        <v>25049.847767653726</v>
      </c>
      <c r="AH40" s="67">
        <f>AH$6*'Eurostat Collected Portables'!AH33</f>
        <v>26260.572433026446</v>
      </c>
      <c r="AI40" s="67">
        <f>AI$6*'Eurostat Collected Portables'!AI33</f>
        <v>27400.564866113433</v>
      </c>
      <c r="AJ40" s="67">
        <f>AJ$6*'Eurostat Collected Portables'!AJ33</f>
        <v>28598.459581197731</v>
      </c>
      <c r="AK40" s="67">
        <f>AK$6*'Eurostat Collected Portables'!AK33</f>
        <v>29857.930697810825</v>
      </c>
      <c r="AL40" s="67">
        <f>AL$6*'Eurostat Collected Portables'!AL33</f>
        <v>31025.781775995347</v>
      </c>
      <c r="AM40" s="67">
        <f>AM$6*'Eurostat Collected Portables'!AM33</f>
        <v>32249.234680323421</v>
      </c>
      <c r="AN40" s="67">
        <f>AN$6*'Eurostat Collected Portables'!AN33</f>
        <v>33531.226425912282</v>
      </c>
      <c r="AO40" s="67">
        <f>AO$6*'Eurostat Collected Portables'!AO33</f>
        <v>34867.848448420984</v>
      </c>
      <c r="AP40" s="67">
        <f>AP$6*'Eurostat Collected Portables'!AP33</f>
        <v>36210.694527735926</v>
      </c>
      <c r="AQ40" s="67">
        <f>AQ$6*'Eurostat Collected Portables'!AQ33</f>
        <v>37294.520290360444</v>
      </c>
      <c r="AR40" s="67">
        <f>AR$6*'Eurostat Collected Portables'!AR33</f>
        <v>38105.844682053001</v>
      </c>
      <c r="AS40" s="67">
        <f>AS$6*'Eurostat Collected Portables'!AS33</f>
        <v>38675.975842915235</v>
      </c>
      <c r="AT40" s="67">
        <f>AT$6*'Eurostat Collected Portables'!AT33</f>
        <v>39251.515466163066</v>
      </c>
      <c r="AU40" s="67">
        <f>AU$6*'Eurostat Collected Portables'!AU33</f>
        <v>39833.81805521746</v>
      </c>
      <c r="AV40" s="67">
        <f>AV$6*'Eurostat Collected Portables'!AV33</f>
        <v>40414.423734155491</v>
      </c>
      <c r="AW40" s="67">
        <f>AW$6*'Eurostat Collected Portables'!AW33</f>
        <v>40993.124908097692</v>
      </c>
      <c r="AX40" s="67">
        <f>AX$6*'Eurostat Collected Portables'!AX33</f>
        <v>41569.71003872509</v>
      </c>
      <c r="AY40" s="67">
        <f>AY$6*'Eurostat Collected Portables'!AY33</f>
        <v>42152.49065618663</v>
      </c>
      <c r="AZ40" s="67">
        <f>AZ$6*'Eurostat Collected Portables'!AZ33</f>
        <v>42741.549989053739</v>
      </c>
    </row>
    <row r="41" spans="1:52" x14ac:dyDescent="0.35">
      <c r="A41" s="52" t="s">
        <v>31</v>
      </c>
      <c r="B41" s="4">
        <f>SUM(B10:B40)</f>
        <v>45596.42105867729</v>
      </c>
      <c r="C41" s="4">
        <f t="shared" ref="C41:AZ41" si="2">SUM(C10:C40)</f>
        <v>46508.349479850833</v>
      </c>
      <c r="D41" s="4">
        <f t="shared" si="2"/>
        <v>47438.516469447859</v>
      </c>
      <c r="E41" s="4">
        <f t="shared" si="2"/>
        <v>48387.286798836802</v>
      </c>
      <c r="F41" s="4">
        <f t="shared" si="2"/>
        <v>49355.032534813537</v>
      </c>
      <c r="G41" s="4">
        <f t="shared" si="2"/>
        <v>50342.133185509818</v>
      </c>
      <c r="H41" s="4">
        <f t="shared" si="2"/>
        <v>51348.975849220013</v>
      </c>
      <c r="I41" s="4">
        <f t="shared" si="2"/>
        <v>52375.95536620442</v>
      </c>
      <c r="J41" s="4">
        <f t="shared" si="2"/>
        <v>53423.474473528491</v>
      </c>
      <c r="K41" s="4">
        <f t="shared" si="2"/>
        <v>54491.943962999081</v>
      </c>
      <c r="L41" s="4">
        <f t="shared" si="2"/>
        <v>55581.782842259068</v>
      </c>
      <c r="M41" s="4">
        <f t="shared" si="2"/>
        <v>56693.418499104249</v>
      </c>
      <c r="N41" s="4">
        <f t="shared" si="2"/>
        <v>62134.949913726996</v>
      </c>
      <c r="O41" s="4">
        <f t="shared" si="2"/>
        <v>63040.029352722646</v>
      </c>
      <c r="P41" s="4">
        <f t="shared" si="2"/>
        <v>66972.869300018239</v>
      </c>
      <c r="Q41" s="4">
        <f t="shared" si="2"/>
        <v>73789.958999482507</v>
      </c>
      <c r="R41" s="4">
        <f t="shared" si="2"/>
        <v>81352.969533909141</v>
      </c>
      <c r="S41" s="4">
        <f t="shared" si="2"/>
        <v>81704.770087146739</v>
      </c>
      <c r="T41" s="4">
        <f t="shared" si="2"/>
        <v>89641.718247723125</v>
      </c>
      <c r="U41" s="4">
        <f t="shared" si="2"/>
        <v>98269.784082284619</v>
      </c>
      <c r="V41" s="4">
        <f t="shared" si="2"/>
        <v>91906.160782723528</v>
      </c>
      <c r="W41" s="4">
        <f t="shared" si="2"/>
        <v>106298.93587384127</v>
      </c>
      <c r="X41" s="4">
        <f t="shared" si="2"/>
        <v>116833.73192774576</v>
      </c>
      <c r="Y41" s="4">
        <f t="shared" si="2"/>
        <v>122984.09814719186</v>
      </c>
      <c r="Z41" s="4">
        <f t="shared" si="2"/>
        <v>128570.46095974234</v>
      </c>
      <c r="AA41" s="4">
        <f t="shared" si="2"/>
        <v>134627.70795221324</v>
      </c>
      <c r="AB41" s="4">
        <f t="shared" si="2"/>
        <v>140595.33538158747</v>
      </c>
      <c r="AC41" s="4">
        <f t="shared" si="2"/>
        <v>146648.355546448</v>
      </c>
      <c r="AD41" s="4">
        <f t="shared" si="2"/>
        <v>153117.13792072755</v>
      </c>
      <c r="AE41" s="4">
        <f t="shared" si="2"/>
        <v>160825.5139296827</v>
      </c>
      <c r="AF41" s="4">
        <f t="shared" si="2"/>
        <v>169651.99973793651</v>
      </c>
      <c r="AG41" s="4">
        <f t="shared" si="2"/>
        <v>178307.46055132514</v>
      </c>
      <c r="AH41" s="4">
        <f t="shared" si="2"/>
        <v>186525.11434838388</v>
      </c>
      <c r="AI41" s="4">
        <f t="shared" si="2"/>
        <v>194212.57757956831</v>
      </c>
      <c r="AJ41" s="4">
        <f t="shared" si="2"/>
        <v>202284.31075354968</v>
      </c>
      <c r="AK41" s="4">
        <f t="shared" si="2"/>
        <v>210764.28252486431</v>
      </c>
      <c r="AL41" s="4">
        <f t="shared" si="2"/>
        <v>218571.43080189056</v>
      </c>
      <c r="AM41" s="4">
        <f t="shared" si="2"/>
        <v>226745.47097368739</v>
      </c>
      <c r="AN41" s="4">
        <f t="shared" si="2"/>
        <v>235305.45308175293</v>
      </c>
      <c r="AO41" s="4">
        <f t="shared" si="2"/>
        <v>244221.83502525301</v>
      </c>
      <c r="AP41" s="4">
        <f t="shared" si="2"/>
        <v>253155.02906959906</v>
      </c>
      <c r="AQ41" s="4">
        <f t="shared" si="2"/>
        <v>260253.29093257536</v>
      </c>
      <c r="AR41" s="4">
        <f t="shared" si="2"/>
        <v>265434.4910894754</v>
      </c>
      <c r="AS41" s="4">
        <f t="shared" si="2"/>
        <v>268926.63456088601</v>
      </c>
      <c r="AT41" s="4">
        <f t="shared" si="2"/>
        <v>272451.76286484796</v>
      </c>
      <c r="AU41" s="4">
        <f t="shared" si="2"/>
        <v>276018.4126903665</v>
      </c>
      <c r="AV41" s="4">
        <f t="shared" si="2"/>
        <v>279567.29730760807</v>
      </c>
      <c r="AW41" s="4">
        <f t="shared" si="2"/>
        <v>283097.15838464547</v>
      </c>
      <c r="AX41" s="4">
        <f t="shared" si="2"/>
        <v>286606.71241314634</v>
      </c>
      <c r="AY41" s="4">
        <f t="shared" si="2"/>
        <v>290154.01357662125</v>
      </c>
      <c r="AZ41" s="4">
        <f t="shared" si="2"/>
        <v>293739.55233096844</v>
      </c>
    </row>
    <row r="42" spans="1:52" x14ac:dyDescent="0.35">
      <c r="A42" s="52" t="s">
        <v>68</v>
      </c>
      <c r="B42" s="45">
        <f>_xlfn.RRI(1,B41,C41)</f>
        <v>2.0000000000000018E-2</v>
      </c>
      <c r="C42" s="45">
        <f t="shared" ref="C42:AZ42" si="3">_xlfn.RRI(1,C41,D41)</f>
        <v>2.000000000000024E-2</v>
      </c>
      <c r="D42" s="45">
        <f t="shared" si="3"/>
        <v>1.9999999999999796E-2</v>
      </c>
      <c r="E42" s="45">
        <f t="shared" si="3"/>
        <v>2.0000000000000018E-2</v>
      </c>
      <c r="F42" s="45">
        <f t="shared" si="3"/>
        <v>2.000000000000024E-2</v>
      </c>
      <c r="G42" s="45">
        <f t="shared" si="3"/>
        <v>2.0000000000000018E-2</v>
      </c>
      <c r="H42" s="45">
        <f t="shared" si="3"/>
        <v>2.000000000000024E-2</v>
      </c>
      <c r="I42" s="45">
        <f t="shared" si="3"/>
        <v>1.9999999999999574E-2</v>
      </c>
      <c r="J42" s="45">
        <f t="shared" si="3"/>
        <v>2.0000000000000462E-2</v>
      </c>
      <c r="K42" s="45">
        <f t="shared" si="3"/>
        <v>2.0000000000000018E-2</v>
      </c>
      <c r="L42" s="45">
        <f t="shared" si="3"/>
        <v>2.0000000000000018E-2</v>
      </c>
      <c r="M42" s="45">
        <f t="shared" si="3"/>
        <v>9.5981712845710998E-2</v>
      </c>
      <c r="N42" s="45">
        <f t="shared" si="3"/>
        <v>1.4566350182181331E-2</v>
      </c>
      <c r="O42" s="45">
        <f t="shared" si="3"/>
        <v>6.2386391435360844E-2</v>
      </c>
      <c r="P42" s="45">
        <f t="shared" si="3"/>
        <v>0.10178882539623268</v>
      </c>
      <c r="Q42" s="45">
        <f t="shared" si="3"/>
        <v>0.10249376252505682</v>
      </c>
      <c r="R42" s="45">
        <f t="shared" si="3"/>
        <v>4.3243726105284264E-3</v>
      </c>
      <c r="S42" s="45">
        <f t="shared" si="3"/>
        <v>9.7141796643094303E-2</v>
      </c>
      <c r="T42" s="45">
        <f t="shared" si="3"/>
        <v>9.6250562831894815E-2</v>
      </c>
      <c r="U42" s="45">
        <f t="shared" si="3"/>
        <v>-6.4756663088143318E-2</v>
      </c>
      <c r="V42" s="45">
        <f t="shared" si="3"/>
        <v>0.15660294117979623</v>
      </c>
      <c r="W42" s="45">
        <f>_xlfn.RRI(1,W41,X41)</f>
        <v>9.9105376430178804E-2</v>
      </c>
      <c r="X42" s="39">
        <f t="shared" si="3"/>
        <v>5.2642041968236741E-2</v>
      </c>
      <c r="Y42" s="39">
        <f t="shared" si="3"/>
        <v>4.5423456338757884E-2</v>
      </c>
      <c r="Z42" s="39">
        <f t="shared" si="3"/>
        <v>4.7112275613350407E-2</v>
      </c>
      <c r="AA42" s="39">
        <f t="shared" si="3"/>
        <v>4.4326888722583613E-2</v>
      </c>
      <c r="AB42" s="39">
        <f t="shared" si="3"/>
        <v>4.3052780865254991E-2</v>
      </c>
      <c r="AC42" s="39">
        <f t="shared" si="3"/>
        <v>4.4110841544559243E-2</v>
      </c>
      <c r="AD42" s="39">
        <f t="shared" si="3"/>
        <v>5.0342999572954072E-2</v>
      </c>
      <c r="AE42" s="39">
        <f t="shared" si="3"/>
        <v>5.4882372781429378E-2</v>
      </c>
      <c r="AF42" s="39">
        <f t="shared" si="3"/>
        <v>5.1018914169941088E-2</v>
      </c>
      <c r="AG42" s="39">
        <f t="shared" si="3"/>
        <v>4.6086988013007479E-2</v>
      </c>
      <c r="AH42" s="39">
        <f t="shared" si="3"/>
        <v>4.1214092043530881E-2</v>
      </c>
      <c r="AI42" s="39">
        <f t="shared" si="3"/>
        <v>4.1561330757141191E-2</v>
      </c>
      <c r="AJ42" s="39">
        <f t="shared" si="3"/>
        <v>4.1921055269808161E-2</v>
      </c>
      <c r="AK42" s="39">
        <f t="shared" si="3"/>
        <v>3.7042084092712591E-2</v>
      </c>
      <c r="AL42" s="39">
        <f t="shared" si="3"/>
        <v>3.7397569031817568E-2</v>
      </c>
      <c r="AM42" s="39">
        <f t="shared" si="3"/>
        <v>3.7751502031363016E-2</v>
      </c>
      <c r="AN42" s="39">
        <f t="shared" si="3"/>
        <v>3.789279775170451E-2</v>
      </c>
      <c r="AO42" s="39">
        <f t="shared" si="3"/>
        <v>3.6578195571343342E-2</v>
      </c>
      <c r="AP42" s="39">
        <f t="shared" si="3"/>
        <v>2.8039189618566995E-2</v>
      </c>
      <c r="AQ42" s="39">
        <f t="shared" si="3"/>
        <v>1.9908298328655372E-2</v>
      </c>
      <c r="AR42" s="39">
        <f t="shared" si="3"/>
        <v>1.3156328919716298E-2</v>
      </c>
      <c r="AS42" s="39">
        <f t="shared" si="3"/>
        <v>1.3108141221184422E-2</v>
      </c>
      <c r="AT42" s="39">
        <f t="shared" si="3"/>
        <v>1.3090940532059614E-2</v>
      </c>
      <c r="AU42" s="39">
        <f t="shared" si="3"/>
        <v>1.2857419846199258E-2</v>
      </c>
      <c r="AV42" s="39">
        <f t="shared" si="3"/>
        <v>1.2626158749724947E-2</v>
      </c>
      <c r="AW42" s="39">
        <f t="shared" si="3"/>
        <v>1.2396994899300351E-2</v>
      </c>
      <c r="AX42" s="39">
        <f t="shared" si="3"/>
        <v>1.2376894921991344E-2</v>
      </c>
      <c r="AY42" s="39">
        <f t="shared" si="3"/>
        <v>1.235736397422027E-2</v>
      </c>
      <c r="AZ42" s="39">
        <f t="shared" si="3"/>
        <v>-1</v>
      </c>
    </row>
    <row r="43" spans="1:52" x14ac:dyDescent="0.35"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52" x14ac:dyDescent="0.35">
      <c r="A44" s="24" t="s">
        <v>44</v>
      </c>
      <c r="B44" s="24"/>
      <c r="C44" s="24"/>
      <c r="D44" s="24"/>
      <c r="E44" s="24"/>
      <c r="F44" s="24"/>
      <c r="G44" s="6"/>
      <c r="H44" s="6"/>
      <c r="I44" s="6"/>
      <c r="J44" s="6"/>
      <c r="K44" s="6"/>
      <c r="L44" s="6"/>
      <c r="M44" s="2"/>
    </row>
  </sheetData>
  <mergeCells count="1">
    <mergeCell ref="X8:AZ8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7952-0FBD-401B-8E41-E8C7E979D222}">
  <sheetPr>
    <tabColor theme="5"/>
  </sheetPr>
  <dimension ref="A1:AZ40"/>
  <sheetViews>
    <sheetView workbookViewId="0">
      <selection activeCell="AF3" sqref="AF3"/>
    </sheetView>
  </sheetViews>
  <sheetFormatPr baseColWidth="10" defaultRowHeight="14.5" x14ac:dyDescent="0.35"/>
  <cols>
    <col min="1" max="1" width="32.08984375" customWidth="1"/>
    <col min="2" max="2" width="11.6328125" customWidth="1"/>
    <col min="3" max="4" width="9.453125" customWidth="1"/>
    <col min="5" max="8" width="10.54296875" customWidth="1"/>
    <col min="9" max="10" width="10.36328125" customWidth="1"/>
    <col min="11" max="11" width="10.36328125" style="6" customWidth="1"/>
    <col min="12" max="12" width="10.36328125" customWidth="1"/>
    <col min="13" max="13" width="12.7265625" bestFit="1" customWidth="1"/>
    <col min="14" max="22" width="11.26953125" bestFit="1" customWidth="1"/>
    <col min="24" max="45" width="11" bestFit="1" customWidth="1"/>
    <col min="46" max="52" width="11.26953125" bestFit="1" customWidth="1"/>
  </cols>
  <sheetData>
    <row r="1" spans="1:52" x14ac:dyDescent="0.35">
      <c r="A1" s="1" t="s">
        <v>64</v>
      </c>
      <c r="B1" s="46"/>
      <c r="C1" s="46"/>
      <c r="D1" s="46"/>
      <c r="E1" s="46"/>
      <c r="F1" s="46"/>
      <c r="G1" s="46"/>
      <c r="H1" s="46"/>
      <c r="I1" s="46"/>
      <c r="J1" s="46"/>
      <c r="K1" s="26"/>
      <c r="L1" s="46"/>
      <c r="M1" s="1"/>
      <c r="N1" s="1"/>
      <c r="O1" s="1"/>
      <c r="P1" s="1"/>
      <c r="Q1" s="1"/>
      <c r="R1" s="1"/>
      <c r="S1" s="1"/>
      <c r="T1" s="1"/>
      <c r="U1" s="1"/>
      <c r="V1" s="1"/>
    </row>
    <row r="2" spans="1:52" x14ac:dyDescent="0.35">
      <c r="A2" s="1"/>
      <c r="B2" s="50">
        <v>2000</v>
      </c>
      <c r="C2" s="50">
        <v>2001</v>
      </c>
      <c r="D2" s="50">
        <v>2002</v>
      </c>
      <c r="E2" s="50">
        <v>2003</v>
      </c>
      <c r="F2" s="50">
        <v>2004</v>
      </c>
      <c r="G2" s="50">
        <v>2005</v>
      </c>
      <c r="H2" s="50">
        <v>2006</v>
      </c>
      <c r="I2" s="50">
        <v>2007</v>
      </c>
      <c r="J2" s="50">
        <v>2008</v>
      </c>
      <c r="K2" s="50">
        <v>2009</v>
      </c>
      <c r="L2" s="50">
        <v>2010</v>
      </c>
      <c r="M2" s="46">
        <v>2011</v>
      </c>
      <c r="N2" s="1">
        <v>2012</v>
      </c>
      <c r="O2" s="1">
        <v>2013</v>
      </c>
      <c r="P2" s="1">
        <v>2014</v>
      </c>
      <c r="Q2" s="1">
        <v>2015</v>
      </c>
      <c r="R2" s="1">
        <v>2016</v>
      </c>
      <c r="S2" s="1">
        <v>2017</v>
      </c>
      <c r="T2" s="1">
        <v>2018</v>
      </c>
      <c r="U2" s="1">
        <v>2019</v>
      </c>
      <c r="V2" s="1">
        <v>2020</v>
      </c>
      <c r="W2" s="1">
        <v>2021</v>
      </c>
      <c r="X2" s="51">
        <v>2022</v>
      </c>
      <c r="Y2" s="51">
        <v>2023</v>
      </c>
      <c r="Z2" s="51">
        <v>2024</v>
      </c>
      <c r="AA2" s="51">
        <v>2025</v>
      </c>
      <c r="AB2" s="51">
        <v>2026</v>
      </c>
      <c r="AC2" s="51">
        <v>2027</v>
      </c>
      <c r="AD2" s="51">
        <v>2028</v>
      </c>
      <c r="AE2" s="51">
        <v>2029</v>
      </c>
      <c r="AF2" s="51">
        <v>2030</v>
      </c>
      <c r="AG2" s="51">
        <v>2031</v>
      </c>
      <c r="AH2" s="51">
        <v>2032</v>
      </c>
      <c r="AI2" s="51">
        <v>2033</v>
      </c>
      <c r="AJ2" s="51">
        <v>2034</v>
      </c>
      <c r="AK2" s="51">
        <v>2035</v>
      </c>
      <c r="AL2" s="51">
        <v>2036</v>
      </c>
      <c r="AM2" s="51">
        <v>2037</v>
      </c>
      <c r="AN2" s="51">
        <v>2038</v>
      </c>
      <c r="AO2" s="51">
        <v>2039</v>
      </c>
      <c r="AP2" s="51">
        <v>2040</v>
      </c>
      <c r="AQ2" s="51">
        <v>2041</v>
      </c>
      <c r="AR2" s="51">
        <v>2042</v>
      </c>
      <c r="AS2" s="51">
        <v>2043</v>
      </c>
      <c r="AT2" s="51">
        <v>2044</v>
      </c>
      <c r="AU2" s="51">
        <v>2045</v>
      </c>
      <c r="AV2" s="51">
        <v>2046</v>
      </c>
      <c r="AW2" s="51">
        <v>2047</v>
      </c>
      <c r="AX2" s="51">
        <v>2048</v>
      </c>
      <c r="AY2" s="51">
        <v>2049</v>
      </c>
      <c r="AZ2" s="51">
        <v>2050</v>
      </c>
    </row>
    <row r="3" spans="1:52" x14ac:dyDescent="0.35">
      <c r="A3" s="1" t="s">
        <v>0</v>
      </c>
      <c r="B3" s="23">
        <f>'Coll. portables Zn-based'!B10+'Coll. portables Li-Rechargeable'!B10+'Coll. portables Li-Primary'!B9+'Coll. portables Lead-acid'!B10+'Coll. portables NiMH'!B10+'Coll. portables NiCd'!B10+'Coll. portables Other'!B10</f>
        <v>1401.1299834840847</v>
      </c>
      <c r="C3" s="23">
        <f>'Coll. portables Zn-based'!C10+'Coll. portables Li-Rechargeable'!C10+'Coll. portables Li-Primary'!C9+'Coll. portables Lead-acid'!C10+'Coll. portables NiMH'!C10+'Coll. portables NiCd'!C10+'Coll. portables Other'!C10</f>
        <v>1444.6241069034568</v>
      </c>
      <c r="D3" s="23">
        <f>'Coll. portables Zn-based'!D10+'Coll. portables Li-Rechargeable'!D10+'Coll. portables Li-Primary'!D9+'Coll. portables Lead-acid'!D10+'Coll. portables NiMH'!D10+'Coll. portables NiCd'!D10+'Coll. portables Other'!D10</f>
        <v>1490.8856659015876</v>
      </c>
      <c r="E3" s="23">
        <f>'Coll. portables Zn-based'!E10+'Coll. portables Li-Rechargeable'!E10+'Coll. portables Li-Primary'!E9+'Coll. portables Lead-acid'!E10+'Coll. portables NiMH'!E10+'Coll. portables NiCd'!E10+'Coll. portables Other'!E10</f>
        <v>1543.0399717820792</v>
      </c>
      <c r="F3" s="23">
        <f>'Coll. portables Zn-based'!F10+'Coll. portables Li-Rechargeable'!F10+'Coll. portables Li-Primary'!F9+'Coll. portables Lead-acid'!F10+'Coll. portables NiMH'!F10+'Coll. portables NiCd'!F10+'Coll. portables Other'!F10</f>
        <v>1621.8471072201523</v>
      </c>
      <c r="G3" s="23">
        <f>'Coll. portables Zn-based'!G10+'Coll. portables Li-Rechargeable'!G10+'Coll. portables Li-Primary'!G9+'Coll. portables Lead-acid'!G10+'Coll. portables NiMH'!G10+'Coll. portables NiCd'!G10+'Coll. portables Other'!G10</f>
        <v>1606.5531757497847</v>
      </c>
      <c r="H3" s="23">
        <f>'Coll. portables Zn-based'!H10+'Coll. portables Li-Rechargeable'!H10+'Coll. portables Li-Primary'!H9+'Coll. portables Lead-acid'!H10+'Coll. portables NiMH'!H10+'Coll. portables NiCd'!H10+'Coll. portables Other'!H10</f>
        <v>1714.6878769126013</v>
      </c>
      <c r="I3" s="23">
        <f>'Coll. portables Zn-based'!I10+'Coll. portables Li-Rechargeable'!I10+'Coll. portables Li-Primary'!I9+'Coll. portables Lead-acid'!I10+'Coll. portables NiMH'!I10+'Coll. portables NiCd'!I10+'Coll. portables Other'!I10</f>
        <v>1631.8592336405991</v>
      </c>
      <c r="J3" s="23">
        <f>'Coll. portables Zn-based'!J10+'Coll. portables Li-Rechargeable'!J10+'Coll. portables Li-Primary'!J9+'Coll. portables Lead-acid'!J10+'Coll. portables NiMH'!J10+'Coll. portables NiCd'!J10+'Coll. portables Other'!J10</f>
        <v>1660.5137830457322</v>
      </c>
      <c r="K3" s="23">
        <f>'Coll. portables Zn-based'!K10+'Coll. portables Li-Rechargeable'!K10+'Coll. portables Li-Primary'!K9+'Coll. portables Lead-acid'!K10+'Coll. portables NiMH'!K10+'Coll. portables NiCd'!K10+'Coll. portables Other'!K10</f>
        <v>1642.3419194029022</v>
      </c>
      <c r="L3" s="23">
        <f>'Coll. portables Zn-based'!L10+'Coll. portables Li-Rechargeable'!L10+'Coll. portables Li-Primary'!L9+'Coll. portables Lead-acid'!L10+'Coll. portables NiMH'!L10+'Coll. portables NiCd'!L10+'Coll. portables Other'!L10</f>
        <v>1650.3365801793775</v>
      </c>
      <c r="M3" s="31">
        <v>1738</v>
      </c>
      <c r="N3" s="31">
        <v>1909</v>
      </c>
      <c r="O3" s="31">
        <v>1976</v>
      </c>
      <c r="P3" s="31">
        <v>2097</v>
      </c>
      <c r="Q3" s="31">
        <v>2299</v>
      </c>
      <c r="R3" s="31">
        <v>2188</v>
      </c>
      <c r="S3" s="31">
        <v>2117</v>
      </c>
      <c r="T3" s="31">
        <v>2270</v>
      </c>
      <c r="U3" s="31">
        <v>2376</v>
      </c>
      <c r="V3" s="31">
        <v>2829</v>
      </c>
      <c r="W3" s="31">
        <v>2770</v>
      </c>
      <c r="X3" s="67">
        <f>('Collection Rate'!X3*SUM('Eurostat POM Portables'!V3:X3))/3</f>
        <v>2895.998816422567</v>
      </c>
      <c r="Y3" s="67">
        <f>('Collection Rate'!Y3*SUM('Eurostat POM Portables'!W3:Y3))/3</f>
        <v>2973.8944342183659</v>
      </c>
      <c r="Z3" s="67">
        <f>('Collection Rate'!Z3*SUM('Eurostat POM Portables'!X3:Z3))/3</f>
        <v>3130.4496906042737</v>
      </c>
      <c r="AA3" s="67">
        <f>('Collection Rate'!AA3*SUM('Eurostat POM Portables'!Y3:AA3))/3</f>
        <v>3300.7421832262694</v>
      </c>
      <c r="AB3" s="67">
        <f>('Collection Rate'!AB3*SUM('Eurostat POM Portables'!Z3:AB3))/3</f>
        <v>3471.965983214584</v>
      </c>
      <c r="AC3" s="67">
        <f>('Collection Rate'!AC3*SUM('Eurostat POM Portables'!AA3:AC3))/3</f>
        <v>3648.2202474665523</v>
      </c>
      <c r="AD3" s="67">
        <f>('Collection Rate'!AD3*SUM('Eurostat POM Portables'!AB3:AD3))/3</f>
        <v>3837.3390832945897</v>
      </c>
      <c r="AE3" s="67">
        <f>('Collection Rate'!AE3*SUM('Eurostat POM Portables'!AC3:AE3))/3</f>
        <v>4059.311290774313</v>
      </c>
      <c r="AF3" s="67">
        <f>('Collection Rate'!AF3*SUM('Eurostat POM Portables'!AD3:AF3))/3</f>
        <v>4311.8800069951913</v>
      </c>
      <c r="AG3" s="67">
        <f>('Collection Rate'!AG3*SUM('Eurostat POM Portables'!AE3:AG3))/3</f>
        <v>4563.0411053421149</v>
      </c>
      <c r="AH3" s="67">
        <f>('Collection Rate'!AH3*SUM('Eurostat POM Portables'!AF3:AH3))/3</f>
        <v>4806.0306937298947</v>
      </c>
      <c r="AI3" s="67">
        <f>('Collection Rate'!AI3*SUM('Eurostat POM Portables'!AG3:AI3))/3</f>
        <v>5038.2273202498936</v>
      </c>
      <c r="AJ3" s="67">
        <f>('Collection Rate'!AJ3*SUM('Eurostat POM Portables'!AH3:AJ3))/3</f>
        <v>5283.2300545028547</v>
      </c>
      <c r="AK3" s="67">
        <f>('Collection Rate'!AK3*SUM('Eurostat POM Portables'!AI3:AK3))/3</f>
        <v>5541.889893690528</v>
      </c>
      <c r="AL3" s="67">
        <f>('Collection Rate'!AL3*SUM('Eurostat POM Portables'!AJ3:AL3))/3</f>
        <v>5815.0399723440314</v>
      </c>
      <c r="AM3" s="67">
        <f>('Collection Rate'!AM3*SUM('Eurostat POM Portables'!AK3:AM3))/3</f>
        <v>6103.5665588509355</v>
      </c>
      <c r="AN3" s="67">
        <f>('Collection Rate'!AN3*SUM('Eurostat POM Portables'!AL3:AN3))/3</f>
        <v>6408.4124975442101</v>
      </c>
      <c r="AO3" s="67">
        <f>('Collection Rate'!AO3*SUM('Eurostat POM Portables'!AM3:AO3))/3</f>
        <v>6729.228830541223</v>
      </c>
      <c r="AP3" s="67">
        <f>('Collection Rate'!AP3*SUM('Eurostat POM Portables'!AN3:AP3))/3</f>
        <v>7056.9727738689571</v>
      </c>
      <c r="AQ3" s="67">
        <f>('Collection Rate'!AQ3*SUM('Eurostat POM Portables'!AO3:AQ3))/3</f>
        <v>7339.5646810622648</v>
      </c>
      <c r="AR3" s="67">
        <f>('Collection Rate'!AR3*SUM('Eurostat POM Portables'!AP3:AR3))/3</f>
        <v>7572.9091748701503</v>
      </c>
      <c r="AS3" s="67">
        <f>('Collection Rate'!AS3*SUM('Eurostat POM Portables'!AQ3:AS3))/3</f>
        <v>7761.764182173335</v>
      </c>
      <c r="AT3" s="67">
        <f>('Collection Rate'!AT3*SUM('Eurostat POM Portables'!AR3:AT3))/3</f>
        <v>7954.7342296233483</v>
      </c>
      <c r="AU3" s="67">
        <f>('Collection Rate'!AU3*SUM('Eurostat POM Portables'!AS3:AU3))/3</f>
        <v>8152.1709957442717</v>
      </c>
      <c r="AV3" s="67">
        <f>('Collection Rate'!AV3*SUM('Eurostat POM Portables'!AT3:AV3))/3</f>
        <v>8352.4099429487651</v>
      </c>
      <c r="AW3" s="67">
        <f>('Collection Rate'!AW3*SUM('Eurostat POM Portables'!AU3:AW3))/3</f>
        <v>8555.4413315808652</v>
      </c>
      <c r="AX3" s="67">
        <f>('Collection Rate'!AX3*SUM('Eurostat POM Portables'!AV3:AX3))/3</f>
        <v>8761.2532242523484</v>
      </c>
      <c r="AY3" s="67">
        <f>('Collection Rate'!AY3*SUM('Eurostat POM Portables'!AW3:AY3))/3</f>
        <v>8971.6462757910267</v>
      </c>
      <c r="AZ3" s="67">
        <f>('Collection Rate'!AZ3*SUM('Eurostat POM Portables'!AX3:AZ3))/3</f>
        <v>9186.72264657712</v>
      </c>
    </row>
    <row r="4" spans="1:52" x14ac:dyDescent="0.35">
      <c r="A4" s="1" t="s">
        <v>1</v>
      </c>
      <c r="B4" s="23">
        <f>'Coll. portables Zn-based'!B11+'Coll. portables Li-Rechargeable'!B11+'Coll. portables Li-Primary'!B10+'Coll. portables Lead-acid'!B11+'Coll. portables NiMH'!B11+'Coll. portables NiCd'!B11+'Coll. portables Other'!B11</f>
        <v>1796.9612964246396</v>
      </c>
      <c r="C4" s="23">
        <f>'Coll. portables Zn-based'!C11+'Coll. portables Li-Rechargeable'!C11+'Coll. portables Li-Primary'!C10+'Coll. portables Lead-acid'!C11+'Coll. portables NiMH'!C11+'Coll. portables NiCd'!C11+'Coll. portables Other'!C11</f>
        <v>1852.7428850907966</v>
      </c>
      <c r="D4" s="23">
        <f>'Coll. portables Zn-based'!D11+'Coll. portables Li-Rechargeable'!D11+'Coll. portables Li-Primary'!D10+'Coll. portables Lead-acid'!D11+'Coll. portables NiMH'!D11+'Coll. portables NiCd'!D11+'Coll. portables Other'!D11</f>
        <v>1912.0737337713686</v>
      </c>
      <c r="E4" s="23">
        <f>'Coll. portables Zn-based'!E11+'Coll. portables Li-Rechargeable'!E11+'Coll. portables Li-Primary'!E10+'Coll. portables Lead-acid'!E11+'Coll. portables NiMH'!E11+'Coll. portables NiCd'!E11+'Coll. portables Other'!E11</f>
        <v>1978.962081186567</v>
      </c>
      <c r="F4" s="23">
        <f>'Coll. portables Zn-based'!F11+'Coll. portables Li-Rechargeable'!F11+'Coll. portables Li-Primary'!F10+'Coll. portables Lead-acid'!F11+'Coll. portables NiMH'!F11+'Coll. portables NiCd'!F11+'Coll. portables Other'!F11</f>
        <v>2080.0329125395388</v>
      </c>
      <c r="G4" s="23">
        <f>'Coll. portables Zn-based'!G11+'Coll. portables Li-Rechargeable'!G11+'Coll. portables Li-Primary'!G10+'Coll. portables Lead-acid'!G11+'Coll. portables NiMH'!G11+'Coll. portables NiCd'!G11+'Coll. portables Other'!G11</f>
        <v>2060.4183134328364</v>
      </c>
      <c r="H4" s="23">
        <f>'Coll. portables Zn-based'!H11+'Coll. portables Li-Rechargeable'!H11+'Coll. portables Li-Primary'!H10+'Coll. portables Lead-acid'!H11+'Coll. portables NiMH'!H11+'Coll. portables NiCd'!H11+'Coll. portables Other'!H11</f>
        <v>2199.1020009425706</v>
      </c>
      <c r="I4" s="23">
        <f>'Coll. portables Zn-based'!I11+'Coll. portables Li-Rechargeable'!I11+'Coll. portables Li-Primary'!I10+'Coll. portables Lead-acid'!I11+'Coll. portables NiMH'!I11+'Coll. portables NiCd'!I11+'Coll. portables Other'!I11</f>
        <v>2092.8735510845199</v>
      </c>
      <c r="J4" s="23">
        <f>'Coll. portables Zn-based'!J11+'Coll. portables Li-Rechargeable'!J11+'Coll. portables Li-Primary'!J10+'Coll. portables Lead-acid'!J11+'Coll. portables NiMH'!J11+'Coll. portables NiCd'!J11+'Coll. portables Other'!J11</f>
        <v>2129.62325800284</v>
      </c>
      <c r="K4" s="23">
        <f>'Coll. portables Zn-based'!K11+'Coll. portables Li-Rechargeable'!K11+'Coll. portables Li-Primary'!K10+'Coll. portables Lead-acid'!K11+'Coll. portables NiMH'!K11+'Coll. portables NiCd'!K11+'Coll. portables Other'!K11</f>
        <v>2106.3176860466447</v>
      </c>
      <c r="L4" s="23">
        <f>'Coll. portables Zn-based'!L11+'Coll. portables Li-Rechargeable'!L11+'Coll. portables Li-Primary'!L10+'Coll. portables Lead-acid'!L11+'Coll. portables NiMH'!L11+'Coll. portables NiCd'!L11+'Coll. portables Other'!L11</f>
        <v>2116.5709074912729</v>
      </c>
      <c r="M4" s="31">
        <v>2229</v>
      </c>
      <c r="N4" s="31">
        <v>2273</v>
      </c>
      <c r="O4" s="31">
        <v>2298</v>
      </c>
      <c r="P4" s="31">
        <v>2343</v>
      </c>
      <c r="Q4" s="31">
        <v>2438</v>
      </c>
      <c r="R4" s="31">
        <v>3153</v>
      </c>
      <c r="S4" s="31">
        <v>2813</v>
      </c>
      <c r="T4" s="31">
        <v>2935</v>
      </c>
      <c r="U4" s="31">
        <v>3385</v>
      </c>
      <c r="V4" s="31">
        <v>3149</v>
      </c>
      <c r="W4" s="31">
        <v>3392</v>
      </c>
      <c r="X4" s="67">
        <f>('Collection Rate'!X4*SUM('Eurostat POM Portables'!V4:X4))/3</f>
        <v>3605.4186901802263</v>
      </c>
      <c r="Y4" s="67">
        <f>('Collection Rate'!Y4*SUM('Eurostat POM Portables'!W4:Y4))/3</f>
        <v>3832.7495098965501</v>
      </c>
      <c r="Z4" s="67">
        <f>('Collection Rate'!Z4*SUM('Eurostat POM Portables'!X4:Z4))/3</f>
        <v>3994.2162844474392</v>
      </c>
      <c r="AA4" s="67">
        <f>('Collection Rate'!AA4*SUM('Eurostat POM Portables'!Y4:AA4))/3</f>
        <v>4169.8941423488377</v>
      </c>
      <c r="AB4" s="67">
        <f>('Collection Rate'!AB4*SUM('Eurostat POM Portables'!Z4:AB4))/3</f>
        <v>4343.352368587719</v>
      </c>
      <c r="AC4" s="67">
        <f>('Collection Rate'!AC4*SUM('Eurostat POM Portables'!AA4:AC4))/3</f>
        <v>4519.7398838432082</v>
      </c>
      <c r="AD4" s="67">
        <f>('Collection Rate'!AD4*SUM('Eurostat POM Portables'!AB4:AD4))/3</f>
        <v>4708.5915115071639</v>
      </c>
      <c r="AE4" s="67">
        <f>('Collection Rate'!AE4*SUM('Eurostat POM Portables'!AC4:AE4))/3</f>
        <v>4933.8548839186415</v>
      </c>
      <c r="AF4" s="67">
        <f>('Collection Rate'!AF4*SUM('Eurostat POM Portables'!AD4:AF4))/3</f>
        <v>5191.7968372687264</v>
      </c>
      <c r="AG4" s="67">
        <f>('Collection Rate'!AG4*SUM('Eurostat POM Portables'!AE4:AG4))/3</f>
        <v>5443.338860750905</v>
      </c>
      <c r="AH4" s="67">
        <f>('Collection Rate'!AH4*SUM('Eurostat POM Portables'!AF4:AH4))/3</f>
        <v>5680.6706352692063</v>
      </c>
      <c r="AI4" s="67">
        <f>('Collection Rate'!AI4*SUM('Eurostat POM Portables'!AG4:AI4))/3</f>
        <v>5901.1166342055367</v>
      </c>
      <c r="AJ4" s="67">
        <f>('Collection Rate'!AJ4*SUM('Eurostat POM Portables'!AH4:AJ4))/3</f>
        <v>6132.5320270904731</v>
      </c>
      <c r="AK4" s="67">
        <f>('Collection Rate'!AK4*SUM('Eurostat POM Portables'!AI4:AK4))/3</f>
        <v>6375.6104848026453</v>
      </c>
      <c r="AL4" s="67">
        <f>('Collection Rate'!AL4*SUM('Eurostat POM Portables'!AJ4:AL4))/3</f>
        <v>6631.0015903797203</v>
      </c>
      <c r="AM4" s="67">
        <f>('Collection Rate'!AM4*SUM('Eurostat POM Portables'!AK4:AM4))/3</f>
        <v>6899.3930842952277</v>
      </c>
      <c r="AN4" s="67">
        <f>('Collection Rate'!AN4*SUM('Eurostat POM Portables'!AL4:AN4))/3</f>
        <v>7181.5131425978871</v>
      </c>
      <c r="AO4" s="67">
        <f>('Collection Rate'!AO4*SUM('Eurostat POM Portables'!AM4:AO4))/3</f>
        <v>7476.6305798671237</v>
      </c>
      <c r="AP4" s="67">
        <f>('Collection Rate'!AP4*SUM('Eurostat POM Portables'!AN4:AP4))/3</f>
        <v>7774.4620407400944</v>
      </c>
      <c r="AQ4" s="67">
        <f>('Collection Rate'!AQ4*SUM('Eurostat POM Portables'!AO4:AQ4))/3</f>
        <v>8018.0541938861797</v>
      </c>
      <c r="AR4" s="67">
        <f>('Collection Rate'!AR4*SUM('Eurostat POM Portables'!AP4:AR4))/3</f>
        <v>8204.3291496654529</v>
      </c>
      <c r="AS4" s="67">
        <f>('Collection Rate'!AS4*SUM('Eurostat POM Portables'!AQ4:AS4))/3</f>
        <v>8339.819579185265</v>
      </c>
      <c r="AT4" s="67">
        <f>('Collection Rate'!AT4*SUM('Eurostat POM Portables'!AR4:AT4))/3</f>
        <v>8477.5704555637276</v>
      </c>
      <c r="AU4" s="67">
        <f>('Collection Rate'!AU4*SUM('Eurostat POM Portables'!AS4:AU4))/3</f>
        <v>8617.9026861846305</v>
      </c>
      <c r="AV4" s="67">
        <f>('Collection Rate'!AV4*SUM('Eurostat POM Portables'!AT4:AV4))/3</f>
        <v>8759.0126744402769</v>
      </c>
      <c r="AW4" s="67">
        <f>('Collection Rate'!AW4*SUM('Eurostat POM Portables'!AU4:AW4))/3</f>
        <v>8900.8757088414277</v>
      </c>
      <c r="AX4" s="67">
        <f>('Collection Rate'!AX4*SUM('Eurostat POM Portables'!AV4:AX4))/3</f>
        <v>9043.4656201484086</v>
      </c>
      <c r="AY4" s="67">
        <f>('Collection Rate'!AY4*SUM('Eurostat POM Portables'!AW4:AY4))/3</f>
        <v>9188.6135138318932</v>
      </c>
      <c r="AZ4" s="67">
        <f>('Collection Rate'!AZ4*SUM('Eurostat POM Portables'!AX4:AZ4))/3</f>
        <v>9336.3679087790551</v>
      </c>
    </row>
    <row r="5" spans="1:52" x14ac:dyDescent="0.35">
      <c r="A5" s="1" t="s">
        <v>2</v>
      </c>
      <c r="B5" s="23">
        <f>'Coll. portables Zn-based'!B12+'Coll. portables Li-Rechargeable'!B12+'Coll. portables Li-Primary'!B11+'Coll. portables Lead-acid'!B12+'Coll. portables NiMH'!B12+'Coll. portables NiCd'!B12+'Coll. portables Other'!B12</f>
        <v>87.066765371853336</v>
      </c>
      <c r="C5" s="23">
        <f>'Coll. portables Zn-based'!C12+'Coll. portables Li-Rechargeable'!C12+'Coll. portables Li-Primary'!C11+'Coll. portables Lead-acid'!C12+'Coll. portables NiMH'!C12+'Coll. portables NiCd'!C12+'Coll. portables Other'!C12</f>
        <v>89.769507218396598</v>
      </c>
      <c r="D5" s="23">
        <f>'Coll. portables Zn-based'!D12+'Coll. portables Li-Rechargeable'!D12+'Coll. portables Li-Primary'!D11+'Coll. portables Lead-acid'!D12+'Coll. portables NiMH'!D12+'Coll. portables NiCd'!D12+'Coll. portables Other'!D12</f>
        <v>92.644218594575051</v>
      </c>
      <c r="E5" s="23">
        <f>'Coll. portables Zn-based'!E12+'Coll. portables Li-Rechargeable'!E12+'Coll. portables Li-Primary'!E11+'Coll. portables Lead-acid'!E12+'Coll. portables NiMH'!E12+'Coll. portables NiCd'!E12+'Coll. portables Other'!E12</f>
        <v>95.885107567586033</v>
      </c>
      <c r="F5" s="23">
        <f>'Coll. portables Zn-based'!F12+'Coll. portables Li-Rechargeable'!F12+'Coll. portables Li-Primary'!F11+'Coll. portables Lead-acid'!F12+'Coll. portables NiMH'!F12+'Coll. portables NiCd'!F12+'Coll. portables Other'!F12</f>
        <v>100.78221379733968</v>
      </c>
      <c r="G5" s="23">
        <f>'Coll. portables Zn-based'!G12+'Coll. portables Li-Rechargeable'!G12+'Coll. portables Li-Primary'!G11+'Coll. portables Lead-acid'!G12+'Coll. portables NiMH'!G12+'Coll. portables NiCd'!G12+'Coll. portables Other'!G12</f>
        <v>99.831842911954368</v>
      </c>
      <c r="H5" s="23">
        <f>'Coll. portables Zn-based'!H12+'Coll. portables Li-Rechargeable'!H12+'Coll. portables Li-Primary'!H11+'Coll. portables Lead-acid'!H12+'Coll. portables NiMH'!H12+'Coll. portables NiCd'!H12+'Coll. portables Other'!H12</f>
        <v>106.55137555038027</v>
      </c>
      <c r="I5" s="23">
        <f>'Coll. portables Zn-based'!I12+'Coll. portables Li-Rechargeable'!I12+'Coll. portables Li-Primary'!I11+'Coll. portables Lead-acid'!I12+'Coll. portables NiMH'!I12+'Coll. portables NiCd'!I12+'Coll. portables Other'!I12</f>
        <v>101.40437125039394</v>
      </c>
      <c r="J5" s="23">
        <f>'Coll. portables Zn-based'!J12+'Coll. portables Li-Rechargeable'!J12+'Coll. portables Li-Primary'!J11+'Coll. portables Lead-acid'!J12+'Coll. portables NiMH'!J12+'Coll. portables NiCd'!J12+'Coll. portables Other'!J12</f>
        <v>103.184976161645</v>
      </c>
      <c r="K5" s="23">
        <f>'Coll. portables Zn-based'!K12+'Coll. portables Li-Rechargeable'!K12+'Coll. portables Li-Primary'!K11+'Coll. portables Lead-acid'!K12+'Coll. portables NiMH'!K12+'Coll. portables NiCd'!K12+'Coll. portables Other'!K12</f>
        <v>102.05576944505952</v>
      </c>
      <c r="L5" s="23">
        <f>'Coll. portables Zn-based'!L12+'Coll. portables Li-Rechargeable'!L12+'Coll. portables Li-Primary'!L11+'Coll. portables Lead-acid'!L12+'Coll. portables NiMH'!L12+'Coll. portables NiCd'!L12+'Coll. portables Other'!L12</f>
        <v>102.55256079365523</v>
      </c>
      <c r="M5" s="31">
        <v>108</v>
      </c>
      <c r="N5" s="31">
        <v>261</v>
      </c>
      <c r="O5" s="31">
        <v>247</v>
      </c>
      <c r="P5" s="31">
        <v>303</v>
      </c>
      <c r="Q5" s="31">
        <v>322</v>
      </c>
      <c r="R5" s="31">
        <v>362</v>
      </c>
      <c r="S5" s="31">
        <v>388</v>
      </c>
      <c r="T5" s="31">
        <v>402</v>
      </c>
      <c r="U5" s="31">
        <v>392</v>
      </c>
      <c r="V5" s="31">
        <v>408</v>
      </c>
      <c r="W5" s="31">
        <v>448</v>
      </c>
      <c r="X5" s="67">
        <f>('Collection Rate'!X5*SUM('Eurostat POM Portables'!V5:X5))/3</f>
        <v>468.12428851345675</v>
      </c>
      <c r="Y5" s="67">
        <f>('Collection Rate'!Y5*SUM('Eurostat POM Portables'!W5:Y5))/3</f>
        <v>495.67651728325069</v>
      </c>
      <c r="Z5" s="67">
        <f>('Collection Rate'!Z5*SUM('Eurostat POM Portables'!X5:Z5))/3</f>
        <v>521.25922964563892</v>
      </c>
      <c r="AA5" s="67">
        <f>('Collection Rate'!AA5*SUM('Eurostat POM Portables'!Y5:AA5))/3</f>
        <v>549.08728930026348</v>
      </c>
      <c r="AB5" s="67">
        <f>('Collection Rate'!AB5*SUM('Eurostat POM Portables'!Z5:AB5))/3</f>
        <v>577.027189562172</v>
      </c>
      <c r="AC5" s="67">
        <f>('Collection Rate'!AC5*SUM('Eurostat POM Portables'!AA5:AC5))/3</f>
        <v>605.76046028804888</v>
      </c>
      <c r="AD5" s="67">
        <f>('Collection Rate'!AD5*SUM('Eurostat POM Portables'!AB5:AD5))/3</f>
        <v>636.58573167818952</v>
      </c>
      <c r="AE5" s="67">
        <f>('Collection Rate'!AE5*SUM('Eurostat POM Portables'!AC5:AE5))/3</f>
        <v>672.81164325043744</v>
      </c>
      <c r="AF5" s="67">
        <f>('Collection Rate'!AF5*SUM('Eurostat POM Portables'!AD5:AF5))/3</f>
        <v>714.05157020576246</v>
      </c>
      <c r="AG5" s="67">
        <f>('Collection Rate'!AG5*SUM('Eurostat POM Portables'!AE5:AG5))/3</f>
        <v>754.9987043996548</v>
      </c>
      <c r="AH5" s="67">
        <f>('Collection Rate'!AH5*SUM('Eurostat POM Portables'!AF5:AH5))/3</f>
        <v>794.53717418981421</v>
      </c>
      <c r="AI5" s="67">
        <f>('Collection Rate'!AI5*SUM('Eurostat POM Portables'!AG5:AI5))/3</f>
        <v>832.23896514989383</v>
      </c>
      <c r="AJ5" s="67">
        <f>('Collection Rate'!AJ5*SUM('Eurostat POM Portables'!AH5:AJ5))/3</f>
        <v>872.00500569454152</v>
      </c>
      <c r="AK5" s="67">
        <f>('Collection Rate'!AK5*SUM('Eurostat POM Portables'!AI5:AK5))/3</f>
        <v>913.97202278702537</v>
      </c>
      <c r="AL5" s="67">
        <f>('Collection Rate'!AL5*SUM('Eurostat POM Portables'!AJ5:AL5))/3</f>
        <v>958.27349885838157</v>
      </c>
      <c r="AM5" s="67">
        <f>('Collection Rate'!AM5*SUM('Eurostat POM Portables'!AK5:AM5))/3</f>
        <v>1005.0513878064766</v>
      </c>
      <c r="AN5" s="67">
        <f>('Collection Rate'!AN5*SUM('Eurostat POM Portables'!AL5:AN5))/3</f>
        <v>1054.4566613319828</v>
      </c>
      <c r="AO5" s="67">
        <f>('Collection Rate'!AO5*SUM('Eurostat POM Portables'!AM5:AO5))/3</f>
        <v>1106.4275860173004</v>
      </c>
      <c r="AP5" s="67">
        <f>('Collection Rate'!AP5*SUM('Eurostat POM Portables'!AN5:AP5))/3</f>
        <v>1159.4743402603981</v>
      </c>
      <c r="AQ5" s="67">
        <f>('Collection Rate'!AQ5*SUM('Eurostat POM Portables'!AO5:AQ5))/3</f>
        <v>1205.0454817253951</v>
      </c>
      <c r="AR5" s="67">
        <f>('Collection Rate'!AR5*SUM('Eurostat POM Portables'!AP5:AR5))/3</f>
        <v>1242.4863224667208</v>
      </c>
      <c r="AS5" s="67">
        <f>('Collection Rate'!AS5*SUM('Eurostat POM Portables'!AQ5:AS5))/3</f>
        <v>1272.5949771523576</v>
      </c>
      <c r="AT5" s="67">
        <f>('Collection Rate'!AT5*SUM('Eurostat POM Portables'!AR5:AT5))/3</f>
        <v>1303.350905295327</v>
      </c>
      <c r="AU5" s="67">
        <f>('Collection Rate'!AU5*SUM('Eurostat POM Portables'!AS5:AU5))/3</f>
        <v>1334.8110443832886</v>
      </c>
      <c r="AV5" s="67">
        <f>('Collection Rate'!AV5*SUM('Eurostat POM Portables'!AT5:AV5))/3</f>
        <v>1366.7022904796343</v>
      </c>
      <c r="AW5" s="67">
        <f>('Collection Rate'!AW5*SUM('Eurostat POM Portables'!AU5:AW5))/3</f>
        <v>1399.0228659652012</v>
      </c>
      <c r="AX5" s="67">
        <f>('Collection Rate'!AX5*SUM('Eurostat POM Portables'!AV5:AX5))/3</f>
        <v>1431.7706443514783</v>
      </c>
      <c r="AY5" s="67">
        <f>('Collection Rate'!AY5*SUM('Eurostat POM Portables'!AW5:AY5))/3</f>
        <v>1465.2395404951603</v>
      </c>
      <c r="AZ5" s="67">
        <f>('Collection Rate'!AZ5*SUM('Eurostat POM Portables'!AX5:AZ5))/3</f>
        <v>1499.4455272634423</v>
      </c>
    </row>
    <row r="6" spans="1:52" x14ac:dyDescent="0.35">
      <c r="A6" s="1" t="s">
        <v>3</v>
      </c>
      <c r="B6" s="23">
        <f>'Coll. portables Zn-based'!B13+'Coll. portables Li-Rechargeable'!B13+'Coll. portables Li-Primary'!B12+'Coll. portables Lead-acid'!B13+'Coll. portables NiMH'!B13+'Coll. portables NiCd'!B13+'Coll. portables Other'!B13</f>
        <v>54.150681729578928</v>
      </c>
      <c r="C6" s="23">
        <f>'Coll. portables Zn-based'!C13+'Coll. portables Li-Rechargeable'!C13+'Coll. portables Li-Primary'!C12+'Coll. portables Lead-acid'!C13+'Coll. portables NiMH'!C13+'Coll. portables NiCd'!C13+'Coll. portables Other'!C13</f>
        <v>55.831636717447253</v>
      </c>
      <c r="D6" s="23">
        <f>'Coll. portables Zn-based'!D13+'Coll. portables Li-Rechargeable'!D13+'Coll. portables Li-Primary'!D12+'Coll. portables Lead-acid'!D13+'Coll. portables NiMH'!D13+'Coll. portables NiCd'!D13+'Coll. portables Other'!D13</f>
        <v>57.619547180538412</v>
      </c>
      <c r="E6" s="23">
        <f>'Coll. portables Zn-based'!E13+'Coll. portables Li-Rechargeable'!E13+'Coll. portables Li-Primary'!E12+'Coll. portables Lead-acid'!E13+'Coll. portables NiMH'!E13+'Coll. portables NiCd'!E13+'Coll. portables Other'!E13</f>
        <v>59.635199726591907</v>
      </c>
      <c r="F6" s="23">
        <f>'Coll. portables Zn-based'!F13+'Coll. portables Li-Rechargeable'!F13+'Coll. portables Li-Primary'!F12+'Coll. portables Lead-acid'!F13+'Coll. portables NiMH'!F13+'Coll. portables NiCd'!F13+'Coll. portables Other'!F13</f>
        <v>62.680927217566961</v>
      </c>
      <c r="G6" s="23">
        <f>'Coll. portables Zn-based'!G13+'Coll. portables Li-Rechargeable'!G13+'Coll. portables Li-Primary'!G12+'Coll. portables Lead-acid'!G13+'Coll. portables NiMH'!G13+'Coll. portables NiCd'!G13+'Coll. portables Other'!G13</f>
        <v>62.089849426635325</v>
      </c>
      <c r="H6" s="23">
        <f>'Coll. portables Zn-based'!H13+'Coll. portables Li-Rechargeable'!H13+'Coll. portables Li-Primary'!H12+'Coll. portables Lead-acid'!H13+'Coll. portables NiMH'!H13+'Coll. portables NiCd'!H13+'Coll. portables Other'!H13</f>
        <v>66.269024703457418</v>
      </c>
      <c r="I6" s="23">
        <f>'Coll. portables Zn-based'!I13+'Coll. portables Li-Rechargeable'!I13+'Coll. portables Li-Primary'!I12+'Coll. portables Lead-acid'!I13+'Coll. portables NiMH'!I13+'Coll. portables NiCd'!I13+'Coll. portables Other'!I13</f>
        <v>63.067874522685507</v>
      </c>
      <c r="J6" s="23">
        <f>'Coll. portables Zn-based'!J13+'Coll. portables Li-Rechargeable'!J13+'Coll. portables Li-Primary'!J12+'Coll. portables Lead-acid'!J13+'Coll. portables NiMH'!J13+'Coll. portables NiCd'!J13+'Coll. portables Other'!J13</f>
        <v>64.17531166501503</v>
      </c>
      <c r="K6" s="23">
        <f>'Coll. portables Zn-based'!K13+'Coll. portables Li-Rechargeable'!K13+'Coll. portables Li-Primary'!K12+'Coll. portables Lead-acid'!K13+'Coll. portables NiMH'!K13+'Coll. portables NiCd'!K13+'Coll. portables Other'!K13</f>
        <v>63.473007941480908</v>
      </c>
      <c r="L6" s="23">
        <f>'Coll. portables Zn-based'!L13+'Coll. portables Li-Rechargeable'!L13+'Coll. portables Li-Primary'!L12+'Coll. portables Lead-acid'!L13+'Coll. portables NiMH'!L13+'Coll. portables NiCd'!L13+'Coll. portables Other'!L13</f>
        <v>63.781984507785175</v>
      </c>
      <c r="M6" s="3">
        <f>N6/1.0637</f>
        <v>67.169988477430365</v>
      </c>
      <c r="N6" s="3">
        <f>O6/1.0637</f>
        <v>71.448716743442688</v>
      </c>
      <c r="O6" s="31">
        <v>76</v>
      </c>
      <c r="P6" s="31">
        <v>72</v>
      </c>
      <c r="Q6" s="31">
        <v>98</v>
      </c>
      <c r="R6" s="31">
        <v>337</v>
      </c>
      <c r="S6" s="31">
        <v>476</v>
      </c>
      <c r="T6" s="31">
        <v>525</v>
      </c>
      <c r="U6" s="31">
        <v>651</v>
      </c>
      <c r="V6" s="31">
        <v>596</v>
      </c>
      <c r="W6" s="31">
        <v>737</v>
      </c>
      <c r="X6" s="67">
        <f>('Collection Rate'!X6*SUM('Eurostat POM Portables'!V6:X6))/3</f>
        <v>782.30390719806417</v>
      </c>
      <c r="Y6" s="67">
        <f>('Collection Rate'!Y6*SUM('Eurostat POM Portables'!W6:Y6))/3</f>
        <v>802.84306030133746</v>
      </c>
      <c r="Z6" s="67">
        <f>('Collection Rate'!Z6*SUM('Eurostat POM Portables'!X6:Z6))/3</f>
        <v>836.15089983169764</v>
      </c>
      <c r="AA6" s="67">
        <f>('Collection Rate'!AA6*SUM('Eurostat POM Portables'!Y6:AA6))/3</f>
        <v>872.39092726406341</v>
      </c>
      <c r="AB6" s="67">
        <f>('Collection Rate'!AB6*SUM('Eurostat POM Portables'!Z6:AB6))/3</f>
        <v>908.12235232056582</v>
      </c>
      <c r="AC6" s="67">
        <f>('Collection Rate'!AC6*SUM('Eurostat POM Portables'!AA6:AC6))/3</f>
        <v>944.42200396226588</v>
      </c>
      <c r="AD6" s="67">
        <f>('Collection Rate'!AD6*SUM('Eurostat POM Portables'!AB6:AD6))/3</f>
        <v>983.27996290790406</v>
      </c>
      <c r="AE6" s="67">
        <f>('Collection Rate'!AE6*SUM('Eurostat POM Portables'!AC6:AE6))/3</f>
        <v>1029.6893652024808</v>
      </c>
      <c r="AF6" s="67">
        <f>('Collection Rate'!AF6*SUM('Eurostat POM Portables'!AD6:AF6))/3</f>
        <v>1082.8577022000763</v>
      </c>
      <c r="AG6" s="67">
        <f>('Collection Rate'!AG6*SUM('Eurostat POM Portables'!AE6:AG6))/3</f>
        <v>1134.6269093756134</v>
      </c>
      <c r="AH6" s="67">
        <f>('Collection Rate'!AH6*SUM('Eurostat POM Portables'!AF6:AH6))/3</f>
        <v>1183.3725435153035</v>
      </c>
      <c r="AI6" s="67">
        <f>('Collection Rate'!AI6*SUM('Eurostat POM Portables'!AG6:AI6))/3</f>
        <v>1228.5431384631627</v>
      </c>
      <c r="AJ6" s="67">
        <f>('Collection Rate'!AJ6*SUM('Eurostat POM Portables'!AH6:AJ6))/3</f>
        <v>1275.940823756179</v>
      </c>
      <c r="AK6" s="67">
        <f>('Collection Rate'!AK6*SUM('Eurostat POM Portables'!AI6:AK6))/3</f>
        <v>1325.7057562799689</v>
      </c>
      <c r="AL6" s="67">
        <f>('Collection Rate'!AL6*SUM('Eurostat POM Portables'!AJ6:AL6))/3</f>
        <v>1377.9685889434029</v>
      </c>
      <c r="AM6" s="67">
        <f>('Collection Rate'!AM6*SUM('Eurostat POM Portables'!AK6:AM6))/3</f>
        <v>1432.8675803861408</v>
      </c>
      <c r="AN6" s="67">
        <f>('Collection Rate'!AN6*SUM('Eurostat POM Portables'!AL6:AN6))/3</f>
        <v>1490.5490446297997</v>
      </c>
      <c r="AO6" s="67">
        <f>('Collection Rate'!AO6*SUM('Eurostat POM Portables'!AM6:AO6))/3</f>
        <v>1550.8562278997615</v>
      </c>
      <c r="AP6" s="67">
        <f>('Collection Rate'!AP6*SUM('Eurostat POM Portables'!AN6:AP6))/3</f>
        <v>1611.652585284123</v>
      </c>
      <c r="AQ6" s="67">
        <f>('Collection Rate'!AQ6*SUM('Eurostat POM Portables'!AO6:AQ6))/3</f>
        <v>1661.1379346477852</v>
      </c>
      <c r="AR6" s="67">
        <f>('Collection Rate'!AR6*SUM('Eurostat POM Portables'!AP6:AR6))/3</f>
        <v>1698.6956405427229</v>
      </c>
      <c r="AS6" s="67">
        <f>('Collection Rate'!AS6*SUM('Eurostat POM Portables'!AQ6:AS6))/3</f>
        <v>1725.6992113165586</v>
      </c>
      <c r="AT6" s="67">
        <f>('Collection Rate'!AT6*SUM('Eurostat POM Portables'!AR6:AT6))/3</f>
        <v>1753.1374295911473</v>
      </c>
      <c r="AU6" s="67">
        <f>('Collection Rate'!AU6*SUM('Eurostat POM Portables'!AS6:AU6))/3</f>
        <v>1781.0758262172503</v>
      </c>
      <c r="AV6" s="67">
        <f>('Collection Rate'!AV6*SUM('Eurostat POM Portables'!AT6:AV6))/3</f>
        <v>1809.140964742528</v>
      </c>
      <c r="AW6" s="67">
        <f>('Collection Rate'!AW6*SUM('Eurostat POM Portables'!AU6:AW6))/3</f>
        <v>1837.3275136502782</v>
      </c>
      <c r="AX6" s="67">
        <f>('Collection Rate'!AX6*SUM('Eurostat POM Portables'!AV6:AX6))/3</f>
        <v>1865.6298536189197</v>
      </c>
      <c r="AY6" s="67">
        <f>('Collection Rate'!AY6*SUM('Eurostat POM Portables'!AW6:AY6))/3</f>
        <v>1894.4252950545231</v>
      </c>
      <c r="AZ6" s="67">
        <f>('Collection Rate'!AZ6*SUM('Eurostat POM Portables'!AX6:AZ6))/3</f>
        <v>1923.7229397527219</v>
      </c>
    </row>
    <row r="7" spans="1:52" x14ac:dyDescent="0.35">
      <c r="A7" s="1" t="s">
        <v>4</v>
      </c>
      <c r="B7" s="23">
        <f>'Coll. portables Zn-based'!B14+'Coll. portables Li-Rechargeable'!B14+'Coll. portables Li-Primary'!B13+'Coll. portables Lead-acid'!B14+'Coll. portables NiMH'!B14+'Coll. portables NiCd'!B14+'Coll. portables Other'!B14</f>
        <v>26.603733863621859</v>
      </c>
      <c r="C7" s="23">
        <f>'Coll. portables Zn-based'!C14+'Coll. portables Li-Rechargeable'!C14+'Coll. portables Li-Primary'!C13+'Coll. portables Lead-acid'!C14+'Coll. portables NiMH'!C14+'Coll. portables NiCd'!C14+'Coll. portables Other'!C14</f>
        <v>27.429571650065643</v>
      </c>
      <c r="D7" s="23">
        <f>'Coll. portables Zn-based'!D14+'Coll. portables Li-Rechargeable'!D14+'Coll. portables Li-Primary'!D13+'Coll. portables Lead-acid'!D14+'Coll. portables NiMH'!D14+'Coll. portables NiCd'!D14+'Coll. portables Other'!D14</f>
        <v>28.307955681675718</v>
      </c>
      <c r="E7" s="23">
        <f>'Coll. portables Zn-based'!E14+'Coll. portables Li-Rechargeable'!E14+'Coll. portables Li-Primary'!E13+'Coll. portables Lead-acid'!E14+'Coll. portables NiMH'!E14+'Coll. portables NiCd'!E14+'Coll. portables Other'!E14</f>
        <v>29.298227312317962</v>
      </c>
      <c r="F7" s="23">
        <f>'Coll. portables Zn-based'!F14+'Coll. portables Li-Rechargeable'!F14+'Coll. portables Li-Primary'!F13+'Coll. portables Lead-acid'!F14+'Coll. portables NiMH'!F14+'Coll. portables NiCd'!F14+'Coll. portables Other'!F14</f>
        <v>30.794565326964911</v>
      </c>
      <c r="G7" s="23">
        <f>'Coll. portables Zn-based'!G14+'Coll. portables Li-Rechargeable'!G14+'Coll. portables Li-Primary'!G13+'Coll. portables Lead-acid'!G14+'Coll. portables NiMH'!G14+'Coll. portables NiCd'!G14+'Coll. portables Other'!G14</f>
        <v>30.504174223097181</v>
      </c>
      <c r="H7" s="23">
        <f>'Coll. portables Zn-based'!H14+'Coll. portables Li-Rechargeable'!H14+'Coll. portables Li-Primary'!H13+'Coll. portables Lead-acid'!H14+'Coll. portables NiMH'!H14+'Coll. portables NiCd'!H14+'Coll. portables Other'!H14</f>
        <v>32.557364751505084</v>
      </c>
      <c r="I7" s="23">
        <f>'Coll. portables Zn-based'!I14+'Coll. portables Li-Rechargeable'!I14+'Coll. portables Li-Primary'!I13+'Coll. portables Lead-acid'!I14+'Coll. portables NiMH'!I14+'Coll. portables NiCd'!I14+'Coll. portables Other'!I14</f>
        <v>30.984668993175937</v>
      </c>
      <c r="J7" s="23">
        <f>'Coll. portables Zn-based'!J14+'Coll. portables Li-Rechargeable'!J14+'Coll. portables Li-Primary'!J13+'Coll. portables Lead-acid'!J14+'Coll. portables NiMH'!J14+'Coll. portables NiCd'!J14+'Coll. portables Other'!J14</f>
        <v>31.528742716058201</v>
      </c>
      <c r="K7" s="23">
        <f>'Coll. portables Zn-based'!K14+'Coll. portables Li-Rechargeable'!K14+'Coll. portables Li-Primary'!K13+'Coll. portables Lead-acid'!K14+'Coll. portables NiMH'!K14+'Coll. portables NiCd'!K14+'Coll. portables Other'!K14</f>
        <v>31.183707330434856</v>
      </c>
      <c r="L7" s="23">
        <f>'Coll. portables Zn-based'!L14+'Coll. portables Li-Rechargeable'!L14+'Coll. portables Li-Primary'!L13+'Coll. portables Lead-acid'!L14+'Coll. portables NiMH'!L14+'Coll. portables NiCd'!L14+'Coll. portables Other'!L14</f>
        <v>31.335504686950205</v>
      </c>
      <c r="M7" s="31">
        <v>33</v>
      </c>
      <c r="N7" s="31">
        <v>31</v>
      </c>
      <c r="O7" s="31">
        <v>39</v>
      </c>
      <c r="P7" s="31">
        <v>41</v>
      </c>
      <c r="Q7" s="31">
        <v>55</v>
      </c>
      <c r="R7" s="31">
        <v>57</v>
      </c>
      <c r="S7" s="31">
        <v>64</v>
      </c>
      <c r="T7" s="31">
        <v>77</v>
      </c>
      <c r="U7" s="31">
        <v>84</v>
      </c>
      <c r="V7" s="31">
        <v>80</v>
      </c>
      <c r="W7" s="31">
        <v>89</v>
      </c>
      <c r="X7" s="67">
        <f>('Collection Rate'!X7*SUM('Eurostat POM Portables'!V7:X7))/3</f>
        <v>94.564592768459434</v>
      </c>
      <c r="Y7" s="67">
        <f>('Collection Rate'!Y7*SUM('Eurostat POM Portables'!W7:Y7))/3</f>
        <v>97.134241329197835</v>
      </c>
      <c r="Z7" s="67">
        <f>('Collection Rate'!Z7*SUM('Eurostat POM Portables'!X7:Z7))/3</f>
        <v>102.16304634045922</v>
      </c>
      <c r="AA7" s="67">
        <f>('Collection Rate'!AA7*SUM('Eurostat POM Portables'!Y7:AA7))/3</f>
        <v>107.63320339136267</v>
      </c>
      <c r="AB7" s="67">
        <f>('Collection Rate'!AB7*SUM('Eurostat POM Portables'!Z7:AB7))/3</f>
        <v>113.12659582160116</v>
      </c>
      <c r="AC7" s="67">
        <f>('Collection Rate'!AC7*SUM('Eurostat POM Portables'!AA7:AC7))/3</f>
        <v>118.77682994181458</v>
      </c>
      <c r="AD7" s="67">
        <f>('Collection Rate'!AD7*SUM('Eurostat POM Portables'!AB7:AD7))/3</f>
        <v>124.83860580238036</v>
      </c>
      <c r="AE7" s="67">
        <f>('Collection Rate'!AE7*SUM('Eurostat POM Portables'!AC7:AE7))/3</f>
        <v>131.96099368619272</v>
      </c>
      <c r="AF7" s="67">
        <f>('Collection Rate'!AF7*SUM('Eurostat POM Portables'!AD7:AF7))/3</f>
        <v>140.06854739821651</v>
      </c>
      <c r="AG7" s="67">
        <f>('Collection Rate'!AG7*SUM('Eurostat POM Portables'!AE7:AG7))/3</f>
        <v>148.12049291995859</v>
      </c>
      <c r="AH7" s="67">
        <f>('Collection Rate'!AH7*SUM('Eurostat POM Portables'!AF7:AH7))/3</f>
        <v>155.89781099137329</v>
      </c>
      <c r="AI7" s="67">
        <f>('Collection Rate'!AI7*SUM('Eurostat POM Portables'!AG7:AI7))/3</f>
        <v>163.31635555007367</v>
      </c>
      <c r="AJ7" s="67">
        <f>('Collection Rate'!AJ7*SUM('Eurostat POM Portables'!AH7:AJ7))/3</f>
        <v>171.14155099475968</v>
      </c>
      <c r="AK7" s="67">
        <f>('Collection Rate'!AK7*SUM('Eurostat POM Portables'!AI7:AK7))/3</f>
        <v>179.4003461852391</v>
      </c>
      <c r="AL7" s="67">
        <f>('Collection Rate'!AL7*SUM('Eurostat POM Portables'!AJ7:AL7))/3</f>
        <v>188.1190622966856</v>
      </c>
      <c r="AM7" s="67">
        <f>('Collection Rate'!AM7*SUM('Eurostat POM Portables'!AK7:AM7))/3</f>
        <v>197.32569229041152</v>
      </c>
      <c r="AN7" s="67">
        <f>('Collection Rate'!AN7*SUM('Eurostat POM Portables'!AL7:AN7))/3</f>
        <v>207.05000880764965</v>
      </c>
      <c r="AO7" s="67">
        <f>('Collection Rate'!AO7*SUM('Eurostat POM Portables'!AM7:AO7))/3</f>
        <v>217.28002291551579</v>
      </c>
      <c r="AP7" s="67">
        <f>('Collection Rate'!AP7*SUM('Eurostat POM Portables'!AN7:AP7))/3</f>
        <v>227.72325608686401</v>
      </c>
      <c r="AQ7" s="67">
        <f>('Collection Rate'!AQ7*SUM('Eurostat POM Portables'!AO7:AQ7))/3</f>
        <v>236.70002183280789</v>
      </c>
      <c r="AR7" s="67">
        <f>('Collection Rate'!AR7*SUM('Eurostat POM Portables'!AP7:AR7))/3</f>
        <v>244.08117712240741</v>
      </c>
      <c r="AS7" s="67">
        <f>('Collection Rate'!AS7*SUM('Eurostat POM Portables'!AQ7:AS7))/3</f>
        <v>250.02296837276961</v>
      </c>
      <c r="AT7" s="67">
        <f>('Collection Rate'!AT7*SUM('Eurostat POM Portables'!AR7:AT7))/3</f>
        <v>256.09277467865712</v>
      </c>
      <c r="AU7" s="67">
        <f>('Collection Rate'!AU7*SUM('Eurostat POM Portables'!AS7:AU7))/3</f>
        <v>262.30180470948613</v>
      </c>
      <c r="AV7" s="67">
        <f>('Collection Rate'!AV7*SUM('Eurostat POM Portables'!AT7:AV7))/3</f>
        <v>268.59640845979703</v>
      </c>
      <c r="AW7" s="67">
        <f>('Collection Rate'!AW7*SUM('Eurostat POM Portables'!AU7:AW7))/3</f>
        <v>274.97624227076318</v>
      </c>
      <c r="AX7" s="67">
        <f>('Collection Rate'!AX7*SUM('Eurostat POM Portables'!AV7:AX7))/3</f>
        <v>281.44089358798777</v>
      </c>
      <c r="AY7" s="67">
        <f>('Collection Rate'!AY7*SUM('Eurostat POM Portables'!AW7:AY7))/3</f>
        <v>288.04814762619213</v>
      </c>
      <c r="AZ7" s="67">
        <f>('Collection Rate'!AZ7*SUM('Eurostat POM Portables'!AX7:AZ7))/3</f>
        <v>294.80116653782244</v>
      </c>
    </row>
    <row r="8" spans="1:52" x14ac:dyDescent="0.35">
      <c r="A8" s="1" t="s">
        <v>5</v>
      </c>
      <c r="B8" s="23">
        <f>'Coll. portables Zn-based'!B15+'Coll. portables Li-Rechargeable'!B15+'Coll. portables Li-Primary'!B14+'Coll. portables Lead-acid'!B15+'Coll. portables NiMH'!B15+'Coll. portables NiCd'!B15+'Coll. portables Other'!B15</f>
        <v>689.2785591938391</v>
      </c>
      <c r="C8" s="23">
        <f>'Coll. portables Zn-based'!C15+'Coll. portables Li-Rechargeable'!C15+'Coll. portables Li-Primary'!C14+'Coll. portables Lead-acid'!C15+'Coll. portables NiMH'!C15+'Coll. portables NiCd'!C15+'Coll. portables Other'!C15</f>
        <v>710.67526547897319</v>
      </c>
      <c r="D8" s="23">
        <f>'Coll. portables Zn-based'!D15+'Coll. portables Li-Rechargeable'!D15+'Coll. portables Li-Primary'!D14+'Coll. portables Lead-acid'!D15+'Coll. portables NiMH'!D15+'Coll. portables NiCd'!D15+'Coll. portables Other'!D15</f>
        <v>733.43339720705262</v>
      </c>
      <c r="E8" s="23">
        <f>'Coll. portables Zn-based'!E15+'Coll. portables Li-Rechargeable'!E15+'Coll. portables Li-Primary'!E14+'Coll. portables Lead-acid'!E15+'Coll. portables NiMH'!E15+'Coll. portables NiCd'!E15+'Coll. portables Other'!E15</f>
        <v>759.09043491005605</v>
      </c>
      <c r="F8" s="23">
        <f>'Coll. portables Zn-based'!F15+'Coll. portables Li-Rechargeable'!F15+'Coll. portables Li-Primary'!F14+'Coll. portables Lead-acid'!F15+'Coll. portables NiMH'!F15+'Coll. portables NiCd'!F15+'Coll. portables Other'!F15</f>
        <v>797.85919256227248</v>
      </c>
      <c r="G8" s="23">
        <f>'Coll. portables Zn-based'!G15+'Coll. portables Li-Rechargeable'!G15+'Coll. portables Li-Primary'!G14+'Coll. portables Lead-acid'!G15+'Coll. portables NiMH'!G15+'Coll. portables NiCd'!G15+'Coll. portables Other'!G15</f>
        <v>790.33542305297203</v>
      </c>
      <c r="H8" s="23">
        <f>'Coll. portables Zn-based'!H15+'Coll. portables Li-Rechargeable'!H15+'Coll. portables Li-Primary'!H14+'Coll. portables Lead-acid'!H15+'Coll. portables NiMH'!H15+'Coll. portables NiCd'!H15+'Coll. portables Other'!H15</f>
        <v>843.53172310717719</v>
      </c>
      <c r="I8" s="23">
        <f>'Coll. portables Zn-based'!I15+'Coll. portables Li-Rechargeable'!I15+'Coll. portables Li-Primary'!I14+'Coll. portables Lead-acid'!I15+'Coll. portables NiMH'!I15+'Coll. portables NiCd'!I15+'Coll. portables Other'!I15</f>
        <v>802.78460573228551</v>
      </c>
      <c r="J8" s="23">
        <f>'Coll. portables Zn-based'!J15+'Coll. portables Li-Rechargeable'!J15+'Coll. portables Li-Primary'!J14+'Coll. portables Lead-acid'!J15+'Coll. portables NiMH'!J15+'Coll. portables NiCd'!J15+'Coll. portables Other'!J15</f>
        <v>816.88106127968979</v>
      </c>
      <c r="K8" s="23">
        <f>'Coll. portables Zn-based'!K15+'Coll. portables Li-Rechargeable'!K15+'Coll. portables Li-Primary'!K14+'Coll. portables Lead-acid'!K15+'Coll. portables NiMH'!K15+'Coll. portables NiCd'!K15+'Coll. portables Other'!K15</f>
        <v>807.94150810672113</v>
      </c>
      <c r="L8" s="23">
        <f>'Coll. portables Zn-based'!L15+'Coll. portables Li-Rechargeable'!L15+'Coll. portables Li-Primary'!L14+'Coll. portables Lead-acid'!L15+'Coll. portables NiMH'!L15+'Coll. portables NiCd'!L15+'Coll. portables Other'!L15</f>
        <v>811.87443961643714</v>
      </c>
      <c r="M8" s="31">
        <v>855</v>
      </c>
      <c r="N8" s="31">
        <v>1010</v>
      </c>
      <c r="O8" s="31">
        <v>1114</v>
      </c>
      <c r="P8" s="31">
        <v>1195</v>
      </c>
      <c r="Q8" s="31">
        <v>1407</v>
      </c>
      <c r="R8" s="31">
        <v>2082</v>
      </c>
      <c r="S8" s="31">
        <v>1890</v>
      </c>
      <c r="T8" s="31">
        <v>1921</v>
      </c>
      <c r="U8" s="31">
        <v>2042</v>
      </c>
      <c r="V8" s="31">
        <v>2154</v>
      </c>
      <c r="W8" s="31">
        <v>2433</v>
      </c>
      <c r="X8" s="67">
        <f>('Collection Rate'!X8*SUM('Eurostat POM Portables'!V8:X8))/3</f>
        <v>2638.6014193135984</v>
      </c>
      <c r="Y8" s="67">
        <f>('Collection Rate'!Y8*SUM('Eurostat POM Portables'!W8:Y8))/3</f>
        <v>2770.4986532876615</v>
      </c>
      <c r="Z8" s="67">
        <f>('Collection Rate'!Z8*SUM('Eurostat POM Portables'!X8:Z8))/3</f>
        <v>2903.9850590558453</v>
      </c>
      <c r="AA8" s="67">
        <f>('Collection Rate'!AA8*SUM('Eurostat POM Portables'!Y8:AA8))/3</f>
        <v>3049.1976326293293</v>
      </c>
      <c r="AB8" s="67">
        <f>('Collection Rate'!AB8*SUM('Eurostat POM Portables'!Z8:AB8))/3</f>
        <v>3194.2288477452898</v>
      </c>
      <c r="AC8" s="67">
        <f>('Collection Rate'!AC8*SUM('Eurostat POM Portables'!AA8:AC8))/3</f>
        <v>3342.8563834611373</v>
      </c>
      <c r="AD8" s="67">
        <f>('Collection Rate'!AD8*SUM('Eurostat POM Portables'!AB8:AD8))/3</f>
        <v>3502.2062372443565</v>
      </c>
      <c r="AE8" s="67">
        <f>('Collection Rate'!AE8*SUM('Eurostat POM Portables'!AC8:AE8))/3</f>
        <v>3690.3437322828308</v>
      </c>
      <c r="AF8" s="67">
        <f>('Collection Rate'!AF8*SUM('Eurostat POM Portables'!AD8:AF8))/3</f>
        <v>3904.9134586831683</v>
      </c>
      <c r="AG8" s="67">
        <f>('Collection Rate'!AG8*SUM('Eurostat POM Portables'!AE8:AG8))/3</f>
        <v>4116.7652592604636</v>
      </c>
      <c r="AH8" s="67">
        <f>('Collection Rate'!AH8*SUM('Eurostat POM Portables'!AF8:AH8))/3</f>
        <v>4319.8760413619966</v>
      </c>
      <c r="AI8" s="67">
        <f>('Collection Rate'!AI8*SUM('Eurostat POM Portables'!AG8:AI8))/3</f>
        <v>4512.0192706917651</v>
      </c>
      <c r="AJ8" s="67">
        <f>('Collection Rate'!AJ8*SUM('Eurostat POM Portables'!AH8:AJ8))/3</f>
        <v>4714.3949957018776</v>
      </c>
      <c r="AK8" s="67">
        <f>('Collection Rate'!AK8*SUM('Eurostat POM Portables'!AI8:AK8))/3</f>
        <v>4927.6723718916173</v>
      </c>
      <c r="AL8" s="67">
        <f>('Collection Rate'!AL8*SUM('Eurostat POM Portables'!AJ8:AL8))/3</f>
        <v>5152.4974521623299</v>
      </c>
      <c r="AM8" s="67">
        <f>('Collection Rate'!AM8*SUM('Eurostat POM Portables'!AK8:AM8))/3</f>
        <v>5389.5564889082134</v>
      </c>
      <c r="AN8" s="67">
        <f>('Collection Rate'!AN8*SUM('Eurostat POM Portables'!AL8:AN8))/3</f>
        <v>5639.5784787686052</v>
      </c>
      <c r="AO8" s="67">
        <f>('Collection Rate'!AO8*SUM('Eurostat POM Portables'!AM8:AO8))/3</f>
        <v>5902.1520027587658</v>
      </c>
      <c r="AP8" s="67">
        <f>('Collection Rate'!AP8*SUM('Eurostat POM Portables'!AN8:AP8))/3</f>
        <v>6169.2732574813426</v>
      </c>
      <c r="AQ8" s="67">
        <f>('Collection Rate'!AQ8*SUM('Eurostat POM Portables'!AO8:AQ8))/3</f>
        <v>6395.5429411567384</v>
      </c>
      <c r="AR8" s="67">
        <f>('Collection Rate'!AR8*SUM('Eurostat POM Portables'!AP8:AR8))/3</f>
        <v>6577.8206398065731</v>
      </c>
      <c r="AS8" s="67">
        <f>('Collection Rate'!AS8*SUM('Eurostat POM Portables'!AQ8:AS8))/3</f>
        <v>6720.6617617278034</v>
      </c>
      <c r="AT8" s="67">
        <f>('Collection Rate'!AT8*SUM('Eurostat POM Portables'!AR8:AT8))/3</f>
        <v>6866.4031122620036</v>
      </c>
      <c r="AU8" s="67">
        <f>('Collection Rate'!AU8*SUM('Eurostat POM Portables'!AS8:AU8))/3</f>
        <v>7015.3317267297743</v>
      </c>
      <c r="AV8" s="67">
        <f>('Collection Rate'!AV8*SUM('Eurostat POM Portables'!AT8:AV8))/3</f>
        <v>7166.0017062027146</v>
      </c>
      <c r="AW8" s="67">
        <f>('Collection Rate'!AW8*SUM('Eurostat POM Portables'!AU8:AW8))/3</f>
        <v>7318.4002476689129</v>
      </c>
      <c r="AX8" s="67">
        <f>('Collection Rate'!AX8*SUM('Eurostat POM Portables'!AV8:AX8))/3</f>
        <v>7472.5129223456051</v>
      </c>
      <c r="AY8" s="67">
        <f>('Collection Rate'!AY8*SUM('Eurostat POM Portables'!AW8:AY8))/3</f>
        <v>7629.8670663704033</v>
      </c>
      <c r="AZ8" s="67">
        <f>('Collection Rate'!AZ8*SUM('Eurostat POM Portables'!AX8:AZ8))/3</f>
        <v>7790.5323502330129</v>
      </c>
    </row>
    <row r="9" spans="1:52" x14ac:dyDescent="0.35">
      <c r="A9" s="1" t="s">
        <v>6</v>
      </c>
      <c r="B9" s="23">
        <f>'Coll. portables Zn-based'!B16+'Coll. portables Li-Rechargeable'!B16+'Coll. portables Li-Primary'!B15+'Coll. portables Lead-acid'!B16+'Coll. portables NiMH'!B16+'Coll. portables NiCd'!B16+'Coll. portables Other'!B16</f>
        <v>1281.0100942210645</v>
      </c>
      <c r="C9" s="23">
        <f>'Coll. portables Zn-based'!C16+'Coll. portables Li-Rechargeable'!C16+'Coll. portables Li-Primary'!C15+'Coll. portables Lead-acid'!C16+'Coll. portables NiMH'!C16+'Coll. portables NiCd'!C16+'Coll. portables Other'!C16</f>
        <v>1320.7754349077059</v>
      </c>
      <c r="D9" s="23">
        <f>'Coll. portables Zn-based'!D16+'Coll. portables Li-Rechargeable'!D16+'Coll. portables Li-Primary'!D15+'Coll. portables Lead-acid'!D16+'Coll. portables NiMH'!D16+'Coll. portables NiCd'!D16+'Coll. portables Other'!D16</f>
        <v>1363.0709569146275</v>
      </c>
      <c r="E9" s="23">
        <f>'Coll. portables Zn-based'!E16+'Coll. portables Li-Rechargeable'!E16+'Coll. portables Li-Primary'!E15+'Coll. portables Lead-acid'!E16+'Coll. portables NiMH'!E16+'Coll. portables NiCd'!E16+'Coll. portables Other'!E16</f>
        <v>1410.7540363416131</v>
      </c>
      <c r="F9" s="23">
        <f>'Coll. portables Zn-based'!F16+'Coll. portables Li-Rechargeable'!F16+'Coll. portables Li-Primary'!F15+'Coll. portables Lead-acid'!F16+'Coll. portables NiMH'!F16+'Coll. portables NiCd'!F16+'Coll. portables Other'!F16</f>
        <v>1482.8049789256736</v>
      </c>
      <c r="G9" s="23">
        <f>'Coll. portables Zn-based'!G16+'Coll. portables Li-Rechargeable'!G16+'Coll. portables Li-Primary'!G15+'Coll. portables Lead-acid'!G16+'Coll. portables NiMH'!G16+'Coll. portables NiCd'!G16+'Coll. portables Other'!G16</f>
        <v>1468.8222072879216</v>
      </c>
      <c r="H9" s="23">
        <f>'Coll. portables Zn-based'!H16+'Coll. portables Li-Rechargeable'!H16+'Coll. portables Li-Primary'!H15+'Coll. portables Lead-acid'!H16+'Coll. portables NiMH'!H16+'Coll. portables NiCd'!H16+'Coll. portables Other'!H16</f>
        <v>1567.6864421255027</v>
      </c>
      <c r="I9" s="23">
        <f>'Coll. portables Zn-based'!I16+'Coll. portables Li-Rechargeable'!I16+'Coll. portables Li-Primary'!I15+'Coll. portables Lead-acid'!I16+'Coll. portables NiMH'!I16+'Coll. portables NiCd'!I16+'Coll. portables Other'!I16</f>
        <v>1491.9587584895933</v>
      </c>
      <c r="J9" s="23">
        <f>'Coll. portables Zn-based'!J16+'Coll. portables Li-Rechargeable'!J16+'Coll. portables Li-Primary'!J15+'Coll. portables Lead-acid'!J16+'Coll. portables NiMH'!J16+'Coll. portables NiCd'!J16+'Coll. portables Other'!J16</f>
        <v>1518.1567326004995</v>
      </c>
      <c r="K9" s="23">
        <f>'Coll. portables Zn-based'!K16+'Coll. portables Li-Rechargeable'!K16+'Coll. portables Li-Primary'!K15+'Coll. portables Lead-acid'!K16+'Coll. portables NiMH'!K16+'Coll. portables NiCd'!K16+'Coll. portables Other'!K16</f>
        <v>1501.5427560018477</v>
      </c>
      <c r="L9" s="23">
        <f>'Coll. portables Zn-based'!L16+'Coll. portables Li-Rechargeable'!L16+'Coll. portables Li-Primary'!L15+'Coll. portables Lead-acid'!L16+'Coll. portables NiMH'!L16+'Coll. portables NiCd'!L16+'Coll. portables Other'!L16</f>
        <v>1508.852028714057</v>
      </c>
      <c r="M9" s="31">
        <v>1589</v>
      </c>
      <c r="N9" s="31">
        <v>1511</v>
      </c>
      <c r="O9" s="31">
        <v>1403</v>
      </c>
      <c r="P9" s="31">
        <v>1544</v>
      </c>
      <c r="Q9" s="31">
        <v>1591</v>
      </c>
      <c r="R9" s="31">
        <v>1683</v>
      </c>
      <c r="S9" s="31">
        <v>1985</v>
      </c>
      <c r="T9" s="31">
        <v>1979</v>
      </c>
      <c r="U9" s="31">
        <v>2249</v>
      </c>
      <c r="V9" s="31">
        <v>2655</v>
      </c>
      <c r="W9" s="31">
        <v>2619</v>
      </c>
      <c r="X9" s="67">
        <f>('Collection Rate'!X9*SUM('Eurostat POM Portables'!V9:X9))/3</f>
        <v>2865.2450485828199</v>
      </c>
      <c r="Y9" s="67">
        <f>('Collection Rate'!Y9*SUM('Eurostat POM Portables'!W9:Y9))/3</f>
        <v>2985.8073321851921</v>
      </c>
      <c r="Z9" s="67">
        <f>('Collection Rate'!Z9*SUM('Eurostat POM Portables'!X9:Z9))/3</f>
        <v>3117.7047914193877</v>
      </c>
      <c r="AA9" s="67">
        <f>('Collection Rate'!AA9*SUM('Eurostat POM Portables'!Y9:AA9))/3</f>
        <v>3261.2027426678178</v>
      </c>
      <c r="AB9" s="67">
        <f>('Collection Rate'!AB9*SUM('Eurostat POM Portables'!Z9:AB9))/3</f>
        <v>3403.4900986712728</v>
      </c>
      <c r="AC9" s="67">
        <f>('Collection Rate'!AC9*SUM('Eurostat POM Portables'!AA9:AC9))/3</f>
        <v>3548.5983249139022</v>
      </c>
      <c r="AD9" s="67">
        <f>('Collection Rate'!AD9*SUM('Eurostat POM Portables'!AB9:AD9))/3</f>
        <v>3704.0404648521439</v>
      </c>
      <c r="AE9" s="67">
        <f>('Collection Rate'!AE9*SUM('Eurostat POM Portables'!AC9:AE9))/3</f>
        <v>3888.7473582340263</v>
      </c>
      <c r="AF9" s="67">
        <f>('Collection Rate'!AF9*SUM('Eurostat POM Portables'!AD9:AF9))/3</f>
        <v>4099.9357984329918</v>
      </c>
      <c r="AG9" s="67">
        <f>('Collection Rate'!AG9*SUM('Eurostat POM Portables'!AE9:AG9))/3</f>
        <v>4306.8338696448754</v>
      </c>
      <c r="AH9" s="67">
        <f>('Collection Rate'!AH9*SUM('Eurostat POM Portables'!AF9:AH9))/3</f>
        <v>4503.2196161959155</v>
      </c>
      <c r="AI9" s="67">
        <f>('Collection Rate'!AI9*SUM('Eurostat POM Portables'!AG9:AI9))/3</f>
        <v>4686.9021422473606</v>
      </c>
      <c r="AJ9" s="67">
        <f>('Collection Rate'!AJ9*SUM('Eurostat POM Portables'!AH9:AJ9))/3</f>
        <v>4879.969375659507</v>
      </c>
      <c r="AK9" s="67">
        <f>('Collection Rate'!AK9*SUM('Eurostat POM Portables'!AI9:AK9))/3</f>
        <v>5083.0228235453878</v>
      </c>
      <c r="AL9" s="67">
        <f>('Collection Rate'!AL9*SUM('Eurostat POM Portables'!AJ9:AL9))/3</f>
        <v>5296.6328417619688</v>
      </c>
      <c r="AM9" s="67">
        <f>('Collection Rate'!AM9*SUM('Eurostat POM Portables'!AK9:AM9))/3</f>
        <v>5521.4041093350861</v>
      </c>
      <c r="AN9" s="67">
        <f>('Collection Rate'!AN9*SUM('Eurostat POM Portables'!AL9:AN9))/3</f>
        <v>5757.9777304031568</v>
      </c>
      <c r="AO9" s="67">
        <f>('Collection Rate'!AO9*SUM('Eurostat POM Portables'!AM9:AO9))/3</f>
        <v>6005.8267689416862</v>
      </c>
      <c r="AP9" s="67">
        <f>('Collection Rate'!AP9*SUM('Eurostat POM Portables'!AN9:AP9))/3</f>
        <v>6256.7323576589033</v>
      </c>
      <c r="AQ9" s="67">
        <f>('Collection Rate'!AQ9*SUM('Eurostat POM Portables'!AO9:AQ9))/3</f>
        <v>6464.7848565206832</v>
      </c>
      <c r="AR9" s="67">
        <f>('Collection Rate'!AR9*SUM('Eurostat POM Portables'!AP9:AR9))/3</f>
        <v>6627.2528967083854</v>
      </c>
      <c r="AS9" s="67">
        <f>('Collection Rate'!AS9*SUM('Eurostat POM Portables'!AQ9:AS9))/3</f>
        <v>6749.1648397712061</v>
      </c>
      <c r="AT9" s="67">
        <f>('Collection Rate'!AT9*SUM('Eurostat POM Portables'!AR9:AT9))/3</f>
        <v>6873.2991332300198</v>
      </c>
      <c r="AU9" s="67">
        <f>('Collection Rate'!AU9*SUM('Eurostat POM Portables'!AS9:AU9))/3</f>
        <v>6999.925837682782</v>
      </c>
      <c r="AV9" s="67">
        <f>('Collection Rate'!AV9*SUM('Eurostat POM Portables'!AT9:AV9))/3</f>
        <v>7127.58810172225</v>
      </c>
      <c r="AW9" s="67">
        <f>('Collection Rate'!AW9*SUM('Eurostat POM Portables'!AU9:AW9))/3</f>
        <v>7256.2685181360175</v>
      </c>
      <c r="AX9" s="67">
        <f>('Collection Rate'!AX9*SUM('Eurostat POM Portables'!AV9:AX9))/3</f>
        <v>7385.9483356471201</v>
      </c>
      <c r="AY9" s="67">
        <f>('Collection Rate'!AY9*SUM('Eurostat POM Portables'!AW9:AY9))/3</f>
        <v>7518.128264410444</v>
      </c>
      <c r="AZ9" s="67">
        <f>('Collection Rate'!AZ9*SUM('Eurostat POM Portables'!AX9:AZ9))/3</f>
        <v>7652.8587090072288</v>
      </c>
    </row>
    <row r="10" spans="1:52" x14ac:dyDescent="0.35">
      <c r="A10" s="1" t="s">
        <v>7</v>
      </c>
      <c r="B10" s="23">
        <f>'Coll. portables Zn-based'!B17+'Coll. portables Li-Rechargeable'!B17+'Coll. portables Li-Primary'!B16+'Coll. portables Lead-acid'!B17+'Coll. portables NiMH'!B17+'Coll. portables NiCd'!B17+'Coll. portables Other'!B17</f>
        <v>58.044510247902238</v>
      </c>
      <c r="C10" s="23">
        <f>'Coll. portables Zn-based'!C17+'Coll. portables Li-Rechargeable'!C17+'Coll. portables Li-Primary'!C16+'Coll. portables Lead-acid'!C17+'Coll. portables NiMH'!C17+'Coll. portables NiCd'!C17+'Coll. portables Other'!C17</f>
        <v>59.846338145597748</v>
      </c>
      <c r="D10" s="23">
        <f>'Coll. portables Zn-based'!D17+'Coll. portables Li-Rechargeable'!D17+'Coll. portables Li-Primary'!D16+'Coll. portables Lead-acid'!D17+'Coll. portables NiMH'!D17+'Coll. portables NiCd'!D17+'Coll. portables Other'!D17</f>
        <v>61.762812396383389</v>
      </c>
      <c r="E10" s="23">
        <f>'Coll. portables Zn-based'!E17+'Coll. portables Li-Rechargeable'!E17+'Coll. portables Li-Primary'!E16+'Coll. portables Lead-acid'!E17+'Coll. portables NiMH'!E17+'Coll. portables NiCd'!E17+'Coll. portables Other'!E17</f>
        <v>63.923405045057343</v>
      </c>
      <c r="F10" s="23">
        <f>'Coll. portables Zn-based'!F17+'Coll. portables Li-Rechargeable'!F17+'Coll. portables Li-Primary'!F16+'Coll. portables Lead-acid'!F17+'Coll. portables NiMH'!F17+'Coll. portables NiCd'!F17+'Coll. portables Other'!F17</f>
        <v>67.188142531559805</v>
      </c>
      <c r="G10" s="23">
        <f>'Coll. portables Zn-based'!G17+'Coll. portables Li-Rechargeable'!G17+'Coll. portables Li-Primary'!G16+'Coll. portables Lead-acid'!G17+'Coll. portables NiMH'!G17+'Coll. portables NiCd'!G17+'Coll. portables Other'!G17</f>
        <v>66.554561941302921</v>
      </c>
      <c r="H10" s="23">
        <f>'Coll. portables Zn-based'!H17+'Coll. portables Li-Rechargeable'!H17+'Coll. portables Li-Primary'!H16+'Coll. portables Lead-acid'!H17+'Coll. portables NiMH'!H17+'Coll. portables NiCd'!H17+'Coll. portables Other'!H17</f>
        <v>71.03425036692019</v>
      </c>
      <c r="I10" s="23">
        <f>'Coll. portables Zn-based'!I17+'Coll. portables Li-Rechargeable'!I17+'Coll. portables Li-Primary'!I16+'Coll. portables Lead-acid'!I17+'Coll. portables NiMH'!I17+'Coll. portables NiCd'!I17+'Coll. portables Other'!I17</f>
        <v>67.602914166929295</v>
      </c>
      <c r="J10" s="23">
        <f>'Coll. portables Zn-based'!J17+'Coll. portables Li-Rechargeable'!J17+'Coll. portables Li-Primary'!J16+'Coll. portables Lead-acid'!J17+'Coll. portables NiMH'!J17+'Coll. portables NiCd'!J17+'Coll. portables Other'!J17</f>
        <v>68.789984107763345</v>
      </c>
      <c r="K10" s="23">
        <f>'Coll. portables Zn-based'!K17+'Coll. portables Li-Rechargeable'!K17+'Coll. portables Li-Primary'!K16+'Coll. portables Lead-acid'!K17+'Coll. portables NiMH'!K17+'Coll. portables NiCd'!K17+'Coll. portables Other'!K17</f>
        <v>68.037179630039674</v>
      </c>
      <c r="L10" s="23">
        <f>'Coll. portables Zn-based'!L17+'Coll. portables Li-Rechargeable'!L17+'Coll. portables Li-Primary'!L16+'Coll. portables Lead-acid'!L17+'Coll. portables NiMH'!L17+'Coll. portables NiCd'!L17+'Coll. portables Other'!L17</f>
        <v>68.368373862436812</v>
      </c>
      <c r="M10" s="31">
        <v>72</v>
      </c>
      <c r="N10" s="31">
        <v>123</v>
      </c>
      <c r="O10" s="31">
        <v>293</v>
      </c>
      <c r="P10" s="31">
        <v>107</v>
      </c>
      <c r="Q10" s="31">
        <v>173</v>
      </c>
      <c r="R10" s="31">
        <v>127</v>
      </c>
      <c r="S10" s="31">
        <v>156</v>
      </c>
      <c r="T10" s="31">
        <v>163</v>
      </c>
      <c r="U10" s="31">
        <v>140</v>
      </c>
      <c r="V10" s="31">
        <v>196</v>
      </c>
      <c r="W10" s="31">
        <v>229</v>
      </c>
      <c r="X10" s="67">
        <f>('Collection Rate'!X10*SUM('Eurostat POM Portables'!V10:X10))/3</f>
        <v>241.61404010812404</v>
      </c>
      <c r="Y10" s="67">
        <f>('Collection Rate'!Y10*SUM('Eurostat POM Portables'!W10:Y10))/3</f>
        <v>247.64010012989127</v>
      </c>
      <c r="Z10" s="67">
        <f>('Collection Rate'!Z10*SUM('Eurostat POM Portables'!X10:Z10))/3</f>
        <v>260.8885937159049</v>
      </c>
      <c r="AA10" s="67">
        <f>('Collection Rate'!AA10*SUM('Eurostat POM Portables'!Y10:AA10))/3</f>
        <v>275.29937588396871</v>
      </c>
      <c r="AB10" s="67">
        <f>('Collection Rate'!AB10*SUM('Eurostat POM Portables'!Z10:AB10))/3</f>
        <v>289.8056933652623</v>
      </c>
      <c r="AC10" s="67">
        <f>('Collection Rate'!AC10*SUM('Eurostat POM Portables'!AA10:AC10))/3</f>
        <v>304.74959334848296</v>
      </c>
      <c r="AD10" s="67">
        <f>('Collection Rate'!AD10*SUM('Eurostat POM Portables'!AB10:AD10))/3</f>
        <v>320.78638635855305</v>
      </c>
      <c r="AE10" s="67">
        <f>('Collection Rate'!AE10*SUM('Eurostat POM Portables'!AC10:AE10))/3</f>
        <v>339.59010474191302</v>
      </c>
      <c r="AF10" s="67">
        <f>('Collection Rate'!AF10*SUM('Eurostat POM Portables'!AD10:AF10))/3</f>
        <v>360.97715245269279</v>
      </c>
      <c r="AG10" s="67">
        <f>('Collection Rate'!AG10*SUM('Eurostat POM Portables'!AE10:AG10))/3</f>
        <v>382.27110115916759</v>
      </c>
      <c r="AH10" s="67">
        <f>('Collection Rate'!AH10*SUM('Eurostat POM Portables'!AF10:AH10))/3</f>
        <v>402.90394320427691</v>
      </c>
      <c r="AI10" s="67">
        <f>('Collection Rate'!AI10*SUM('Eurostat POM Portables'!AG10:AI10))/3</f>
        <v>422.65369001741607</v>
      </c>
      <c r="AJ10" s="67">
        <f>('Collection Rate'!AJ10*SUM('Eurostat POM Portables'!AH10:AJ10))/3</f>
        <v>443.49892549868736</v>
      </c>
      <c r="AK10" s="67">
        <f>('Collection Rate'!AK10*SUM('Eurostat POM Portables'!AI10:AK10))/3</f>
        <v>465.51263303618498</v>
      </c>
      <c r="AL10" s="67">
        <f>('Collection Rate'!AL10*SUM('Eurostat POM Portables'!AJ10:AL10))/3</f>
        <v>488.76641935154686</v>
      </c>
      <c r="AM10" s="67">
        <f>('Collection Rate'!AM10*SUM('Eurostat POM Portables'!AK10:AM10))/3</f>
        <v>513.33647514266943</v>
      </c>
      <c r="AN10" s="67">
        <f>('Collection Rate'!AN10*SUM('Eurostat POM Portables'!AL10:AN10))/3</f>
        <v>539.30387305928866</v>
      </c>
      <c r="AO10" s="67">
        <f>('Collection Rate'!AO10*SUM('Eurostat POM Portables'!AM10:AO10))/3</f>
        <v>566.64103496831251</v>
      </c>
      <c r="AP10" s="67">
        <f>('Collection Rate'!AP10*SUM('Eurostat POM Portables'!AN10:AP10))/3</f>
        <v>594.58774688979418</v>
      </c>
      <c r="AQ10" s="67">
        <f>('Collection Rate'!AQ10*SUM('Eurostat POM Portables'!AO10:AQ10))/3</f>
        <v>618.75380422244893</v>
      </c>
      <c r="AR10" s="67">
        <f>('Collection Rate'!AR10*SUM('Eurostat POM Portables'!AP10:AR10))/3</f>
        <v>638.78660925803979</v>
      </c>
      <c r="AS10" s="67">
        <f>('Collection Rate'!AS10*SUM('Eurostat POM Portables'!AQ10:AS10))/3</f>
        <v>655.08025386435281</v>
      </c>
      <c r="AT10" s="67">
        <f>('Collection Rate'!AT10*SUM('Eurostat POM Portables'!AR10:AT10))/3</f>
        <v>671.73256545971049</v>
      </c>
      <c r="AU10" s="67">
        <f>('Collection Rate'!AU10*SUM('Eurostat POM Portables'!AS10:AU10))/3</f>
        <v>688.77352468475885</v>
      </c>
      <c r="AV10" s="67">
        <f>('Collection Rate'!AV10*SUM('Eurostat POM Portables'!AT10:AV10))/3</f>
        <v>706.06272664766766</v>
      </c>
      <c r="AW10" s="67">
        <f>('Collection Rate'!AW10*SUM('Eurostat POM Portables'!AU10:AW10))/3</f>
        <v>723.59942425486952</v>
      </c>
      <c r="AX10" s="67">
        <f>('Collection Rate'!AX10*SUM('Eurostat POM Portables'!AV10:AX10))/3</f>
        <v>741.38268017573557</v>
      </c>
      <c r="AY10" s="67">
        <f>('Collection Rate'!AY10*SUM('Eurostat POM Portables'!AW10:AY10))/3</f>
        <v>759.565011819951</v>
      </c>
      <c r="AZ10" s="67">
        <f>('Collection Rate'!AZ10*SUM('Eurostat POM Portables'!AX10:AZ10))/3</f>
        <v>778.15536345008968</v>
      </c>
    </row>
    <row r="11" spans="1:52" x14ac:dyDescent="0.35">
      <c r="A11" s="1" t="s">
        <v>8</v>
      </c>
      <c r="B11" s="23">
        <f>'Coll. portables Zn-based'!B18+'Coll. portables Li-Rechargeable'!B18+'Coll. portables Li-Primary'!B17+'Coll. portables Lead-acid'!B18+'Coll. portables NiMH'!B18+'Coll. portables NiCd'!B18+'Coll. portables Other'!B18</f>
        <v>780.37619333290797</v>
      </c>
      <c r="C11" s="23">
        <f>'Coll. portables Zn-based'!C18+'Coll. portables Li-Rechargeable'!C18+'Coll. portables Li-Primary'!C17+'Coll. portables Lead-acid'!C18+'Coll. portables NiMH'!C18+'Coll. portables NiCd'!C18+'Coll. portables Other'!C18</f>
        <v>804.60076840192539</v>
      </c>
      <c r="D11" s="23">
        <f>'Coll. portables Zn-based'!D18+'Coll. portables Li-Rechargeable'!D18+'Coll. portables Li-Primary'!D17+'Coll. portables Lead-acid'!D18+'Coll. portables NiMH'!D18+'Coll. portables NiCd'!D18+'Coll. portables Other'!D18</f>
        <v>830.36669999582091</v>
      </c>
      <c r="E11" s="23">
        <f>'Coll. portables Zn-based'!E18+'Coll. portables Li-Rechargeable'!E18+'Coll. portables Li-Primary'!E17+'Coll. portables Lead-acid'!E18+'Coll. portables NiMH'!E18+'Coll. portables NiCd'!E18+'Coll. portables Other'!E18</f>
        <v>859.4146678279933</v>
      </c>
      <c r="F11" s="23">
        <f>'Coll. portables Zn-based'!F18+'Coll. portables Li-Rechargeable'!F18+'Coll. portables Li-Primary'!F17+'Coll. portables Lead-acid'!F18+'Coll. portables NiMH'!F18+'Coll. portables NiCd'!F18+'Coll. portables Other'!F18</f>
        <v>903.30724959097074</v>
      </c>
      <c r="G11" s="23">
        <f>'Coll. portables Zn-based'!G18+'Coll. portables Li-Rechargeable'!G18+'Coll. portables Li-Primary'!G17+'Coll. portables Lead-acid'!G18+'Coll. portables NiMH'!G18+'Coll. portables NiCd'!G18+'Coll. portables Other'!G18</f>
        <v>894.7891105441837</v>
      </c>
      <c r="H11" s="23">
        <f>'Coll. portables Zn-based'!H18+'Coll. portables Li-Rechargeable'!H18+'Coll. portables Li-Primary'!H17+'Coll. portables Lead-acid'!H18+'Coll. portables NiMH'!H18+'Coll. portables NiCd'!H18+'Coll. portables Other'!H18</f>
        <v>955.01603271081581</v>
      </c>
      <c r="I11" s="23">
        <f>'Coll. portables Zn-based'!I18+'Coll. portables Li-Rechargeable'!I18+'Coll. portables Li-Primary'!I17+'Coll. portables Lead-acid'!I18+'Coll. portables NiMH'!I18+'Coll. portables NiCd'!I18+'Coll. portables Other'!I18</f>
        <v>908.88362379982755</v>
      </c>
      <c r="J11" s="23">
        <f>'Coll. portables Zn-based'!J18+'Coll. portables Li-Rechargeable'!J18+'Coll. portables Li-Primary'!J17+'Coll. portables Lead-acid'!J18+'Coll. portables NiMH'!J18+'Coll. portables NiCd'!J18+'Coll. portables Other'!J18</f>
        <v>924.84311967104065</v>
      </c>
      <c r="K11" s="23">
        <f>'Coll. portables Zn-based'!K18+'Coll. portables Li-Rechargeable'!K18+'Coll. portables Li-Primary'!K17+'Coll. portables Lead-acid'!K18+'Coll. portables NiMH'!K18+'Coll. portables NiCd'!K18+'Coll. portables Other'!K18</f>
        <v>914.72208169275575</v>
      </c>
      <c r="L11" s="23">
        <f>'Coll. portables Zn-based'!L18+'Coll. portables Li-Rechargeable'!L18+'Coll. portables Li-Primary'!L17+'Coll. portables Lead-acid'!L18+'Coll. portables NiMH'!L18+'Coll. portables NiCd'!L18+'Coll. portables Other'!L18</f>
        <v>919.17480415053956</v>
      </c>
      <c r="M11" s="31">
        <v>968</v>
      </c>
      <c r="N11" s="31">
        <v>920</v>
      </c>
      <c r="O11" s="31">
        <v>1127</v>
      </c>
      <c r="P11" s="31">
        <v>1252</v>
      </c>
      <c r="Q11" s="31">
        <v>1293</v>
      </c>
      <c r="R11" s="31">
        <v>1306</v>
      </c>
      <c r="S11" s="31">
        <v>1370</v>
      </c>
      <c r="T11" s="31">
        <v>1466</v>
      </c>
      <c r="U11" s="31">
        <v>1679</v>
      </c>
      <c r="V11" s="31">
        <v>1748</v>
      </c>
      <c r="W11" s="31">
        <v>2094</v>
      </c>
      <c r="X11" s="67">
        <f>('Collection Rate'!X11*SUM('Eurostat POM Portables'!V11:X11))/3</f>
        <v>2213.4556159718309</v>
      </c>
      <c r="Y11" s="67">
        <f>('Collection Rate'!Y11*SUM('Eurostat POM Portables'!W11:Y11))/3</f>
        <v>2364.1227451164846</v>
      </c>
      <c r="Z11" s="67">
        <f>('Collection Rate'!Z11*SUM('Eurostat POM Portables'!X11:Z11))/3</f>
        <v>2468.9621837943532</v>
      </c>
      <c r="AA11" s="67">
        <f>('Collection Rate'!AA11*SUM('Eurostat POM Portables'!Y11:AA11))/3</f>
        <v>2583.0218257192682</v>
      </c>
      <c r="AB11" s="67">
        <f>('Collection Rate'!AB11*SUM('Eurostat POM Portables'!Z11:AB11))/3</f>
        <v>2696.1572828490621</v>
      </c>
      <c r="AC11" s="67">
        <f>('Collection Rate'!AC11*SUM('Eurostat POM Portables'!AA11:AC11))/3</f>
        <v>2811.5619627309679</v>
      </c>
      <c r="AD11" s="67">
        <f>('Collection Rate'!AD11*SUM('Eurostat POM Portables'!AB11:AD11))/3</f>
        <v>2935.1902359329974</v>
      </c>
      <c r="AE11" s="67">
        <f>('Collection Rate'!AE11*SUM('Eurostat POM Portables'!AC11:AE11))/3</f>
        <v>3082.049509179144</v>
      </c>
      <c r="AF11" s="67">
        <f>('Collection Rate'!AF11*SUM('Eurostat POM Portables'!AD11:AF11))/3</f>
        <v>3249.9443575620862</v>
      </c>
      <c r="AG11" s="67">
        <f>('Collection Rate'!AG11*SUM('Eurostat POM Portables'!AE11:AG11))/3</f>
        <v>3414.4882069747368</v>
      </c>
      <c r="AH11" s="67">
        <f>('Collection Rate'!AH11*SUM('Eurostat POM Portables'!AF11:AH11))/3</f>
        <v>3570.7454858531487</v>
      </c>
      <c r="AI11" s="67">
        <f>('Collection Rate'!AI11*SUM('Eurostat POM Portables'!AG11:AI11))/3</f>
        <v>3716.9744111655818</v>
      </c>
      <c r="AJ11" s="67">
        <f>('Collection Rate'!AJ11*SUM('Eurostat POM Portables'!AH11:AJ11))/3</f>
        <v>3870.6896165373832</v>
      </c>
      <c r="AK11" s="67">
        <f>('Collection Rate'!AK11*SUM('Eurostat POM Portables'!AI11:AK11))/3</f>
        <v>4032.3714158930666</v>
      </c>
      <c r="AL11" s="67">
        <f>('Collection Rate'!AL11*SUM('Eurostat POM Portables'!AJ11:AL11))/3</f>
        <v>4202.4756695903661</v>
      </c>
      <c r="AM11" s="67">
        <f>('Collection Rate'!AM11*SUM('Eurostat POM Portables'!AK11:AM11))/3</f>
        <v>4381.4857191574674</v>
      </c>
      <c r="AN11" s="67">
        <f>('Collection Rate'!AN11*SUM('Eurostat POM Portables'!AL11:AN11))/3</f>
        <v>4569.9140732587521</v>
      </c>
      <c r="AO11" s="67">
        <f>('Collection Rate'!AO11*SUM('Eurostat POM Portables'!AM11:AO11))/3</f>
        <v>4767.3463377175103</v>
      </c>
      <c r="AP11" s="67">
        <f>('Collection Rate'!AP11*SUM('Eurostat POM Portables'!AN11:AP11))/3</f>
        <v>4967.2611525302473</v>
      </c>
      <c r="AQ11" s="67">
        <f>('Collection Rate'!AQ11*SUM('Eurostat POM Portables'!AO11:AQ11))/3</f>
        <v>5133.2057594051957</v>
      </c>
      <c r="AR11" s="67">
        <f>('Collection Rate'!AR11*SUM('Eurostat POM Portables'!AP11:AR11))/3</f>
        <v>5262.9953982056077</v>
      </c>
      <c r="AS11" s="67">
        <f>('Collection Rate'!AS11*SUM('Eurostat POM Portables'!AQ11:AS11))/3</f>
        <v>5360.6074349273931</v>
      </c>
      <c r="AT11" s="67">
        <f>('Collection Rate'!AT11*SUM('Eurostat POM Portables'!AR11:AT11))/3</f>
        <v>5460.0096624217949</v>
      </c>
      <c r="AU11" s="67">
        <f>('Collection Rate'!AU11*SUM('Eurostat POM Portables'!AS11:AU11))/3</f>
        <v>5561.4172402354625</v>
      </c>
      <c r="AV11" s="67">
        <f>('Collection Rate'!AV11*SUM('Eurostat POM Portables'!AT11:AV11))/3</f>
        <v>5663.6732211976205</v>
      </c>
      <c r="AW11" s="67">
        <f>('Collection Rate'!AW11*SUM('Eurostat POM Portables'!AU11:AW11))/3</f>
        <v>5766.763944629758</v>
      </c>
      <c r="AX11" s="67">
        <f>('Collection Rate'!AX11*SUM('Eurostat POM Portables'!AV11:AX11))/3</f>
        <v>5870.67467183389</v>
      </c>
      <c r="AY11" s="67">
        <f>('Collection Rate'!AY11*SUM('Eurostat POM Portables'!AW11:AY11))/3</f>
        <v>5976.5985624116547</v>
      </c>
      <c r="AZ11" s="67">
        <f>('Collection Rate'!AZ11*SUM('Eurostat POM Portables'!AX11:AZ11))/3</f>
        <v>6084.5763611308939</v>
      </c>
    </row>
    <row r="12" spans="1:52" x14ac:dyDescent="0.35">
      <c r="A12" s="1" t="s">
        <v>9</v>
      </c>
      <c r="B12" s="23">
        <f>'Coll. portables Zn-based'!B19+'Coll. portables Li-Rechargeable'!B19+'Coll. portables Li-Primary'!B18+'Coll. portables Lead-acid'!B19+'Coll. portables NiMH'!B19+'Coll. portables NiCd'!B19+'Coll. portables Other'!B19</f>
        <v>9368.5451887621075</v>
      </c>
      <c r="C12" s="23">
        <f>'Coll. portables Zn-based'!C19+'Coll. portables Li-Rechargeable'!C19+'Coll. portables Li-Primary'!C18+'Coll. portables Lead-acid'!C19+'Coll. portables NiMH'!C19+'Coll. portables NiCd'!C19+'Coll. portables Other'!C19</f>
        <v>9659.365216527658</v>
      </c>
      <c r="D12" s="23">
        <f>'Coll. portables Zn-based'!D19+'Coll. portables Li-Rechargeable'!D19+'Coll. portables Li-Primary'!D18+'Coll. portables Lead-acid'!D19+'Coll. portables NiMH'!D19+'Coll. portables NiCd'!D19+'Coll. portables Other'!D19</f>
        <v>9968.6894841440426</v>
      </c>
      <c r="E12" s="23">
        <f>'Coll. portables Zn-based'!E19+'Coll. portables Li-Rechargeable'!E19+'Coll. portables Li-Primary'!E18+'Coll. portables Lead-acid'!E19+'Coll. portables NiMH'!E19+'Coll. portables NiCd'!E19+'Coll. portables Other'!E19</f>
        <v>10317.415139286268</v>
      </c>
      <c r="F12" s="23">
        <f>'Coll. portables Zn-based'!F19+'Coll. portables Li-Rechargeable'!F19+'Coll. portables Li-Primary'!F18+'Coll. portables Lead-acid'!F19+'Coll. portables NiMH'!F19+'Coll. portables NiCd'!F19+'Coll. portables Other'!F19</f>
        <v>10844.352838323004</v>
      </c>
      <c r="G12" s="23">
        <f>'Coll. portables Zn-based'!G19+'Coll. portables Li-Rechargeable'!G19+'Coll. portables Li-Primary'!G18+'Coll. portables Lead-acid'!G19+'Coll. portables NiMH'!G19+'Coll. portables NiCd'!G19+'Coll. portables Other'!G19</f>
        <v>10742.091171109461</v>
      </c>
      <c r="H12" s="23">
        <f>'Coll. portables Zn-based'!H19+'Coll. portables Li-Rechargeable'!H19+'Coll. portables Li-Primary'!H18+'Coll. portables Lead-acid'!H19+'Coll. portables NiMH'!H19+'Coll. portables NiCd'!H19+'Coll. portables Other'!H19</f>
        <v>11465.125326583049</v>
      </c>
      <c r="I12" s="23">
        <f>'Coll. portables Zn-based'!I19+'Coll. portables Li-Rechargeable'!I19+'Coll. portables Li-Primary'!I18+'Coll. portables Lead-acid'!I19+'Coll. portables NiMH'!I19+'Coll. portables NiCd'!I19+'Coll. portables Other'!I19</f>
        <v>10911.298132415077</v>
      </c>
      <c r="J12" s="23">
        <f>'Coll. portables Zn-based'!J19+'Coll. portables Li-Rechargeable'!J19+'Coll. portables Li-Primary'!J18+'Coll. portables Lead-acid'!J19+'Coll. portables NiMH'!J19+'Coll. portables NiCd'!J19+'Coll. portables Other'!J19</f>
        <v>11102.894518282194</v>
      </c>
      <c r="K12" s="23">
        <f>'Coll. portables Zn-based'!K19+'Coll. portables Li-Rechargeable'!K19+'Coll. portables Li-Primary'!K18+'Coll. portables Lead-acid'!K19+'Coll. portables NiMH'!K19+'Coll. portables NiCd'!K19+'Coll. portables Other'!K19</f>
        <v>10981.389784454044</v>
      </c>
      <c r="L12" s="23">
        <f>'Coll. portables Zn-based'!L19+'Coll. portables Li-Rechargeable'!L19+'Coll. portables Li-Primary'!L18+'Coll. portables Lead-acid'!L19+'Coll. portables NiMH'!L19+'Coll. portables NiCd'!L19+'Coll. portables Other'!L19</f>
        <v>11034.845453546919</v>
      </c>
      <c r="M12" s="31">
        <v>11621</v>
      </c>
      <c r="N12" s="31">
        <v>11776</v>
      </c>
      <c r="O12" s="31">
        <v>11366</v>
      </c>
      <c r="P12" s="31">
        <v>11989</v>
      </c>
      <c r="Q12" s="31">
        <v>12296</v>
      </c>
      <c r="R12" s="31">
        <v>13678</v>
      </c>
      <c r="S12" s="31">
        <v>13981</v>
      </c>
      <c r="T12" s="31">
        <v>14400</v>
      </c>
      <c r="U12" s="31">
        <v>15524</v>
      </c>
      <c r="V12" s="31">
        <v>15124</v>
      </c>
      <c r="W12" s="31">
        <v>20060</v>
      </c>
      <c r="X12" s="67">
        <f>('Collection Rate'!X12*SUM('Eurostat POM Portables'!V12:X12))/3</f>
        <v>21244.283854203848</v>
      </c>
      <c r="Y12" s="67">
        <f>('Collection Rate'!Y12*SUM('Eurostat POM Portables'!W12:Y12))/3</f>
        <v>22324.486599682827</v>
      </c>
      <c r="Z12" s="67">
        <f>('Collection Rate'!Z12*SUM('Eurostat POM Portables'!X12:Z12))/3</f>
        <v>23293.9038845957</v>
      </c>
      <c r="AA12" s="67">
        <f>('Collection Rate'!AA12*SUM('Eurostat POM Portables'!Y12:AA12))/3</f>
        <v>24382.578134303247</v>
      </c>
      <c r="AB12" s="67">
        <f>('Collection Rate'!AB12*SUM('Eurostat POM Portables'!Z12:AB12))/3</f>
        <v>25446.045562472907</v>
      </c>
      <c r="AC12" s="67">
        <f>('Collection Rate'!AC12*SUM('Eurostat POM Portables'!AA12:AC12))/3</f>
        <v>26518.126870846831</v>
      </c>
      <c r="AD12" s="67">
        <f>('Collection Rate'!AD12*SUM('Eurostat POM Portables'!AB12:AD12))/3</f>
        <v>27662.357957807628</v>
      </c>
      <c r="AE12" s="67">
        <f>('Collection Rate'!AE12*SUM('Eurostat POM Portables'!AC12:AE12))/3</f>
        <v>29023.640912639861</v>
      </c>
      <c r="AF12" s="67">
        <f>('Collection Rate'!AF12*SUM('Eurostat POM Portables'!AD12:AF12))/3</f>
        <v>30580.819188873709</v>
      </c>
      <c r="AG12" s="67">
        <f>('Collection Rate'!AG12*SUM('Eurostat POM Portables'!AE12:AG12))/3</f>
        <v>32104.157203537616</v>
      </c>
      <c r="AH12" s="67">
        <f>('Collection Rate'!AH12*SUM('Eurostat POM Portables'!AF12:AH12))/3</f>
        <v>33547.376798631223</v>
      </c>
      <c r="AI12" s="67">
        <f>('Collection Rate'!AI12*SUM('Eurostat POM Portables'!AG12:AI12))/3</f>
        <v>34894.324361304498</v>
      </c>
      <c r="AJ12" s="67">
        <f>('Collection Rate'!AJ12*SUM('Eurostat POM Portables'!AH12:AJ12))/3</f>
        <v>36309.531731187424</v>
      </c>
      <c r="AK12" s="67">
        <f>('Collection Rate'!AK12*SUM('Eurostat POM Portables'!AI12:AK12))/3</f>
        <v>37797.356091093672</v>
      </c>
      <c r="AL12" s="67">
        <f>('Collection Rate'!AL12*SUM('Eurostat POM Portables'!AJ12:AL12))/3</f>
        <v>39361.913445543018</v>
      </c>
      <c r="AM12" s="67">
        <f>('Collection Rate'!AM12*SUM('Eurostat POM Portables'!AK12:AM12))/3</f>
        <v>41007.5657187377</v>
      </c>
      <c r="AN12" s="67">
        <f>('Collection Rate'!AN12*SUM('Eurostat POM Portables'!AL12:AN12))/3</f>
        <v>42738.935703159339</v>
      </c>
      <c r="AO12" s="67">
        <f>('Collection Rate'!AO12*SUM('Eurostat POM Portables'!AM12:AO12))/3</f>
        <v>44551.971495929225</v>
      </c>
      <c r="AP12" s="67">
        <f>('Collection Rate'!AP12*SUM('Eurostat POM Portables'!AN12:AP12))/3</f>
        <v>46385.606154724112</v>
      </c>
      <c r="AQ12" s="67">
        <f>('Collection Rate'!AQ12*SUM('Eurostat POM Portables'!AO12:AQ12))/3</f>
        <v>47899.655474969601</v>
      </c>
      <c r="AR12" s="67">
        <f>('Collection Rate'!AR12*SUM('Eurostat POM Portables'!AP12:AR12))/3</f>
        <v>49074.470931831784</v>
      </c>
      <c r="AS12" s="67">
        <f>('Collection Rate'!AS12*SUM('Eurostat POM Portables'!AQ12:AS12))/3</f>
        <v>49947.872511965768</v>
      </c>
      <c r="AT12" s="67">
        <f>('Collection Rate'!AT12*SUM('Eurostat POM Portables'!AR12:AT12))/3</f>
        <v>50836.797162240255</v>
      </c>
      <c r="AU12" s="67">
        <f>('Collection Rate'!AU12*SUM('Eurostat POM Portables'!AS12:AU12))/3</f>
        <v>51743.219147019554</v>
      </c>
      <c r="AV12" s="67">
        <f>('Collection Rate'!AV12*SUM('Eurostat POM Portables'!AT12:AV12))/3</f>
        <v>52656.350440194459</v>
      </c>
      <c r="AW12" s="67">
        <f>('Collection Rate'!AW12*SUM('Eurostat POM Portables'!AU12:AW12))/3</f>
        <v>53576.056128863616</v>
      </c>
      <c r="AX12" s="67">
        <f>('Collection Rate'!AX12*SUM('Eurostat POM Portables'!AV12:AX12))/3</f>
        <v>54502.191739472415</v>
      </c>
      <c r="AY12" s="67">
        <f>('Collection Rate'!AY12*SUM('Eurostat POM Portables'!AW12:AY12))/3</f>
        <v>55445.81912618348</v>
      </c>
      <c r="AZ12" s="67">
        <f>('Collection Rate'!AZ12*SUM('Eurostat POM Portables'!AX12:AZ12))/3</f>
        <v>56407.28513439939</v>
      </c>
    </row>
    <row r="13" spans="1:52" x14ac:dyDescent="0.35">
      <c r="A13" s="1" t="s">
        <v>10</v>
      </c>
      <c r="B13" s="23">
        <f>'Coll. portables Zn-based'!B20+'Coll. portables Li-Rechargeable'!B20+'Coll. portables Li-Primary'!B19+'Coll. portables Lead-acid'!B20+'Coll. portables NiMH'!B20+'Coll. portables NiCd'!B20+'Coll. portables Other'!B20</f>
        <v>14353.327166761592</v>
      </c>
      <c r="C13" s="23">
        <f>'Coll. portables Zn-based'!C20+'Coll. portables Li-Rechargeable'!C20+'Coll. portables Li-Primary'!C19+'Coll. portables Lead-acid'!C20+'Coll. portables NiMH'!C20+'Coll. portables NiCd'!C20+'Coll. portables Other'!C20</f>
        <v>14795.893860519533</v>
      </c>
      <c r="D13" s="23">
        <f>'Coll. portables Zn-based'!D20+'Coll. portables Li-Rechargeable'!D20+'Coll. portables Li-Primary'!D19+'Coll. portables Lead-acid'!D20+'Coll. portables NiMH'!D20+'Coll. portables NiCd'!D20+'Coll. portables Other'!D20</f>
        <v>15266.234789991508</v>
      </c>
      <c r="E13" s="23">
        <f>'Coll. portables Zn-based'!E20+'Coll. portables Li-Rechargeable'!E20+'Coll. portables Li-Primary'!E19+'Coll. portables Lead-acid'!E20+'Coll. portables NiMH'!E20+'Coll. portables NiCd'!E20+'Coll. portables Other'!E20</f>
        <v>15796.130686398179</v>
      </c>
      <c r="F13" s="23">
        <f>'Coll. portables Zn-based'!F20+'Coll. portables Li-Rechargeable'!F20+'Coll. portables Li-Primary'!F19+'Coll. portables Lead-acid'!F20+'Coll. portables NiMH'!F20+'Coll. portables NiCd'!F20+'Coll. portables Other'!F20</f>
        <v>16603.504841987011</v>
      </c>
      <c r="G13" s="23">
        <f>'Coll. portables Zn-based'!G20+'Coll. portables Li-Rechargeable'!G20+'Coll. portables Li-Primary'!G19+'Coll. portables Lead-acid'!G20+'Coll. portables NiMH'!G20+'Coll. portables NiCd'!G20+'Coll. portables Other'!G20</f>
        <v>16431.00779841837</v>
      </c>
      <c r="H13" s="23">
        <f>'Coll. portables Zn-based'!H20+'Coll. portables Li-Rechargeable'!H20+'Coll. portables Li-Primary'!H19+'Coll. portables Lead-acid'!H20+'Coll. portables NiMH'!H20+'Coll. portables NiCd'!H20+'Coll. portables Other'!H20</f>
        <v>17535.737977146393</v>
      </c>
      <c r="I13" s="23">
        <f>'Coll. portables Zn-based'!I20+'Coll. portables Li-Rechargeable'!I20+'Coll. portables Li-Primary'!I19+'Coll. portables Lead-acid'!I20+'Coll. portables NiMH'!I20+'Coll. portables NiCd'!I20+'Coll. portables Other'!I20</f>
        <v>16692.605958528584</v>
      </c>
      <c r="J13" s="23">
        <f>'Coll. portables Zn-based'!J20+'Coll. portables Li-Rechargeable'!J20+'Coll. portables Li-Primary'!J19+'Coll. portables Lead-acid'!J20+'Coll. portables NiMH'!J20+'Coll. portables NiCd'!J20+'Coll. portables Other'!J20</f>
        <v>16974.844086998128</v>
      </c>
      <c r="K13" s="23">
        <f>'Coll. portables Zn-based'!K20+'Coll. portables Li-Rechargeable'!K20+'Coll. portables Li-Primary'!K19+'Coll. portables Lead-acid'!K20+'Coll. portables NiMH'!K20+'Coll. portables NiCd'!K20+'Coll. portables Other'!K20</f>
        <v>16797.447471022977</v>
      </c>
      <c r="L13" s="23">
        <f>'Coll. portables Zn-based'!L20+'Coll. portables Li-Rechargeable'!L20+'Coll. portables Li-Primary'!L19+'Coll. portables Lead-acid'!L20+'Coll. portables NiMH'!L20+'Coll. portables NiCd'!L20+'Coll. portables Other'!L20</f>
        <v>16858.134935864775</v>
      </c>
      <c r="M13" s="31">
        <v>17728</v>
      </c>
      <c r="N13" s="31">
        <v>18157</v>
      </c>
      <c r="O13" s="31">
        <v>18599</v>
      </c>
      <c r="P13" s="31">
        <v>19142</v>
      </c>
      <c r="Q13" s="31">
        <v>19678</v>
      </c>
      <c r="R13" s="31">
        <v>20524</v>
      </c>
      <c r="S13" s="31">
        <v>21037</v>
      </c>
      <c r="T13" s="31">
        <v>23569</v>
      </c>
      <c r="U13" s="31">
        <v>27625</v>
      </c>
      <c r="V13" s="31">
        <v>26343</v>
      </c>
      <c r="W13" s="31">
        <v>29624</v>
      </c>
      <c r="X13" s="67">
        <f>('Collection Rate'!X13*SUM('Eurostat POM Portables'!V13:X13))/3</f>
        <v>31473.112134872834</v>
      </c>
      <c r="Y13" s="67">
        <f>('Collection Rate'!Y13*SUM('Eurostat POM Portables'!W13:Y13))/3</f>
        <v>32249.306316298851</v>
      </c>
      <c r="Z13" s="67">
        <f>('Collection Rate'!Z13*SUM('Eurostat POM Portables'!X13:Z13))/3</f>
        <v>33875.221088708699</v>
      </c>
      <c r="AA13" s="67">
        <f>('Collection Rate'!AA13*SUM('Eurostat POM Portables'!Y13:AA13))/3</f>
        <v>35626.298361452878</v>
      </c>
      <c r="AB13" s="67">
        <f>('Collection Rate'!AB13*SUM('Eurostat POM Portables'!Z13:AB13))/3</f>
        <v>37300.002859009641</v>
      </c>
      <c r="AC13" s="67">
        <f>('Collection Rate'!AC13*SUM('Eurostat POM Portables'!AA13:AC13))/3</f>
        <v>38956.743696782294</v>
      </c>
      <c r="AD13" s="67">
        <f>('Collection Rate'!AD13*SUM('Eurostat POM Portables'!AB13:AD13))/3</f>
        <v>40717.166768636089</v>
      </c>
      <c r="AE13" s="67">
        <f>('Collection Rate'!AE13*SUM('Eurostat POM Portables'!AC13:AE13))/3</f>
        <v>42876.470874081773</v>
      </c>
      <c r="AF13" s="67">
        <f>('Collection Rate'!AF13*SUM('Eurostat POM Portables'!AD13:AF13))/3</f>
        <v>45392.688389249081</v>
      </c>
      <c r="AG13" s="67">
        <f>('Collection Rate'!AG13*SUM('Eurostat POM Portables'!AE13:AG13))/3</f>
        <v>47902.800649986893</v>
      </c>
      <c r="AH13" s="67">
        <f>('Collection Rate'!AH13*SUM('Eurostat POM Portables'!AF13:AH13))/3</f>
        <v>50321.1573833066</v>
      </c>
      <c r="AI13" s="67">
        <f>('Collection Rate'!AI13*SUM('Eurostat POM Portables'!AG13:AI13))/3</f>
        <v>52622.895673394036</v>
      </c>
      <c r="AJ13" s="67">
        <f>('Collection Rate'!AJ13*SUM('Eurostat POM Portables'!AH13:AJ13))/3</f>
        <v>55048.781588289683</v>
      </c>
      <c r="AK13" s="67">
        <f>('Collection Rate'!AK13*SUM('Eurostat POM Portables'!AI13:AK13))/3</f>
        <v>57606.501384747535</v>
      </c>
      <c r="AL13" s="67">
        <f>('Collection Rate'!AL13*SUM('Eurostat POM Portables'!AJ13:AL13))/3</f>
        <v>60303.945572032586</v>
      </c>
      <c r="AM13" s="67">
        <f>('Collection Rate'!AM13*SUM('Eurostat POM Portables'!AK13:AM13))/3</f>
        <v>63149.500686580082</v>
      </c>
      <c r="AN13" s="67">
        <f>('Collection Rate'!AN13*SUM('Eurostat POM Portables'!AL13:AN13))/3</f>
        <v>66152.081029392401</v>
      </c>
      <c r="AO13" s="67">
        <f>('Collection Rate'!AO13*SUM('Eurostat POM Portables'!AM13:AO13))/3</f>
        <v>69305.692694677724</v>
      </c>
      <c r="AP13" s="67">
        <f>('Collection Rate'!AP13*SUM('Eurostat POM Portables'!AN13:AP13))/3</f>
        <v>72513.702819744678</v>
      </c>
      <c r="AQ13" s="67">
        <f>('Collection Rate'!AQ13*SUM('Eurostat POM Portables'!AO13:AQ13))/3</f>
        <v>75253.152259974435</v>
      </c>
      <c r="AR13" s="67">
        <f>('Collection Rate'!AR13*SUM('Eurostat POM Portables'!AP13:AR13))/3</f>
        <v>77488.748329481386</v>
      </c>
      <c r="AS13" s="67">
        <f>('Collection Rate'!AS13*SUM('Eurostat POM Portables'!AQ13:AS13))/3</f>
        <v>79275.760194905335</v>
      </c>
      <c r="AT13" s="67">
        <f>('Collection Rate'!AT13*SUM('Eurostat POM Portables'!AR13:AT13))/3</f>
        <v>81101.800583268792</v>
      </c>
      <c r="AU13" s="67">
        <f>('Collection Rate'!AU13*SUM('Eurostat POM Portables'!AS13:AU13))/3</f>
        <v>82968.733205777608</v>
      </c>
      <c r="AV13" s="67">
        <f>('Collection Rate'!AV13*SUM('Eurostat POM Portables'!AT13:AV13))/3</f>
        <v>84857.49302499734</v>
      </c>
      <c r="AW13" s="67">
        <f>('Collection Rate'!AW13*SUM('Eurostat POM Portables'!AU13:AW13))/3</f>
        <v>86767.816401017757</v>
      </c>
      <c r="AX13" s="67">
        <f>('Collection Rate'!AX13*SUM('Eurostat POM Portables'!AV13:AX13))/3</f>
        <v>88699.41375708823</v>
      </c>
      <c r="AY13" s="67">
        <f>('Collection Rate'!AY13*SUM('Eurostat POM Portables'!AW13:AY13))/3</f>
        <v>90672.391928841898</v>
      </c>
      <c r="AZ13" s="67">
        <f>('Collection Rate'!AZ13*SUM('Eurostat POM Portables'!AX13:AZ13))/3</f>
        <v>92687.647759269734</v>
      </c>
    </row>
    <row r="14" spans="1:52" x14ac:dyDescent="0.35">
      <c r="A14" s="1" t="s">
        <v>11</v>
      </c>
      <c r="B14" s="23">
        <f>'Coll. portables Zn-based'!B21+'Coll. portables Li-Rechargeable'!B21+'Coll. portables Li-Primary'!B20+'Coll. portables Lead-acid'!B21+'Coll. portables NiMH'!B21+'Coll. portables NiCd'!B21+'Coll. portables Other'!B21</f>
        <v>348.06874480907095</v>
      </c>
      <c r="C14" s="23">
        <f>'Coll. portables Zn-based'!C21+'Coll. portables Li-Rechargeable'!C21+'Coll. portables Li-Primary'!C20+'Coll. portables Lead-acid'!C21+'Coll. portables NiMH'!C21+'Coll. portables NiCd'!C21+'Coll. portables Other'!C21</f>
        <v>358.87355601402908</v>
      </c>
      <c r="D14" s="23">
        <f>'Coll. portables Zn-based'!D21+'Coll. portables Li-Rechargeable'!D21+'Coll. portables Li-Primary'!D20+'Coll. portables Lead-acid'!D21+'Coll. portables NiMH'!D21+'Coll. portables NiCd'!D21+'Coll. portables Other'!D21</f>
        <v>370.36585363323354</v>
      </c>
      <c r="E14" s="23">
        <f>'Coll. portables Zn-based'!E21+'Coll. portables Li-Rechargeable'!E21+'Coll. portables Li-Primary'!E20+'Coll. portables Lead-acid'!E21+'Coll. portables NiMH'!E21+'Coll. portables NiCd'!E21+'Coll. portables Other'!E21</f>
        <v>383.32202757726014</v>
      </c>
      <c r="F14" s="23">
        <f>'Coll. portables Zn-based'!F21+'Coll. portables Li-Rechargeable'!F21+'Coll. portables Li-Primary'!F20+'Coll. portables Lead-acid'!F21+'Coll. portables NiMH'!F21+'Coll. portables NiCd'!F21+'Coll. portables Other'!F21</f>
        <v>402.89929809267636</v>
      </c>
      <c r="G14" s="23">
        <f>'Coll. portables Zn-based'!G21+'Coll. portables Li-Rechargeable'!G21+'Coll. portables Li-Primary'!G20+'Coll. portables Lead-acid'!G21+'Coll. portables NiMH'!G21+'Coll. portables NiCd'!G21+'Coll. portables Other'!G21</f>
        <v>399.09997926227805</v>
      </c>
      <c r="H14" s="23">
        <f>'Coll. portables Zn-based'!H21+'Coll. portables Li-Rechargeable'!H21+'Coll. portables Li-Primary'!H20+'Coll. portables Lead-acid'!H21+'Coll. portables NiMH'!H21+'Coll. portables NiCd'!H21+'Coll. portables Other'!H21</f>
        <v>425.96280437323111</v>
      </c>
      <c r="I14" s="23">
        <f>'Coll. portables Zn-based'!I21+'Coll. portables Li-Rechargeable'!I21+'Coll. portables Li-Primary'!I20+'Coll. portables Lead-acid'!I21+'Coll. portables NiMH'!I21+'Coll. portables NiCd'!I21+'Coll. portables Other'!I21</f>
        <v>405.38651078322852</v>
      </c>
      <c r="J14" s="23">
        <f>'Coll. portables Zn-based'!J21+'Coll. portables Li-Rechargeable'!J21+'Coll. portables Li-Primary'!J20+'Coll. portables Lead-acid'!J21+'Coll. portables NiMH'!J21+'Coll. portables NiCd'!J21+'Coll. portables Other'!J21</f>
        <v>412.50487464816644</v>
      </c>
      <c r="K14" s="23">
        <f>'Coll. portables Zn-based'!K21+'Coll. portables Li-Rechargeable'!K21+'Coll. portables Li-Primary'!K20+'Coll. portables Lead-acid'!K21+'Coll. portables NiMH'!K21+'Coll. portables NiCd'!K21+'Coll. portables Other'!K21</f>
        <v>407.99061983700807</v>
      </c>
      <c r="L14" s="23">
        <f>'Coll. portables Zn-based'!L21+'Coll. portables Li-Rechargeable'!L21+'Coll. portables Li-Primary'!L20+'Coll. portables Lead-acid'!L21+'Coll. portables NiMH'!L21+'Coll. portables NiCd'!L21+'Coll. portables Other'!L21</f>
        <v>409.97665366287947</v>
      </c>
      <c r="M14" s="34">
        <f t="shared" ref="M14:O14" si="0">N14/1.0705</f>
        <v>431.75400256148811</v>
      </c>
      <c r="N14" s="34">
        <f t="shared" si="0"/>
        <v>462.19265974207303</v>
      </c>
      <c r="O14" s="34">
        <f t="shared" si="0"/>
        <v>494.7772422538892</v>
      </c>
      <c r="P14" s="34">
        <f>Q14/1.0705</f>
        <v>529.65903783278839</v>
      </c>
      <c r="Q14" s="31">
        <v>567</v>
      </c>
      <c r="R14" s="31">
        <v>632</v>
      </c>
      <c r="S14" s="31">
        <v>571</v>
      </c>
      <c r="T14" s="31">
        <v>553</v>
      </c>
      <c r="U14" s="31">
        <v>610</v>
      </c>
      <c r="V14" s="31">
        <v>601</v>
      </c>
      <c r="W14" s="31">
        <v>636</v>
      </c>
      <c r="X14" s="67">
        <f>('Collection Rate'!X14*SUM('Eurostat POM Portables'!V14:X14))/3</f>
        <v>779.17263098909427</v>
      </c>
      <c r="Y14" s="67">
        <f>('Collection Rate'!Y14*SUM('Eurostat POM Portables'!W14:Y14))/3</f>
        <v>938.18014796824309</v>
      </c>
      <c r="Z14" s="67">
        <f>('Collection Rate'!Z14*SUM('Eurostat POM Portables'!X14:Z14))/3</f>
        <v>1010.1009787804322</v>
      </c>
      <c r="AA14" s="67">
        <f>('Collection Rate'!AA14*SUM('Eurostat POM Portables'!Y14:AA14))/3</f>
        <v>1088.3086666414285</v>
      </c>
      <c r="AB14" s="67">
        <f>('Collection Rate'!AB14*SUM('Eurostat POM Portables'!Z14:AB14))/3</f>
        <v>1168.7221843027048</v>
      </c>
      <c r="AC14" s="67">
        <f>('Collection Rate'!AC14*SUM('Eurostat POM Portables'!AA14:AC14))/3</f>
        <v>1252.7096548781417</v>
      </c>
      <c r="AD14" s="67">
        <f>('Collection Rate'!AD14*SUM('Eurostat POM Portables'!AB14:AD14))/3</f>
        <v>1343.0565926751726</v>
      </c>
      <c r="AE14" s="67">
        <f>('Collection Rate'!AE14*SUM('Eurostat POM Portables'!AC14:AE14))/3</f>
        <v>1447.0830318410935</v>
      </c>
      <c r="AF14" s="67">
        <f>('Collection Rate'!AF14*SUM('Eurostat POM Portables'!AD14:AF14))/3</f>
        <v>1564.537977525292</v>
      </c>
      <c r="AG14" s="67">
        <f>('Collection Rate'!AG14*SUM('Eurostat POM Portables'!AE14:AG14))/3</f>
        <v>1684.1127275441449</v>
      </c>
      <c r="AH14" s="67">
        <f>('Collection Rate'!AH14*SUM('Eurostat POM Portables'!AF14:AH14))/3</f>
        <v>1803.1663856036864</v>
      </c>
      <c r="AI14" s="67">
        <f>('Collection Rate'!AI14*SUM('Eurostat POM Portables'!AG14:AI14))/3</f>
        <v>1920.4789200080133</v>
      </c>
      <c r="AJ14" s="67">
        <f>('Collection Rate'!AJ14*SUM('Eurostat POM Portables'!AH14:AJ14))/3</f>
        <v>2044.9260325734024</v>
      </c>
      <c r="AK14" s="67">
        <f>('Collection Rate'!AK14*SUM('Eurostat POM Portables'!AI14:AK14))/3</f>
        <v>2177.0015537846753</v>
      </c>
      <c r="AL14" s="67">
        <f>('Collection Rate'!AL14*SUM('Eurostat POM Portables'!AJ14:AL14))/3</f>
        <v>2317.2054569888273</v>
      </c>
      <c r="AM14" s="67">
        <f>('Collection Rate'!AM14*SUM('Eurostat POM Portables'!AK14:AM14))/3</f>
        <v>2466.0714301265166</v>
      </c>
      <c r="AN14" s="67">
        <f>('Collection Rate'!AN14*SUM('Eurostat POM Portables'!AL14:AN14))/3</f>
        <v>2624.1691681391953</v>
      </c>
      <c r="AO14" s="67">
        <f>('Collection Rate'!AO14*SUM('Eurostat POM Portables'!AM14:AO14))/3</f>
        <v>2791.5459398045473</v>
      </c>
      <c r="AP14" s="67">
        <f>('Collection Rate'!AP14*SUM('Eurostat POM Portables'!AN14:AP14))/3</f>
        <v>2964.5825077117211</v>
      </c>
      <c r="AQ14" s="67">
        <f>('Collection Rate'!AQ14*SUM('Eurostat POM Portables'!AO14:AQ14))/3</f>
        <v>3121.1650481970169</v>
      </c>
      <c r="AR14" s="67">
        <f>('Collection Rate'!AR14*SUM('Eurostat POM Portables'!AP14:AR14))/3</f>
        <v>3258.7714628750091</v>
      </c>
      <c r="AS14" s="67">
        <f>('Collection Rate'!AS14*SUM('Eurostat POM Portables'!AQ14:AS14))/3</f>
        <v>3378.6787371188952</v>
      </c>
      <c r="AT14" s="67">
        <f>('Collection Rate'!AT14*SUM('Eurostat POM Portables'!AR14:AT14))/3</f>
        <v>3501.5855044277068</v>
      </c>
      <c r="AU14" s="67">
        <f>('Collection Rate'!AU14*SUM('Eurostat POM Portables'!AS14:AU14))/3</f>
        <v>3627.6766966942637</v>
      </c>
      <c r="AV14" s="67">
        <f>('Collection Rate'!AV14*SUM('Eurostat POM Portables'!AT14:AV14))/3</f>
        <v>3756.2361827368895</v>
      </c>
      <c r="AW14" s="67">
        <f>('Collection Rate'!AW14*SUM('Eurostat POM Portables'!AU14:AW14))/3</f>
        <v>3887.2676879551504</v>
      </c>
      <c r="AX14" s="67">
        <f>('Collection Rate'!AX14*SUM('Eurostat POM Portables'!AV14:AX14))/3</f>
        <v>4020.7734758555503</v>
      </c>
      <c r="AY14" s="67">
        <f>('Collection Rate'!AY14*SUM('Eurostat POM Portables'!AW14:AY14))/3</f>
        <v>4157.5953185762037</v>
      </c>
      <c r="AZ14" s="67">
        <f>('Collection Rate'!AZ14*SUM('Eurostat POM Portables'!AX14:AZ14))/3</f>
        <v>4297.8119304397269</v>
      </c>
    </row>
    <row r="15" spans="1:52" x14ac:dyDescent="0.35">
      <c r="A15" s="1" t="s">
        <v>12</v>
      </c>
      <c r="B15" s="23">
        <f>'Coll. portables Zn-based'!B22+'Coll. portables Li-Rechargeable'!B22+'Coll. portables Li-Primary'!B21+'Coll. portables Lead-acid'!B22+'Coll. portables NiMH'!B22+'Coll. portables NiCd'!B22+'Coll. portables Other'!B22</f>
        <v>363.58436280283217</v>
      </c>
      <c r="C15" s="23">
        <f>'Coll. portables Zn-based'!C22+'Coll. portables Li-Rechargeable'!C22+'Coll. portables Li-Primary'!C21+'Coll. portables Lead-acid'!C22+'Coll. portables NiMH'!C22+'Coll. portables NiCd'!C22+'Coll. portables Other'!C22</f>
        <v>374.87081255089703</v>
      </c>
      <c r="D15" s="23">
        <f>'Coll. portables Zn-based'!D22+'Coll. portables Li-Rechargeable'!D22+'Coll. portables Li-Primary'!D21+'Coll. portables Lead-acid'!D22+'Coll. portables NiMH'!D22+'Coll. portables NiCd'!D22+'Coll. portables Other'!D22</f>
        <v>386.8753943162348</v>
      </c>
      <c r="E15" s="23">
        <f>'Coll. portables Zn-based'!E22+'Coll. portables Li-Rechargeable'!E22+'Coll. portables Li-Primary'!E21+'Coll. portables Lead-acid'!E22+'Coll. portables NiMH'!E22+'Coll. portables NiCd'!E22+'Coll. portables Other'!E22</f>
        <v>400.40910660167873</v>
      </c>
      <c r="F15" s="23">
        <f>'Coll. portables Zn-based'!F22+'Coll. portables Li-Rechargeable'!F22+'Coll. portables Li-Primary'!F21+'Coll. portables Lead-acid'!F22+'Coll. portables NiMH'!F22+'Coll. portables NiCd'!F22+'Coll. portables Other'!F22</f>
        <v>420.8590594685204</v>
      </c>
      <c r="G15" s="23">
        <f>'Coll. portables Zn-based'!G22+'Coll. portables Li-Rechargeable'!G22+'Coll. portables Li-Primary'!G21+'Coll. portables Lead-acid'!G22+'Coll. portables NiMH'!G22+'Coll. portables NiCd'!G22+'Coll. portables Other'!G22</f>
        <v>416.89038104899475</v>
      </c>
      <c r="H15" s="23">
        <f>'Coll. portables Zn-based'!H22+'Coll. portables Li-Rechargeable'!H22+'Coll. portables Li-Primary'!H21+'Coll. portables Lead-acid'!H22+'Coll. portables NiMH'!H22+'Coll. portables NiCd'!H22+'Coll. portables Other'!H22</f>
        <v>444.95065160390288</v>
      </c>
      <c r="I15" s="23">
        <f>'Coll. portables Zn-based'!I22+'Coll. portables Li-Rechargeable'!I22+'Coll. portables Li-Primary'!I21+'Coll. portables Lead-acid'!I22+'Coll. portables NiMH'!I22+'Coll. portables NiCd'!I22+'Coll. portables Other'!I22</f>
        <v>423.45714290673783</v>
      </c>
      <c r="J15" s="23">
        <f>'Coll. portables Zn-based'!J22+'Coll. portables Li-Rechargeable'!J22+'Coll. portables Li-Primary'!J21+'Coll. portables Lead-acid'!J22+'Coll. portables NiMH'!J22+'Coll. portables NiCd'!J22+'Coll. portables Other'!J22</f>
        <v>430.89281711946211</v>
      </c>
      <c r="K15" s="23">
        <f>'Coll. portables Zn-based'!K22+'Coll. portables Li-Rechargeable'!K22+'Coll. portables Li-Primary'!K21+'Coll. portables Lead-acid'!K22+'Coll. portables NiMH'!K22+'Coll. portables NiCd'!K22+'Coll. portables Other'!K22</f>
        <v>426.17733351594296</v>
      </c>
      <c r="L15" s="23">
        <f>'Coll. portables Zn-based'!L22+'Coll. portables Li-Rechargeable'!L22+'Coll. portables Li-Primary'!L21+'Coll. portables Lead-acid'!L22+'Coll. portables NiMH'!L22+'Coll. portables NiCd'!L22+'Coll. portables Other'!L22</f>
        <v>428.25189738831949</v>
      </c>
      <c r="M15" s="31">
        <v>451</v>
      </c>
      <c r="N15" s="31">
        <v>527</v>
      </c>
      <c r="O15" s="31">
        <v>520</v>
      </c>
      <c r="P15" s="31">
        <v>607</v>
      </c>
      <c r="Q15" s="31">
        <v>746</v>
      </c>
      <c r="R15" s="31">
        <v>922</v>
      </c>
      <c r="S15" s="31">
        <v>990</v>
      </c>
      <c r="T15" s="31">
        <v>1069</v>
      </c>
      <c r="U15" s="31">
        <v>1459</v>
      </c>
      <c r="V15" s="31">
        <v>1270</v>
      </c>
      <c r="W15" s="31">
        <v>1331</v>
      </c>
      <c r="X15" s="67">
        <f>('Collection Rate'!X15*SUM('Eurostat POM Portables'!V15:X15))/3</f>
        <v>1403.7500095246548</v>
      </c>
      <c r="Y15" s="67">
        <f>('Collection Rate'!Y15*SUM('Eurostat POM Portables'!W15:Y15))/3</f>
        <v>1564.3623617617241</v>
      </c>
      <c r="Z15" s="67">
        <f>('Collection Rate'!Z15*SUM('Eurostat POM Portables'!X15:Z15))/3</f>
        <v>1645.3588997843447</v>
      </c>
      <c r="AA15" s="67">
        <f>('Collection Rate'!AA15*SUM('Eurostat POM Portables'!Y15:AA15))/3</f>
        <v>1733.4640749468301</v>
      </c>
      <c r="AB15" s="67">
        <f>('Collection Rate'!AB15*SUM('Eurostat POM Portables'!Z15:AB15))/3</f>
        <v>1821.9440396491816</v>
      </c>
      <c r="AC15" s="67">
        <f>('Collection Rate'!AC15*SUM('Eurostat POM Portables'!AA15:AC15))/3</f>
        <v>1912.9505674533573</v>
      </c>
      <c r="AD15" s="67">
        <f>('Collection Rate'!AD15*SUM('Eurostat POM Portables'!AB15:AD15))/3</f>
        <v>2010.5857383487689</v>
      </c>
      <c r="AE15" s="67">
        <f>('Collection Rate'!AE15*SUM('Eurostat POM Portables'!AC15:AE15))/3</f>
        <v>2125.3032398479622</v>
      </c>
      <c r="AF15" s="67">
        <f>('Collection Rate'!AF15*SUM('Eurostat POM Portables'!AD15:AF15))/3</f>
        <v>2255.8881388669693</v>
      </c>
      <c r="AG15" s="67">
        <f>('Collection Rate'!AG15*SUM('Eurostat POM Portables'!AE15:AG15))/3</f>
        <v>2385.5782369877893</v>
      </c>
      <c r="AH15" s="67">
        <f>('Collection Rate'!AH15*SUM('Eurostat POM Portables'!AF15:AH15))/3</f>
        <v>2510.8460404544103</v>
      </c>
      <c r="AI15" s="67">
        <f>('Collection Rate'!AI15*SUM('Eurostat POM Portables'!AG15:AI15))/3</f>
        <v>2630.3362443472911</v>
      </c>
      <c r="AJ15" s="67">
        <f>('Collection Rate'!AJ15*SUM('Eurostat POM Portables'!AH15:AJ15))/3</f>
        <v>2756.3765640945244</v>
      </c>
      <c r="AK15" s="67">
        <f>('Collection Rate'!AK15*SUM('Eurostat POM Portables'!AI15:AK15))/3</f>
        <v>2889.401083728409</v>
      </c>
      <c r="AL15" s="67">
        <f>('Collection Rate'!AL15*SUM('Eurostat POM Portables'!AJ15:AL15))/3</f>
        <v>3029.8337818938758</v>
      </c>
      <c r="AM15" s="67">
        <f>('Collection Rate'!AM15*SUM('Eurostat POM Portables'!AK15:AM15))/3</f>
        <v>3178.1255667597602</v>
      </c>
      <c r="AN15" s="67">
        <f>('Collection Rate'!AN15*SUM('Eurostat POM Portables'!AL15:AN15))/3</f>
        <v>3334.7560140313039</v>
      </c>
      <c r="AO15" s="67">
        <f>('Collection Rate'!AO15*SUM('Eurostat POM Portables'!AM15:AO15))/3</f>
        <v>3499.5320877813738</v>
      </c>
      <c r="AP15" s="67">
        <f>('Collection Rate'!AP15*SUM('Eurostat POM Portables'!AN15:AP15))/3</f>
        <v>3667.7431424057522</v>
      </c>
      <c r="AQ15" s="67">
        <f>('Collection Rate'!AQ15*SUM('Eurostat POM Portables'!AO15:AQ15))/3</f>
        <v>3812.335836150231</v>
      </c>
      <c r="AR15" s="67">
        <f>('Collection Rate'!AR15*SUM('Eurostat POM Portables'!AP15:AR15))/3</f>
        <v>3931.2299268258698</v>
      </c>
      <c r="AS15" s="67">
        <f>('Collection Rate'!AS15*SUM('Eurostat POM Portables'!AQ15:AS15))/3</f>
        <v>4026.9417198011743</v>
      </c>
      <c r="AT15" s="67">
        <f>('Collection Rate'!AT15*SUM('Eurostat POM Portables'!AR15:AT15))/3</f>
        <v>4124.7157316924349</v>
      </c>
      <c r="AU15" s="67">
        <f>('Collection Rate'!AU15*SUM('Eurostat POM Portables'!AS15:AU15))/3</f>
        <v>4224.7325023444691</v>
      </c>
      <c r="AV15" s="67">
        <f>('Collection Rate'!AV15*SUM('Eurostat POM Portables'!AT15:AV15))/3</f>
        <v>4326.127931960169</v>
      </c>
      <c r="AW15" s="67">
        <f>('Collection Rate'!AW15*SUM('Eurostat POM Portables'!AU15:AW15))/3</f>
        <v>4428.8964879219957</v>
      </c>
      <c r="AX15" s="67">
        <f>('Collection Rate'!AX15*SUM('Eurostat POM Portables'!AV15:AX15))/3</f>
        <v>4533.0315278051639</v>
      </c>
      <c r="AY15" s="67">
        <f>('Collection Rate'!AY15*SUM('Eurostat POM Portables'!AW15:AY15))/3</f>
        <v>4639.4637746972112</v>
      </c>
      <c r="AZ15" s="67">
        <f>('Collection Rate'!AZ15*SUM('Eurostat POM Portables'!AX15:AZ15))/3</f>
        <v>4748.2441696675669</v>
      </c>
    </row>
    <row r="16" spans="1:52" x14ac:dyDescent="0.35">
      <c r="A16" s="1" t="s">
        <v>13</v>
      </c>
      <c r="B16" s="23">
        <f>'Coll. portables Zn-based'!B23+'Coll. portables Li-Rechargeable'!B23+'Coll. portables Li-Primary'!B22+'Coll. portables Lead-acid'!B23+'Coll. portables NiMH'!B23+'Coll. portables NiCd'!B23+'Coll. portables Other'!B23</f>
        <v>29.586576751361292</v>
      </c>
      <c r="C16" s="23">
        <f>'Coll. portables Zn-based'!C23+'Coll. portables Li-Rechargeable'!C23+'Coll. portables Li-Primary'!C22+'Coll. portables Lead-acid'!C23+'Coll. portables NiMH'!C23+'Coll. portables NiCd'!C23+'Coll. portables Other'!C23</f>
        <v>30.505008471436639</v>
      </c>
      <c r="D16" s="23">
        <f>'Coll. portables Zn-based'!D23+'Coll. portables Li-Rechargeable'!D23+'Coll. portables Li-Primary'!D22+'Coll. portables Lead-acid'!D23+'Coll. portables NiMH'!D23+'Coll. portables NiCd'!D23+'Coll. portables Other'!D23</f>
        <v>31.481877985378755</v>
      </c>
      <c r="E16" s="23">
        <f>'Coll. portables Zn-based'!E23+'Coll. portables Li-Rechargeable'!E23+'Coll. portables Li-Primary'!E22+'Coll. portables Lead-acid'!E23+'Coll. portables NiMH'!E23+'Coll. portables NiCd'!E23+'Coll. portables Other'!E23</f>
        <v>32.58318007157785</v>
      </c>
      <c r="F16" s="23">
        <f>'Coll. portables Zn-based'!F23+'Coll. portables Li-Rechargeable'!F23+'Coll. portables Li-Primary'!F22+'Coll. portables Lead-acid'!F23+'Coll. portables NiMH'!F23+'Coll. portables NiCd'!F23+'Coll. portables Other'!F23</f>
        <v>34.247289318170075</v>
      </c>
      <c r="G16" s="23">
        <f>'Coll. portables Zn-based'!G23+'Coll. portables Li-Rechargeable'!G23+'Coll. portables Li-Primary'!G22+'Coll. portables Lead-acid'!G23+'Coll. portables NiMH'!G23+'Coll. portables NiCd'!G23+'Coll. portables Other'!G23</f>
        <v>33.924339211747466</v>
      </c>
      <c r="H16" s="23">
        <f>'Coll. portables Zn-based'!H23+'Coll. portables Li-Rechargeable'!H23+'Coll. portables Li-Primary'!H22+'Coll. portables Lead-acid'!H23+'Coll. portables NiMH'!H23+'Coll. portables NiCd'!H23+'Coll. portables Other'!H23</f>
        <v>36.207735950916259</v>
      </c>
      <c r="I16" s="23">
        <f>'Coll. portables Zn-based'!I23+'Coll. portables Li-Rechargeable'!I23+'Coll. portables Li-Primary'!I22+'Coll. portables Lead-acid'!I23+'Coll. portables NiMH'!I23+'Coll. portables NiCd'!I23+'Coll. portables Other'!I23</f>
        <v>34.458707637865359</v>
      </c>
      <c r="J16" s="23">
        <f>'Coll. portables Zn-based'!J23+'Coll. portables Li-Rechargeable'!J23+'Coll. portables Li-Primary'!J22+'Coll. portables Lead-acid'!J23+'Coll. portables NiMH'!J23+'Coll. portables NiCd'!J23+'Coll. portables Other'!J23</f>
        <v>35.063783566040492</v>
      </c>
      <c r="K16" s="23">
        <f>'Coll. portables Zn-based'!K23+'Coll. portables Li-Rechargeable'!K23+'Coll. portables Li-Primary'!K22+'Coll. portables Lead-acid'!K23+'Coll. portables NiMH'!K23+'Coll. portables NiCd'!K23+'Coll. portables Other'!K23</f>
        <v>34.680062394756334</v>
      </c>
      <c r="L16" s="23">
        <f>'Coll. portables Zn-based'!L23+'Coll. portables Li-Rechargeable'!L23+'Coll. portables Li-Primary'!L22+'Coll. portables Lead-acid'!L23+'Coll. portables NiMH'!L23+'Coll. portables NiCd'!L23+'Coll. portables Other'!L23</f>
        <v>34.848879454880993</v>
      </c>
      <c r="M16" s="31">
        <v>36.700000000000003</v>
      </c>
      <c r="N16" s="31">
        <v>55.5</v>
      </c>
      <c r="O16" s="31">
        <v>64.8</v>
      </c>
      <c r="P16" s="31">
        <v>62.4</v>
      </c>
      <c r="Q16" s="31">
        <v>61.3</v>
      </c>
      <c r="R16" s="31">
        <v>59.2</v>
      </c>
      <c r="S16" s="31">
        <v>102.6</v>
      </c>
      <c r="T16" s="31">
        <v>81.8</v>
      </c>
      <c r="U16" s="31">
        <v>84.1</v>
      </c>
      <c r="V16" s="31">
        <v>98.2</v>
      </c>
      <c r="W16" s="31">
        <v>97.4</v>
      </c>
      <c r="X16" s="67">
        <f>('Collection Rate'!X16*SUM('Eurostat POM Portables'!V16:X16))/3</f>
        <v>122.10994096928357</v>
      </c>
      <c r="Y16" s="67">
        <f>('Collection Rate'!Y16*SUM('Eurostat POM Portables'!W16:Y16))/3</f>
        <v>131.9166938051427</v>
      </c>
      <c r="Z16" s="67">
        <f>('Collection Rate'!Z16*SUM('Eurostat POM Portables'!X16:Z16))/3</f>
        <v>140.48934337497539</v>
      </c>
      <c r="AA16" s="67">
        <f>('Collection Rate'!AA16*SUM('Eurostat POM Portables'!Y16:AA16))/3</f>
        <v>149.81248407239829</v>
      </c>
      <c r="AB16" s="67">
        <f>('Collection Rate'!AB16*SUM('Eurostat POM Portables'!Z16:AB16))/3</f>
        <v>159.31509653750777</v>
      </c>
      <c r="AC16" s="67">
        <f>('Collection Rate'!AC16*SUM('Eurostat POM Portables'!AA16:AC16))/3</f>
        <v>169.18442821080825</v>
      </c>
      <c r="AD16" s="67">
        <f>('Collection Rate'!AD16*SUM('Eurostat POM Portables'!AB16:AD16))/3</f>
        <v>179.7906807611605</v>
      </c>
      <c r="AE16" s="67">
        <f>('Collection Rate'!AE16*SUM('Eurostat POM Portables'!AC16:AE16))/3</f>
        <v>192.09380160776914</v>
      </c>
      <c r="AF16" s="67">
        <f>('Collection Rate'!AF16*SUM('Eurostat POM Portables'!AD16:AF16))/3</f>
        <v>206.02699024857648</v>
      </c>
      <c r="AG16" s="67">
        <f>('Collection Rate'!AG16*SUM('Eurostat POM Portables'!AE16:AG16))/3</f>
        <v>220.08300114064249</v>
      </c>
      <c r="AH16" s="67">
        <f>('Collection Rate'!AH16*SUM('Eurostat POM Portables'!AF16:AH16))/3</f>
        <v>233.9251591979864</v>
      </c>
      <c r="AI16" s="67">
        <f>('Collection Rate'!AI16*SUM('Eurostat POM Portables'!AG16:AI16))/3</f>
        <v>247.40878110652656</v>
      </c>
      <c r="AJ16" s="67">
        <f>('Collection Rate'!AJ16*SUM('Eurostat POM Portables'!AH16:AJ16))/3</f>
        <v>261.6840717363242</v>
      </c>
      <c r="AK16" s="67">
        <f>('Collection Rate'!AK16*SUM('Eurostat POM Portables'!AI16:AK16))/3</f>
        <v>276.80506437431455</v>
      </c>
      <c r="AL16" s="67">
        <f>('Collection Rate'!AL16*SUM('Eurostat POM Portables'!AJ16:AL16))/3</f>
        <v>292.82585101588398</v>
      </c>
      <c r="AM16" s="67">
        <f>('Collection Rate'!AM16*SUM('Eurostat POM Portables'!AK16:AM16))/3</f>
        <v>309.8041055347249</v>
      </c>
      <c r="AN16" s="67">
        <f>('Collection Rate'!AN16*SUM('Eurostat POM Portables'!AL16:AN16))/3</f>
        <v>327.80132354967498</v>
      </c>
      <c r="AO16" s="67">
        <f>('Collection Rate'!AO16*SUM('Eurostat POM Portables'!AM16:AO16))/3</f>
        <v>346.81339618194846</v>
      </c>
      <c r="AP16" s="67">
        <f>('Collection Rate'!AP16*SUM('Eurostat POM Portables'!AN16:AP16))/3</f>
        <v>366.38381577201017</v>
      </c>
      <c r="AQ16" s="67">
        <f>('Collection Rate'!AQ16*SUM('Eurostat POM Portables'!AO16:AQ16))/3</f>
        <v>383.79169170028212</v>
      </c>
      <c r="AR16" s="67">
        <f>('Collection Rate'!AR16*SUM('Eurostat POM Portables'!AP16:AR16))/3</f>
        <v>398.76647331586463</v>
      </c>
      <c r="AS16" s="67">
        <f>('Collection Rate'!AS16*SUM('Eurostat POM Portables'!AQ16:AS16))/3</f>
        <v>411.50302739601858</v>
      </c>
      <c r="AT16" s="67">
        <f>('Collection Rate'!AT16*SUM('Eurostat POM Portables'!AR16:AT16))/3</f>
        <v>424.54505201224475</v>
      </c>
      <c r="AU16" s="67">
        <f>('Collection Rate'!AU16*SUM('Eurostat POM Portables'!AS16:AU16))/3</f>
        <v>437.91349321743991</v>
      </c>
      <c r="AV16" s="67">
        <f>('Collection Rate'!AV16*SUM('Eurostat POM Portables'!AT16:AV16))/3</f>
        <v>451.5207124853178</v>
      </c>
      <c r="AW16" s="67">
        <f>('Collection Rate'!AW16*SUM('Eurostat POM Portables'!AU16:AW16))/3</f>
        <v>465.36676899545461</v>
      </c>
      <c r="AX16" s="67">
        <f>('Collection Rate'!AX16*SUM('Eurostat POM Portables'!AV16:AX16))/3</f>
        <v>479.45156890405292</v>
      </c>
      <c r="AY16" s="67">
        <f>('Collection Rate'!AY16*SUM('Eurostat POM Portables'!AW16:AY16))/3</f>
        <v>493.87476443356394</v>
      </c>
      <c r="AZ16" s="67">
        <f>('Collection Rate'!AZ16*SUM('Eurostat POM Portables'!AX16:AZ16))/3</f>
        <v>508.64424622439509</v>
      </c>
    </row>
    <row r="17" spans="1:52" x14ac:dyDescent="0.35">
      <c r="A17" s="1" t="s">
        <v>14</v>
      </c>
      <c r="B17" s="23">
        <f>'Coll. portables Zn-based'!B24+'Coll. portables Li-Rechargeable'!B24+'Coll. portables Li-Primary'!B23+'Coll. portables Lead-acid'!B24+'Coll. portables NiMH'!B24+'Coll. portables NiCd'!B24+'Coll. portables Other'!B24</f>
        <v>494.18451086061225</v>
      </c>
      <c r="C17" s="23">
        <f>'Coll. portables Zn-based'!C24+'Coll. portables Li-Rechargeable'!C24+'Coll. portables Li-Primary'!C23+'Coll. portables Lead-acid'!C24+'Coll. portables NiMH'!C24+'Coll. portables NiCd'!C24+'Coll. portables Other'!C24</f>
        <v>509.52507337849204</v>
      </c>
      <c r="D17" s="23">
        <f>'Coll. portables Zn-based'!D24+'Coll. portables Li-Rechargeable'!D24+'Coll. portables Li-Primary'!D23+'Coll. portables Lead-acid'!D24+'Coll. portables NiMH'!D24+'Coll. portables NiCd'!D24+'Coll. portables Other'!D24</f>
        <v>525.84172220809751</v>
      </c>
      <c r="E17" s="23">
        <f>'Coll. portables Zn-based'!E24+'Coll. portables Li-Rechargeable'!E24+'Coll. portables Li-Primary'!E23+'Coll. portables Lead-acid'!E24+'Coll. portables NiMH'!E24+'Coll. portables NiCd'!E24+'Coll. portables Other'!E24</f>
        <v>544.23676795305789</v>
      </c>
      <c r="F17" s="23">
        <f>'Coll. portables Zn-based'!F24+'Coll. portables Li-Rechargeable'!F24+'Coll. portables Li-Primary'!F23+'Coll. portables Lead-acid'!F24+'Coll. portables NiMH'!F24+'Coll. portables NiCd'!F24+'Coll. portables Other'!F24</f>
        <v>572.03238016453008</v>
      </c>
      <c r="G17" s="23">
        <f>'Coll. portables Zn-based'!G24+'Coll. portables Li-Rechargeable'!G24+'Coll. portables Li-Primary'!G23+'Coll. portables Lead-acid'!G24+'Coll. portables NiMH'!G24+'Coll. portables NiCd'!G24+'Coll. portables Other'!G24</f>
        <v>566.63814541692636</v>
      </c>
      <c r="H17" s="23">
        <f>'Coll. portables Zn-based'!H24+'Coll. portables Li-Rechargeable'!H24+'Coll. portables Li-Primary'!H23+'Coll. portables Lead-acid'!H24+'Coll. portables NiMH'!H24+'Coll. portables NiCd'!H24+'Coll. portables Other'!H24</f>
        <v>604.7777149294734</v>
      </c>
      <c r="I17" s="23">
        <f>'Coll. portables Zn-based'!I24+'Coll. portables Li-Rechargeable'!I24+'Coll. portables Li-Primary'!I23+'Coll. portables Lead-acid'!I24+'Coll. portables NiMH'!I24+'Coll. portables NiCd'!I24+'Coll. portables Other'!I24</f>
        <v>575.56369978232885</v>
      </c>
      <c r="J17" s="23">
        <f>'Coll. portables Zn-based'!J24+'Coll. portables Li-Rechargeable'!J24+'Coll. portables Li-Primary'!J23+'Coll. portables Lead-acid'!J24+'Coll. portables NiMH'!J24+'Coll. portables NiCd'!J24+'Coll. portables Other'!J24</f>
        <v>585.67028136192971</v>
      </c>
      <c r="K17" s="23">
        <f>'Coll. portables Zn-based'!K24+'Coll. portables Li-Rechargeable'!K24+'Coll. portables Li-Primary'!K23+'Coll. portables Lead-acid'!K24+'Coll. portables NiMH'!K24+'Coll. portables NiCd'!K24+'Coll. portables Other'!K24</f>
        <v>579.26098768353233</v>
      </c>
      <c r="L17" s="23">
        <f>'Coll. portables Zn-based'!L24+'Coll. portables Li-Rechargeable'!L24+'Coll. portables Li-Primary'!L23+'Coll. portables Lead-acid'!L24+'Coll. portables NiMH'!L24+'Coll. portables NiCd'!L24+'Coll. portables Other'!L24</f>
        <v>582.08073857880242</v>
      </c>
      <c r="M17" s="31">
        <v>613</v>
      </c>
      <c r="N17" s="31">
        <v>574</v>
      </c>
      <c r="O17" s="31">
        <v>616</v>
      </c>
      <c r="P17" s="31">
        <v>678</v>
      </c>
      <c r="Q17" s="31">
        <v>773</v>
      </c>
      <c r="R17" s="31">
        <v>1129</v>
      </c>
      <c r="S17" s="31">
        <v>1328</v>
      </c>
      <c r="T17" s="31">
        <v>1227</v>
      </c>
      <c r="U17" s="31">
        <v>1259</v>
      </c>
      <c r="V17" s="31">
        <v>1461</v>
      </c>
      <c r="W17" s="31">
        <v>1592</v>
      </c>
      <c r="X17" s="67">
        <f>('Collection Rate'!X17*SUM('Eurostat POM Portables'!V17:X17))/3</f>
        <v>1795.6240836741988</v>
      </c>
      <c r="Y17" s="67">
        <f>('Collection Rate'!Y17*SUM('Eurostat POM Portables'!W17:Y17))/3</f>
        <v>1884.9053034854198</v>
      </c>
      <c r="Z17" s="67">
        <f>('Collection Rate'!Z17*SUM('Eurostat POM Portables'!X17:Z17))/3</f>
        <v>1979.3386658342345</v>
      </c>
      <c r="AA17" s="67">
        <f>('Collection Rate'!AA17*SUM('Eurostat POM Portables'!Y17:AA17))/3</f>
        <v>2082.0633620592416</v>
      </c>
      <c r="AB17" s="67">
        <f>('Collection Rate'!AB17*SUM('Eurostat POM Portables'!Z17:AB17))/3</f>
        <v>2184.9715229497924</v>
      </c>
      <c r="AC17" s="67">
        <f>('Collection Rate'!AC17*SUM('Eurostat POM Portables'!AA17:AC17))/3</f>
        <v>2290.6453167684981</v>
      </c>
      <c r="AD17" s="67">
        <f>('Collection Rate'!AD17*SUM('Eurostat POM Portables'!AB17:AD17))/3</f>
        <v>2403.9833110591549</v>
      </c>
      <c r="AE17" s="67">
        <f>('Collection Rate'!AE17*SUM('Eurostat POM Portables'!AC17:AE17))/3</f>
        <v>2537.4389783383003</v>
      </c>
      <c r="AF17" s="67">
        <f>('Collection Rate'!AF17*SUM('Eurostat POM Portables'!AD17:AF17))/3</f>
        <v>2689.4837990635347</v>
      </c>
      <c r="AG17" s="67">
        <f>('Collection Rate'!AG17*SUM('Eurostat POM Portables'!AE17:AG17))/3</f>
        <v>2840.0909444342528</v>
      </c>
      <c r="AH17" s="67">
        <f>('Collection Rate'!AH17*SUM('Eurostat POM Portables'!AF17:AH17))/3</f>
        <v>2985.0812324653675</v>
      </c>
      <c r="AI17" s="67">
        <f>('Collection Rate'!AI17*SUM('Eurostat POM Portables'!AG17:AI17))/3</f>
        <v>3122.876766786721</v>
      </c>
      <c r="AJ17" s="67">
        <f>('Collection Rate'!AJ17*SUM('Eurostat POM Portables'!AH17:AJ17))/3</f>
        <v>3268.1306050523422</v>
      </c>
      <c r="AK17" s="67">
        <f>('Collection Rate'!AK17*SUM('Eurostat POM Portables'!AI17:AK17))/3</f>
        <v>3421.3341740108476</v>
      </c>
      <c r="AL17" s="67">
        <f>('Collection Rate'!AL17*SUM('Eurostat POM Portables'!AJ17:AL17))/3</f>
        <v>3582.9650727833819</v>
      </c>
      <c r="AM17" s="67">
        <f>('Collection Rate'!AM17*SUM('Eurostat POM Portables'!AK17:AM17))/3</f>
        <v>3753.5309707625497</v>
      </c>
      <c r="AN17" s="67">
        <f>('Collection Rate'!AN17*SUM('Eurostat POM Portables'!AL17:AN17))/3</f>
        <v>3933.5715325604397</v>
      </c>
      <c r="AO17" s="67">
        <f>('Collection Rate'!AO17*SUM('Eurostat POM Portables'!AM17:AO17))/3</f>
        <v>4122.8321029123535</v>
      </c>
      <c r="AP17" s="67">
        <f>('Collection Rate'!AP17*SUM('Eurostat POM Portables'!AN17:AP17))/3</f>
        <v>4315.7442936033149</v>
      </c>
      <c r="AQ17" s="67">
        <f>('Collection Rate'!AQ17*SUM('Eurostat POM Portables'!AO17:AQ17))/3</f>
        <v>4480.5085248183323</v>
      </c>
      <c r="AR17" s="67">
        <f>('Collection Rate'!AR17*SUM('Eurostat POM Portables'!AP17:AR17))/3</f>
        <v>4614.790803853889</v>
      </c>
      <c r="AS17" s="67">
        <f>('Collection Rate'!AS17*SUM('Eurostat POM Portables'!AQ17:AS17))/3</f>
        <v>4721.654447343808</v>
      </c>
      <c r="AT17" s="67">
        <f>('Collection Rate'!AT17*SUM('Eurostat POM Portables'!AR17:AT17))/3</f>
        <v>4830.7642928497316</v>
      </c>
      <c r="AU17" s="67">
        <f>('Collection Rate'!AU17*SUM('Eurostat POM Portables'!AS17:AU17))/3</f>
        <v>4942.3274983208066</v>
      </c>
      <c r="AV17" s="67">
        <f>('Collection Rate'!AV17*SUM('Eurostat POM Portables'!AT17:AV17))/3</f>
        <v>5055.3296929904564</v>
      </c>
      <c r="AW17" s="67">
        <f>('Collection Rate'!AW17*SUM('Eurostat POM Portables'!AU17:AW17))/3</f>
        <v>5169.7632573196988</v>
      </c>
      <c r="AX17" s="67">
        <f>('Collection Rate'!AX17*SUM('Eurostat POM Portables'!AV17:AX17))/3</f>
        <v>5285.6193423344703</v>
      </c>
      <c r="AY17" s="67">
        <f>('Collection Rate'!AY17*SUM('Eurostat POM Portables'!AW17:AY17))/3</f>
        <v>5403.9809965712457</v>
      </c>
      <c r="AZ17" s="67">
        <f>('Collection Rate'!AZ17*SUM('Eurostat POM Portables'!AX17:AZ17))/3</f>
        <v>5524.9030804956374</v>
      </c>
    </row>
    <row r="18" spans="1:52" x14ac:dyDescent="0.35">
      <c r="A18" s="1" t="s">
        <v>15</v>
      </c>
      <c r="B18" s="23">
        <f>'Coll. portables Zn-based'!B25+'Coll. portables Li-Rechargeable'!B25+'Coll. portables Li-Primary'!B24+'Coll. portables Lead-acid'!B25+'Coll. portables NiMH'!B25+'Coll. portables NiCd'!B25+'Coll. portables Other'!B25</f>
        <v>6002.7697681372238</v>
      </c>
      <c r="C18" s="23">
        <f>'Coll. portables Zn-based'!C25+'Coll. portables Li-Rechargeable'!C25+'Coll. portables Li-Primary'!C24+'Coll. portables Lead-acid'!C25+'Coll. portables NiMH'!C25+'Coll. portables NiCd'!C25+'Coll. portables Other'!C25</f>
        <v>6189.1088032239022</v>
      </c>
      <c r="D18" s="23">
        <f>'Coll. portables Zn-based'!D25+'Coll. portables Li-Rechargeable'!D25+'Coll. portables Li-Primary'!D24+'Coll. portables Lead-acid'!D25+'Coll. portables NiMH'!D25+'Coll. portables NiCd'!D25+'Coll. portables Other'!D25</f>
        <v>6387.3041819926475</v>
      </c>
      <c r="E18" s="23">
        <f>'Coll. portables Zn-based'!E25+'Coll. portables Li-Rechargeable'!E25+'Coll. portables Li-Primary'!E24+'Coll. portables Lead-acid'!E25+'Coll. portables NiMH'!E25+'Coll. portables NiCd'!E25+'Coll. portables Other'!E25</f>
        <v>6610.7454717430173</v>
      </c>
      <c r="F18" s="23">
        <f>'Coll. portables Zn-based'!F25+'Coll. portables Li-Rechargeable'!F25+'Coll. portables Li-Primary'!F24+'Coll. portables Lead-acid'!F25+'Coll. portables NiMH'!F25+'Coll. portables NiCd'!F25+'Coll. portables Other'!F25</f>
        <v>6948.3737401388107</v>
      </c>
      <c r="G18" s="23">
        <f>'Coll. portables Zn-based'!G25+'Coll. portables Li-Rechargeable'!G25+'Coll. portables Li-Primary'!G24+'Coll. portables Lead-acid'!G25+'Coll. portables NiMH'!G25+'Coll. portables NiCd'!G25+'Coll. portables Other'!G25</f>
        <v>6882.8509474297462</v>
      </c>
      <c r="H18" s="23">
        <f>'Coll. portables Zn-based'!H25+'Coll. portables Li-Rechargeable'!H25+'Coll. portables Li-Primary'!H24+'Coll. portables Lead-acid'!H25+'Coll. portables NiMH'!H25+'Coll. portables NiCd'!H25+'Coll. portables Other'!H25</f>
        <v>7346.1253921123307</v>
      </c>
      <c r="I18" s="23">
        <f>'Coll. portables Zn-based'!I25+'Coll. portables Li-Rechargeable'!I25+'Coll. portables Li-Primary'!I24+'Coll. portables Lead-acid'!I25+'Coll. portables NiMH'!I25+'Coll. portables NiCd'!I25+'Coll. portables Other'!I25</f>
        <v>6991.2680400966065</v>
      </c>
      <c r="J18" s="23">
        <f>'Coll. portables Zn-based'!J25+'Coll. portables Li-Rechargeable'!J25+'Coll. portables Li-Primary'!J24+'Coll. portables Lead-acid'!J25+'Coll. portables NiMH'!J25+'Coll. portables NiCd'!J25+'Coll. portables Other'!J25</f>
        <v>7114.0308564778588</v>
      </c>
      <c r="K18" s="23">
        <f>'Coll. portables Zn-based'!K25+'Coll. portables Li-Rechargeable'!K25+'Coll. portables Li-Primary'!K24+'Coll. portables Lead-acid'!K25+'Coll. portables NiMH'!K25+'Coll. portables NiCd'!K25+'Coll. portables Other'!K25</f>
        <v>7036.1783267399369</v>
      </c>
      <c r="L18" s="23">
        <f>'Coll. portables Zn-based'!L25+'Coll. portables Li-Rechargeable'!L25+'Coll. portables Li-Primary'!L24+'Coll. portables Lead-acid'!L25+'Coll. portables NiMH'!L25+'Coll. portables NiCd'!L25+'Coll. portables Other'!L25</f>
        <v>7070.4293302736742</v>
      </c>
      <c r="M18" s="31">
        <v>7446</v>
      </c>
      <c r="N18" s="31">
        <v>8050</v>
      </c>
      <c r="O18" s="31">
        <v>8429</v>
      </c>
      <c r="P18" s="31">
        <v>9585</v>
      </c>
      <c r="Q18" s="31">
        <v>10105</v>
      </c>
      <c r="R18" s="31">
        <v>9495</v>
      </c>
      <c r="S18" s="31">
        <v>9488</v>
      </c>
      <c r="T18" s="31">
        <v>10432</v>
      </c>
      <c r="U18" s="31">
        <v>10968</v>
      </c>
      <c r="V18" s="31">
        <v>10476</v>
      </c>
      <c r="W18" s="31">
        <v>10499</v>
      </c>
      <c r="X18" s="67">
        <f>('Collection Rate'!X18*SUM('Eurostat POM Portables'!V18:X18))/3</f>
        <v>11714.763686049593</v>
      </c>
      <c r="Y18" s="67">
        <f>('Collection Rate'!Y18*SUM('Eurostat POM Portables'!W18:Y18))/3</f>
        <v>12842.063355458478</v>
      </c>
      <c r="Z18" s="67">
        <f>('Collection Rate'!Z18*SUM('Eurostat POM Portables'!X18:Z18))/3</f>
        <v>13658.946174318633</v>
      </c>
      <c r="AA18" s="67">
        <f>('Collection Rate'!AA18*SUM('Eurostat POM Portables'!Y18:AA18))/3</f>
        <v>14547.358081261586</v>
      </c>
      <c r="AB18" s="67">
        <f>('Collection Rate'!AB18*SUM('Eurostat POM Portables'!Z18:AB18))/3</f>
        <v>15451.74268874396</v>
      </c>
      <c r="AC18" s="67">
        <f>('Collection Rate'!AC18*SUM('Eurostat POM Portables'!AA18:AC18))/3</f>
        <v>16390.269740405751</v>
      </c>
      <c r="AD18" s="67">
        <f>('Collection Rate'!AD18*SUM('Eurostat POM Portables'!AB18:AD18))/3</f>
        <v>17398.732091217742</v>
      </c>
      <c r="AE18" s="67">
        <f>('Collection Rate'!AE18*SUM('Eurostat POM Portables'!AC18:AE18))/3</f>
        <v>18569.785451331656</v>
      </c>
      <c r="AF18" s="67">
        <f>('Collection Rate'!AF18*SUM('Eurostat POM Portables'!AD18:AF18))/3</f>
        <v>19896.565441537201</v>
      </c>
      <c r="AG18" s="67">
        <f>('Collection Rate'!AG18*SUM('Eurostat POM Portables'!AE18:AG18))/3</f>
        <v>21233.292336028877</v>
      </c>
      <c r="AH18" s="67">
        <f>('Collection Rate'!AH18*SUM('Eurostat POM Portables'!AF18:AH18))/3</f>
        <v>22547.588382401183</v>
      </c>
      <c r="AI18" s="67">
        <f>('Collection Rate'!AI18*SUM('Eurostat POM Portables'!AG18:AI18))/3</f>
        <v>23825.676791414397</v>
      </c>
      <c r="AJ18" s="67">
        <f>('Collection Rate'!AJ18*SUM('Eurostat POM Portables'!AH18:AJ18))/3</f>
        <v>25178.408123417728</v>
      </c>
      <c r="AK18" s="67">
        <f>('Collection Rate'!AK18*SUM('Eurostat POM Portables'!AI18:AK18))/3</f>
        <v>26610.865844420256</v>
      </c>
      <c r="AL18" s="67">
        <f>('Collection Rate'!AL18*SUM('Eurostat POM Portables'!AJ18:AL18))/3</f>
        <v>28128.129902883917</v>
      </c>
      <c r="AM18" s="67">
        <f>('Collection Rate'!AM18*SUM('Eurostat POM Portables'!AK18:AM18))/3</f>
        <v>29735.615653441462</v>
      </c>
      <c r="AN18" s="67">
        <f>('Collection Rate'!AN18*SUM('Eurostat POM Portables'!AL18:AN18))/3</f>
        <v>31439.096262089501</v>
      </c>
      <c r="AO18" s="67">
        <f>('Collection Rate'!AO18*SUM('Eurostat POM Portables'!AM18:AO18))/3</f>
        <v>33238.048379543376</v>
      </c>
      <c r="AP18" s="67">
        <f>('Collection Rate'!AP18*SUM('Eurostat POM Portables'!AN18:AP18))/3</f>
        <v>35088.631931979042</v>
      </c>
      <c r="AQ18" s="67">
        <f>('Collection Rate'!AQ18*SUM('Eurostat POM Portables'!AO18:AQ18))/3</f>
        <v>36730.424583147513</v>
      </c>
      <c r="AR18" s="67">
        <f>('Collection Rate'!AR18*SUM('Eurostat POM Portables'!AP18:AR18))/3</f>
        <v>38138.052574991416</v>
      </c>
      <c r="AS18" s="67">
        <f>('Collection Rate'!AS18*SUM('Eurostat POM Portables'!AQ18:AS18))/3</f>
        <v>39330.661747766288</v>
      </c>
      <c r="AT18" s="67">
        <f>('Collection Rate'!AT18*SUM('Eurostat POM Portables'!AR18:AT18))/3</f>
        <v>40551.674755127788</v>
      </c>
      <c r="AU18" s="67">
        <f>('Collection Rate'!AU18*SUM('Eurostat POM Portables'!AS18:AU18))/3</f>
        <v>41803.072692489332</v>
      </c>
      <c r="AV18" s="67">
        <f>('Collection Rate'!AV18*SUM('Eurostat POM Portables'!AT18:AV18))/3</f>
        <v>43076.473704864322</v>
      </c>
      <c r="AW18" s="67">
        <f>('Collection Rate'!AW18*SUM('Eurostat POM Portables'!AU18:AW18))/3</f>
        <v>44371.878224428488</v>
      </c>
      <c r="AX18" s="67">
        <f>('Collection Rate'!AX18*SUM('Eurostat POM Portables'!AV18:AX18))/3</f>
        <v>45689.272389045647</v>
      </c>
      <c r="AY18" s="67">
        <f>('Collection Rate'!AY18*SUM('Eurostat POM Portables'!AW18:AY18))/3</f>
        <v>47038.142756198125</v>
      </c>
      <c r="AZ18" s="67">
        <f>('Collection Rate'!AZ18*SUM('Eurostat POM Portables'!AX18:AZ18))/3</f>
        <v>48419.221038059819</v>
      </c>
    </row>
    <row r="19" spans="1:52" x14ac:dyDescent="0.35">
      <c r="A19" s="1" t="s">
        <v>16</v>
      </c>
      <c r="B19" s="23">
        <f>'Coll. portables Zn-based'!B26+'Coll. portables Li-Rechargeable'!B26+'Coll. portables Li-Primary'!B25+'Coll. portables Lead-acid'!B26+'Coll. portables NiMH'!B26+'Coll. portables NiCd'!B26+'Coll. portables Other'!B26</f>
        <v>102.384066687272</v>
      </c>
      <c r="C19" s="23">
        <f>'Coll. portables Zn-based'!C26+'Coll. portables Li-Rechargeable'!C26+'Coll. portables Li-Primary'!C25+'Coll. portables Lead-acid'!C26+'Coll. portables NiMH'!C26+'Coll. portables NiCd'!C26+'Coll. portables Other'!C26</f>
        <v>105.56229089570714</v>
      </c>
      <c r="D19" s="23">
        <f>'Coll. portables Zn-based'!D26+'Coll. portables Li-Rechargeable'!D26+'Coll. portables Li-Primary'!D25+'Coll. portables Lead-acid'!D26+'Coll. portables NiMH'!D26+'Coll. portables NiCd'!D26+'Coll. portables Other'!D26</f>
        <v>108.94273853250955</v>
      </c>
      <c r="E19" s="23">
        <f>'Coll. portables Zn-based'!E26+'Coll. portables Li-Rechargeable'!E26+'Coll. portables Li-Primary'!E25+'Coll. portables Lead-acid'!E26+'Coll. portables NiMH'!E26+'Coll. portables NiCd'!E26+'Coll. portables Other'!E26</f>
        <v>112.75378389892063</v>
      </c>
      <c r="F19" s="23">
        <f>'Coll. portables Zn-based'!F26+'Coll. portables Li-Rechargeable'!F26+'Coll. portables Li-Primary'!F25+'Coll. portables Lead-acid'!F26+'Coll. portables NiMH'!F26+'Coll. portables NiCd'!F26+'Coll. portables Other'!F26</f>
        <v>118.51241807650133</v>
      </c>
      <c r="G19" s="23">
        <f>'Coll. portables Zn-based'!G26+'Coll. portables Li-Rechargeable'!G26+'Coll. portables Li-Primary'!G25+'Coll. portables Lead-acid'!G26+'Coll. portables NiMH'!G26+'Coll. portables NiCd'!G26+'Coll. portables Other'!G26</f>
        <v>117.39485231313155</v>
      </c>
      <c r="H19" s="23">
        <f>'Coll. portables Zn-based'!H26+'Coll. portables Li-Rechargeable'!H26+'Coll. portables Li-Primary'!H25+'Coll. portables Lead-acid'!H26+'Coll. portables NiMH'!H26+'Coll. portables NiCd'!H26+'Coll. portables Other'!H26</f>
        <v>125.29652495276201</v>
      </c>
      <c r="I19" s="23">
        <f>'Coll. portables Zn-based'!I26+'Coll. portables Li-Rechargeable'!I26+'Coll. portables Li-Primary'!I25+'Coll. portables Lead-acid'!I26+'Coll. portables NiMH'!I26+'Coll. portables NiCd'!I26+'Coll. portables Other'!I26</f>
        <v>119.24402915555588</v>
      </c>
      <c r="J19" s="23">
        <f>'Coll. portables Zn-based'!J26+'Coll. portables Li-Rechargeable'!J26+'Coll. portables Li-Primary'!J25+'Coll. portables Lead-acid'!J26+'Coll. portables NiMH'!J26+'Coll. portables NiCd'!J26+'Coll. portables Other'!J26</f>
        <v>121.33788863452702</v>
      </c>
      <c r="K19" s="23">
        <f>'Coll. portables Zn-based'!K26+'Coll. portables Li-Rechargeable'!K26+'Coll. portables Li-Primary'!K25+'Coll. portables Lead-acid'!K26+'Coll. portables NiMH'!K26+'Coll. portables NiCd'!K26+'Coll. portables Other'!K26</f>
        <v>120.01002518076443</v>
      </c>
      <c r="L19" s="23">
        <f>'Coll. portables Zn-based'!L26+'Coll. portables Li-Rechargeable'!L26+'Coll. portables Li-Primary'!L25+'Coll. portables Lead-acid'!L26+'Coll. portables NiMH'!L26+'Coll. portables NiCd'!L26+'Coll. portables Other'!L26</f>
        <v>120.59421500735384</v>
      </c>
      <c r="M19" s="31">
        <v>127</v>
      </c>
      <c r="N19" s="31">
        <v>129</v>
      </c>
      <c r="O19" s="31">
        <v>133</v>
      </c>
      <c r="P19" s="31">
        <v>147</v>
      </c>
      <c r="Q19" s="31">
        <v>130</v>
      </c>
      <c r="R19" s="31">
        <v>169</v>
      </c>
      <c r="S19" s="31">
        <v>225</v>
      </c>
      <c r="T19" s="31">
        <v>232</v>
      </c>
      <c r="U19" s="31">
        <v>266</v>
      </c>
      <c r="V19" s="31">
        <v>310</v>
      </c>
      <c r="W19" s="31">
        <v>317</v>
      </c>
      <c r="X19" s="67">
        <f>('Collection Rate'!X19*SUM('Eurostat POM Portables'!V19:X19))/3</f>
        <v>343.79693427552496</v>
      </c>
      <c r="Y19" s="67">
        <f>('Collection Rate'!Y19*SUM('Eurostat POM Portables'!W19:Y19))/3</f>
        <v>358.85469339638502</v>
      </c>
      <c r="Z19" s="67">
        <f>('Collection Rate'!Z19*SUM('Eurostat POM Portables'!X19:Z19))/3</f>
        <v>376.40213061678219</v>
      </c>
      <c r="AA19" s="67">
        <f>('Collection Rate'!AA19*SUM('Eurostat POM Portables'!Y19:AA19))/3</f>
        <v>395.4907304980382</v>
      </c>
      <c r="AB19" s="67">
        <f>('Collection Rate'!AB19*SUM('Eurostat POM Portables'!Z19:AB19))/3</f>
        <v>414.57767596238028</v>
      </c>
      <c r="AC19" s="67">
        <f>('Collection Rate'!AC19*SUM('Eurostat POM Portables'!AA19:AC19))/3</f>
        <v>434.15313489282198</v>
      </c>
      <c r="AD19" s="67">
        <f>('Collection Rate'!AD19*SUM('Eurostat POM Portables'!AB19:AD19))/3</f>
        <v>455.14370406493316</v>
      </c>
      <c r="AE19" s="67">
        <f>('Collection Rate'!AE19*SUM('Eurostat POM Portables'!AC19:AE19))/3</f>
        <v>479.90091456087913</v>
      </c>
      <c r="AF19" s="67">
        <f>('Collection Rate'!AF19*SUM('Eurostat POM Portables'!AD19:AF19))/3</f>
        <v>508.12494160496141</v>
      </c>
      <c r="AG19" s="67">
        <f>('Collection Rate'!AG19*SUM('Eurostat POM Portables'!AE19:AG19))/3</f>
        <v>536.02620435276231</v>
      </c>
      <c r="AH19" s="67">
        <f>('Collection Rate'!AH19*SUM('Eurostat POM Portables'!AF19:AH19))/3</f>
        <v>562.81875788416619</v>
      </c>
      <c r="AI19" s="67">
        <f>('Collection Rate'!AI19*SUM('Eurostat POM Portables'!AG19:AI19))/3</f>
        <v>588.2097169363343</v>
      </c>
      <c r="AJ19" s="67">
        <f>('Collection Rate'!AJ19*SUM('Eurostat POM Portables'!AH19:AJ19))/3</f>
        <v>614.96140378221605</v>
      </c>
      <c r="AK19" s="67">
        <f>('Collection Rate'!AK19*SUM('Eurostat POM Portables'!AI19:AK19))/3</f>
        <v>643.16306599219388</v>
      </c>
      <c r="AL19" s="67">
        <f>('Collection Rate'!AL19*SUM('Eurostat POM Portables'!AJ19:AL19))/3</f>
        <v>672.90109323546221</v>
      </c>
      <c r="AM19" s="67">
        <f>('Collection Rate'!AM19*SUM('Eurostat POM Portables'!AK19:AM19))/3</f>
        <v>704.26727571073354</v>
      </c>
      <c r="AN19" s="67">
        <f>('Collection Rate'!AN19*SUM('Eurostat POM Portables'!AL19:AN19))/3</f>
        <v>737.35914753983479</v>
      </c>
      <c r="AO19" s="67">
        <f>('Collection Rate'!AO19*SUM('Eurostat POM Portables'!AM19:AO19))/3</f>
        <v>772.12521589232256</v>
      </c>
      <c r="AP19" s="67">
        <f>('Collection Rate'!AP19*SUM('Eurostat POM Portables'!AN19:AP19))/3</f>
        <v>807.5200174431501</v>
      </c>
      <c r="AQ19" s="67">
        <f>('Collection Rate'!AQ19*SUM('Eurostat POM Portables'!AO19:AQ19))/3</f>
        <v>837.59819545518019</v>
      </c>
      <c r="AR19" s="67">
        <f>('Collection Rate'!AR19*SUM('Eurostat POM Portables'!AP19:AR19))/3</f>
        <v>861.93893249956909</v>
      </c>
      <c r="AS19" s="67">
        <f>('Collection Rate'!AS19*SUM('Eurostat POM Portables'!AQ19:AS19))/3</f>
        <v>881.12971918129813</v>
      </c>
      <c r="AT19" s="67">
        <f>('Collection Rate'!AT19*SUM('Eurostat POM Portables'!AR19:AT19))/3</f>
        <v>900.71559404278071</v>
      </c>
      <c r="AU19" s="67">
        <f>('Collection Rate'!AU19*SUM('Eurostat POM Portables'!AS19:AU19))/3</f>
        <v>920.73458091519149</v>
      </c>
      <c r="AV19" s="67">
        <f>('Collection Rate'!AV19*SUM('Eurostat POM Portables'!AT19:AV19))/3</f>
        <v>940.99721517201806</v>
      </c>
      <c r="AW19" s="67">
        <f>('Collection Rate'!AW19*SUM('Eurostat POM Portables'!AU19:AW19))/3</f>
        <v>961.5019161128522</v>
      </c>
      <c r="AX19" s="67">
        <f>('Collection Rate'!AX19*SUM('Eurostat POM Portables'!AV19:AX19))/3</f>
        <v>982.2468836783828</v>
      </c>
      <c r="AY19" s="67">
        <f>('Collection Rate'!AY19*SUM('Eurostat POM Portables'!AW19:AY19))/3</f>
        <v>1003.4330752990146</v>
      </c>
      <c r="AZ19" s="67">
        <f>('Collection Rate'!AZ19*SUM('Eurostat POM Portables'!AX19:AZ19))/3</f>
        <v>1025.0700460832916</v>
      </c>
    </row>
    <row r="20" spans="1:52" x14ac:dyDescent="0.35">
      <c r="A20" s="1" t="s">
        <v>17</v>
      </c>
      <c r="B20" s="23">
        <f>'Coll. portables Zn-based'!B27+'Coll. portables Li-Rechargeable'!B27+'Coll. portables Li-Primary'!B26+'Coll. portables Lead-acid'!B27+'Coll. portables NiMH'!B27+'Coll. portables NiCd'!B27+'Coll. portables Other'!B27</f>
        <v>171.71500948337749</v>
      </c>
      <c r="C20" s="23">
        <f>'Coll. portables Zn-based'!C27+'Coll. portables Li-Rechargeable'!C27+'Coll. portables Li-Primary'!C26+'Coll. portables Lead-acid'!C27+'Coll. portables NiMH'!C27+'Coll. portables NiCd'!C27+'Coll. portables Other'!C27</f>
        <v>177.04541701405998</v>
      </c>
      <c r="D20" s="23">
        <f>'Coll. portables Zn-based'!D27+'Coll. portables Li-Rechargeable'!D27+'Coll. portables Li-Primary'!D26+'Coll. portables Lead-acid'!D27+'Coll. portables NiMH'!D27+'Coll. portables NiCd'!D27+'Coll. portables Other'!D27</f>
        <v>182.71498667263415</v>
      </c>
      <c r="E20" s="23">
        <f>'Coll. portables Zn-based'!E27+'Coll. portables Li-Rechargeable'!E27+'Coll. portables Li-Primary'!E26+'Coll. portables Lead-acid'!E27+'Coll. portables NiMH'!E27+'Coll. portables NiCd'!E27+'Coll. portables Other'!E27</f>
        <v>189.10673992496137</v>
      </c>
      <c r="F20" s="23">
        <f>'Coll. portables Zn-based'!F27+'Coll. portables Li-Rechargeable'!F27+'Coll. portables Li-Primary'!F26+'Coll. portables Lead-acid'!F27+'Coll. portables NiMH'!F27+'Coll. portables NiCd'!F27+'Coll. portables Other'!F27</f>
        <v>198.76492165586441</v>
      </c>
      <c r="G20" s="23">
        <f>'Coll. portables Zn-based'!G27+'Coll. portables Li-Rechargeable'!G27+'Coll. portables Li-Primary'!G26+'Coll. portables Lead-acid'!G27+'Coll. portables NiMH'!G27+'Coll. portables NiCd'!G27+'Coll. portables Other'!G27</f>
        <v>196.8905790763545</v>
      </c>
      <c r="H20" s="23">
        <f>'Coll. portables Zn-based'!H27+'Coll. portables Li-Rechargeable'!H27+'Coll. portables Li-Primary'!H26+'Coll. portables Lead-acid'!H27+'Coll. portables NiMH'!H27+'Coll. portables NiCd'!H27+'Coll. portables Other'!H27</f>
        <v>210.14299066880562</v>
      </c>
      <c r="I20" s="23">
        <f>'Coll. portables Zn-based'!I27+'Coll. portables Li-Rechargeable'!I27+'Coll. portables Li-Primary'!I26+'Coll. portables Lead-acid'!I27+'Coll. portables NiMH'!I27+'Coll. portables NiCd'!I27+'Coll. portables Other'!I27</f>
        <v>199.99195441049926</v>
      </c>
      <c r="J20" s="23">
        <f>'Coll. portables Zn-based'!J27+'Coll. portables Li-Rechargeable'!J27+'Coll. portables Li-Primary'!J26+'Coll. portables Lead-acid'!J27+'Coll. portables NiMH'!J27+'Coll. portables NiCd'!J27+'Coll. portables Other'!J27</f>
        <v>203.50370298546659</v>
      </c>
      <c r="K20" s="23">
        <f>'Coll. portables Zn-based'!K27+'Coll. portables Li-Rechargeable'!K27+'Coll. portables Li-Primary'!K26+'Coll. portables Lead-acid'!K27+'Coll. portables NiMH'!K27+'Coll. portables NiCd'!K27+'Coll. portables Other'!K27</f>
        <v>201.27665640553408</v>
      </c>
      <c r="L20" s="23">
        <f>'Coll. portables Zn-based'!L27+'Coll. portables Li-Rechargeable'!L27+'Coll. portables Li-Primary'!L26+'Coll. portables Lead-acid'!L27+'Coll. portables NiMH'!L27+'Coll. portables NiCd'!L27+'Coll. portables Other'!L27</f>
        <v>202.25643934304227</v>
      </c>
      <c r="M20" s="31">
        <v>213</v>
      </c>
      <c r="N20" s="31">
        <v>253</v>
      </c>
      <c r="O20" s="31">
        <v>276</v>
      </c>
      <c r="P20" s="31">
        <v>248</v>
      </c>
      <c r="Q20" s="31">
        <v>309</v>
      </c>
      <c r="R20" s="31">
        <v>375</v>
      </c>
      <c r="S20" s="31">
        <v>347</v>
      </c>
      <c r="T20" s="31">
        <v>363</v>
      </c>
      <c r="U20" s="31">
        <v>354</v>
      </c>
      <c r="V20" s="31">
        <v>354</v>
      </c>
      <c r="W20" s="31">
        <v>396</v>
      </c>
      <c r="X20" s="67">
        <f>('Collection Rate'!X20*SUM('Eurostat POM Portables'!V20:X20))/3</f>
        <v>434.14225331573249</v>
      </c>
      <c r="Y20" s="67">
        <f>('Collection Rate'!Y20*SUM('Eurostat POM Portables'!W20:Y20))/3</f>
        <v>468.51255034409968</v>
      </c>
      <c r="Z20" s="67">
        <f>('Collection Rate'!Z20*SUM('Eurostat POM Portables'!X20:Z20))/3</f>
        <v>492.25752516795745</v>
      </c>
      <c r="AA20" s="67">
        <f>('Collection Rate'!AA20*SUM('Eurostat POM Portables'!Y20:AA20))/3</f>
        <v>518.08702533321923</v>
      </c>
      <c r="AB20" s="67">
        <f>('Collection Rate'!AB20*SUM('Eurostat POM Portables'!Z20:AB20))/3</f>
        <v>543.98525934042266</v>
      </c>
      <c r="AC20" s="67">
        <f>('Collection Rate'!AC20*SUM('Eurostat POM Portables'!AA20:AC20))/3</f>
        <v>570.59495840214583</v>
      </c>
      <c r="AD20" s="67">
        <f>('Collection Rate'!AD20*SUM('Eurostat POM Portables'!AB20:AD20))/3</f>
        <v>599.13751141307159</v>
      </c>
      <c r="AE20" s="67">
        <f>('Collection Rate'!AE20*SUM('Eurostat POM Portables'!AC20:AE20))/3</f>
        <v>632.7206257139361</v>
      </c>
      <c r="AF20" s="67">
        <f>('Collection Rate'!AF20*SUM('Eurostat POM Portables'!AD20:AF20))/3</f>
        <v>670.96994907490364</v>
      </c>
      <c r="AG20" s="67">
        <f>('Collection Rate'!AG20*SUM('Eurostat POM Portables'!AE20:AG20))/3</f>
        <v>708.8929412846918</v>
      </c>
      <c r="AH20" s="67">
        <f>('Collection Rate'!AH20*SUM('Eurostat POM Portables'!AF20:AH20))/3</f>
        <v>745.44468912726677</v>
      </c>
      <c r="AI20" s="67">
        <f>('Collection Rate'!AI20*SUM('Eurostat POM Portables'!AG20:AI20))/3</f>
        <v>780.22823528760364</v>
      </c>
      <c r="AJ20" s="67">
        <f>('Collection Rate'!AJ20*SUM('Eurostat POM Portables'!AH20:AJ20))/3</f>
        <v>816.90305816698276</v>
      </c>
      <c r="AK20" s="67">
        <f>('Collection Rate'!AK20*SUM('Eurostat POM Portables'!AI20:AK20))/3</f>
        <v>855.5940333997188</v>
      </c>
      <c r="AL20" s="67">
        <f>('Collection Rate'!AL20*SUM('Eurostat POM Portables'!AJ20:AL20))/3</f>
        <v>896.4227421126983</v>
      </c>
      <c r="AM20" s="67">
        <f>('Collection Rate'!AM20*SUM('Eurostat POM Portables'!AK20:AM20))/3</f>
        <v>939.51844479770989</v>
      </c>
      <c r="AN20" s="67">
        <f>('Collection Rate'!AN20*SUM('Eurostat POM Portables'!AL20:AN20))/3</f>
        <v>985.01857437362389</v>
      </c>
      <c r="AO20" s="67">
        <f>('Collection Rate'!AO20*SUM('Eurostat POM Portables'!AM20:AO20))/3</f>
        <v>1032.8617373528875</v>
      </c>
      <c r="AP20" s="67">
        <f>('Collection Rate'!AP20*SUM('Eurostat POM Portables'!AN20:AP20))/3</f>
        <v>1081.6545806465133</v>
      </c>
      <c r="AQ20" s="67">
        <f>('Collection Rate'!AQ20*SUM('Eurostat POM Portables'!AO20:AQ20))/3</f>
        <v>1123.4242252271572</v>
      </c>
      <c r="AR20" s="67">
        <f>('Collection Rate'!AR20*SUM('Eurostat POM Portables'!AP20:AR20))/3</f>
        <v>1157.5756511870218</v>
      </c>
      <c r="AS20" s="67">
        <f>('Collection Rate'!AS20*SUM('Eurostat POM Portables'!AQ20:AS20))/3</f>
        <v>1184.8675672551858</v>
      </c>
      <c r="AT20" s="67">
        <f>('Collection Rate'!AT20*SUM('Eurostat POM Portables'!AR20:AT20))/3</f>
        <v>1212.738382454741</v>
      </c>
      <c r="AU20" s="67">
        <f>('Collection Rate'!AU20*SUM('Eurostat POM Portables'!AS20:AU20))/3</f>
        <v>1241.2404831200295</v>
      </c>
      <c r="AV20" s="67">
        <f>('Collection Rate'!AV20*SUM('Eurostat POM Portables'!AT20:AV20))/3</f>
        <v>1270.1194260653722</v>
      </c>
      <c r="AW20" s="67">
        <f>('Collection Rate'!AW20*SUM('Eurostat POM Portables'!AU20:AW20))/3</f>
        <v>1299.3733996185815</v>
      </c>
      <c r="AX20" s="67">
        <f>('Collection Rate'!AX20*SUM('Eurostat POM Portables'!AV20:AX20))/3</f>
        <v>1329.0002772205655</v>
      </c>
      <c r="AY20" s="67">
        <f>('Collection Rate'!AY20*SUM('Eurostat POM Portables'!AW20:AY20))/3</f>
        <v>1359.2725731275193</v>
      </c>
      <c r="AZ20" s="67">
        <f>('Collection Rate'!AZ20*SUM('Eurostat POM Portables'!AX20:AZ20))/3</f>
        <v>1390.2044858560257</v>
      </c>
    </row>
    <row r="21" spans="1:52" x14ac:dyDescent="0.35">
      <c r="A21" s="1" t="s">
        <v>18</v>
      </c>
      <c r="B21" s="23">
        <f>'Coll. portables Zn-based'!B28+'Coll. portables Li-Rechargeable'!B28+'Coll. portables Li-Primary'!B27+'Coll. portables Lead-acid'!B28+'Coll. portables NiMH'!B28+'Coll. portables NiCd'!B28+'Coll. portables Other'!B28</f>
        <v>107.2211092079305</v>
      </c>
      <c r="C21" s="23">
        <f>'Coll. portables Zn-based'!C28+'Coll. portables Li-Rechargeable'!C28+'Coll. portables Li-Primary'!C27+'Coll. portables Lead-acid'!C28+'Coll. portables NiMH'!C28+'Coll. portables NiCd'!C28+'Coll. portables Other'!C28</f>
        <v>110.54948574117361</v>
      </c>
      <c r="D21" s="23">
        <f>'Coll. portables Zn-based'!D28+'Coll. portables Li-Rechargeable'!D28+'Coll. portables Li-Primary'!D27+'Coll. portables Lead-acid'!D28+'Coll. portables NiMH'!D28+'Coll. portables NiCd'!D28+'Coll. portables Other'!D28</f>
        <v>114.08963956554152</v>
      </c>
      <c r="E21" s="23">
        <f>'Coll. portables Zn-based'!E28+'Coll. portables Li-Rechargeable'!E28+'Coll. portables Li-Primary'!E27+'Coll. portables Lead-acid'!E28+'Coll. portables NiMH'!E28+'Coll. portables NiCd'!E28+'Coll. portables Other'!E28</f>
        <v>118.08073431934206</v>
      </c>
      <c r="F21" s="23">
        <f>'Coll. portables Zn-based'!F28+'Coll. portables Li-Rechargeable'!F28+'Coll. portables Li-Primary'!F27+'Coll. portables Lead-acid'!F28+'Coll. portables NiMH'!F28+'Coll. portables NiCd'!F28+'Coll. portables Other'!F28</f>
        <v>124.1114299541313</v>
      </c>
      <c r="G21" s="23">
        <f>'Coll. portables Zn-based'!G28+'Coll. portables Li-Rechargeable'!G28+'Coll. portables Li-Primary'!G27+'Coll. portables Lead-acid'!G28+'Coll. portables NiMH'!G28+'Coll. portables NiCd'!G28+'Coll. portables Other'!G28</f>
        <v>122.94106580824011</v>
      </c>
      <c r="H21" s="23">
        <f>'Coll. portables Zn-based'!H28+'Coll. portables Li-Rechargeable'!H28+'Coll. portables Li-Primary'!H27+'Coll. portables Lead-acid'!H28+'Coll. portables NiMH'!H28+'Coll. portables NiCd'!H28+'Coll. portables Other'!H28</f>
        <v>131.21604581667199</v>
      </c>
      <c r="I21" s="23">
        <f>'Coll. portables Zn-based'!I28+'Coll. portables Li-Rechargeable'!I28+'Coll. portables Li-Primary'!I27+'Coll. portables Lead-acid'!I28+'Coll. portables NiMH'!I28+'Coll. portables NiCd'!I28+'Coll. portables Other'!I28</f>
        <v>124.87760533613331</v>
      </c>
      <c r="J21" s="23">
        <f>'Coll. portables Zn-based'!J28+'Coll. portables Li-Rechargeable'!J28+'Coll. portables Li-Primary'!J27+'Coll. portables Lead-acid'!J28+'Coll. portables NiMH'!J28+'Coll. portables NiCd'!J28+'Coll. portables Other'!J28</f>
        <v>127.07038731017396</v>
      </c>
      <c r="K21" s="23">
        <f>'Coll. portables Zn-based'!K28+'Coll. portables Li-Rechargeable'!K28+'Coll. portables Li-Primary'!K27+'Coll. portables Lead-acid'!K28+'Coll. portables NiMH'!K28+'Coll. portables NiCd'!K28+'Coll. portables Other'!K28</f>
        <v>125.67979014993442</v>
      </c>
      <c r="L21" s="23">
        <f>'Coll. portables Zn-based'!L28+'Coll. portables Li-Rechargeable'!L28+'Coll. portables Li-Primary'!L27+'Coll. portables Lead-acid'!L28+'Coll. portables NiMH'!L28+'Coll. portables NiCd'!L28+'Coll. portables Other'!L28</f>
        <v>126.29157949589023</v>
      </c>
      <c r="M21" s="31">
        <v>133</v>
      </c>
      <c r="N21" s="31">
        <v>128</v>
      </c>
      <c r="O21" s="31">
        <v>117</v>
      </c>
      <c r="P21" s="31">
        <v>121</v>
      </c>
      <c r="Q21" s="31">
        <v>106</v>
      </c>
      <c r="R21" s="31">
        <v>114</v>
      </c>
      <c r="S21" s="31">
        <v>109</v>
      </c>
      <c r="T21" s="31">
        <v>140</v>
      </c>
      <c r="U21" s="31">
        <v>156</v>
      </c>
      <c r="V21" s="31">
        <v>163</v>
      </c>
      <c r="W21" s="31">
        <v>165</v>
      </c>
      <c r="X21" s="67">
        <f>('Collection Rate'!X21*SUM('Eurostat POM Portables'!V21:X21))/3</f>
        <v>176.38417282742691</v>
      </c>
      <c r="Y21" s="67">
        <f>('Collection Rate'!Y21*SUM('Eurostat POM Portables'!W21:Y21))/3</f>
        <v>186.34755397060383</v>
      </c>
      <c r="Z21" s="67">
        <f>('Collection Rate'!Z21*SUM('Eurostat POM Portables'!X21:Z21))/3</f>
        <v>194.07862213503233</v>
      </c>
      <c r="AA21" s="67">
        <f>('Collection Rate'!AA21*SUM('Eurostat POM Portables'!Y21:AA21))/3</f>
        <v>202.49027915964959</v>
      </c>
      <c r="AB21" s="67">
        <f>('Collection Rate'!AB21*SUM('Eurostat POM Portables'!Z21:AB21))/3</f>
        <v>210.78388470774266</v>
      </c>
      <c r="AC21" s="67">
        <f>('Collection Rate'!AC21*SUM('Eurostat POM Portables'!AA21:AC21))/3</f>
        <v>219.20938108168761</v>
      </c>
      <c r="AD21" s="67">
        <f>('Collection Rate'!AD21*SUM('Eurostat POM Portables'!AB21:AD21))/3</f>
        <v>228.22868505261809</v>
      </c>
      <c r="AE21" s="67">
        <f>('Collection Rate'!AE21*SUM('Eurostat POM Portables'!AC21:AE21))/3</f>
        <v>239.00075125891502</v>
      </c>
      <c r="AF21" s="67">
        <f>('Collection Rate'!AF21*SUM('Eurostat POM Portables'!AD21:AF21))/3</f>
        <v>251.34163086304082</v>
      </c>
      <c r="AG21" s="67">
        <f>('Collection Rate'!AG21*SUM('Eurostat POM Portables'!AE21:AG21))/3</f>
        <v>263.3577590519522</v>
      </c>
      <c r="AH21" s="67">
        <f>('Collection Rate'!AH21*SUM('Eurostat POM Portables'!AF21:AH21))/3</f>
        <v>274.67208701695671</v>
      </c>
      <c r="AI21" s="67">
        <f>('Collection Rate'!AI21*SUM('Eurostat POM Portables'!AG21:AI21))/3</f>
        <v>285.15661418814642</v>
      </c>
      <c r="AJ21" s="67">
        <f>('Collection Rate'!AJ21*SUM('Eurostat POM Portables'!AH21:AJ21))/3</f>
        <v>296.15807033189986</v>
      </c>
      <c r="AK21" s="67">
        <f>('Collection Rate'!AK21*SUM('Eurostat POM Portables'!AI21:AK21))/3</f>
        <v>307.70898720205344</v>
      </c>
      <c r="AL21" s="67">
        <f>('Collection Rate'!AL21*SUM('Eurostat POM Portables'!AJ21:AL21))/3</f>
        <v>319.83969058852921</v>
      </c>
      <c r="AM21" s="67">
        <f>('Collection Rate'!AM21*SUM('Eurostat POM Portables'!AK21:AM21))/3</f>
        <v>332.58227164411875</v>
      </c>
      <c r="AN21" s="67">
        <f>('Collection Rate'!AN21*SUM('Eurostat POM Portables'!AL21:AN21))/3</f>
        <v>345.97069125282047</v>
      </c>
      <c r="AO21" s="67">
        <f>('Collection Rate'!AO21*SUM('Eurostat POM Portables'!AM21:AO21))/3</f>
        <v>359.96856536410229</v>
      </c>
      <c r="AP21" s="67">
        <f>('Collection Rate'!AP21*SUM('Eurostat POM Portables'!AN21:AP21))/3</f>
        <v>374.07998146657957</v>
      </c>
      <c r="AQ21" s="67">
        <f>('Collection Rate'!AQ21*SUM('Eurostat POM Portables'!AO21:AQ21))/3</f>
        <v>385.56600441088705</v>
      </c>
      <c r="AR21" s="67">
        <f>('Collection Rate'!AR21*SUM('Eurostat POM Portables'!AP21:AR21))/3</f>
        <v>394.28350721105085</v>
      </c>
      <c r="AS21" s="67">
        <f>('Collection Rate'!AS21*SUM('Eurostat POM Portables'!AQ21:AS21))/3</f>
        <v>400.55129429298381</v>
      </c>
      <c r="AT21" s="67">
        <f>('Collection Rate'!AT21*SUM('Eurostat POM Portables'!AR21:AT21))/3</f>
        <v>406.91996721750542</v>
      </c>
      <c r="AU21" s="67">
        <f>('Collection Rate'!AU21*SUM('Eurostat POM Portables'!AS21:AU21))/3</f>
        <v>413.40473632191879</v>
      </c>
      <c r="AV21" s="67">
        <f>('Collection Rate'!AV21*SUM('Eurostat POM Portables'!AT21:AV21))/3</f>
        <v>419.91892343349286</v>
      </c>
      <c r="AW21" s="67">
        <f>('Collection Rate'!AW21*SUM('Eurostat POM Portables'!AU21:AW21))/3</f>
        <v>426.46129105620184</v>
      </c>
      <c r="AX21" s="67">
        <f>('Collection Rate'!AX21*SUM('Eurostat POM Portables'!AV21:AX21))/3</f>
        <v>433.03053489175448</v>
      </c>
      <c r="AY21" s="67">
        <f>('Collection Rate'!AY21*SUM('Eurostat POM Portables'!AW21:AY21))/3</f>
        <v>439.71423229459987</v>
      </c>
      <c r="AZ21" s="67">
        <f>('Collection Rate'!AZ21*SUM('Eurostat POM Portables'!AX21:AZ21))/3</f>
        <v>446.5144958785686</v>
      </c>
    </row>
    <row r="22" spans="1:52" x14ac:dyDescent="0.35">
      <c r="A22" s="1" t="s">
        <v>19</v>
      </c>
      <c r="B22" s="23">
        <f>'Coll. portables Zn-based'!B29+'Coll. portables Li-Rechargeable'!B29+'Coll. portables Li-Primary'!B28+'Coll. portables Lead-acid'!B29+'Coll. portables NiMH'!B29+'Coll. portables NiCd'!B29+'Coll. portables Other'!B29</f>
        <v>14.51112756197556</v>
      </c>
      <c r="C22" s="23">
        <f>'Coll. portables Zn-based'!C29+'Coll. portables Li-Rechargeable'!C29+'Coll. portables Li-Primary'!C28+'Coll. portables Lead-acid'!C29+'Coll. portables NiMH'!C29+'Coll. portables NiCd'!C29+'Coll. portables Other'!C29</f>
        <v>14.961584536399437</v>
      </c>
      <c r="D22" s="23">
        <f>'Coll. portables Zn-based'!D29+'Coll. portables Li-Rechargeable'!D29+'Coll. portables Li-Primary'!D28+'Coll. portables Lead-acid'!D29+'Coll. portables NiMH'!D29+'Coll. portables NiCd'!D29+'Coll. portables Other'!D29</f>
        <v>15.440703099095847</v>
      </c>
      <c r="E22" s="23">
        <f>'Coll. portables Zn-based'!E29+'Coll. portables Li-Rechargeable'!E29+'Coll. portables Li-Primary'!E28+'Coll. portables Lead-acid'!E29+'Coll. portables NiMH'!E29+'Coll. portables NiCd'!E29+'Coll. portables Other'!E29</f>
        <v>15.980851261264336</v>
      </c>
      <c r="F22" s="23">
        <f>'Coll. portables Zn-based'!F29+'Coll. portables Li-Rechargeable'!F29+'Coll. portables Li-Primary'!F28+'Coll. portables Lead-acid'!F29+'Coll. portables NiMH'!F29+'Coll. portables NiCd'!F29+'Coll. portables Other'!F29</f>
        <v>16.797035632889951</v>
      </c>
      <c r="G22" s="23">
        <f>'Coll. portables Zn-based'!G29+'Coll. portables Li-Rechargeable'!G29+'Coll. portables Li-Primary'!G28+'Coll. portables Lead-acid'!G29+'Coll. portables NiMH'!G29+'Coll. portables NiCd'!G29+'Coll. portables Other'!G29</f>
        <v>16.63864048532573</v>
      </c>
      <c r="H22" s="23">
        <f>'Coll. portables Zn-based'!H29+'Coll. portables Li-Rechargeable'!H29+'Coll. portables Li-Primary'!H28+'Coll. portables Lead-acid'!H29+'Coll. portables NiMH'!H29+'Coll. portables NiCd'!H29+'Coll. portables Other'!H29</f>
        <v>17.758562591730048</v>
      </c>
      <c r="I22" s="23">
        <f>'Coll. portables Zn-based'!I29+'Coll. portables Li-Rechargeable'!I29+'Coll. portables Li-Primary'!I28+'Coll. portables Lead-acid'!I29+'Coll. portables NiMH'!I29+'Coll. portables NiCd'!I29+'Coll. portables Other'!I29</f>
        <v>16.900728541732324</v>
      </c>
      <c r="J22" s="23">
        <f>'Coll. portables Zn-based'!J29+'Coll. portables Li-Rechargeable'!J29+'Coll. portables Li-Primary'!J28+'Coll. portables Lead-acid'!J29+'Coll. portables NiMH'!J29+'Coll. portables NiCd'!J29+'Coll. portables Other'!J29</f>
        <v>17.197496026940836</v>
      </c>
      <c r="K22" s="23">
        <f>'Coll. portables Zn-based'!K29+'Coll. portables Li-Rechargeable'!K29+'Coll. portables Li-Primary'!K28+'Coll. portables Lead-acid'!K29+'Coll. portables NiMH'!K29+'Coll. portables NiCd'!K29+'Coll. portables Other'!K29</f>
        <v>17.009294907509918</v>
      </c>
      <c r="L22" s="23">
        <f>'Coll. portables Zn-based'!L29+'Coll. portables Li-Rechargeable'!L29+'Coll. portables Li-Primary'!L28+'Coll. portables Lead-acid'!L29+'Coll. portables NiMH'!L29+'Coll. portables NiCd'!L29+'Coll. portables Other'!L29</f>
        <v>17.092093465609203</v>
      </c>
      <c r="M22" s="31">
        <v>18</v>
      </c>
      <c r="N22" s="31">
        <v>20</v>
      </c>
      <c r="O22" s="31">
        <v>39</v>
      </c>
      <c r="P22" s="31">
        <v>21</v>
      </c>
      <c r="Q22" s="31">
        <v>35</v>
      </c>
      <c r="R22" s="31">
        <v>23</v>
      </c>
      <c r="S22" s="31">
        <v>23</v>
      </c>
      <c r="T22" s="31">
        <v>26</v>
      </c>
      <c r="U22" s="31">
        <v>30</v>
      </c>
      <c r="V22" s="31">
        <v>35</v>
      </c>
      <c r="W22" s="31">
        <v>35</v>
      </c>
      <c r="X22" s="67">
        <f>('Collection Rate'!X22*SUM('Eurostat POM Portables'!V22:X22))/3</f>
        <v>37.012468424141154</v>
      </c>
      <c r="Y22" s="67">
        <f>('Collection Rate'!Y22*SUM('Eurostat POM Portables'!W22:Y22))/3</f>
        <v>41.924252673035866</v>
      </c>
      <c r="Z22" s="67">
        <f>('Collection Rate'!Z22*SUM('Eurostat POM Portables'!X22:Z22))/3</f>
        <v>45.997211004536467</v>
      </c>
      <c r="AA22" s="67">
        <f>('Collection Rate'!AA22*SUM('Eurostat POM Portables'!Y22:AA22))/3</f>
        <v>50.425573576775342</v>
      </c>
      <c r="AB22" s="67">
        <f>('Collection Rate'!AB22*SUM('Eurostat POM Portables'!Z22:AB22))/3</f>
        <v>55.025404821428651</v>
      </c>
      <c r="AC22" s="67">
        <f>('Collection Rate'!AC22*SUM('Eurostat POM Portables'!AA22:AC22))/3</f>
        <v>59.860699435792448</v>
      </c>
      <c r="AD22" s="67">
        <f>('Collection Rate'!AD22*SUM('Eurostat POM Portables'!AB22:AD22))/3</f>
        <v>65.067907335429069</v>
      </c>
      <c r="AE22" s="67">
        <f>('Collection Rate'!AE22*SUM('Eurostat POM Portables'!AC22:AE22))/3</f>
        <v>71.01280158544408</v>
      </c>
      <c r="AF22" s="67">
        <f>('Collection Rate'!AF22*SUM('Eurostat POM Portables'!AD22:AF22))/3</f>
        <v>77.701741248926496</v>
      </c>
      <c r="AG22" s="67">
        <f>('Collection Rate'!AG22*SUM('Eurostat POM Portables'!AE22:AG22))/3</f>
        <v>84.583157165191594</v>
      </c>
      <c r="AH22" s="67">
        <f>('Collection Rate'!AH22*SUM('Eurostat POM Portables'!AF22:AH22))/3</f>
        <v>91.519703507557793</v>
      </c>
      <c r="AI22" s="67">
        <f>('Collection Rate'!AI22*SUM('Eurostat POM Portables'!AG22:AI22))/3</f>
        <v>98.441876202603495</v>
      </c>
      <c r="AJ22" s="67">
        <f>('Collection Rate'!AJ22*SUM('Eurostat POM Portables'!AH22:AJ22))/3</f>
        <v>105.80085414462866</v>
      </c>
      <c r="AK22" s="67">
        <f>('Collection Rate'!AK22*SUM('Eurostat POM Portables'!AI22:AK22))/3</f>
        <v>113.6272971967703</v>
      </c>
      <c r="AL22" s="67">
        <f>('Collection Rate'!AL22*SUM('Eurostat POM Portables'!AJ22:AL22))/3</f>
        <v>121.952588771496</v>
      </c>
      <c r="AM22" s="67">
        <f>('Collection Rate'!AM22*SUM('Eurostat POM Portables'!AK22:AM22))/3</f>
        <v>130.81026519670905</v>
      </c>
      <c r="AN22" s="67">
        <f>('Collection Rate'!AN22*SUM('Eurostat POM Portables'!AL22:AN22))/3</f>
        <v>140.23616415552982</v>
      </c>
      <c r="AO22" s="67">
        <f>('Collection Rate'!AO22*SUM('Eurostat POM Portables'!AM22:AO22))/3</f>
        <v>150.23839719857966</v>
      </c>
      <c r="AP22" s="67">
        <f>('Collection Rate'!AP22*SUM('Eurostat POM Portables'!AN22:AP22))/3</f>
        <v>160.62600923890804</v>
      </c>
      <c r="AQ22" s="67">
        <f>('Collection Rate'!AQ22*SUM('Eurostat POM Portables'!AO22:AQ22))/3</f>
        <v>170.19409268809071</v>
      </c>
      <c r="AR22" s="67">
        <f>('Collection Rate'!AR22*SUM('Eurostat POM Portables'!AP22:AR22))/3</f>
        <v>178.7830439459087</v>
      </c>
      <c r="AS22" s="67">
        <f>('Collection Rate'!AS22*SUM('Eurostat POM Portables'!AQ22:AS22))/3</f>
        <v>186.44138698325591</v>
      </c>
      <c r="AT22" s="67">
        <f>('Collection Rate'!AT22*SUM('Eurostat POM Portables'!AR22:AT22))/3</f>
        <v>194.29863131563692</v>
      </c>
      <c r="AU22" s="67">
        <f>('Collection Rate'!AU22*SUM('Eurostat POM Portables'!AS22:AU22))/3</f>
        <v>202.36586176079371</v>
      </c>
      <c r="AV22" s="67">
        <f>('Collection Rate'!AV22*SUM('Eurostat POM Portables'!AT22:AV22))/3</f>
        <v>210.60379410749775</v>
      </c>
      <c r="AW22" s="67">
        <f>('Collection Rate'!AW22*SUM('Eurostat POM Portables'!AU22:AW22))/3</f>
        <v>219.0128540092245</v>
      </c>
      <c r="AX22" s="67">
        <f>('Collection Rate'!AX22*SUM('Eurostat POM Portables'!AV22:AX22))/3</f>
        <v>227.59337248994817</v>
      </c>
      <c r="AY22" s="67">
        <f>('Collection Rate'!AY22*SUM('Eurostat POM Portables'!AW22:AY22))/3</f>
        <v>236.39340123026759</v>
      </c>
      <c r="AZ22" s="67">
        <f>('Collection Rate'!AZ22*SUM('Eurostat POM Portables'!AX22:AZ22))/3</f>
        <v>245.41823001118223</v>
      </c>
    </row>
    <row r="23" spans="1:52" x14ac:dyDescent="0.35">
      <c r="A23" s="1" t="s">
        <v>20</v>
      </c>
      <c r="B23" s="23">
        <f>'Coll. portables Zn-based'!B30+'Coll. portables Li-Rechargeable'!B30+'Coll. portables Li-Primary'!B29+'Coll. portables Lead-acid'!B30+'Coll. portables NiMH'!B30+'Coll. portables NiCd'!B30+'Coll. portables Other'!B30</f>
        <v>2677.3030351844909</v>
      </c>
      <c r="C23" s="23">
        <f>'Coll. portables Zn-based'!C30+'Coll. portables Li-Rechargeable'!C30+'Coll. portables Li-Primary'!C29+'Coll. portables Lead-acid'!C30+'Coll. portables NiMH'!C30+'Coll. portables NiCd'!C30+'Coll. portables Other'!C30</f>
        <v>2760.4123469656961</v>
      </c>
      <c r="D23" s="23">
        <f>'Coll. portables Zn-based'!D30+'Coll. portables Li-Rechargeable'!D30+'Coll. portables Li-Primary'!D29+'Coll. portables Lead-acid'!D30+'Coll. portables NiMH'!D30+'Coll. portables NiCd'!D30+'Coll. portables Other'!D30</f>
        <v>2848.8097217831832</v>
      </c>
      <c r="E23" s="23">
        <f>'Coll. portables Zn-based'!E30+'Coll. portables Li-Rechargeable'!E30+'Coll. portables Li-Primary'!E29+'Coll. portables Lead-acid'!E30+'Coll. portables NiMH'!E30+'Coll. portables NiCd'!E30+'Coll. portables Other'!E30</f>
        <v>2948.4670577032703</v>
      </c>
      <c r="F23" s="23">
        <f>'Coll. portables Zn-based'!F30+'Coll. portables Li-Rechargeable'!F30+'Coll. portables Li-Primary'!F29+'Coll. portables Lead-acid'!F30+'Coll. portables NiMH'!F30+'Coll. portables NiCd'!F30+'Coll. portables Other'!F30</f>
        <v>3099.0530742681963</v>
      </c>
      <c r="G23" s="23">
        <f>'Coll. portables Zn-based'!G30+'Coll. portables Li-Rechargeable'!G30+'Coll. portables Li-Primary'!G29+'Coll. portables Lead-acid'!G30+'Coll. portables NiMH'!G30+'Coll. portables NiCd'!G30+'Coll. portables Other'!G30</f>
        <v>3069.8291695425969</v>
      </c>
      <c r="H23" s="23">
        <f>'Coll. portables Zn-based'!H30+'Coll. portables Li-Rechargeable'!H30+'Coll. portables Li-Primary'!H29+'Coll. portables Lead-acid'!H30+'Coll. portables NiMH'!H30+'Coll. portables NiCd'!H30+'Coll. portables Other'!H30</f>
        <v>3276.4547981741935</v>
      </c>
      <c r="I23" s="23">
        <f>'Coll. portables Zn-based'!I30+'Coll. portables Li-Rechargeable'!I30+'Coll. portables Li-Primary'!I29+'Coll. portables Lead-acid'!I30+'Coll. portables NiMH'!I30+'Coll. portables NiCd'!I30+'Coll. portables Other'!I30</f>
        <v>3118.184415949614</v>
      </c>
      <c r="J23" s="23">
        <f>'Coll. portables Zn-based'!J30+'Coll. portables Li-Rechargeable'!J30+'Coll. portables Li-Primary'!J29+'Coll. portables Lead-acid'!J30+'Coll. portables NiMH'!J30+'Coll. portables NiCd'!J30+'Coll. portables Other'!J30</f>
        <v>3172.9380169705842</v>
      </c>
      <c r="K23" s="23">
        <f>'Coll. portables Zn-based'!K30+'Coll. portables Li-Rechargeable'!K30+'Coll. portables Li-Primary'!K29+'Coll. portables Lead-acid'!K30+'Coll. portables NiMH'!K30+'Coll. portables NiCd'!K30+'Coll. portables Other'!K30</f>
        <v>3138.2149104355799</v>
      </c>
      <c r="L23" s="23">
        <f>'Coll. portables Zn-based'!L30+'Coll. portables Li-Rechargeable'!L30+'Coll. portables Li-Primary'!L29+'Coll. portables Lead-acid'!L30+'Coll. portables NiMH'!L30+'Coll. portables NiCd'!L30+'Coll. portables Other'!L30</f>
        <v>3153.4912444048982</v>
      </c>
      <c r="M23" s="31">
        <v>3321</v>
      </c>
      <c r="N23" s="31">
        <v>3298</v>
      </c>
      <c r="O23" s="31">
        <v>3157</v>
      </c>
      <c r="P23" s="31">
        <v>3261</v>
      </c>
      <c r="Q23" s="31">
        <v>3430</v>
      </c>
      <c r="R23" s="31">
        <v>3944</v>
      </c>
      <c r="S23" s="31">
        <v>4000</v>
      </c>
      <c r="T23" s="31">
        <v>4309</v>
      </c>
      <c r="U23" s="31">
        <v>4595</v>
      </c>
      <c r="V23" s="31">
        <v>4683</v>
      </c>
      <c r="W23" s="31">
        <v>4548</v>
      </c>
      <c r="X23" s="67">
        <f>('Collection Rate'!X23*SUM('Eurostat POM Portables'!V23:X23))/3</f>
        <v>5132.6352900595748</v>
      </c>
      <c r="Y23" s="67">
        <f>('Collection Rate'!Y23*SUM('Eurostat POM Portables'!W23:Y23))/3</f>
        <v>5490.895859792955</v>
      </c>
      <c r="Z23" s="67">
        <f>('Collection Rate'!Z23*SUM('Eurostat POM Portables'!X23:Z23))/3</f>
        <v>5792.8703658360646</v>
      </c>
      <c r="AA23" s="67">
        <f>('Collection Rate'!AA23*SUM('Eurostat POM Portables'!Y23:AA23))/3</f>
        <v>6121.3284527644291</v>
      </c>
      <c r="AB23" s="67">
        <f>('Collection Rate'!AB23*SUM('Eurostat POM Portables'!Z23:AB23))/3</f>
        <v>6452.6021266462421</v>
      </c>
      <c r="AC23" s="67">
        <f>('Collection Rate'!AC23*SUM('Eurostat POM Portables'!AA23:AC23))/3</f>
        <v>6794.302895912323</v>
      </c>
      <c r="AD23" s="67">
        <f>('Collection Rate'!AD23*SUM('Eurostat POM Portables'!AB23:AD23))/3</f>
        <v>7161.0754252822671</v>
      </c>
      <c r="AE23" s="67">
        <f>('Collection Rate'!AE23*SUM('Eurostat POM Portables'!AC23:AE23))/3</f>
        <v>7590.4076846308953</v>
      </c>
      <c r="AF23" s="67">
        <f>('Collection Rate'!AF23*SUM('Eurostat POM Portables'!AD23:AF23))/3</f>
        <v>8078.3969341184084</v>
      </c>
      <c r="AG23" s="67">
        <f>('Collection Rate'!AG23*SUM('Eurostat POM Portables'!AE23:AG23))/3</f>
        <v>8565.2569211665559</v>
      </c>
      <c r="AH23" s="67">
        <f>('Collection Rate'!AH23*SUM('Eurostat POM Portables'!AF23:AH23))/3</f>
        <v>9038.2083511582732</v>
      </c>
      <c r="AI23" s="67">
        <f>('Collection Rate'!AI23*SUM('Eurostat POM Portables'!AG23:AI23))/3</f>
        <v>9492.1857608307273</v>
      </c>
      <c r="AJ23" s="67">
        <f>('Collection Rate'!AJ23*SUM('Eurostat POM Portables'!AH23:AJ23))/3</f>
        <v>9971.5818830889821</v>
      </c>
      <c r="AK23" s="67">
        <f>('Collection Rate'!AK23*SUM('Eurostat POM Portables'!AI23:AK23))/3</f>
        <v>10478.097158084574</v>
      </c>
      <c r="AL23" s="67">
        <f>('Collection Rate'!AL23*SUM('Eurostat POM Portables'!AJ23:AL23))/3</f>
        <v>11013.405796603633</v>
      </c>
      <c r="AM23" s="67">
        <f>('Collection Rate'!AM23*SUM('Eurostat POM Portables'!AK23:AM23))/3</f>
        <v>11579.289831733418</v>
      </c>
      <c r="AN23" s="67">
        <f>('Collection Rate'!AN23*SUM('Eurostat POM Portables'!AL23:AN23))/3</f>
        <v>12177.646165845877</v>
      </c>
      <c r="AO23" s="67">
        <f>('Collection Rate'!AO23*SUM('Eurostat POM Portables'!AM23:AO23))/3</f>
        <v>12807.920697625232</v>
      </c>
      <c r="AP23" s="67">
        <f>('Collection Rate'!AP23*SUM('Eurostat POM Portables'!AN23:AP23))/3</f>
        <v>13452.977758082205</v>
      </c>
      <c r="AQ23" s="67">
        <f>('Collection Rate'!AQ23*SUM('Eurostat POM Portables'!AO23:AQ23))/3</f>
        <v>14013.400895753512</v>
      </c>
      <c r="AR23" s="67">
        <f>('Collection Rate'!AR23*SUM('Eurostat POM Portables'!AP23:AR23))/3</f>
        <v>14480.923391295386</v>
      </c>
      <c r="AS23" s="67">
        <f>('Collection Rate'!AS23*SUM('Eurostat POM Portables'!AQ23:AS23))/3</f>
        <v>14864.201706445327</v>
      </c>
      <c r="AT23" s="67">
        <f>('Collection Rate'!AT23*SUM('Eurostat POM Portables'!AR23:AT23))/3</f>
        <v>15256.053152194212</v>
      </c>
      <c r="AU23" s="67">
        <f>('Collection Rate'!AU23*SUM('Eurostat POM Portables'!AS23:AU23))/3</f>
        <v>15657.169468109212</v>
      </c>
      <c r="AV23" s="67">
        <f>('Collection Rate'!AV23*SUM('Eurostat POM Portables'!AT23:AV23))/3</f>
        <v>16064.367811135306</v>
      </c>
      <c r="AW23" s="67">
        <f>('Collection Rate'!AW23*SUM('Eurostat POM Portables'!AU23:AW23))/3</f>
        <v>16477.634095193967</v>
      </c>
      <c r="AX23" s="67">
        <f>('Collection Rate'!AX23*SUM('Eurostat POM Portables'!AV23:AX23))/3</f>
        <v>16896.949735813778</v>
      </c>
      <c r="AY23" s="67">
        <f>('Collection Rate'!AY23*SUM('Eurostat POM Portables'!AW23:AY23))/3</f>
        <v>17325.796305131873</v>
      </c>
      <c r="AZ23" s="67">
        <f>('Collection Rate'!AZ23*SUM('Eurostat POM Portables'!AX23:AZ23))/3</f>
        <v>17764.389075992338</v>
      </c>
    </row>
    <row r="24" spans="1:52" x14ac:dyDescent="0.35">
      <c r="A24" s="1" t="s">
        <v>21</v>
      </c>
      <c r="B24" s="23">
        <f>'Coll. portables Zn-based'!B31+'Coll. portables Li-Rechargeable'!B31+'Coll. portables Li-Primary'!B30+'Coll. portables Lead-acid'!B31+'Coll. portables NiMH'!B31+'Coll. portables NiCd'!B31+'Coll. portables Other'!B31</f>
        <v>366.00288406316116</v>
      </c>
      <c r="C24" s="23">
        <f>'Coll. portables Zn-based'!C31+'Coll. portables Li-Rechargeable'!C31+'Coll. portables Li-Primary'!C30+'Coll. portables Lead-acid'!C31+'Coll. portables NiMH'!C31+'Coll. portables NiCd'!C31+'Coll. portables Other'!C31</f>
        <v>377.36440997363013</v>
      </c>
      <c r="D24" s="23">
        <f>'Coll. portables Zn-based'!D31+'Coll. portables Li-Rechargeable'!D31+'Coll. portables Li-Primary'!D30+'Coll. portables Lead-acid'!D31+'Coll. portables NiMH'!D31+'Coll. portables NiCd'!D31+'Coll. portables Other'!D31</f>
        <v>389.44884483275058</v>
      </c>
      <c r="E24" s="23">
        <f>'Coll. portables Zn-based'!E31+'Coll. portables Li-Rechargeable'!E31+'Coll. portables Li-Primary'!E30+'Coll. portables Lead-acid'!E31+'Coll. portables NiMH'!E31+'Coll. portables NiCd'!E31+'Coll. portables Other'!E31</f>
        <v>403.07258181188939</v>
      </c>
      <c r="F24" s="23">
        <f>'Coll. portables Zn-based'!F31+'Coll. portables Li-Rechargeable'!F31+'Coll. portables Li-Primary'!F30+'Coll. portables Lead-acid'!F31+'Coll. portables NiMH'!F31+'Coll. portables NiCd'!F31+'Coll. portables Other'!F31</f>
        <v>423.65856540733529</v>
      </c>
      <c r="G24" s="23">
        <f>'Coll. portables Zn-based'!G31+'Coll. portables Li-Rechargeable'!G31+'Coll. portables Li-Primary'!G30+'Coll. portables Lead-acid'!G31+'Coll. portables NiMH'!G31+'Coll. portables NiCd'!G31+'Coll. portables Other'!G31</f>
        <v>419.66348779654891</v>
      </c>
      <c r="H24" s="23">
        <f>'Coll. portables Zn-based'!H31+'Coll. portables Li-Rechargeable'!H31+'Coll. portables Li-Primary'!H30+'Coll. portables Lead-acid'!H31+'Coll. portables NiMH'!H31+'Coll. portables NiCd'!H31+'Coll. portables Other'!H31</f>
        <v>447.9104120358578</v>
      </c>
      <c r="I24" s="23">
        <f>'Coll. portables Zn-based'!I31+'Coll. portables Li-Rechargeable'!I31+'Coll. portables Li-Primary'!I30+'Coll. portables Lead-acid'!I31+'Coll. portables NiMH'!I31+'Coll. portables NiCd'!I31+'Coll. portables Other'!I31</f>
        <v>426.27393099702647</v>
      </c>
      <c r="J24" s="23">
        <f>'Coll. portables Zn-based'!J31+'Coll. portables Li-Rechargeable'!J31+'Coll. portables Li-Primary'!J30+'Coll. portables Lead-acid'!J31+'Coll. portables NiMH'!J31+'Coll. portables NiCd'!J31+'Coll. portables Other'!J31</f>
        <v>433.7590664572856</v>
      </c>
      <c r="K24" s="23">
        <f>'Coll. portables Zn-based'!K31+'Coll. portables Li-Rechargeable'!K31+'Coll. portables Li-Primary'!K30+'Coll. portables Lead-acid'!K31+'Coll. portables NiMH'!K31+'Coll. portables NiCd'!K31+'Coll. portables Other'!K31</f>
        <v>429.01221600052804</v>
      </c>
      <c r="L24" s="23">
        <f>'Coll. portables Zn-based'!L31+'Coll. portables Li-Rechargeable'!L31+'Coll. portables Li-Primary'!L30+'Coll. portables Lead-acid'!L31+'Coll. portables NiMH'!L31+'Coll. portables NiCd'!L31+'Coll. portables Other'!L31</f>
        <v>431.10057963258771</v>
      </c>
      <c r="M24" s="31">
        <v>454</v>
      </c>
      <c r="N24" s="31">
        <v>664</v>
      </c>
      <c r="O24" s="31">
        <v>815</v>
      </c>
      <c r="P24" s="31">
        <v>879</v>
      </c>
      <c r="Q24" s="31">
        <v>650</v>
      </c>
      <c r="R24" s="31">
        <v>1777</v>
      </c>
      <c r="S24" s="31">
        <v>1059</v>
      </c>
      <c r="T24" s="31">
        <v>1170</v>
      </c>
      <c r="U24" s="31">
        <v>1941</v>
      </c>
      <c r="V24" s="31">
        <v>2321</v>
      </c>
      <c r="W24" s="31">
        <v>2323</v>
      </c>
      <c r="X24" s="67">
        <f>('Collection Rate'!X24*SUM('Eurostat POM Portables'!V24:X24))/3</f>
        <v>2181.4204941550156</v>
      </c>
      <c r="Y24" s="67">
        <f>('Collection Rate'!Y24*SUM('Eurostat POM Portables'!W24:Y24))/3</f>
        <v>2241.6347381484675</v>
      </c>
      <c r="Z24" s="67">
        <f>('Collection Rate'!Z24*SUM('Eurostat POM Portables'!X24:Z24))/3</f>
        <v>2334.6342468144653</v>
      </c>
      <c r="AA24" s="67">
        <f>('Collection Rate'!AA24*SUM('Eurostat POM Portables'!Y24:AA24))/3</f>
        <v>2435.8207780567654</v>
      </c>
      <c r="AB24" s="67">
        <f>('Collection Rate'!AB24*SUM('Eurostat POM Portables'!Z24:AB24))/3</f>
        <v>2535.5872300706137</v>
      </c>
      <c r="AC24" s="67">
        <f>('Collection Rate'!AC24*SUM('Eurostat POM Portables'!AA24:AC24))/3</f>
        <v>2636.9402393028054</v>
      </c>
      <c r="AD24" s="67">
        <f>('Collection Rate'!AD24*SUM('Eurostat POM Portables'!AB24:AD24))/3</f>
        <v>2745.4363513491571</v>
      </c>
      <c r="AE24" s="67">
        <f>('Collection Rate'!AE24*SUM('Eurostat POM Portables'!AC24:AE24))/3</f>
        <v>2875.0170047849388</v>
      </c>
      <c r="AF24" s="67">
        <f>('Collection Rate'!AF24*SUM('Eurostat POM Portables'!AD24:AF24))/3</f>
        <v>3023.4694198044581</v>
      </c>
      <c r="AG24" s="67">
        <f>('Collection Rate'!AG24*SUM('Eurostat POM Portables'!AE24:AG24))/3</f>
        <v>3168.0152954672958</v>
      </c>
      <c r="AH24" s="67">
        <f>('Collection Rate'!AH24*SUM('Eurostat POM Portables'!AF24:AH24))/3</f>
        <v>3304.1189902287501</v>
      </c>
      <c r="AI24" s="67">
        <f>('Collection Rate'!AI24*SUM('Eurostat POM Portables'!AG24:AI24))/3</f>
        <v>3430.2407440120473</v>
      </c>
      <c r="AJ24" s="67">
        <f>('Collection Rate'!AJ24*SUM('Eurostat POM Portables'!AH24:AJ24))/3</f>
        <v>3562.5808028783163</v>
      </c>
      <c r="AK24" s="67">
        <f>('Collection Rate'!AK24*SUM('Eurostat POM Portables'!AI24:AK24))/3</f>
        <v>3701.530501770987</v>
      </c>
      <c r="AL24" s="67">
        <f>('Collection Rate'!AL24*SUM('Eurostat POM Portables'!AJ24:AL24))/3</f>
        <v>3847.4546393831665</v>
      </c>
      <c r="AM24" s="67">
        <f>('Collection Rate'!AM24*SUM('Eurostat POM Portables'!AK24:AM24))/3</f>
        <v>4000.7392505264288</v>
      </c>
      <c r="AN24" s="67">
        <f>('Collection Rate'!AN24*SUM('Eurostat POM Portables'!AL24:AN24))/3</f>
        <v>4161.7928616111685</v>
      </c>
      <c r="AO24" s="67">
        <f>('Collection Rate'!AO24*SUM('Eurostat POM Portables'!AM24:AO24))/3</f>
        <v>4330.1777971763977</v>
      </c>
      <c r="AP24" s="67">
        <f>('Collection Rate'!AP24*SUM('Eurostat POM Portables'!AN24:AP24))/3</f>
        <v>4499.9285659188236</v>
      </c>
      <c r="AQ24" s="67">
        <f>('Collection Rate'!AQ24*SUM('Eurostat POM Portables'!AO24:AQ24))/3</f>
        <v>4638.09763487903</v>
      </c>
      <c r="AR24" s="67">
        <f>('Collection Rate'!AR24*SUM('Eurostat POM Portables'!AP24:AR24))/3</f>
        <v>4742.9632834500662</v>
      </c>
      <c r="AS24" s="67">
        <f>('Collection Rate'!AS24*SUM('Eurostat POM Portables'!AQ24:AS24))/3</f>
        <v>4818.3605127391374</v>
      </c>
      <c r="AT24" s="67">
        <f>('Collection Rate'!AT24*SUM('Eurostat POM Portables'!AR24:AT24))/3</f>
        <v>4894.9713303180206</v>
      </c>
      <c r="AU24" s="67">
        <f>('Collection Rate'!AU24*SUM('Eurostat POM Portables'!AS24:AU24))/3</f>
        <v>4972.9787062324813</v>
      </c>
      <c r="AV24" s="67">
        <f>('Collection Rate'!AV24*SUM('Eurostat POM Portables'!AT24:AV24))/3</f>
        <v>5051.3399608288628</v>
      </c>
      <c r="AW24" s="67">
        <f>('Collection Rate'!AW24*SUM('Eurostat POM Portables'!AU24:AW24))/3</f>
        <v>5130.0402078689485</v>
      </c>
      <c r="AX24" s="67">
        <f>('Collection Rate'!AX24*SUM('Eurostat POM Portables'!AV24:AX24))/3</f>
        <v>5209.0637575285564</v>
      </c>
      <c r="AY24" s="67">
        <f>('Collection Rate'!AY24*SUM('Eurostat POM Portables'!AW24:AY24))/3</f>
        <v>5289.4641060077993</v>
      </c>
      <c r="AZ24" s="67">
        <f>('Collection Rate'!AZ24*SUM('Eurostat POM Portables'!AX24:AZ24))/3</f>
        <v>5371.2666666187906</v>
      </c>
    </row>
    <row r="25" spans="1:52" x14ac:dyDescent="0.35">
      <c r="A25" s="1" t="s">
        <v>22</v>
      </c>
      <c r="B25" s="23">
        <f>'Coll. portables Zn-based'!B32+'Coll. portables Li-Rechargeable'!B32+'Coll. portables Li-Primary'!B31+'Coll. portables Lead-acid'!B32+'Coll. portables NiMH'!B32+'Coll. portables NiCd'!B32+'Coll. portables Other'!B32</f>
        <v>1797.7674701780832</v>
      </c>
      <c r="C25" s="23">
        <f>'Coll. portables Zn-based'!C32+'Coll. portables Li-Rechargeable'!C32+'Coll. portables Li-Primary'!C31+'Coll. portables Lead-acid'!C32+'Coll. portables NiMH'!C32+'Coll. portables NiCd'!C32+'Coll. portables Other'!C32</f>
        <v>1853.5740842317082</v>
      </c>
      <c r="D25" s="23">
        <f>'Coll. portables Zn-based'!D32+'Coll. portables Li-Rechargeable'!D32+'Coll. portables Li-Primary'!D31+'Coll. portables Lead-acid'!D32+'Coll. portables NiMH'!D32+'Coll. portables NiCd'!D32+'Coll. portables Other'!D32</f>
        <v>1912.9315506102075</v>
      </c>
      <c r="E25" s="23">
        <f>'Coll. portables Zn-based'!E32+'Coll. portables Li-Rechargeable'!E32+'Coll. portables Li-Primary'!E31+'Coll. portables Lead-acid'!E32+'Coll. portables NiMH'!E32+'Coll. portables NiCd'!E32+'Coll. portables Other'!E32</f>
        <v>1979.8499062566377</v>
      </c>
      <c r="F25" s="23">
        <f>'Coll. portables Zn-based'!F32+'Coll. portables Li-Rechargeable'!F32+'Coll. portables Li-Primary'!F31+'Coll. portables Lead-acid'!F32+'Coll. portables NiMH'!F32+'Coll. portables NiCd'!F32+'Coll. portables Other'!F32</f>
        <v>2080.9660811858103</v>
      </c>
      <c r="G25" s="23">
        <f>'Coll. portables Zn-based'!G32+'Coll. portables Li-Rechargeable'!G32+'Coll. portables Li-Primary'!G31+'Coll. portables Lead-acid'!G32+'Coll. portables NiMH'!G32+'Coll. portables NiCd'!G32+'Coll. portables Other'!G32</f>
        <v>2061.3426823486875</v>
      </c>
      <c r="H25" s="23">
        <f>'Coll. portables Zn-based'!H32+'Coll. portables Li-Rechargeable'!H32+'Coll. portables Li-Primary'!H31+'Coll. portables Lead-acid'!H32+'Coll. portables NiMH'!H32+'Coll. portables NiCd'!H32+'Coll. portables Other'!H32</f>
        <v>2200.0885877532228</v>
      </c>
      <c r="I25" s="23">
        <f>'Coll. portables Zn-based'!I32+'Coll. portables Li-Rechargeable'!I32+'Coll. portables Li-Primary'!I31+'Coll. portables Lead-acid'!I32+'Coll. portables NiMH'!I32+'Coll. portables NiCd'!I32+'Coll. portables Other'!I32</f>
        <v>2093.8124804479498</v>
      </c>
      <c r="J25" s="23">
        <f>'Coll. portables Zn-based'!J32+'Coll. portables Li-Rechargeable'!J32+'Coll. portables Li-Primary'!J31+'Coll. portables Lead-acid'!J32+'Coll. portables NiMH'!J32+'Coll. portables NiCd'!J32+'Coll. portables Other'!J32</f>
        <v>2130.5786744487809</v>
      </c>
      <c r="K25" s="23">
        <f>'Coll. portables Zn-based'!K32+'Coll. portables Li-Rechargeable'!K32+'Coll. portables Li-Primary'!K31+'Coll. portables Lead-acid'!K32+'Coll. portables NiMH'!K32+'Coll. portables NiCd'!K32+'Coll. portables Other'!K32</f>
        <v>2107.2626468748399</v>
      </c>
      <c r="L25" s="23">
        <f>'Coll. portables Zn-based'!L32+'Coll. portables Li-Rechargeable'!L32+'Coll. portables Li-Primary'!L31+'Coll. portables Lead-acid'!L32+'Coll. portables NiMH'!L32+'Coll. portables NiCd'!L32+'Coll. portables Other'!L32</f>
        <v>2117.5204682393623</v>
      </c>
      <c r="M25" s="31">
        <v>2230</v>
      </c>
      <c r="N25" s="31">
        <v>2933</v>
      </c>
      <c r="O25" s="31">
        <v>3170</v>
      </c>
      <c r="P25" s="31">
        <v>3710</v>
      </c>
      <c r="Q25" s="31">
        <v>6474</v>
      </c>
      <c r="R25" s="31">
        <v>9615</v>
      </c>
      <c r="S25" s="31">
        <v>8311</v>
      </c>
      <c r="T25" s="31">
        <v>10706</v>
      </c>
      <c r="U25" s="31">
        <v>11178</v>
      </c>
      <c r="V25" s="31">
        <v>10974</v>
      </c>
      <c r="W25" s="31">
        <v>9082</v>
      </c>
      <c r="X25" s="67">
        <f>('Collection Rate'!X25*SUM('Eurostat POM Portables'!V25:X25))/3</f>
        <v>9530.9159683761372</v>
      </c>
      <c r="Y25" s="67">
        <f>('Collection Rate'!Y25*SUM('Eurostat POM Portables'!W25:Y25))/3</f>
        <v>10101.674654813833</v>
      </c>
      <c r="Z25" s="67">
        <f>('Collection Rate'!Z25*SUM('Eurostat POM Portables'!X25:Z25))/3</f>
        <v>10633.293851614748</v>
      </c>
      <c r="AA25" s="67">
        <f>('Collection Rate'!AA25*SUM('Eurostat POM Portables'!Y25:AA25))/3</f>
        <v>11211.561153093449</v>
      </c>
      <c r="AB25" s="67">
        <f>('Collection Rate'!AB25*SUM('Eurostat POM Portables'!Z25:AB25))/3</f>
        <v>11792.977896411741</v>
      </c>
      <c r="AC25" s="67">
        <f>('Collection Rate'!AC25*SUM('Eurostat POM Portables'!AA25:AC25))/3</f>
        <v>12391.467479746168</v>
      </c>
      <c r="AD25" s="67">
        <f>('Collection Rate'!AD25*SUM('Eurostat POM Portables'!AB25:AD25))/3</f>
        <v>13033.638366328925</v>
      </c>
      <c r="AE25" s="67">
        <f>('Collection Rate'!AE25*SUM('Eurostat POM Portables'!AC25:AE25))/3</f>
        <v>13787.380747024237</v>
      </c>
      <c r="AF25" s="67">
        <f>('Collection Rate'!AF25*SUM('Eurostat POM Portables'!AD25:AF25))/3</f>
        <v>14645.02517069187</v>
      </c>
      <c r="AG25" s="67">
        <f>('Collection Rate'!AG25*SUM('Eurostat POM Portables'!AE25:AG25))/3</f>
        <v>15497.869438906273</v>
      </c>
      <c r="AH25" s="67">
        <f>('Collection Rate'!AH25*SUM('Eurostat POM Portables'!AF25:AH25))/3</f>
        <v>16322.94179147909</v>
      </c>
      <c r="AI25" s="67">
        <f>('Collection Rate'!AI25*SUM('Eurostat POM Portables'!AG25:AI25))/3</f>
        <v>17111.340603967059</v>
      </c>
      <c r="AJ25" s="67">
        <f>('Collection Rate'!AJ25*SUM('Eurostat POM Portables'!AH25:AJ25))/3</f>
        <v>17943.216317181596</v>
      </c>
      <c r="AK25" s="67">
        <f>('Collection Rate'!AK25*SUM('Eurostat POM Portables'!AI25:AK25))/3</f>
        <v>18821.457933116046</v>
      </c>
      <c r="AL25" s="67">
        <f>('Collection Rate'!AL25*SUM('Eurostat POM Portables'!AJ25:AL25))/3</f>
        <v>19748.893691859259</v>
      </c>
      <c r="AM25" s="67">
        <f>('Collection Rate'!AM25*SUM('Eurostat POM Portables'!AK25:AM25))/3</f>
        <v>20728.532193499374</v>
      </c>
      <c r="AN25" s="67">
        <f>('Collection Rate'!AN25*SUM('Eurostat POM Portables'!AL25:AN25))/3</f>
        <v>21763.574081314844</v>
      </c>
      <c r="AO25" s="67">
        <f>('Collection Rate'!AO25*SUM('Eurostat POM Portables'!AM25:AO25))/3</f>
        <v>22852.832868259935</v>
      </c>
      <c r="AP25" s="67">
        <f>('Collection Rate'!AP25*SUM('Eurostat POM Portables'!AN25:AP25))/3</f>
        <v>23965.597792918405</v>
      </c>
      <c r="AQ25" s="67">
        <f>('Collection Rate'!AQ25*SUM('Eurostat POM Portables'!AO25:AQ25))/3</f>
        <v>24925.007228795381</v>
      </c>
      <c r="AR25" s="67">
        <f>('Collection Rate'!AR25*SUM('Eurostat POM Portables'!AP25:AR25))/3</f>
        <v>25717.159079024816</v>
      </c>
      <c r="AS25" s="67">
        <f>('Collection Rate'!AS25*SUM('Eurostat POM Portables'!AQ25:AS25))/3</f>
        <v>26358.216630762992</v>
      </c>
      <c r="AT25" s="67">
        <f>('Collection Rate'!AT25*SUM('Eurostat POM Portables'!AR25:AT25))/3</f>
        <v>27013.239618047261</v>
      </c>
      <c r="AU25" s="67">
        <f>('Collection Rate'!AU25*SUM('Eurostat POM Portables'!AS25:AU25))/3</f>
        <v>27683.422074555619</v>
      </c>
      <c r="AV25" s="67">
        <f>('Collection Rate'!AV25*SUM('Eurostat POM Portables'!AT25:AV25))/3</f>
        <v>28363.11132634577</v>
      </c>
      <c r="AW25" s="67">
        <f>('Collection Rate'!AW25*SUM('Eurostat POM Portables'!AU25:AW25))/3</f>
        <v>29052.274240116418</v>
      </c>
      <c r="AX25" s="67">
        <f>('Collection Rate'!AX25*SUM('Eurostat POM Portables'!AV25:AX25))/3</f>
        <v>29750.870222976733</v>
      </c>
      <c r="AY25" s="67">
        <f>('Collection Rate'!AY25*SUM('Eurostat POM Portables'!AW25:AY25))/3</f>
        <v>30465.0137037723</v>
      </c>
      <c r="AZ25" s="67">
        <f>('Collection Rate'!AZ25*SUM('Eurostat POM Portables'!AX25:AZ25))/3</f>
        <v>31195.051358616489</v>
      </c>
    </row>
    <row r="26" spans="1:52" x14ac:dyDescent="0.35">
      <c r="A26" s="1" t="s">
        <v>23</v>
      </c>
      <c r="B26" s="23">
        <f>'Coll. portables Zn-based'!B33+'Coll. portables Li-Rechargeable'!B33+'Coll. portables Li-Primary'!B32+'Coll. portables Lead-acid'!B33+'Coll. portables NiMH'!B33+'Coll. portables NiCd'!B33+'Coll. portables Other'!B33</f>
        <v>331.33741266510867</v>
      </c>
      <c r="C26" s="23">
        <f>'Coll. portables Zn-based'!C33+'Coll. portables Li-Rechargeable'!C33+'Coll. portables Li-Primary'!C32+'Coll. portables Lead-acid'!C33+'Coll. portables NiMH'!C33+'Coll. portables NiCd'!C33+'Coll. portables Other'!C33</f>
        <v>341.62284691445376</v>
      </c>
      <c r="D26" s="23">
        <f>'Coll. portables Zn-based'!D33+'Coll. portables Li-Rechargeable'!D33+'Coll. portables Li-Primary'!D32+'Coll. portables Lead-acid'!D33+'Coll. portables NiMH'!D33+'Coll. portables NiCd'!D33+'Coll. portables Other'!D33</f>
        <v>352.56272076268846</v>
      </c>
      <c r="E26" s="23">
        <f>'Coll. portables Zn-based'!E33+'Coll. portables Li-Rechargeable'!E33+'Coll. portables Li-Primary'!E32+'Coll. portables Lead-acid'!E33+'Coll. portables NiMH'!E33+'Coll. portables NiCd'!E33+'Coll. portables Other'!E33</f>
        <v>364.89610379886909</v>
      </c>
      <c r="F26" s="23">
        <f>'Coll. portables Zn-based'!F33+'Coll. portables Li-Rechargeable'!F33+'Coll. portables Li-Primary'!F32+'Coll. portables Lead-acid'!F33+'Coll. portables NiMH'!F33+'Coll. portables NiCd'!F33+'Coll. portables Other'!F33</f>
        <v>383.53231361765387</v>
      </c>
      <c r="G26" s="23">
        <f>'Coll. portables Zn-based'!G33+'Coll. portables Li-Rechargeable'!G33+'Coll. portables Li-Primary'!G32+'Coll. portables Lead-acid'!G33+'Coll. portables NiMH'!G33+'Coll. portables NiCd'!G33+'Coll. portables Other'!G33</f>
        <v>379.91562441493755</v>
      </c>
      <c r="H26" s="23">
        <f>'Coll. portables Zn-based'!H33+'Coll. portables Li-Rechargeable'!H33+'Coll. portables Li-Primary'!H32+'Coll. portables Lead-acid'!H33+'Coll. portables NiMH'!H33+'Coll. portables NiCd'!H33+'Coll. portables Other'!H33</f>
        <v>405.4871791778362</v>
      </c>
      <c r="I26" s="23">
        <f>'Coll. portables Zn-based'!I33+'Coll. portables Li-Rechargeable'!I33+'Coll. portables Li-Primary'!I32+'Coll. portables Lead-acid'!I33+'Coll. portables NiMH'!I33+'Coll. portables NiCd'!I33+'Coll. portables Other'!I33</f>
        <v>385.89996836955481</v>
      </c>
      <c r="J26" s="23">
        <f>'Coll. portables Zn-based'!J33+'Coll. portables Li-Rechargeable'!J33+'Coll. portables Li-Primary'!J32+'Coll. portables Lead-acid'!J33+'Coll. portables NiMH'!J33+'Coll. portables NiCd'!J33+'Coll. portables Other'!J33</f>
        <v>392.67615928181573</v>
      </c>
      <c r="K26" s="23">
        <f>'Coll. portables Zn-based'!K33+'Coll. portables Li-Rechargeable'!K33+'Coll. portables Li-Primary'!K32+'Coll. portables Lead-acid'!K33+'Coll. portables NiMH'!K33+'Coll. portables NiCd'!K33+'Coll. portables Other'!K33</f>
        <v>388.37890038814311</v>
      </c>
      <c r="L26" s="23">
        <f>'Coll. portables Zn-based'!L33+'Coll. portables Li-Rechargeable'!L33+'Coll. portables Li-Primary'!L32+'Coll. portables Lead-acid'!L33+'Coll. portables NiMH'!L33+'Coll. portables NiCd'!L33+'Coll. portables Other'!L33</f>
        <v>390.26946746474346</v>
      </c>
      <c r="M26" s="31">
        <v>411</v>
      </c>
      <c r="N26" s="31">
        <v>448</v>
      </c>
      <c r="O26" s="31">
        <v>486</v>
      </c>
      <c r="P26" s="31">
        <v>489</v>
      </c>
      <c r="Q26" s="31">
        <v>527</v>
      </c>
      <c r="R26" s="31">
        <v>711</v>
      </c>
      <c r="S26" s="31">
        <v>732</v>
      </c>
      <c r="T26" s="31">
        <v>669</v>
      </c>
      <c r="U26" s="31">
        <v>753</v>
      </c>
      <c r="V26" s="31">
        <v>388</v>
      </c>
      <c r="W26" s="31">
        <v>427</v>
      </c>
      <c r="X26" s="67">
        <f>('Collection Rate'!X26*SUM('Eurostat POM Portables'!V26:X26))/3</f>
        <v>490.25093594741929</v>
      </c>
      <c r="Y26" s="67">
        <f>('Collection Rate'!Y26*SUM('Eurostat POM Portables'!W26:Y26))/3</f>
        <v>575.29208331547181</v>
      </c>
      <c r="Z26" s="67">
        <f>('Collection Rate'!Z26*SUM('Eurostat POM Portables'!X26:Z26))/3</f>
        <v>646.10736684460301</v>
      </c>
      <c r="AA26" s="67">
        <f>('Collection Rate'!AA26*SUM('Eurostat POM Portables'!Y26:AA26))/3</f>
        <v>723.09335094216431</v>
      </c>
      <c r="AB26" s="67">
        <f>('Collection Rate'!AB26*SUM('Eurostat POM Portables'!Z26:AB26))/3</f>
        <v>803.69880299539716</v>
      </c>
      <c r="AC26" s="67">
        <f>('Collection Rate'!AC26*SUM('Eurostat POM Portables'!AA26:AC26))/3</f>
        <v>888.85152002803932</v>
      </c>
      <c r="AD26" s="67">
        <f>('Collection Rate'!AD26*SUM('Eurostat POM Portables'!AB26:AD26))/3</f>
        <v>980.63193717859588</v>
      </c>
      <c r="AE26" s="67">
        <f>('Collection Rate'!AE26*SUM('Eurostat POM Portables'!AC26:AE26))/3</f>
        <v>1084.7310257771858</v>
      </c>
      <c r="AF26" s="67">
        <f>('Collection Rate'!AF26*SUM('Eurostat POM Portables'!AD26:AF26))/3</f>
        <v>1201.5414044835466</v>
      </c>
      <c r="AG26" s="67">
        <f>('Collection Rate'!AG26*SUM('Eurostat POM Portables'!AE26:AG26))/3</f>
        <v>1322.6913051963832</v>
      </c>
      <c r="AH26" s="67">
        <f>('Collection Rate'!AH26*SUM('Eurostat POM Portables'!AF26:AH26))/3</f>
        <v>1445.9601508596033</v>
      </c>
      <c r="AI26" s="67">
        <f>('Collection Rate'!AI26*SUM('Eurostat POM Portables'!AG26:AI26))/3</f>
        <v>1570.1338428811869</v>
      </c>
      <c r="AJ26" s="67">
        <f>('Collection Rate'!AJ26*SUM('Eurostat POM Portables'!AH26:AJ26))/3</f>
        <v>1702.3513515654915</v>
      </c>
      <c r="AK26" s="67">
        <f>('Collection Rate'!AK26*SUM('Eurostat POM Portables'!AI26:AK26))/3</f>
        <v>1843.182680606478</v>
      </c>
      <c r="AL26" s="67">
        <f>('Collection Rate'!AL26*SUM('Eurostat POM Portables'!AJ26:AL26))/3</f>
        <v>1993.2155642421314</v>
      </c>
      <c r="AM26" s="67">
        <f>('Collection Rate'!AM26*SUM('Eurostat POM Portables'!AK26:AM26))/3</f>
        <v>2153.0785087869008</v>
      </c>
      <c r="AN26" s="67">
        <f>('Collection Rate'!AN26*SUM('Eurostat POM Portables'!AL26:AN26))/3</f>
        <v>2323.4436287613344</v>
      </c>
      <c r="AO26" s="67">
        <f>('Collection Rate'!AO26*SUM('Eurostat POM Portables'!AM26:AO26))/3</f>
        <v>2504.5264657480961</v>
      </c>
      <c r="AP26" s="67">
        <f>('Collection Rate'!AP26*SUM('Eurostat POM Portables'!AN26:AP26))/3</f>
        <v>2693.1989682743301</v>
      </c>
      <c r="AQ26" s="67">
        <f>('Collection Rate'!AQ26*SUM('Eurostat POM Portables'!AO26:AQ26))/3</f>
        <v>2869.1619435977914</v>
      </c>
      <c r="AR26" s="67">
        <f>('Collection Rate'!AR26*SUM('Eurostat POM Portables'!AP26:AR26))/3</f>
        <v>3029.4104392149566</v>
      </c>
      <c r="AS26" s="67">
        <f>('Collection Rate'!AS26*SUM('Eurostat POM Portables'!AQ26:AS26))/3</f>
        <v>3174.4619256185142</v>
      </c>
      <c r="AT26" s="67">
        <f>('Collection Rate'!AT26*SUM('Eurostat POM Portables'!AR26:AT26))/3</f>
        <v>3323.369735895747</v>
      </c>
      <c r="AU26" s="67">
        <f>('Collection Rate'!AU26*SUM('Eurostat POM Portables'!AS26:AU26))/3</f>
        <v>3476.3349876555235</v>
      </c>
      <c r="AV26" s="67">
        <f>('Collection Rate'!AV26*SUM('Eurostat POM Portables'!AT26:AV26))/3</f>
        <v>3632.6920850625993</v>
      </c>
      <c r="AW26" s="67">
        <f>('Collection Rate'!AW26*SUM('Eurostat POM Portables'!AU26:AW26))/3</f>
        <v>3792.4513720556351</v>
      </c>
      <c r="AX26" s="67">
        <f>('Collection Rate'!AX26*SUM('Eurostat POM Portables'!AV26:AX26))/3</f>
        <v>3955.6213849427781</v>
      </c>
      <c r="AY26" s="67">
        <f>('Collection Rate'!AY26*SUM('Eurostat POM Portables'!AW26:AY26))/3</f>
        <v>4123.042809396703</v>
      </c>
      <c r="AZ26" s="67">
        <f>('Collection Rate'!AZ26*SUM('Eurostat POM Portables'!AX26:AZ26))/3</f>
        <v>4294.8190251956858</v>
      </c>
    </row>
    <row r="27" spans="1:52" x14ac:dyDescent="0.35">
      <c r="A27" s="1" t="s">
        <v>24</v>
      </c>
      <c r="B27" s="23">
        <f>'Coll. portables Zn-based'!B34+'Coll. portables Li-Rechargeable'!B34+'Coll. portables Li-Primary'!B33+'Coll. portables Lead-acid'!B34+'Coll. portables NiMH'!B34+'Coll. portables NiCd'!B34+'Coll. portables Other'!B34</f>
        <v>128.18162679745078</v>
      </c>
      <c r="C27" s="23">
        <f>'Coll. portables Zn-based'!C34+'Coll. portables Li-Rechargeable'!C34+'Coll. portables Li-Primary'!C33+'Coll. portables Lead-acid'!C34+'Coll. portables NiMH'!C34+'Coll. portables NiCd'!C34+'Coll. portables Other'!C34</f>
        <v>132.16066340486168</v>
      </c>
      <c r="D27" s="23">
        <f>'Coll. portables Zn-based'!D34+'Coll. portables Li-Rechargeable'!D34+'Coll. portables Li-Primary'!D33+'Coll. portables Lead-acid'!D34+'Coll. portables NiMH'!D34+'Coll. portables NiCd'!D34+'Coll. portables Other'!D34</f>
        <v>136.39287737534664</v>
      </c>
      <c r="E27" s="23">
        <f>'Coll. portables Zn-based'!E34+'Coll. portables Li-Rechargeable'!E34+'Coll. portables Li-Primary'!E33+'Coll. portables Lead-acid'!E34+'Coll. portables NiMH'!E34+'Coll. portables NiCd'!E34+'Coll. portables Other'!E34</f>
        <v>141.16418614116836</v>
      </c>
      <c r="F27" s="23">
        <f>'Coll. portables Zn-based'!F34+'Coll. portables Li-Rechargeable'!F34+'Coll. portables Li-Primary'!F33+'Coll. portables Lead-acid'!F34+'Coll. portables NiMH'!F34+'Coll. portables NiCd'!F34+'Coll. portables Other'!F34</f>
        <v>148.37381475719457</v>
      </c>
      <c r="G27" s="23">
        <f>'Coll. portables Zn-based'!G34+'Coll. portables Li-Rechargeable'!G34+'Coll. portables Li-Primary'!G33+'Coll. portables Lead-acid'!G34+'Coll. portables NiMH'!G34+'Coll. portables NiCd'!G34+'Coll. portables Other'!G34</f>
        <v>146.97465762037729</v>
      </c>
      <c r="H27" s="23">
        <f>'Coll. portables Zn-based'!H34+'Coll. portables Li-Rechargeable'!H34+'Coll. portables Li-Primary'!H33+'Coll. portables Lead-acid'!H34+'Coll. portables NiMH'!H34+'Coll. portables NiCd'!H34+'Coll. portables Other'!H34</f>
        <v>156.86730289361543</v>
      </c>
      <c r="I27" s="23">
        <f>'Coll. portables Zn-based'!I34+'Coll. portables Li-Rechargeable'!I34+'Coll. portables Li-Primary'!I33+'Coll. portables Lead-acid'!I34+'Coll. portables NiMH'!I34+'Coll. portables NiCd'!I34+'Coll. portables Other'!I34</f>
        <v>149.28976878530221</v>
      </c>
      <c r="J27" s="23">
        <f>'Coll. portables Zn-based'!J34+'Coll. portables Li-Rechargeable'!J34+'Coll. portables Li-Primary'!J33+'Coll. portables Lead-acid'!J34+'Coll. portables NiMH'!J34+'Coll. portables NiCd'!J34+'Coll. portables Other'!J34</f>
        <v>151.91121490464405</v>
      </c>
      <c r="K27" s="23">
        <f>'Coll. portables Zn-based'!K34+'Coll. portables Li-Rechargeable'!K34+'Coll. portables Li-Primary'!K33+'Coll. portables Lead-acid'!K34+'Coll. portables NiMH'!K34+'Coll. portables NiCd'!K34+'Coll. portables Other'!K34</f>
        <v>150.24877168300432</v>
      </c>
      <c r="L27" s="23">
        <f>'Coll. portables Zn-based'!L34+'Coll. portables Li-Rechargeable'!L34+'Coll. portables Li-Primary'!L33+'Coll. portables Lead-acid'!L34+'Coll. portables NiMH'!L34+'Coll. portables NiCd'!L34+'Coll. portables Other'!L34</f>
        <v>150.98015894621463</v>
      </c>
      <c r="M27" s="31">
        <v>159</v>
      </c>
      <c r="N27" s="31">
        <v>312</v>
      </c>
      <c r="O27" s="40">
        <f>P27-N27</f>
        <v>467</v>
      </c>
      <c r="P27" s="31">
        <v>779</v>
      </c>
      <c r="Q27" s="31">
        <v>506</v>
      </c>
      <c r="R27" s="31">
        <v>766</v>
      </c>
      <c r="S27" s="31">
        <v>1407</v>
      </c>
      <c r="T27" s="31">
        <v>1540</v>
      </c>
      <c r="U27" s="31">
        <v>1881</v>
      </c>
      <c r="V27" s="31">
        <v>2092</v>
      </c>
      <c r="W27" s="31">
        <v>3187</v>
      </c>
      <c r="X27" s="67">
        <f>('Collection Rate'!X27*SUM('Eurostat POM Portables'!V27:X27))/3</f>
        <v>3756.5113364441222</v>
      </c>
      <c r="Y27" s="67">
        <f>('Collection Rate'!Y27*SUM('Eurostat POM Portables'!W27:Y27))/3</f>
        <v>4248.5981822367967</v>
      </c>
      <c r="Z27" s="67">
        <f>('Collection Rate'!Z27*SUM('Eurostat POM Portables'!X27:Z27))/3</f>
        <v>4426.5739478726282</v>
      </c>
      <c r="AA27" s="67">
        <f>('Collection Rate'!AA27*SUM('Eurostat POM Portables'!Y27:AA27))/3</f>
        <v>4620.2151359833288</v>
      </c>
      <c r="AB27" s="67">
        <f>('Collection Rate'!AB27*SUM('Eurostat POM Portables'!Z27:AB27))/3</f>
        <v>4811.3101618792034</v>
      </c>
      <c r="AC27" s="67">
        <f>('Collection Rate'!AC27*SUM('Eurostat POM Portables'!AA27:AC27))/3</f>
        <v>5005.5632381976766</v>
      </c>
      <c r="AD27" s="67">
        <f>('Collection Rate'!AD27*SUM('Eurostat POM Portables'!AB27:AD27))/3</f>
        <v>5213.5296273253616</v>
      </c>
      <c r="AE27" s="67">
        <f>('Collection Rate'!AE27*SUM('Eurostat POM Portables'!AC27:AE27))/3</f>
        <v>5461.7097941539323</v>
      </c>
      <c r="AF27" s="67">
        <f>('Collection Rate'!AF27*SUM('Eurostat POM Portables'!AD27:AF27))/3</f>
        <v>5745.9448684479403</v>
      </c>
      <c r="AG27" s="67">
        <f>('Collection Rate'!AG27*SUM('Eurostat POM Portables'!AE27:AG27))/3</f>
        <v>6022.9707075033257</v>
      </c>
      <c r="AH27" s="67">
        <f>('Collection Rate'!AH27*SUM('Eurostat POM Portables'!AF27:AH27))/3</f>
        <v>6284.1523109447407</v>
      </c>
      <c r="AI27" s="67">
        <f>('Collection Rate'!AI27*SUM('Eurostat POM Portables'!AG27:AI27))/3</f>
        <v>6526.5414779442544</v>
      </c>
      <c r="AJ27" s="67">
        <f>('Collection Rate'!AJ27*SUM('Eurostat POM Portables'!AH27:AJ27))/3</f>
        <v>6780.9514945058627</v>
      </c>
      <c r="AK27" s="67">
        <f>('Collection Rate'!AK27*SUM('Eurostat POM Portables'!AI27:AK27))/3</f>
        <v>7048.1411923897213</v>
      </c>
      <c r="AL27" s="67">
        <f>('Collection Rate'!AL27*SUM('Eurostat POM Portables'!AJ27:AL27))/3</f>
        <v>7328.8200041087694</v>
      </c>
      <c r="AM27" s="67">
        <f>('Collection Rate'!AM27*SUM('Eurostat POM Portables'!AK27:AM27))/3</f>
        <v>7623.738899788782</v>
      </c>
      <c r="AN27" s="67">
        <f>('Collection Rate'!AN27*SUM('Eurostat POM Portables'!AL27:AN27))/3</f>
        <v>7933.6928584027228</v>
      </c>
      <c r="AO27" s="67">
        <f>('Collection Rate'!AO27*SUM('Eurostat POM Portables'!AM27:AO27))/3</f>
        <v>8257.8643086380289</v>
      </c>
      <c r="AP27" s="67">
        <f>('Collection Rate'!AP27*SUM('Eurostat POM Portables'!AN27:AP27))/3</f>
        <v>8584.8885202131496</v>
      </c>
      <c r="AQ27" s="67">
        <f>('Collection Rate'!AQ27*SUM('Eurostat POM Portables'!AO27:AQ27))/3</f>
        <v>8851.8875765245921</v>
      </c>
      <c r="AR27" s="67">
        <f>('Collection Rate'!AR27*SUM('Eurostat POM Portables'!AP27:AR27))/3</f>
        <v>9055.5047786242449</v>
      </c>
      <c r="AS27" s="67">
        <f>('Collection Rate'!AS27*SUM('Eurostat POM Portables'!AQ27:AS27))/3</f>
        <v>9202.9916252125859</v>
      </c>
      <c r="AT27" s="67">
        <f>('Collection Rate'!AT27*SUM('Eurostat POM Portables'!AR27:AT27))/3</f>
        <v>9352.9079161092031</v>
      </c>
      <c r="AU27" s="67">
        <f>('Collection Rate'!AU27*SUM('Eurostat POM Portables'!AS27:AU27))/3</f>
        <v>9505.6060604177492</v>
      </c>
      <c r="AV27" s="67">
        <f>('Collection Rate'!AV27*SUM('Eurostat POM Portables'!AT27:AV27))/3</f>
        <v>9659.0953354473259</v>
      </c>
      <c r="AW27" s="67">
        <f>('Collection Rate'!AW27*SUM('Eurostat POM Portables'!AU27:AW27))/3</f>
        <v>9813.3480438346305</v>
      </c>
      <c r="AX27" s="67">
        <f>('Collection Rate'!AX27*SUM('Eurostat POM Portables'!AV27:AX27))/3</f>
        <v>9968.3349067515464</v>
      </c>
      <c r="AY27" s="67">
        <f>('Collection Rate'!AY27*SUM('Eurostat POM Portables'!AW27:AY27))/3</f>
        <v>10126.073433562055</v>
      </c>
      <c r="AZ27" s="67">
        <f>('Collection Rate'!AZ27*SUM('Eurostat POM Portables'!AX27:AZ27))/3</f>
        <v>10286.615323761382</v>
      </c>
    </row>
    <row r="28" spans="1:52" x14ac:dyDescent="0.35">
      <c r="A28" s="1" t="s">
        <v>25</v>
      </c>
      <c r="B28" s="23">
        <f>'Coll. portables Zn-based'!B35+'Coll. portables Li-Rechargeable'!B35+'Coll. portables Li-Primary'!B34+'Coll. portables Lead-acid'!B35+'Coll. portables NiMH'!B35+'Coll. portables NiCd'!B35+'Coll. portables Other'!B35</f>
        <v>340.20532395298261</v>
      </c>
      <c r="C28" s="23">
        <f>'Coll. portables Zn-based'!C35+'Coll. portables Li-Rechargeable'!C35+'Coll. portables Li-Primary'!C34+'Coll. portables Lead-acid'!C35+'Coll. portables NiMH'!C35+'Coll. portables NiCd'!C35+'Coll. portables Other'!C35</f>
        <v>350.76603746447574</v>
      </c>
      <c r="D28" s="23">
        <f>'Coll. portables Zn-based'!D35+'Coll. portables Li-Rechargeable'!D35+'Coll. portables Li-Primary'!D34+'Coll. portables Lead-acid'!D35+'Coll. portables NiMH'!D35+'Coll. portables NiCd'!D35+'Coll. portables Other'!D35</f>
        <v>361.99870598991367</v>
      </c>
      <c r="E28" s="23">
        <f>'Coll. portables Zn-based'!E35+'Coll. portables Li-Rechargeable'!E35+'Coll. portables Li-Primary'!E34+'Coll. portables Lead-acid'!E35+'Coll. portables NiMH'!E35+'Coll. portables NiCd'!E35+'Coll. portables Other'!E35</f>
        <v>374.66217956964181</v>
      </c>
      <c r="F28" s="23">
        <f>'Coll. portables Zn-based'!F35+'Coll. portables Li-Rechargeable'!F35+'Coll. portables Li-Primary'!F34+'Coll. portables Lead-acid'!F35+'Coll. portables NiMH'!F35+'Coll. portables NiCd'!F35+'Coll. portables Other'!F35</f>
        <v>393.79716872664227</v>
      </c>
      <c r="G28" s="23">
        <f>'Coll. portables Zn-based'!G35+'Coll. portables Li-Rechargeable'!G35+'Coll. portables Li-Primary'!G34+'Coll. portables Lead-acid'!G35+'Coll. portables NiMH'!G35+'Coll. portables NiCd'!G35+'Coll. portables Other'!G35</f>
        <v>390.08368248930327</v>
      </c>
      <c r="H28" s="23">
        <f>'Coll. portables Zn-based'!H35+'Coll. portables Li-Rechargeable'!H35+'Coll. portables Li-Primary'!H34+'Coll. portables Lead-acid'!H35+'Coll. portables NiMH'!H35+'Coll. portables NiCd'!H35+'Coll. portables Other'!H35</f>
        <v>416.33963409500444</v>
      </c>
      <c r="I28" s="23">
        <f>'Coll. portables Zn-based'!I35+'Coll. portables Li-Rechargeable'!I35+'Coll. portables Li-Primary'!I34+'Coll. portables Lead-acid'!I35+'Coll. portables NiMH'!I35+'Coll. portables NiCd'!I35+'Coll. portables Other'!I35</f>
        <v>396.22819136728026</v>
      </c>
      <c r="J28" s="23">
        <f>'Coll. portables Zn-based'!J35+'Coll. portables Li-Rechargeable'!J35+'Coll. portables Li-Primary'!J34+'Coll. portables Lead-acid'!J35+'Coll. portables NiMH'!J35+'Coll. portables NiCd'!J35+'Coll. portables Other'!J35</f>
        <v>403.18574018716862</v>
      </c>
      <c r="K28" s="23">
        <f>'Coll. portables Zn-based'!K35+'Coll. portables Li-Rechargeable'!K35+'Coll. portables Li-Primary'!K34+'Coll. portables Lead-acid'!K35+'Coll. portables NiMH'!K35+'Coll. portables NiCd'!K35+'Coll. portables Other'!K35</f>
        <v>398.77346949828819</v>
      </c>
      <c r="L28" s="23">
        <f>'Coll. portables Zn-based'!L35+'Coll. portables Li-Rechargeable'!L35+'Coll. portables Li-Primary'!L34+'Coll. portables Lead-acid'!L35+'Coll. portables NiMH'!L35+'Coll. portables NiCd'!L35+'Coll. portables Other'!L35</f>
        <v>400.71463569372702</v>
      </c>
      <c r="M28" s="31">
        <v>422</v>
      </c>
      <c r="N28" s="31">
        <v>592</v>
      </c>
      <c r="O28" s="31">
        <v>468</v>
      </c>
      <c r="P28" s="31">
        <v>617</v>
      </c>
      <c r="Q28" s="31">
        <v>482</v>
      </c>
      <c r="R28" s="31">
        <v>478</v>
      </c>
      <c r="S28" s="31">
        <v>1104</v>
      </c>
      <c r="T28" s="31">
        <v>813</v>
      </c>
      <c r="U28" s="31">
        <v>891</v>
      </c>
      <c r="V28" s="31">
        <v>922</v>
      </c>
      <c r="W28" s="31">
        <v>954</v>
      </c>
      <c r="X28" s="67">
        <f>('Collection Rate'!X28*SUM('Eurostat POM Portables'!V28:X28))/3</f>
        <v>1060.3282232774243</v>
      </c>
      <c r="Y28" s="67">
        <f>('Collection Rate'!Y28*SUM('Eurostat POM Portables'!W28:Y28))/3</f>
        <v>1138.7673875401058</v>
      </c>
      <c r="Z28" s="67">
        <f>('Collection Rate'!Z28*SUM('Eurostat POM Portables'!X28:Z28))/3</f>
        <v>1196.7703485799127</v>
      </c>
      <c r="AA28" s="67">
        <f>('Collection Rate'!AA28*SUM('Eurostat POM Portables'!Y28:AA28))/3</f>
        <v>1259.8649585181524</v>
      </c>
      <c r="AB28" s="67">
        <f>('Collection Rate'!AB28*SUM('Eurostat POM Portables'!Z28:AB28))/3</f>
        <v>1323.1511049231265</v>
      </c>
      <c r="AC28" s="67">
        <f>('Collection Rate'!AC28*SUM('Eurostat POM Portables'!AA28:AC28))/3</f>
        <v>1388.1919706866199</v>
      </c>
      <c r="AD28" s="67">
        <f>('Collection Rate'!AD28*SUM('Eurostat POM Portables'!AB28:AD28))/3</f>
        <v>1457.9602854945488</v>
      </c>
      <c r="AE28" s="67">
        <f>('Collection Rate'!AE28*SUM('Eurostat POM Portables'!AC28:AE28))/3</f>
        <v>1540.0226277475806</v>
      </c>
      <c r="AF28" s="67">
        <f>('Collection Rate'!AF28*SUM('Eurostat POM Portables'!AD28:AF28))/3</f>
        <v>1633.4749963563993</v>
      </c>
      <c r="AG28" s="67">
        <f>('Collection Rate'!AG28*SUM('Eurostat POM Portables'!AE28:AG28))/3</f>
        <v>1726.1669986362031</v>
      </c>
      <c r="AH28" s="67">
        <f>('Collection Rate'!AH28*SUM('Eurostat POM Portables'!AF28:AH28))/3</f>
        <v>1815.5523767295188</v>
      </c>
      <c r="AI28" s="67">
        <f>('Collection Rate'!AI28*SUM('Eurostat POM Portables'!AG28:AI28))/3</f>
        <v>1900.6612550757466</v>
      </c>
      <c r="AJ28" s="67">
        <f>('Collection Rate'!AJ28*SUM('Eurostat POM Portables'!AH28:AJ28))/3</f>
        <v>1990.4066814137168</v>
      </c>
      <c r="AK28" s="67">
        <f>('Collection Rate'!AK28*SUM('Eurostat POM Portables'!AI28:AK28))/3</f>
        <v>2085.0950630917018</v>
      </c>
      <c r="AL28" s="67">
        <f>('Collection Rate'!AL28*SUM('Eurostat POM Portables'!AJ28:AL28))/3</f>
        <v>2185.0249505686702</v>
      </c>
      <c r="AM28" s="67">
        <f>('Collection Rate'!AM28*SUM('Eurostat POM Portables'!AK28:AM28))/3</f>
        <v>2290.5137767523697</v>
      </c>
      <c r="AN28" s="67">
        <f>('Collection Rate'!AN28*SUM('Eurostat POM Portables'!AL28:AN28))/3</f>
        <v>2401.8990708792794</v>
      </c>
      <c r="AO28" s="67">
        <f>('Collection Rate'!AO28*SUM('Eurostat POM Portables'!AM28:AO28))/3</f>
        <v>2519.0336238104596</v>
      </c>
      <c r="AP28" s="67">
        <f>('Collection Rate'!AP28*SUM('Eurostat POM Portables'!AN28:AP28))/3</f>
        <v>2638.5209389258039</v>
      </c>
      <c r="AQ28" s="67">
        <f>('Collection Rate'!AQ28*SUM('Eurostat POM Portables'!AO28:AQ28))/3</f>
        <v>2740.9093721265131</v>
      </c>
      <c r="AR28" s="67">
        <f>('Collection Rate'!AR28*SUM('Eurostat POM Portables'!AP28:AR28))/3</f>
        <v>2824.7369228141397</v>
      </c>
      <c r="AS28" s="67">
        <f>('Collection Rate'!AS28*SUM('Eurostat POM Portables'!AQ28:AS28))/3</f>
        <v>2891.8448426495574</v>
      </c>
      <c r="AT28" s="67">
        <f>('Collection Rate'!AT28*SUM('Eurostat POM Portables'!AR28:AT28))/3</f>
        <v>2960.3816106348895</v>
      </c>
      <c r="AU28" s="67">
        <f>('Collection Rate'!AU28*SUM('Eurostat POM Portables'!AS28:AU28))/3</f>
        <v>3030.4755040372056</v>
      </c>
      <c r="AV28" s="67">
        <f>('Collection Rate'!AV28*SUM('Eurostat POM Portables'!AT28:AV28))/3</f>
        <v>3101.5056280239419</v>
      </c>
      <c r="AW28" s="67">
        <f>('Collection Rate'!AW28*SUM('Eurostat POM Portables'!AU28:AW28))/3</f>
        <v>3173.4676661484614</v>
      </c>
      <c r="AX28" s="67">
        <f>('Collection Rate'!AX28*SUM('Eurostat POM Portables'!AV28:AX28))/3</f>
        <v>3246.3565267626377</v>
      </c>
      <c r="AY28" s="67">
        <f>('Collection Rate'!AY28*SUM('Eurostat POM Portables'!AW28:AY28))/3</f>
        <v>3320.8380867401916</v>
      </c>
      <c r="AZ28" s="67">
        <f>('Collection Rate'!AZ28*SUM('Eurostat POM Portables'!AX28:AZ28))/3</f>
        <v>3396.9474519840455</v>
      </c>
    </row>
    <row r="29" spans="1:52" x14ac:dyDescent="0.35">
      <c r="A29" s="1" t="s">
        <v>26</v>
      </c>
      <c r="B29" s="23">
        <f>'Coll. portables Zn-based'!B36+'Coll. portables Li-Rechargeable'!B36+'Coll. portables Li-Primary'!B35+'Coll. portables Lead-acid'!B36+'Coll. portables NiMH'!B36+'Coll. portables NiCd'!B36+'Coll. portables Other'!B36</f>
        <v>207.18665463487329</v>
      </c>
      <c r="C29" s="23">
        <f>'Coll. portables Zn-based'!C36+'Coll. portables Li-Rechargeable'!C36+'Coll. portables Li-Primary'!C35+'Coll. portables Lead-acid'!C36+'Coll. portables NiMH'!C36+'Coll. portables NiCd'!C36+'Coll. portables Other'!C36</f>
        <v>213.61817921414755</v>
      </c>
      <c r="D29" s="23">
        <f>'Coll. portables Zn-based'!D36+'Coll. portables Li-Rechargeable'!D36+'Coll. portables Li-Primary'!D35+'Coll. portables Lead-acid'!D36+'Coll. portables NiMH'!D36+'Coll. portables NiCd'!D36+'Coll. portables Other'!D36</f>
        <v>220.45892758153511</v>
      </c>
      <c r="E29" s="23">
        <f>'Coll. portables Zn-based'!E36+'Coll. portables Li-Rechargeable'!E36+'Coll. portables Li-Primary'!E35+'Coll. portables Lead-acid'!E36+'Coll. portables NiMH'!E36+'Coll. portables NiCd'!E36+'Coll. portables Other'!E36</f>
        <v>228.17104300805198</v>
      </c>
      <c r="F29" s="23">
        <f>'Coll. portables Zn-based'!F36+'Coll. portables Li-Rechargeable'!F36+'Coll. portables Li-Primary'!F35+'Coll. portables Lead-acid'!F36+'Coll. portables NiMH'!F36+'Coll. portables NiCd'!F36+'Coll. portables Other'!F36</f>
        <v>239.82434209181767</v>
      </c>
      <c r="G29" s="23">
        <f>'Coll. portables Zn-based'!G36+'Coll. portables Li-Rechargeable'!G36+'Coll. portables Li-Primary'!G35+'Coll. portables Lead-acid'!G36+'Coll. portables NiMH'!G36+'Coll. portables NiCd'!G36+'Coll. portables Other'!G36</f>
        <v>237.5628113738174</v>
      </c>
      <c r="H29" s="23">
        <f>'Coll. portables Zn-based'!H36+'Coll. portables Li-Rechargeable'!H36+'Coll. portables Li-Primary'!H35+'Coll. portables Lead-acid'!H36+'Coll. portables NiMH'!H36+'Coll. portables NiCd'!H36+'Coll. portables Other'!H36</f>
        <v>253.55281033747903</v>
      </c>
      <c r="I29" s="23">
        <f>'Coll. portables Zn-based'!I36+'Coll. portables Li-Rechargeable'!I36+'Coll. portables Li-Primary'!I35+'Coll. portables Lead-acid'!I36+'Coll. portables NiMH'!I36+'Coll. portables NiCd'!I36+'Coll. portables Other'!I36</f>
        <v>241.30484640140048</v>
      </c>
      <c r="J29" s="23">
        <f>'Coll. portables Zn-based'!J36+'Coll. portables Li-Rechargeable'!J36+'Coll. portables Li-Primary'!J35+'Coll. portables Lead-acid'!J36+'Coll. portables NiMH'!J36+'Coll. portables NiCd'!J36+'Coll. portables Other'!J36</f>
        <v>245.5420266068775</v>
      </c>
      <c r="K29" s="23">
        <f>'Coll. portables Zn-based'!K36+'Coll. portables Li-Rechargeable'!K36+'Coll. portables Li-Primary'!K35+'Coll. portables Lead-acid'!K36+'Coll. portables NiMH'!K36+'Coll. portables NiCd'!K36+'Coll. portables Other'!K36</f>
        <v>242.85493284611385</v>
      </c>
      <c r="L29" s="23">
        <f>'Coll. portables Zn-based'!L36+'Coll. portables Li-Rechargeable'!L36+'Coll. portables Li-Primary'!L35+'Coll. portables Lead-acid'!L36+'Coll. portables NiMH'!L36+'Coll. portables NiCd'!L36+'Coll. portables Other'!L36</f>
        <v>244.03711225897587</v>
      </c>
      <c r="M29" s="31">
        <v>257</v>
      </c>
      <c r="N29" s="31">
        <v>273</v>
      </c>
      <c r="O29" s="31">
        <v>228</v>
      </c>
      <c r="P29" s="31">
        <v>210</v>
      </c>
      <c r="Q29" s="31">
        <v>247</v>
      </c>
      <c r="R29" s="31">
        <v>268</v>
      </c>
      <c r="S29" s="31">
        <v>271</v>
      </c>
      <c r="T29" s="31">
        <v>320</v>
      </c>
      <c r="U29" s="31">
        <v>307</v>
      </c>
      <c r="V29" s="31">
        <v>343</v>
      </c>
      <c r="W29" s="31">
        <v>346</v>
      </c>
      <c r="X29" s="67">
        <f>('Collection Rate'!X29*SUM('Eurostat POM Portables'!V29:X29))/3</f>
        <v>363.53372571528195</v>
      </c>
      <c r="Y29" s="67">
        <f>('Collection Rate'!Y29*SUM('Eurostat POM Portables'!W29:Y29))/3</f>
        <v>387.75306070064318</v>
      </c>
      <c r="Z29" s="67">
        <f>('Collection Rate'!Z29*SUM('Eurostat POM Portables'!X29:Z29))/3</f>
        <v>410.17866084259754</v>
      </c>
      <c r="AA29" s="67">
        <f>('Collection Rate'!AA29*SUM('Eurostat POM Portables'!Y29:AA29))/3</f>
        <v>434.56989587922271</v>
      </c>
      <c r="AB29" s="67">
        <f>('Collection Rate'!AB29*SUM('Eurostat POM Portables'!Z29:AB29))/3</f>
        <v>459.25338346890675</v>
      </c>
      <c r="AC29" s="67">
        <f>('Collection Rate'!AC29*SUM('Eurostat POM Portables'!AA29:AC29))/3</f>
        <v>484.77029123887763</v>
      </c>
      <c r="AD29" s="67">
        <f>('Collection Rate'!AD29*SUM('Eurostat POM Portables'!AB29:AD29))/3</f>
        <v>512.17013390120405</v>
      </c>
      <c r="AE29" s="67">
        <f>('Collection Rate'!AE29*SUM('Eurostat POM Portables'!AC29:AE29))/3</f>
        <v>544.14976730347291</v>
      </c>
      <c r="AF29" s="67">
        <f>('Collection Rate'!AF29*SUM('Eurostat POM Portables'!AD29:AF29))/3</f>
        <v>580.45611379931745</v>
      </c>
      <c r="AG29" s="67">
        <f>('Collection Rate'!AG29*SUM('Eurostat POM Portables'!AE29:AG29))/3</f>
        <v>616.80798696897295</v>
      </c>
      <c r="AH29" s="67">
        <f>('Collection Rate'!AH29*SUM('Eurostat POM Portables'!AF29:AH29))/3</f>
        <v>652.27816943512869</v>
      </c>
      <c r="AI29" s="67">
        <f>('Collection Rate'!AI29*SUM('Eurostat POM Portables'!AG29:AI29))/3</f>
        <v>686.48974703986471</v>
      </c>
      <c r="AJ29" s="67">
        <f>('Collection Rate'!AJ29*SUM('Eurostat POM Portables'!AH29:AJ29))/3</f>
        <v>722.64753404381463</v>
      </c>
      <c r="AK29" s="67">
        <f>('Collection Rate'!AK29*SUM('Eurostat POM Portables'!AI29:AK29))/3</f>
        <v>760.88262266618358</v>
      </c>
      <c r="AL29" s="67">
        <f>('Collection Rate'!AL29*SUM('Eurostat POM Portables'!AJ29:AL29))/3</f>
        <v>801.32482835781684</v>
      </c>
      <c r="AM29" s="67">
        <f>('Collection Rate'!AM29*SUM('Eurostat POM Portables'!AK29:AM29))/3</f>
        <v>844.11240900878022</v>
      </c>
      <c r="AN29" s="67">
        <f>('Collection Rate'!AN29*SUM('Eurostat POM Portables'!AL29:AN29))/3</f>
        <v>889.39262153996867</v>
      </c>
      <c r="AO29" s="67">
        <f>('Collection Rate'!AO29*SUM('Eurostat POM Portables'!AM29:AO29))/3</f>
        <v>937.13402520880243</v>
      </c>
      <c r="AP29" s="67">
        <f>('Collection Rate'!AP29*SUM('Eurostat POM Portables'!AN29:AP29))/3</f>
        <v>986.0890914139369</v>
      </c>
      <c r="AQ29" s="67">
        <f>('Collection Rate'!AQ29*SUM('Eurostat POM Portables'!AO29:AQ29))/3</f>
        <v>1028.9595521671897</v>
      </c>
      <c r="AR29" s="67">
        <f>('Collection Rate'!AR29*SUM('Eurostat POM Portables'!AP29:AR29))/3</f>
        <v>1065.1015282584017</v>
      </c>
      <c r="AS29" s="67">
        <f>('Collection Rate'!AS29*SUM('Eurostat POM Portables'!AQ29:AS29))/3</f>
        <v>1095.1153718107923</v>
      </c>
      <c r="AT29" s="67">
        <f>('Collection Rate'!AT29*SUM('Eurostat POM Portables'!AR29:AT29))/3</f>
        <v>1125.8177552890668</v>
      </c>
      <c r="AU29" s="67">
        <f>('Collection Rate'!AU29*SUM('Eurostat POM Portables'!AS29:AU29))/3</f>
        <v>1157.2611426408455</v>
      </c>
      <c r="AV29" s="67">
        <f>('Collection Rate'!AV29*SUM('Eurostat POM Portables'!AT29:AV29))/3</f>
        <v>1189.2114364224715</v>
      </c>
      <c r="AW29" s="67">
        <f>('Collection Rate'!AW29*SUM('Eurostat POM Portables'!AU29:AW29))/3</f>
        <v>1221.6679740651923</v>
      </c>
      <c r="AX29" s="67">
        <f>('Collection Rate'!AX29*SUM('Eurostat POM Portables'!AV29:AX29))/3</f>
        <v>1254.6297377823687</v>
      </c>
      <c r="AY29" s="67">
        <f>('Collection Rate'!AY29*SUM('Eurostat POM Portables'!AW29:AY29))/3</f>
        <v>1288.3559612703041</v>
      </c>
      <c r="AZ29" s="67">
        <f>('Collection Rate'!AZ29*SUM('Eurostat POM Portables'!AX29:AZ29))/3</f>
        <v>1322.8641178651526</v>
      </c>
    </row>
    <row r="30" spans="1:52" x14ac:dyDescent="0.35">
      <c r="A30" s="1" t="s">
        <v>27</v>
      </c>
      <c r="B30" s="23">
        <f>'Coll. portables Zn-based'!B37+'Coll. portables Li-Rechargeable'!B37+'Coll. portables Li-Primary'!B36+'Coll. portables Lead-acid'!B37+'Coll. portables NiMH'!B37+'Coll. portables NiCd'!B37+'Coll. portables Other'!B37</f>
        <v>2923.186029984633</v>
      </c>
      <c r="C30" s="23">
        <f>'Coll. portables Zn-based'!C37+'Coll. portables Li-Rechargeable'!C37+'Coll. portables Li-Primary'!C36+'Coll. portables Lead-acid'!C37+'Coll. portables NiMH'!C37+'Coll. portables NiCd'!C37+'Coll. portables Other'!C37</f>
        <v>3013.9280849435763</v>
      </c>
      <c r="D30" s="23">
        <f>'Coll. portables Zn-based'!D37+'Coll. portables Li-Rechargeable'!D37+'Coll. portables Li-Primary'!D36+'Coll. portables Lead-acid'!D37+'Coll. portables NiMH'!D37+'Coll. portables NiCd'!D37+'Coll. portables Other'!D37</f>
        <v>3110.4438576289749</v>
      </c>
      <c r="E30" s="23">
        <f>'Coll. portables Zn-based'!E37+'Coll. portables Li-Rechargeable'!E37+'Coll. portables Li-Primary'!E36+'Coll. portables Lead-acid'!E37+'Coll. portables NiMH'!E37+'Coll. portables NiCd'!E37+'Coll. portables Other'!E37</f>
        <v>3219.2537040746952</v>
      </c>
      <c r="F30" s="23">
        <f>'Coll. portables Zn-based'!F37+'Coll. portables Li-Rechargeable'!F37+'Coll. portables Li-Primary'!F36+'Coll. portables Lead-acid'!F37+'Coll. portables NiMH'!F37+'Coll. portables NiCd'!F37+'Coll. portables Other'!F37</f>
        <v>3383.6695113810538</v>
      </c>
      <c r="G30" s="23">
        <f>'Coll. portables Zn-based'!G37+'Coll. portables Li-Rechargeable'!G37+'Coll. portables Li-Primary'!G36+'Coll. portables Lead-acid'!G37+'Coll. portables NiMH'!G37+'Coll. portables NiCd'!G37+'Coll. portables Other'!G37</f>
        <v>3351.7616888772841</v>
      </c>
      <c r="H30" s="23">
        <f>'Coll. portables Zn-based'!H37+'Coll. portables Li-Rechargeable'!H37+'Coll. portables Li-Primary'!H36+'Coll. portables Lead-acid'!H37+'Coll. portables NiMH'!H37+'Coll. portables NiCd'!H37+'Coll. portables Other'!H37</f>
        <v>3577.363775422953</v>
      </c>
      <c r="I30" s="23">
        <f>'Coll. portables Zn-based'!I37+'Coll. portables Li-Rechargeable'!I37+'Coll. portables Li-Primary'!I36+'Coll. portables Lead-acid'!I37+'Coll. portables NiMH'!I37+'Coll. portables NiCd'!I37+'Coll. portables Other'!I37</f>
        <v>3404.557871795635</v>
      </c>
      <c r="J30" s="23">
        <f>'Coll. portables Zn-based'!J37+'Coll. portables Li-Rechargeable'!J37+'Coll. portables Li-Primary'!J36+'Coll. portables Lead-acid'!J37+'Coll. portables NiMH'!J37+'Coll. portables NiCd'!J37+'Coll. portables Other'!J37</f>
        <v>3464.3400329826377</v>
      </c>
      <c r="K30" s="23">
        <f>'Coll. portables Zn-based'!K37+'Coll. portables Li-Rechargeable'!K37+'Coll. portables Li-Primary'!K36+'Coll. portables Lead-acid'!K37+'Coll. portables NiMH'!K37+'Coll. portables NiCd'!K37+'Coll. portables Other'!K37</f>
        <v>3426.4279630350543</v>
      </c>
      <c r="L30" s="23">
        <f>'Coll. portables Zn-based'!L37+'Coll. portables Li-Rechargeable'!L37+'Coll. portables Li-Primary'!L36+'Coll. portables Lead-acid'!L37+'Coll. portables NiMH'!L37+'Coll. portables NiCd'!L37+'Coll. portables Other'!L37</f>
        <v>3443.1072725721651</v>
      </c>
      <c r="M30" s="31">
        <v>3626</v>
      </c>
      <c r="N30" s="31">
        <v>3961</v>
      </c>
      <c r="O30" s="31">
        <v>3697</v>
      </c>
      <c r="P30" s="31">
        <v>3876</v>
      </c>
      <c r="Q30" s="31">
        <v>4710</v>
      </c>
      <c r="R30" s="31">
        <v>4511</v>
      </c>
      <c r="S30" s="31">
        <v>4670</v>
      </c>
      <c r="T30" s="31">
        <v>4592</v>
      </c>
      <c r="U30" s="31">
        <v>5740</v>
      </c>
      <c r="V30" s="31">
        <v>5482</v>
      </c>
      <c r="W30" s="31">
        <v>7473</v>
      </c>
      <c r="X30" s="67">
        <f>('Collection Rate'!X30*SUM('Eurostat POM Portables'!V30:X30))/3</f>
        <v>8070.6042077886023</v>
      </c>
      <c r="Y30" s="67">
        <f>('Collection Rate'!Y30*SUM('Eurostat POM Portables'!W30:Y30))/3</f>
        <v>8528.0577365532245</v>
      </c>
      <c r="Z30" s="67">
        <f>('Collection Rate'!Z30*SUM('Eurostat POM Portables'!X30:Z30))/3</f>
        <v>8898.82326442058</v>
      </c>
      <c r="AA30" s="67">
        <f>('Collection Rate'!AA30*SUM('Eurostat POM Portables'!Y30:AA30))/3</f>
        <v>9306.2943166391797</v>
      </c>
      <c r="AB30" s="67">
        <f>('Collection Rate'!AB30*SUM('Eurostat POM Portables'!Z30:AB30))/3</f>
        <v>9758.5820675567211</v>
      </c>
      <c r="AC30" s="67">
        <f>('Collection Rate'!AC30*SUM('Eurostat POM Portables'!AA30:AC30))/3</f>
        <v>10256.672374078744</v>
      </c>
      <c r="AD30" s="67">
        <f>('Collection Rate'!AD30*SUM('Eurostat POM Portables'!AB30:AD30))/3</f>
        <v>10799.482368779634</v>
      </c>
      <c r="AE30" s="67">
        <f>('Collection Rate'!AE30*SUM('Eurostat POM Portables'!AC30:AE30))/3</f>
        <v>11398.724087183969</v>
      </c>
      <c r="AF30" s="67">
        <f>('Collection Rate'!AF30*SUM('Eurostat POM Portables'!AD30:AF30))/3</f>
        <v>12054.733256025307</v>
      </c>
      <c r="AG30" s="67">
        <f>('Collection Rate'!AG30*SUM('Eurostat POM Portables'!AE30:AG30))/3</f>
        <v>12693.285307570224</v>
      </c>
      <c r="AH30" s="67">
        <f>('Collection Rate'!AH30*SUM('Eurostat POM Portables'!AF30:AH30))/3</f>
        <v>13303.679430780454</v>
      </c>
      <c r="AI30" s="67">
        <f>('Collection Rate'!AI30*SUM('Eurostat POM Portables'!AG30:AI30))/3</f>
        <v>13878.851097440862</v>
      </c>
      <c r="AJ30" s="67">
        <f>('Collection Rate'!AJ30*SUM('Eurostat POM Portables'!AH30:AJ30))/3</f>
        <v>14483.951220861323</v>
      </c>
      <c r="AK30" s="67">
        <f>('Collection Rate'!AK30*SUM('Eurostat POM Portables'!AI30:AK30))/3</f>
        <v>15121.185972530317</v>
      </c>
      <c r="AL30" s="67">
        <f>('Collection Rate'!AL30*SUM('Eurostat POM Portables'!AJ30:AL30))/3</f>
        <v>15792.436615067896</v>
      </c>
      <c r="AM30" s="67">
        <f>('Collection Rate'!AM30*SUM('Eurostat POM Portables'!AK30:AM30))/3</f>
        <v>16499.700198012037</v>
      </c>
      <c r="AN30" s="67">
        <f>('Collection Rate'!AN30*SUM('Eurostat POM Portables'!AL30:AN30))/3</f>
        <v>17245.096810650703</v>
      </c>
      <c r="AO30" s="67">
        <f>('Collection Rate'!AO30*SUM('Eurostat POM Portables'!AM30:AO30))/3</f>
        <v>18027.866050075321</v>
      </c>
      <c r="AP30" s="67">
        <f>('Collection Rate'!AP30*SUM('Eurostat POM Portables'!AN30:AP30))/3</f>
        <v>18823.493841010768</v>
      </c>
      <c r="AQ30" s="67">
        <f>('Collection Rate'!AQ30*SUM('Eurostat POM Portables'!AO30:AQ30))/3</f>
        <v>19493.940117152695</v>
      </c>
      <c r="AR30" s="67">
        <f>('Collection Rate'!AR30*SUM('Eurostat POM Portables'!AP30:AR30))/3</f>
        <v>20028.639999667164</v>
      </c>
      <c r="AS30" s="67">
        <f>('Collection Rate'!AS30*SUM('Eurostat POM Portables'!AQ30:AS30))/3</f>
        <v>20441.920712085557</v>
      </c>
      <c r="AT30" s="67">
        <f>('Collection Rate'!AT30*SUM('Eurostat POM Portables'!AR30:AT30))/3</f>
        <v>20862.457270272334</v>
      </c>
      <c r="AU30" s="67">
        <f>('Collection Rate'!AU30*SUM('Eurostat POM Portables'!AS30:AU30))/3</f>
        <v>21291.969510681996</v>
      </c>
      <c r="AV30" s="67">
        <f>('Collection Rate'!AV30*SUM('Eurostat POM Portables'!AT30:AV30))/3</f>
        <v>21726.833417737824</v>
      </c>
      <c r="AW30" s="67">
        <f>('Collection Rate'!AW30*SUM('Eurostat POM Portables'!AU30:AW30))/3</f>
        <v>22167.048250306845</v>
      </c>
      <c r="AX30" s="67">
        <f>('Collection Rate'!AX30*SUM('Eurostat POM Portables'!AV30:AX30))/3</f>
        <v>22612.610254404764</v>
      </c>
      <c r="AY30" s="67">
        <f>('Collection Rate'!AY30*SUM('Eurostat POM Portables'!AW30:AY30))/3</f>
        <v>23067.388027272103</v>
      </c>
      <c r="AZ30" s="67">
        <f>('Collection Rate'!AZ30*SUM('Eurostat POM Portables'!AX30:AZ30))/3</f>
        <v>23531.578657203612</v>
      </c>
    </row>
    <row r="31" spans="1:52" x14ac:dyDescent="0.35">
      <c r="A31" s="1" t="s">
        <v>28</v>
      </c>
      <c r="B31" s="23">
        <f>'Coll. portables Zn-based'!B38+'Coll. portables Li-Rechargeable'!B38+'Coll. portables Li-Primary'!B37+'Coll. portables Lead-acid'!B38+'Coll. portables NiMH'!B38+'Coll. portables NiCd'!B38+'Coll. portables Other'!B38</f>
        <v>2351.8855595863556</v>
      </c>
      <c r="C31" s="23">
        <f>'Coll. portables Zn-based'!C38+'Coll. portables Li-Rechargeable'!C38+'Coll. portables Li-Primary'!C37+'Coll. portables Lead-acid'!C38+'Coll. portables NiMH'!C38+'Coll. portables NiCd'!C38+'Coll. portables Other'!C38</f>
        <v>2429.2344585003043</v>
      </c>
      <c r="D31" s="23">
        <f>'Coll. portables Zn-based'!D38+'Coll. portables Li-Rechargeable'!D38+'Coll. portables Li-Primary'!D37+'Coll. portables Lead-acid'!D38+'Coll. portables NiMH'!D38+'Coll. portables NiCd'!D38+'Coll. portables Other'!D38</f>
        <v>2512.0640018778681</v>
      </c>
      <c r="E31" s="23">
        <f>'Coll. portables Zn-based'!E38+'Coll. portables Li-Rechargeable'!E38+'Coll. portables Li-Primary'!E37+'Coll. portables Lead-acid'!E38+'Coll. portables NiMH'!E38+'Coll. portables NiCd'!E38+'Coll. portables Other'!E38</f>
        <v>2605.9616478965418</v>
      </c>
      <c r="F31" s="23">
        <f>'Coll. portables Zn-based'!F38+'Coll. portables Li-Rechargeable'!F38+'Coll. portables Li-Primary'!F37+'Coll. portables Lead-acid'!F38+'Coll. portables NiMH'!F38+'Coll. portables NiCd'!F38+'Coll. portables Other'!F38</f>
        <v>2738.1496236501093</v>
      </c>
      <c r="G31" s="23">
        <f>'Coll. portables Zn-based'!G38+'Coll. portables Li-Rechargeable'!G38+'Coll. portables Li-Primary'!G37+'Coll. portables Lead-acid'!G38+'Coll. portables NiMH'!G38+'Coll. portables NiCd'!G38+'Coll. portables Other'!G38</f>
        <v>2735.4396311816795</v>
      </c>
      <c r="H31" s="23">
        <f>'Coll. portables Zn-based'!H38+'Coll. portables Li-Rechargeable'!H38+'Coll. portables Li-Primary'!H37+'Coll. portables Lead-acid'!H38+'Coll. portables NiMH'!H38+'Coll. portables NiCd'!H38+'Coll. portables Other'!H38</f>
        <v>2921.3231657903048</v>
      </c>
      <c r="I31" s="23">
        <f>'Coll. portables Zn-based'!I38+'Coll. portables Li-Rechargeable'!I38+'Coll. portables Li-Primary'!I37+'Coll. portables Lead-acid'!I38+'Coll. portables NiMH'!I38+'Coll. portables NiCd'!I38+'Coll. portables Other'!I38</f>
        <v>2774.4927508018664</v>
      </c>
      <c r="J31" s="23">
        <f>'Coll. portables Zn-based'!J38+'Coll. portables Li-Rechargeable'!J38+'Coll. portables Li-Primary'!J37+'Coll. portables Lead-acid'!J38+'Coll. portables NiMH'!J38+'Coll. portables NiCd'!J38+'Coll. portables Other'!J38</f>
        <v>2838.9911897675133</v>
      </c>
      <c r="K31" s="23">
        <f>'Coll. portables Zn-based'!K38+'Coll. portables Li-Rechargeable'!K38+'Coll. portables Li-Primary'!K37+'Coll. portables Lead-acid'!K38+'Coll. portables NiMH'!K38+'Coll. portables NiCd'!K38+'Coll. portables Other'!K38</f>
        <v>2795.7804305745667</v>
      </c>
      <c r="L31" s="23">
        <f>'Coll. portables Zn-based'!L38+'Coll. portables Li-Rechargeable'!L38+'Coll. portables Li-Primary'!L37+'Coll. portables Lead-acid'!L38+'Coll. portables NiMH'!L38+'Coll. portables NiCd'!L38+'Coll. portables Other'!L38</f>
        <v>2839.9776516105435</v>
      </c>
      <c r="M31" s="31">
        <v>3028</v>
      </c>
      <c r="N31" s="31">
        <v>3585</v>
      </c>
      <c r="O31" s="31">
        <v>3620</v>
      </c>
      <c r="P31" s="31">
        <v>3381</v>
      </c>
      <c r="Q31" s="31">
        <v>3532</v>
      </c>
      <c r="R31" s="31">
        <v>2931</v>
      </c>
      <c r="S31" s="31">
        <v>3475</v>
      </c>
      <c r="T31" s="31">
        <v>3192</v>
      </c>
      <c r="U31" s="31">
        <v>3696</v>
      </c>
      <c r="V31" s="31">
        <v>3437</v>
      </c>
      <c r="W31" s="31">
        <v>3722</v>
      </c>
      <c r="X31" s="67">
        <f>('Collection Rate'!X31*SUM('Eurostat POM Portables'!V31:X31))/3</f>
        <v>4090.427040038117</v>
      </c>
      <c r="Y31" s="67">
        <f>('Collection Rate'!Y31*SUM('Eurostat POM Portables'!W31:Y31))/3</f>
        <v>4507.8307777445098</v>
      </c>
      <c r="Z31" s="67">
        <f>('Collection Rate'!Z31*SUM('Eurostat POM Portables'!X31:Z31))/3</f>
        <v>4798.1390668177301</v>
      </c>
      <c r="AA31" s="67">
        <f>('Collection Rate'!AA31*SUM('Eurostat POM Portables'!Y31:AA31))/3</f>
        <v>5078.6236866976496</v>
      </c>
      <c r="AB31" s="67">
        <f>('Collection Rate'!AB31*SUM('Eurostat POM Portables'!Z31:AB31))/3</f>
        <v>5357.8458640384697</v>
      </c>
      <c r="AC31" s="67">
        <f>('Collection Rate'!AC31*SUM('Eurostat POM Portables'!AA31:AC31))/3</f>
        <v>5643.8077566139873</v>
      </c>
      <c r="AD31" s="67">
        <f>('Collection Rate'!AD31*SUM('Eurostat POM Portables'!AB31:AD31))/3</f>
        <v>5951.870925603901</v>
      </c>
      <c r="AE31" s="67">
        <f>('Collection Rate'!AE31*SUM('Eurostat POM Portables'!AC31:AE31))/3</f>
        <v>6320.5238572632979</v>
      </c>
      <c r="AF31" s="67">
        <f>('Collection Rate'!AF31*SUM('Eurostat POM Portables'!AD31:AF31))/3</f>
        <v>6745.4820934984682</v>
      </c>
      <c r="AG31" s="67">
        <f>('Collection Rate'!AG31*SUM('Eurostat POM Portables'!AE31:AG31))/3</f>
        <v>7166.03256777158</v>
      </c>
      <c r="AH31" s="67">
        <f>('Collection Rate'!AH31*SUM('Eurostat POM Portables'!AF31:AH31))/3</f>
        <v>7569.4787667735318</v>
      </c>
      <c r="AI31" s="67">
        <f>('Collection Rate'!AI31*SUM('Eurostat POM Portables'!AG31:AI31))/3</f>
        <v>7950.6444288269713</v>
      </c>
      <c r="AJ31" s="67">
        <f>('Collection Rate'!AJ31*SUM('Eurostat POM Portables'!AH31:AJ31))/3</f>
        <v>8353.8943189641013</v>
      </c>
      <c r="AK31" s="67">
        <f>('Collection Rate'!AK31*SUM('Eurostat POM Portables'!AI31:AK31))/3</f>
        <v>8780.6060714484429</v>
      </c>
      <c r="AL31" s="67">
        <f>('Collection Rate'!AL31*SUM('Eurostat POM Portables'!AJ31:AL31))/3</f>
        <v>9232.2401258621994</v>
      </c>
      <c r="AM31" s="67">
        <f>('Collection Rate'!AM31*SUM('Eurostat POM Portables'!AK31:AM31))/3</f>
        <v>9710.3506806945679</v>
      </c>
      <c r="AN31" s="67">
        <f>('Collection Rate'!AN31*SUM('Eurostat POM Portables'!AL31:AN31))/3</f>
        <v>10216.591768773456</v>
      </c>
      <c r="AO31" s="67">
        <f>('Collection Rate'!AO31*SUM('Eurostat POM Portables'!AM31:AO31))/3</f>
        <v>10750.75094943457</v>
      </c>
      <c r="AP31" s="67">
        <f>('Collection Rate'!AP31*SUM('Eurostat POM Portables'!AN31:AP31))/3</f>
        <v>11301.692802522195</v>
      </c>
      <c r="AQ31" s="67">
        <f>('Collection Rate'!AQ31*SUM('Eurostat POM Portables'!AO31:AQ31))/3</f>
        <v>11772.594091978515</v>
      </c>
      <c r="AR31" s="67">
        <f>('Collection Rate'!AR31*SUM('Eurostat POM Portables'!AP31:AR31))/3</f>
        <v>12156.319483810454</v>
      </c>
      <c r="AS31" s="67">
        <f>('Collection Rate'!AS31*SUM('Eurostat POM Portables'!AQ31:AS31))/3</f>
        <v>12456.382820822539</v>
      </c>
      <c r="AT31" s="67">
        <f>('Collection Rate'!AT31*SUM('Eurostat POM Portables'!AR31:AT31))/3</f>
        <v>12763.459042967204</v>
      </c>
      <c r="AU31" s="67">
        <f>('Collection Rate'!AU31*SUM('Eurostat POM Portables'!AS31:AU31))/3</f>
        <v>13077.732681033283</v>
      </c>
      <c r="AV31" s="67">
        <f>('Collection Rate'!AV31*SUM('Eurostat POM Portables'!AT31:AV31))/3</f>
        <v>13396.807135775451</v>
      </c>
      <c r="AW31" s="67">
        <f>('Collection Rate'!AW31*SUM('Eurostat POM Portables'!AU31:AW31))/3</f>
        <v>13720.692467459434</v>
      </c>
      <c r="AX31" s="67">
        <f>('Collection Rate'!AX31*SUM('Eurostat POM Portables'!AV31:AX31))/3</f>
        <v>14049.396275581485</v>
      </c>
      <c r="AY31" s="67">
        <f>('Collection Rate'!AY31*SUM('Eurostat POM Portables'!AW31:AY31))/3</f>
        <v>14385.549346919119</v>
      </c>
      <c r="AZ31" s="67">
        <f>('Collection Rate'!AZ31*SUM('Eurostat POM Portables'!AX31:AZ31))/3</f>
        <v>14729.319633471598</v>
      </c>
    </row>
    <row r="32" spans="1:52" x14ac:dyDescent="0.35">
      <c r="A32" s="1" t="s">
        <v>29</v>
      </c>
      <c r="B32" s="23">
        <f>'Coll. portables Zn-based'!B39+'Coll. portables Li-Rechargeable'!B39+'Coll. portables Li-Primary'!B38+'Coll. portables Lead-acid'!B39+'Coll. portables NiMH'!B39+'Coll. portables NiCd'!B39+'Coll. portables Other'!B39</f>
        <v>1913.8564906738879</v>
      </c>
      <c r="C32" s="23">
        <f>'Coll. portables Zn-based'!C39+'Coll. portables Li-Rechargeable'!C39+'Coll. portables Li-Primary'!C38+'Coll. portables Lead-acid'!C39+'Coll. portables NiMH'!C39+'Coll. portables NiCd'!C39+'Coll. portables Other'!C39</f>
        <v>1973.2667605229037</v>
      </c>
      <c r="D32" s="23">
        <f>'Coll. portables Zn-based'!D39+'Coll. portables Li-Rechargeable'!D39+'Coll. portables Li-Primary'!D38+'Coll. portables Lead-acid'!D39+'Coll. portables NiMH'!D39+'Coll. portables NiCd'!D39+'Coll. portables Other'!D39</f>
        <v>2036.4571754029741</v>
      </c>
      <c r="E32" s="23">
        <f>'Coll. portables Zn-based'!E39+'Coll. portables Li-Rechargeable'!E39+'Coll. portables Li-Primary'!E38+'Coll. portables Lead-acid'!E39+'Coll. portables NiMH'!E39+'Coll. portables NiCd'!E39+'Coll. portables Other'!E39</f>
        <v>2107.6967163467521</v>
      </c>
      <c r="F32" s="23">
        <f>'Coll. portables Zn-based'!F39+'Coll. portables Li-Rechargeable'!F39+'Coll. portables Li-Primary'!F38+'Coll. portables Lead-acid'!F39+'Coll. portables NiMH'!F39+'Coll. portables NiCd'!F39+'Coll. portables Other'!F39</f>
        <v>2215.3423662489304</v>
      </c>
      <c r="G32" s="23">
        <f>'Coll. portables Zn-based'!G39+'Coll. portables Li-Rechargeable'!G39+'Coll. portables Li-Primary'!G38+'Coll. portables Lead-acid'!G39+'Coll. portables NiMH'!G39+'Coll. portables NiCd'!G39+'Coll. portables Other'!G39</f>
        <v>2194.4518062312941</v>
      </c>
      <c r="H32" s="23">
        <f>'Coll. portables Zn-based'!H39+'Coll. portables Li-Rechargeable'!H39+'Coll. portables Li-Primary'!H38+'Coll. portables Lead-acid'!H39+'Coll. portables NiMH'!H39+'Coll. portables NiCd'!H39+'Coll. portables Other'!H39</f>
        <v>2342.1570884870625</v>
      </c>
      <c r="I32" s="23">
        <f>'Coll. portables Zn-based'!I39+'Coll. portables Li-Rechargeable'!I39+'Coll. portables Li-Primary'!I38+'Coll. portables Lead-acid'!I39+'Coll. portables NiMH'!I39+'Coll. portables NiCd'!I39+'Coll. portables Other'!I39</f>
        <v>2229.0183087818086</v>
      </c>
      <c r="J32" s="23">
        <f>'Coll. portables Zn-based'!J39+'Coll. portables Li-Rechargeable'!J39+'Coll. portables Li-Primary'!J38+'Coll. portables Lead-acid'!J39+'Coll. portables NiMH'!J39+'Coll. portables NiCd'!J39+'Coll. portables Other'!J39</f>
        <v>2268.158642664308</v>
      </c>
      <c r="K32" s="23">
        <f>'Coll. portables Zn-based'!K39+'Coll. portables Li-Rechargeable'!K39+'Coll. portables Li-Primary'!K38+'Coll. portables Lead-acid'!K39+'Coll. portables NiMH'!K39+'Coll. portables NiCd'!K39+'Coll. portables Other'!K39</f>
        <v>2243.3370061349196</v>
      </c>
      <c r="L32" s="23">
        <f>'Coll. portables Zn-based'!L39+'Coll. portables Li-Rechargeable'!L39+'Coll. portables Li-Primary'!L38+'Coll. portables Lead-acid'!L39+'Coll. portables NiMH'!L39+'Coll. portables NiCd'!L39+'Coll. portables Other'!L39</f>
        <v>2254.2572159642364</v>
      </c>
      <c r="M32" s="32">
        <v>2374</v>
      </c>
      <c r="N32" s="32">
        <v>2572</v>
      </c>
      <c r="O32" s="32">
        <v>2525</v>
      </c>
      <c r="P32" s="32">
        <v>2734</v>
      </c>
      <c r="Q32" s="32">
        <v>2724</v>
      </c>
      <c r="R32" s="32">
        <v>2804</v>
      </c>
      <c r="S32" s="32">
        <v>2779</v>
      </c>
      <c r="T32" s="32">
        <v>2865</v>
      </c>
      <c r="U32" s="32">
        <v>3111</v>
      </c>
      <c r="V32" s="32">
        <v>3175</v>
      </c>
      <c r="W32" s="32">
        <v>3271</v>
      </c>
      <c r="X32" s="67">
        <f>('Collection Rate'!X32*SUM('Eurostat POM Portables'!V32:X32))/3</f>
        <v>3655.7966394224204</v>
      </c>
      <c r="Y32" s="67">
        <f>('Collection Rate'!Y32*SUM('Eurostat POM Portables'!W32:Y32))/3</f>
        <v>3929.146616975755</v>
      </c>
      <c r="Z32" s="67">
        <f>('Collection Rate'!Z32*SUM('Eurostat POM Portables'!X32:Z32))/3</f>
        <v>4099.9522038373625</v>
      </c>
      <c r="AA32" s="67">
        <f>('Collection Rate'!AA32*SUM('Eurostat POM Portables'!Y32:AA32))/3</f>
        <v>4285.7837890970095</v>
      </c>
      <c r="AB32" s="67">
        <f>('Collection Rate'!AB32*SUM('Eurostat POM Portables'!Z32:AB32))/3</f>
        <v>4469.7877795581107</v>
      </c>
      <c r="AC32" s="67">
        <f>('Collection Rate'!AC32*SUM('Eurostat POM Portables'!AA32:AC32))/3</f>
        <v>4657.2601527580109</v>
      </c>
      <c r="AD32" s="67">
        <f>('Collection Rate'!AD32*SUM('Eurostat POM Portables'!AB32:AD32))/3</f>
        <v>4858.0491082826875</v>
      </c>
      <c r="AE32" s="67">
        <f>('Collection Rate'!AE32*SUM('Eurostat POM Portables'!AC32:AE32))/3</f>
        <v>5096.9421268559727</v>
      </c>
      <c r="AF32" s="67">
        <f>('Collection Rate'!AF32*SUM('Eurostat POM Portables'!AD32:AF32))/3</f>
        <v>5370.220130014377</v>
      </c>
      <c r="AG32" s="67">
        <f>('Collection Rate'!AG32*SUM('Eurostat POM Portables'!AE32:AG32))/3</f>
        <v>5637.5377851058802</v>
      </c>
      <c r="AH32" s="67">
        <f>('Collection Rate'!AH32*SUM('Eurostat POM Portables'!AF32:AH32))/3</f>
        <v>5890.7695613340475</v>
      </c>
      <c r="AI32" s="67">
        <f>('Collection Rate'!AI32*SUM('Eurostat POM Portables'!AG32:AI32))/3</f>
        <v>6127.0805773756911</v>
      </c>
      <c r="AJ32" s="67">
        <f>('Collection Rate'!AJ32*SUM('Eurostat POM Portables'!AH32:AJ32))/3</f>
        <v>6375.3617414585242</v>
      </c>
      <c r="AK32" s="67">
        <f>('Collection Rate'!AK32*SUM('Eurostat POM Portables'!AI32:AK32))/3</f>
        <v>6636.376959063512</v>
      </c>
      <c r="AL32" s="67">
        <f>('Collection Rate'!AL32*SUM('Eurostat POM Portables'!AJ32:AL32))/3</f>
        <v>6910.8476978006593</v>
      </c>
      <c r="AM32" s="67">
        <f>('Collection Rate'!AM32*SUM('Eurostat POM Portables'!AK32:AM32))/3</f>
        <v>7199.538513232229</v>
      </c>
      <c r="AN32" s="67">
        <f>('Collection Rate'!AN32*SUM('Eurostat POM Portables'!AL32:AN32))/3</f>
        <v>7503.259666918766</v>
      </c>
      <c r="AO32" s="67">
        <f>('Collection Rate'!AO32*SUM('Eurostat POM Portables'!AM32:AO32))/3</f>
        <v>7821.29844144448</v>
      </c>
      <c r="AP32" s="67">
        <f>('Collection Rate'!AP32*SUM('Eurostat POM Portables'!AN32:AP32))/3</f>
        <v>8142.9333068287697</v>
      </c>
      <c r="AQ32" s="67">
        <f>('Collection Rate'!AQ32*SUM('Eurostat POM Portables'!AO32:AQ32))/3</f>
        <v>8408.4470794090339</v>
      </c>
      <c r="AR32" s="67">
        <f>('Collection Rate'!AR32*SUM('Eurostat POM Portables'!AP32:AR32))/3</f>
        <v>8614.3963211330483</v>
      </c>
      <c r="AS32" s="67">
        <f>('Collection Rate'!AS32*SUM('Eurostat POM Portables'!AQ32:AS32))/3</f>
        <v>8767.4255355870646</v>
      </c>
      <c r="AT32" s="67">
        <f>('Collection Rate'!AT32*SUM('Eurostat POM Portables'!AR32:AT32))/3</f>
        <v>8923.170555107683</v>
      </c>
      <c r="AU32" s="67">
        <f>('Collection Rate'!AU32*SUM('Eurostat POM Portables'!AS32:AU32))/3</f>
        <v>9081.9776885263873</v>
      </c>
      <c r="AV32" s="67">
        <f>('Collection Rate'!AV32*SUM('Eurostat POM Portables'!AT32:AV32))/3</f>
        <v>9241.9532345818097</v>
      </c>
      <c r="AW32" s="67">
        <f>('Collection Rate'!AW32*SUM('Eurostat POM Portables'!AU32:AW32))/3</f>
        <v>9403.0734525900989</v>
      </c>
      <c r="AX32" s="67">
        <f>('Collection Rate'!AX32*SUM('Eurostat POM Portables'!AV32:AX32))/3</f>
        <v>9565.3129274277362</v>
      </c>
      <c r="AY32" s="67">
        <f>('Collection Rate'!AY32*SUM('Eurostat POM Portables'!AW32:AY32))/3</f>
        <v>9730.6129322171728</v>
      </c>
      <c r="AZ32" s="67">
        <f>('Collection Rate'!AZ32*SUM('Eurostat POM Portables'!AX32:AZ32))/3</f>
        <v>9899.034094658351</v>
      </c>
    </row>
    <row r="33" spans="1:52" x14ac:dyDescent="0.35">
      <c r="A33" s="1" t="s">
        <v>30</v>
      </c>
      <c r="B33" s="23">
        <f>'Coll. portables Zn-based'!B40+'Coll. portables Li-Rechargeable'!B40+'Coll. portables Li-Primary'!B39+'Coll. portables Lead-acid'!B40+'Coll. portables NiMH'!B40+'Coll. portables NiCd'!B40+'Coll. portables Other'!B40</f>
        <v>6433.2665524758322</v>
      </c>
      <c r="C33" s="23">
        <f>'Coll. portables Zn-based'!C40+'Coll. portables Li-Rechargeable'!C40+'Coll. portables Li-Primary'!C39+'Coll. portables Lead-acid'!C40+'Coll. portables NiMH'!C40+'Coll. portables NiCd'!C40+'Coll. portables Other'!C40</f>
        <v>6632.9691444704176</v>
      </c>
      <c r="D33" s="23">
        <f>'Coll. portables Zn-based'!D40+'Coll. portables Li-Rechargeable'!D40+'Coll. portables Li-Primary'!D39+'Coll. portables Lead-acid'!D40+'Coll. portables NiMH'!D40+'Coll. portables NiCd'!D40+'Coll. portables Other'!D40</f>
        <v>6845.3783739324917</v>
      </c>
      <c r="E33" s="23">
        <f>'Coll. portables Zn-based'!E40+'Coll. portables Li-Rechargeable'!E40+'Coll. portables Li-Primary'!E39+'Coll. portables Lead-acid'!E40+'Coll. portables NiMH'!E40+'Coll. portables NiCd'!E40+'Coll. portables Other'!E40</f>
        <v>7084.8440591605249</v>
      </c>
      <c r="F33" s="23">
        <f>'Coll. portables Zn-based'!F40+'Coll. portables Li-Rechargeable'!F40+'Coll. portables Li-Primary'!F39+'Coll. portables Lead-acid'!F40+'Coll. portables NiMH'!F40+'Coll. portables NiCd'!F40+'Coll. portables Other'!F40</f>
        <v>7446.6857972478783</v>
      </c>
      <c r="G33" s="23">
        <f>'Coll. portables Zn-based'!G40+'Coll. portables Li-Rechargeable'!G40+'Coll. portables Li-Primary'!G39+'Coll. portables Lead-acid'!G40+'Coll. portables NiMH'!G40+'Coll. portables NiCd'!G40+'Coll. portables Other'!G40</f>
        <v>7376.4639484944073</v>
      </c>
      <c r="H33" s="23">
        <f>'Coll. portables Zn-based'!H40+'Coll. portables Li-Rechargeable'!H40+'Coll. portables Li-Primary'!H39+'Coll. portables Lead-acid'!H40+'Coll. portables NiMH'!H40+'Coll. portables NiCd'!H40+'Coll. portables Other'!H40</f>
        <v>7872.9627490003213</v>
      </c>
      <c r="I33" s="23">
        <f>'Coll. portables Zn-based'!I40+'Coll. portables Li-Rechargeable'!I40+'Coll. portables Li-Primary'!I39+'Coll. portables Lead-acid'!I40+'Coll. portables NiMH'!I40+'Coll. portables NiCd'!I40+'Coll. portables Other'!I40</f>
        <v>7492.6563201679992</v>
      </c>
      <c r="J33" s="23">
        <f>'Coll. portables Zn-based'!J40+'Coll. portables Li-Rechargeable'!J40+'Coll. portables Li-Primary'!J39+'Coll. portables Lead-acid'!J40+'Coll. portables NiMH'!J40+'Coll. portables NiCd'!J40+'Coll. portables Other'!J40</f>
        <v>7624.2232386104388</v>
      </c>
      <c r="K33" s="23">
        <f>'Coll. portables Zn-based'!K40+'Coll. portables Li-Rechargeable'!K40+'Coll. portables Li-Primary'!K39+'Coll. portables Lead-acid'!K40+'Coll. portables NiMH'!K40+'Coll. portables NiCd'!K40+'Coll. portables Other'!K40</f>
        <v>7540.7874089960642</v>
      </c>
      <c r="L33" s="23">
        <f>'Coll. portables Zn-based'!L40+'Coll. portables Li-Rechargeable'!L40+'Coll. portables Li-Primary'!L39+'Coll. portables Lead-acid'!L40+'Coll. portables NiMH'!L40+'Coll. portables NiCd'!L40+'Coll. portables Other'!L40</f>
        <v>7577.4947697534144</v>
      </c>
      <c r="M33" s="31">
        <v>7980</v>
      </c>
      <c r="N33" s="31">
        <v>10908</v>
      </c>
      <c r="O33" s="31">
        <v>12187</v>
      </c>
      <c r="P33" s="31">
        <v>13167</v>
      </c>
      <c r="Q33" s="31">
        <v>15238</v>
      </c>
      <c r="R33" s="31">
        <v>17233</v>
      </c>
      <c r="S33" s="31">
        <v>17427</v>
      </c>
      <c r="T33" s="31">
        <v>17811.319</v>
      </c>
      <c r="U33" s="31">
        <v>17675.609</v>
      </c>
      <c r="V33" s="31">
        <v>17728.224000000002</v>
      </c>
      <c r="W33" s="31">
        <v>18292.238000000001</v>
      </c>
      <c r="X33" s="67">
        <f>('Collection Rate'!X33*SUM('Eurostat POM Portables'!V33:X33))/3</f>
        <v>19634.896561462614</v>
      </c>
      <c r="Y33" s="67">
        <f>('Collection Rate'!Y33*SUM('Eurostat POM Portables'!W33:Y33))/3</f>
        <v>20886.768451946547</v>
      </c>
      <c r="Z33" s="67">
        <f>('Collection Rate'!Z33*SUM('Eurostat POM Portables'!X33:Z33))/3</f>
        <v>21994.91807710682</v>
      </c>
      <c r="AA33" s="67">
        <f>('Collection Rate'!AA33*SUM('Eurostat POM Portables'!Y33:AA33))/3</f>
        <v>23200.295227568455</v>
      </c>
      <c r="AB33" s="67">
        <f>('Collection Rate'!AB33*SUM('Eurostat POM Portables'!Z33:AB33))/3</f>
        <v>24412.943394298851</v>
      </c>
      <c r="AC33" s="67">
        <f>('Collection Rate'!AC33*SUM('Eurostat POM Portables'!AA33:AC33))/3</f>
        <v>25661.681104094809</v>
      </c>
      <c r="AD33" s="67">
        <f>('Collection Rate'!AD33*SUM('Eurostat POM Portables'!AB33:AD33))/3</f>
        <v>27001.650138261957</v>
      </c>
      <c r="AE33" s="67">
        <f>('Collection Rate'!AE33*SUM('Eurostat POM Portables'!AC33:AE33))/3</f>
        <v>28573.626525753654</v>
      </c>
      <c r="AF33" s="67">
        <f>('Collection Rate'!AF33*SUM('Eurostat POM Portables'!AD33:AF33))/3</f>
        <v>30361.935501091979</v>
      </c>
      <c r="AG33" s="67">
        <f>('Collection Rate'!AG33*SUM('Eurostat POM Portables'!AE33:AG33))/3</f>
        <v>32141.33725090342</v>
      </c>
      <c r="AH33" s="67">
        <f>('Collection Rate'!AH33*SUM('Eurostat POM Portables'!AF33:AH33))/3</f>
        <v>33864.132816256591</v>
      </c>
      <c r="AI33" s="67">
        <f>('Collection Rate'!AI33*SUM('Eurostat POM Portables'!AG33:AI33))/3</f>
        <v>35511.760684703004</v>
      </c>
      <c r="AJ33" s="67">
        <f>('Collection Rate'!AJ33*SUM('Eurostat POM Portables'!AH33:AJ33))/3</f>
        <v>37250.512278704169</v>
      </c>
      <c r="AK33" s="67">
        <f>('Collection Rate'!AK33*SUM('Eurostat POM Portables'!AI33:AK33))/3</f>
        <v>39086.450522939289</v>
      </c>
      <c r="AL33" s="67">
        <f>('Collection Rate'!AL33*SUM('Eurostat POM Portables'!AJ33:AL33))/3</f>
        <v>41025.517383275401</v>
      </c>
      <c r="AM33" s="67">
        <f>('Collection Rate'!AM33*SUM('Eurostat POM Portables'!AK33:AM33))/3</f>
        <v>43074.034477611604</v>
      </c>
      <c r="AN33" s="67">
        <f>('Collection Rate'!AN33*SUM('Eurostat POM Portables'!AL33:AN33))/3</f>
        <v>45238.727711656829</v>
      </c>
      <c r="AO33" s="67">
        <f>('Collection Rate'!AO33*SUM('Eurostat POM Portables'!AM33:AO33))/3</f>
        <v>47517.206309430934</v>
      </c>
      <c r="AP33" s="67">
        <f>('Collection Rate'!AP33*SUM('Eurostat POM Portables'!AN33:AP33))/3</f>
        <v>49845.666749223841</v>
      </c>
      <c r="AQ33" s="67">
        <f>('Collection Rate'!AQ33*SUM('Eurostat POM Portables'!AO33:AQ33))/3</f>
        <v>51856.163808113466</v>
      </c>
      <c r="AR33" s="67">
        <f>('Collection Rate'!AR33*SUM('Eurostat POM Portables'!AP33:AR33))/3</f>
        <v>53519.464410671171</v>
      </c>
      <c r="AS33" s="67">
        <f>('Collection Rate'!AS33*SUM('Eurostat POM Portables'!AQ33:AS33))/3</f>
        <v>54868.899713995277</v>
      </c>
      <c r="AT33" s="67">
        <f>('Collection Rate'!AT33*SUM('Eurostat POM Portables'!AR33:AT33))/3</f>
        <v>56247.886114541296</v>
      </c>
      <c r="AU33" s="67">
        <f>('Collection Rate'!AU33*SUM('Eurostat POM Portables'!AS33:AU33))/3</f>
        <v>57658.921833201923</v>
      </c>
      <c r="AV33" s="67">
        <f>('Collection Rate'!AV33*SUM('Eurostat POM Portables'!AT33:AV33))/3</f>
        <v>59090.243263873825</v>
      </c>
      <c r="AW33" s="67">
        <f>('Collection Rate'!AW33*SUM('Eurostat POM Portables'!AU33:AW33))/3</f>
        <v>60541.784597099555</v>
      </c>
      <c r="AX33" s="67">
        <f>('Collection Rate'!AX33*SUM('Eurostat POM Portables'!AV33:AX33))/3</f>
        <v>62013.464294454898</v>
      </c>
      <c r="AY33" s="67">
        <f>('Collection Rate'!AY33*SUM('Eurostat POM Portables'!AW33:AY33))/3</f>
        <v>63518.033542596015</v>
      </c>
      <c r="AZ33" s="67">
        <f>('Collection Rate'!AZ33*SUM('Eurostat POM Portables'!AX33:AZ33))/3</f>
        <v>65056.227602201398</v>
      </c>
    </row>
    <row r="34" spans="1:52" x14ac:dyDescent="0.35">
      <c r="A34" s="1" t="s">
        <v>31</v>
      </c>
      <c r="B34" s="31">
        <f t="shared" ref="B34:L34" si="1">SUM(B3:B33)</f>
        <v>57000.698489891729</v>
      </c>
      <c r="C34" s="31">
        <f t="shared" si="1"/>
        <v>58771.473639993834</v>
      </c>
      <c r="D34" s="31">
        <f t="shared" si="1"/>
        <v>60655.093117562486</v>
      </c>
      <c r="E34" s="31">
        <f t="shared" si="1"/>
        <v>62778.806806503431</v>
      </c>
      <c r="F34" s="31">
        <f t="shared" si="1"/>
        <v>65984.805201106763</v>
      </c>
      <c r="G34" s="31">
        <f t="shared" si="1"/>
        <v>65369.755748522191</v>
      </c>
      <c r="H34" s="31">
        <f t="shared" si="1"/>
        <v>69770.24532106804</v>
      </c>
      <c r="I34" s="31">
        <f t="shared" si="1"/>
        <v>66398.190965139816</v>
      </c>
      <c r="J34" s="31">
        <f t="shared" si="1"/>
        <v>67569.011665543221</v>
      </c>
      <c r="K34" s="31">
        <f t="shared" si="1"/>
        <v>66825.794624356946</v>
      </c>
      <c r="L34" s="31">
        <f t="shared" si="1"/>
        <v>67160.599976625526</v>
      </c>
      <c r="M34" s="31">
        <f>SUM(M3:M33)</f>
        <v>70739.623991038912</v>
      </c>
      <c r="N34" s="31">
        <f t="shared" ref="N34:AZ34" si="2">SUM(N3:N33)</f>
        <v>77787.141376485524</v>
      </c>
      <c r="O34" s="31">
        <f t="shared" si="2"/>
        <v>80047.577242253901</v>
      </c>
      <c r="P34" s="31">
        <f t="shared" si="2"/>
        <v>85187.059037832791</v>
      </c>
      <c r="Q34" s="31">
        <f t="shared" si="2"/>
        <v>93002.3</v>
      </c>
      <c r="R34" s="31">
        <f t="shared" si="2"/>
        <v>103453.2</v>
      </c>
      <c r="S34" s="31">
        <f t="shared" si="2"/>
        <v>104695.6</v>
      </c>
      <c r="T34" s="31">
        <f t="shared" si="2"/>
        <v>111818.11900000001</v>
      </c>
      <c r="U34" s="31">
        <f t="shared" si="2"/>
        <v>123101.709</v>
      </c>
      <c r="V34" s="31">
        <f t="shared" si="2"/>
        <v>121595.424</v>
      </c>
      <c r="W34" s="31">
        <f t="shared" si="2"/>
        <v>133188.63800000001</v>
      </c>
      <c r="X34" s="31">
        <f t="shared" si="2"/>
        <v>143296.79901087223</v>
      </c>
      <c r="Y34" s="31">
        <f t="shared" si="2"/>
        <v>151597.64597236106</v>
      </c>
      <c r="Z34" s="31">
        <f t="shared" si="2"/>
        <v>159280.1357037639</v>
      </c>
      <c r="AA34" s="31">
        <f t="shared" si="2"/>
        <v>167622.29684097631</v>
      </c>
      <c r="AB34" s="31">
        <f t="shared" si="2"/>
        <v>175932.13240248256</v>
      </c>
      <c r="AC34" s="31">
        <f t="shared" si="2"/>
        <v>184428.64316177258</v>
      </c>
      <c r="AD34" s="31">
        <f t="shared" si="2"/>
        <v>193531.60383573829</v>
      </c>
      <c r="AE34" s="31">
        <f t="shared" si="2"/>
        <v>204296.04551255665</v>
      </c>
      <c r="AF34" s="31">
        <f t="shared" si="2"/>
        <v>216591.25350768716</v>
      </c>
      <c r="AG34" s="31">
        <f t="shared" si="2"/>
        <v>228785.43123653837</v>
      </c>
      <c r="AH34" s="31">
        <f t="shared" si="2"/>
        <v>240532.12327988714</v>
      </c>
      <c r="AI34" s="31">
        <f t="shared" si="2"/>
        <v>251703.95612881429</v>
      </c>
      <c r="AJ34" s="31">
        <f t="shared" si="2"/>
        <v>263482.52010287927</v>
      </c>
      <c r="AK34" s="31">
        <f t="shared" si="2"/>
        <v>275907.52300576936</v>
      </c>
      <c r="AL34" s="31">
        <f t="shared" si="2"/>
        <v>289017.89159066771</v>
      </c>
      <c r="AM34" s="31">
        <f t="shared" si="2"/>
        <v>302855.00822511123</v>
      </c>
      <c r="AN34" s="31">
        <f t="shared" si="2"/>
        <v>317462.86836699996</v>
      </c>
      <c r="AO34" s="31">
        <f t="shared" si="2"/>
        <v>332820.63094111788</v>
      </c>
      <c r="AP34" s="31">
        <f t="shared" si="2"/>
        <v>348479.4031008688</v>
      </c>
      <c r="AQ34" s="31">
        <f t="shared" si="2"/>
        <v>361869.174911696</v>
      </c>
      <c r="AR34" s="31">
        <f t="shared" si="2"/>
        <v>372801.38828462869</v>
      </c>
      <c r="AS34" s="31">
        <f t="shared" si="2"/>
        <v>381521.29896023043</v>
      </c>
      <c r="AT34" s="31">
        <f t="shared" si="2"/>
        <v>390426.60002615233</v>
      </c>
      <c r="AU34" s="31">
        <f t="shared" si="2"/>
        <v>399532.98124164529</v>
      </c>
      <c r="AV34" s="31">
        <f t="shared" si="2"/>
        <v>408757.51972108381</v>
      </c>
      <c r="AW34" s="31">
        <f t="shared" si="2"/>
        <v>418099.55258103623</v>
      </c>
      <c r="AX34" s="31">
        <f t="shared" si="2"/>
        <v>427558.31373917504</v>
      </c>
      <c r="AY34" s="31">
        <f t="shared" si="2"/>
        <v>437222.38188015</v>
      </c>
      <c r="AZ34" s="31">
        <f t="shared" si="2"/>
        <v>447096.26059668558</v>
      </c>
    </row>
    <row r="35" spans="1:52" x14ac:dyDescent="0.35">
      <c r="M35" s="17"/>
      <c r="N35" s="17"/>
      <c r="P35" s="17"/>
      <c r="Q35" s="17"/>
      <c r="R35" s="17"/>
      <c r="S35" s="17"/>
      <c r="T35" s="17"/>
      <c r="U35" s="17"/>
      <c r="V35" s="17"/>
      <c r="W35" s="17"/>
    </row>
    <row r="36" spans="1:52" x14ac:dyDescent="0.35">
      <c r="A36" s="37" t="s">
        <v>61</v>
      </c>
      <c r="B36" s="37"/>
      <c r="C36" s="37"/>
    </row>
    <row r="37" spans="1:52" x14ac:dyDescent="0.35">
      <c r="A37" s="5" t="s">
        <v>59</v>
      </c>
      <c r="B37" s="5"/>
      <c r="C37" s="33">
        <f>_xlfn.RRI(2,M34,O34)</f>
        <v>6.3757713928285664E-2</v>
      </c>
    </row>
    <row r="38" spans="1:52" x14ac:dyDescent="0.35">
      <c r="A38" s="35" t="s">
        <v>60</v>
      </c>
      <c r="B38" s="35"/>
      <c r="C38" s="36">
        <f>_xlfn.RRI(4,M34,Q34)</f>
        <v>7.0798454027290569E-2</v>
      </c>
    </row>
    <row r="39" spans="1:52" x14ac:dyDescent="0.35">
      <c r="A39" s="38" t="s">
        <v>62</v>
      </c>
      <c r="B39" s="38"/>
      <c r="C39" s="39"/>
    </row>
    <row r="40" spans="1:52" x14ac:dyDescent="0.35">
      <c r="A40" s="41" t="s">
        <v>63</v>
      </c>
      <c r="B40" s="41"/>
      <c r="C40" s="41"/>
      <c r="D40" s="6"/>
      <c r="E40" s="6"/>
      <c r="F40" s="6"/>
      <c r="G40" s="6"/>
      <c r="H40" s="6"/>
      <c r="I40" s="6"/>
      <c r="J40" s="6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650A-B0AC-410A-93F2-BC36A65F13DD}">
  <sheetPr>
    <tabColor theme="5"/>
  </sheetPr>
  <dimension ref="A1:AZ38"/>
  <sheetViews>
    <sheetView topLeftCell="O1" zoomScale="110" zoomScaleNormal="110" workbookViewId="0">
      <selection activeCell="X3" sqref="X3"/>
    </sheetView>
  </sheetViews>
  <sheetFormatPr baseColWidth="10" defaultRowHeight="14.5" x14ac:dyDescent="0.35"/>
  <cols>
    <col min="1" max="1" width="27.54296875" customWidth="1"/>
    <col min="2" max="6" width="10.90625" customWidth="1"/>
    <col min="7" max="12" width="12.36328125" customWidth="1"/>
    <col min="13" max="13" width="12.7265625" bestFit="1" customWidth="1"/>
    <col min="14" max="16" width="11.26953125" bestFit="1" customWidth="1"/>
    <col min="17" max="17" width="13.453125" customWidth="1"/>
    <col min="18" max="22" width="11.26953125" bestFit="1" customWidth="1"/>
    <col min="24" max="33" width="11" bestFit="1" customWidth="1"/>
    <col min="34" max="52" width="11.26953125" bestFit="1" customWidth="1"/>
  </cols>
  <sheetData>
    <row r="1" spans="1:52" x14ac:dyDescent="0.35">
      <c r="A1" s="52" t="s">
        <v>80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52" x14ac:dyDescent="0.35">
      <c r="A2" s="52"/>
      <c r="B2" s="50">
        <v>2000</v>
      </c>
      <c r="C2" s="50">
        <v>2001</v>
      </c>
      <c r="D2" s="50">
        <v>2002</v>
      </c>
      <c r="E2" s="50">
        <v>2003</v>
      </c>
      <c r="F2" s="50">
        <v>2004</v>
      </c>
      <c r="G2" s="50">
        <v>2005</v>
      </c>
      <c r="H2" s="50">
        <v>2006</v>
      </c>
      <c r="I2" s="50">
        <v>2007</v>
      </c>
      <c r="J2" s="50">
        <v>2008</v>
      </c>
      <c r="K2" s="50">
        <v>2009</v>
      </c>
      <c r="L2" s="50">
        <v>2010</v>
      </c>
      <c r="M2" s="52">
        <v>2011</v>
      </c>
      <c r="N2" s="52">
        <v>2012</v>
      </c>
      <c r="O2" s="52">
        <v>2013</v>
      </c>
      <c r="P2" s="52">
        <v>2014</v>
      </c>
      <c r="Q2" s="52">
        <v>2015</v>
      </c>
      <c r="R2" s="52">
        <v>2016</v>
      </c>
      <c r="S2" s="52">
        <v>2017</v>
      </c>
      <c r="T2" s="52">
        <v>2018</v>
      </c>
      <c r="U2" s="52">
        <v>2019</v>
      </c>
      <c r="V2" s="52">
        <v>2020</v>
      </c>
      <c r="W2" s="52">
        <v>2021</v>
      </c>
      <c r="X2" s="51">
        <v>2022</v>
      </c>
      <c r="Y2" s="51">
        <v>2023</v>
      </c>
      <c r="Z2" s="51">
        <v>2024</v>
      </c>
      <c r="AA2" s="51">
        <v>2025</v>
      </c>
      <c r="AB2" s="51">
        <v>2026</v>
      </c>
      <c r="AC2" s="51">
        <v>2027</v>
      </c>
      <c r="AD2" s="51">
        <v>2028</v>
      </c>
      <c r="AE2" s="51">
        <v>2029</v>
      </c>
      <c r="AF2" s="51">
        <v>2030</v>
      </c>
      <c r="AG2" s="51">
        <v>2031</v>
      </c>
      <c r="AH2" s="51">
        <v>2032</v>
      </c>
      <c r="AI2" s="51">
        <v>2033</v>
      </c>
      <c r="AJ2" s="51">
        <v>2034</v>
      </c>
      <c r="AK2" s="51">
        <v>2035</v>
      </c>
      <c r="AL2" s="51">
        <v>2036</v>
      </c>
      <c r="AM2" s="51">
        <v>2037</v>
      </c>
      <c r="AN2" s="51">
        <v>2038</v>
      </c>
      <c r="AO2" s="51">
        <v>2039</v>
      </c>
      <c r="AP2" s="51">
        <v>2040</v>
      </c>
      <c r="AQ2" s="51">
        <v>2041</v>
      </c>
      <c r="AR2" s="51">
        <v>2042</v>
      </c>
      <c r="AS2" s="51">
        <v>2043</v>
      </c>
      <c r="AT2" s="51">
        <v>2044</v>
      </c>
      <c r="AU2" s="51">
        <v>2045</v>
      </c>
      <c r="AV2" s="51">
        <v>2046</v>
      </c>
      <c r="AW2" s="51">
        <v>2047</v>
      </c>
      <c r="AX2" s="51">
        <v>2048</v>
      </c>
      <c r="AY2" s="51">
        <v>2049</v>
      </c>
      <c r="AZ2" s="51">
        <v>2050</v>
      </c>
    </row>
    <row r="3" spans="1:52" x14ac:dyDescent="0.35">
      <c r="A3" s="52" t="s">
        <v>0</v>
      </c>
      <c r="B3" s="23">
        <f>'[2]POM Portables Zn-based'!B12+'[2]POM Portables NiMH'!B12+'[2]POM Portables Li-Primary'!B12+'[2]POM Portables Lead-acid'!B12+'[2]POM Portables NiCd'!B12+'[2]POM Portables Li-Rechargeable'!B12+'[2]POM Portables Other'!B12</f>
        <v>2388.4356176936612</v>
      </c>
      <c r="C3" s="23">
        <f>'[2]POM Portables Zn-based'!C12+'[2]POM Portables NiMH'!C12+'[2]POM Portables Li-Primary'!C12+'[2]POM Portables Lead-acid'!C12+'[2]POM Portables NiCd'!C12+'[2]POM Portables Li-Rechargeable'!C12+'[2]POM Portables Other'!C12</f>
        <v>2475.0032268414379</v>
      </c>
      <c r="D3" s="23">
        <f>'[2]POM Portables Zn-based'!D12+'[2]POM Portables NiMH'!D12+'[2]POM Portables Li-Primary'!D12+'[2]POM Portables Lead-acid'!D12+'[2]POM Portables NiCd'!D12+'[2]POM Portables Li-Rechargeable'!D12+'[2]POM Portables Other'!D12</f>
        <v>2570.9791592015308</v>
      </c>
      <c r="E3" s="23">
        <f>'[2]POM Portables Zn-based'!E12+'[2]POM Portables NiMH'!E12+'[2]POM Portables Li-Primary'!E12+'[2]POM Portables Lead-acid'!E12+'[2]POM Portables NiCd'!E12+'[2]POM Portables Li-Rechargeable'!E12+'[2]POM Portables Other'!E12</f>
        <v>2693.5216271592135</v>
      </c>
      <c r="F3" s="23">
        <f>'[2]POM Portables Zn-based'!F12+'[2]POM Portables NiMH'!F12+'[2]POM Portables Li-Primary'!F12+'[2]POM Portables Lead-acid'!F12+'[2]POM Portables NiCd'!F12+'[2]POM Portables Li-Rechargeable'!F12+'[2]POM Portables Other'!F12</f>
        <v>2861.899354948046</v>
      </c>
      <c r="G3" s="23">
        <f>'[2]POM Portables Zn-based'!G12+'[2]POM Portables NiMH'!G12+'[2]POM Portables Li-Primary'!G12+'[2]POM Portables Lead-acid'!G12+'[2]POM Portables NiCd'!G12+'[2]POM Portables Li-Rechargeable'!G12+'[2]POM Portables Other'!G12</f>
        <v>2912.5671200865822</v>
      </c>
      <c r="H3" s="23">
        <f>'[2]POM Portables Zn-based'!H12+'[2]POM Portables NiMH'!H12+'[2]POM Portables Li-Primary'!H12+'[2]POM Portables Lead-acid'!H12+'[2]POM Portables NiCd'!H12+'[2]POM Portables Li-Rechargeable'!H12+'[2]POM Portables Other'!H12</f>
        <v>3109.5686924434676</v>
      </c>
      <c r="I3" s="23">
        <f>'[2]POM Portables Zn-based'!I12+'[2]POM Portables NiMH'!I12+'[2]POM Portables Li-Primary'!I12+'[2]POM Portables Lead-acid'!I12+'[2]POM Portables NiCd'!I12+'[2]POM Portables Li-Rechargeable'!I12+'[2]POM Portables Other'!I12</f>
        <v>3038.0618672284504</v>
      </c>
      <c r="J3" s="23">
        <f>'[2]POM Portables Zn-based'!J12+'[2]POM Portables NiMH'!J12+'[2]POM Portables Li-Primary'!J12+'[2]POM Portables Lead-acid'!J12+'[2]POM Portables NiCd'!J12+'[2]POM Portables Li-Rechargeable'!J12+'[2]POM Portables Other'!J12</f>
        <v>3199.8652863771981</v>
      </c>
      <c r="K3" s="23">
        <f>'[2]POM Portables Zn-based'!K12+'[2]POM Portables NiMH'!K12+'[2]POM Portables Li-Primary'!K12+'[2]POM Portables Lead-acid'!K12+'[2]POM Portables NiCd'!K12+'[2]POM Portables Li-Rechargeable'!K12+'[2]POM Portables Other'!K12</f>
        <v>3076.6524810872211</v>
      </c>
      <c r="L3" s="23">
        <f>'[2]POM Portables Zn-based'!L12+'[2]POM Portables NiMH'!L12+'[2]POM Portables Li-Primary'!L12+'[2]POM Portables Lead-acid'!L12+'[2]POM Portables NiCd'!L12+'[2]POM Portables Li-Rechargeable'!L12+'[2]POM Portables Other'!L12</f>
        <v>3315.2115999396892</v>
      </c>
      <c r="M3" s="4">
        <v>3613.8815199999999</v>
      </c>
      <c r="N3" s="4">
        <v>3717.17967</v>
      </c>
      <c r="O3" s="4">
        <v>3891.5479999999998</v>
      </c>
      <c r="P3" s="4">
        <v>4086.6320000000001</v>
      </c>
      <c r="Q3" s="4">
        <v>4547.2908499999994</v>
      </c>
      <c r="R3" s="4">
        <v>4708.0496800000001</v>
      </c>
      <c r="S3" s="4">
        <v>4745.6249200000002</v>
      </c>
      <c r="T3" s="4">
        <v>5449.4412599999996</v>
      </c>
      <c r="U3" s="4">
        <v>5760.4455499999995</v>
      </c>
      <c r="V3" s="4">
        <v>6346.9841100000003</v>
      </c>
      <c r="W3" s="4">
        <v>6139</v>
      </c>
      <c r="X3" s="67">
        <f>'POM Portables Zn-based'!X12+'POM Portables Li-Rechargeab'!X12+'POM Portables Li-Primary'!X12+'POM Portables Lead-acid'!X12+'POM Portables NiMH'!X12+'POM Portables NiCd'!X12+'POM Portables Other'!X12</f>
        <v>6383.8717776971416</v>
      </c>
      <c r="Y3" s="67">
        <f>'POM Portables Zn-based'!Y12+'POM Portables Li-Rechargeab'!Y12+'POM Portables Li-Primary'!Y12+'POM Portables Lead-acid'!Y12+'POM Portables NiMH'!Y12+'POM Portables NiCd'!Y12+'POM Portables Other'!Y12</f>
        <v>6646.9794813038825</v>
      </c>
      <c r="Z3" s="67">
        <f>'POM Portables Zn-based'!Z12+'POM Portables Li-Rechargeab'!Z12+'POM Portables Li-Primary'!Z12+'POM Portables Lead-acid'!Z12+'POM Portables NiMH'!Z12+'POM Portables NiCd'!Z12+'POM Portables Other'!Z12</f>
        <v>6934.3065314110381</v>
      </c>
      <c r="AA3" s="67">
        <f>'POM Portables Zn-based'!AA12+'POM Portables Li-Rechargeab'!AA12+'POM Portables Li-Primary'!AA12+'POM Portables Lead-acid'!AA12+'POM Portables NiMH'!AA12+'POM Portables NiCd'!AA12+'POM Portables Other'!AA12</f>
        <v>7249.1915018781292</v>
      </c>
      <c r="AB3" s="67">
        <f>'POM Portables Zn-based'!AB12+'POM Portables Li-Rechargeab'!AB12+'POM Portables Li-Primary'!AB12+'POM Portables Lead-acid'!AB12+'POM Portables NiMH'!AB12+'POM Portables NiCd'!AB12+'POM Portables Other'!AB12</f>
        <v>7500.1550737393463</v>
      </c>
      <c r="AC3" s="67">
        <f>'POM Portables Zn-based'!AC12+'POM Portables Li-Rechargeab'!AC12+'POM Portables Li-Primary'!AC12+'POM Portables Lead-acid'!AC12+'POM Portables NiMH'!AC12+'POM Portables NiCd'!AC12+'POM Portables Other'!AC12</f>
        <v>7801.0499301317759</v>
      </c>
      <c r="AD3" s="67">
        <f>'POM Portables Zn-based'!AD12+'POM Portables Li-Rechargeab'!AD12+'POM Portables Li-Primary'!AD12+'POM Portables Lead-acid'!AD12+'POM Portables NiMH'!AD12+'POM Portables NiCd'!AD12+'POM Portables Other'!AD12</f>
        <v>8177.0207751817616</v>
      </c>
      <c r="AE3" s="67">
        <f>'POM Portables Zn-based'!AE12+'POM Portables Li-Rechargeab'!AE12+'POM Portables Li-Primary'!AE12+'POM Portables Lead-acid'!AE12+'POM Portables NiMH'!AE12+'POM Portables NiCd'!AE12+'POM Portables Other'!AE12</f>
        <v>8608.2936166224954</v>
      </c>
      <c r="AF3" s="67">
        <f>'POM Portables Zn-based'!AF12+'POM Portables Li-Rechargeab'!AF12+'POM Portables Li-Primary'!AF12+'POM Portables Lead-acid'!AF12+'POM Portables NiMH'!AF12+'POM Portables NiCd'!AF12+'POM Portables Other'!AF12</f>
        <v>9070.5746508783141</v>
      </c>
      <c r="AG3" s="67">
        <f>'POM Portables Zn-based'!AG12+'POM Portables Li-Rechargeab'!AG12+'POM Portables Li-Primary'!AG12+'POM Portables Lead-acid'!AG12+'POM Portables NiMH'!AG12+'POM Portables NiCd'!AG12+'POM Portables Other'!AG12</f>
        <v>9413.1378327035254</v>
      </c>
      <c r="AH3" s="67">
        <f>'POM Portables Zn-based'!AH12+'POM Portables Li-Rechargeab'!AH12+'POM Portables Li-Primary'!AH12+'POM Portables Lead-acid'!AH12+'POM Portables NiMH'!AH12+'POM Portables NiCd'!AH12+'POM Portables Other'!AH12</f>
        <v>9772.2154367012681</v>
      </c>
      <c r="AI3" s="67">
        <f>'POM Portables Zn-based'!AI12+'POM Portables Li-Rechargeab'!AI12+'POM Portables Li-Primary'!AI12+'POM Portables Lead-acid'!AI12+'POM Portables NiMH'!AI12+'POM Portables NiCd'!AI12+'POM Portables Other'!AI12</f>
        <v>10149.133623669375</v>
      </c>
      <c r="AJ3" s="67">
        <f>'POM Portables Zn-based'!AJ12+'POM Portables Li-Rechargeab'!AJ12+'POM Portables Li-Primary'!AJ12+'POM Portables Lead-acid'!AJ12+'POM Portables NiMH'!AJ12+'POM Portables NiCd'!AJ12+'POM Portables Other'!AJ12</f>
        <v>10544.874061135302</v>
      </c>
      <c r="AK3" s="67">
        <f>'POM Portables Zn-based'!AK12+'POM Portables Li-Rechargeab'!AK12+'POM Portables Li-Primary'!AK12+'POM Portables Lead-acid'!AK12+'POM Portables NiMH'!AK12+'POM Portables NiCd'!AK12+'POM Portables Other'!AK12</f>
        <v>10960.475510889626</v>
      </c>
      <c r="AL3" s="67">
        <f>'POM Portables Zn-based'!AL12+'POM Portables Li-Rechargeab'!AL12+'POM Portables Li-Primary'!AL12+'POM Portables Lead-acid'!AL12+'POM Portables NiMH'!AL12+'POM Portables NiCd'!AL12+'POM Portables Other'!AL12</f>
        <v>11397.037202926889</v>
      </c>
      <c r="AM3" s="67">
        <f>'POM Portables Zn-based'!AM12+'POM Portables Li-Rechargeab'!AM12+'POM Portables Li-Primary'!AM12+'POM Portables Lead-acid'!AM12+'POM Portables NiMH'!AM12+'POM Portables NiCd'!AM12+'POM Portables Other'!AM12</f>
        <v>11855.722410290182</v>
      </c>
      <c r="AN3" s="67">
        <f>'POM Portables Zn-based'!AN12+'POM Portables Li-Rechargeab'!AN12+'POM Portables Li-Primary'!AN12+'POM Portables Lead-acid'!AN12+'POM Portables NiMH'!AN12+'POM Portables NiCd'!AN12+'POM Portables Other'!AN12</f>
        <v>12337.762236812487</v>
      </c>
      <c r="AO3" s="67">
        <f>'POM Portables Zn-based'!AO12+'POM Portables Li-Rechargeab'!AO12+'POM Portables Li-Primary'!AO12+'POM Portables Lead-acid'!AO12+'POM Portables NiMH'!AO12+'POM Portables NiCd'!AO12+'POM Portables Other'!AO12</f>
        <v>12837.019423985837</v>
      </c>
      <c r="AP3" s="67">
        <f>'POM Portables Zn-based'!AP12+'POM Portables Li-Rechargeab'!AP12+'POM Portables Li-Primary'!AP12+'POM Portables Lead-acid'!AP12+'POM Portables NiMH'!AP12+'POM Portables NiCd'!AP12+'POM Portables Other'!AP12</f>
        <v>13307.384865602238</v>
      </c>
      <c r="AQ3" s="67">
        <f>'POM Portables Zn-based'!AQ12+'POM Portables Li-Rechargeab'!AQ12+'POM Portables Li-Primary'!AQ12+'POM Portables Lead-acid'!AQ12+'POM Portables NiMH'!AQ12+'POM Portables NiCd'!AQ12+'POM Portables Other'!AQ12</f>
        <v>13519.34657590492</v>
      </c>
      <c r="AR3" s="67">
        <f>'POM Portables Zn-based'!AR12+'POM Portables Li-Rechargeab'!AR12+'POM Portables Li-Primary'!AR12+'POM Portables Lead-acid'!AR12+'POM Portables NiMH'!AR12+'POM Portables NiCd'!AR12+'POM Portables Other'!AR12</f>
        <v>13733.801959996088</v>
      </c>
      <c r="AS3" s="67">
        <f>'POM Portables Zn-based'!AS12+'POM Portables Li-Rechargeab'!AS12+'POM Portables Li-Primary'!AS12+'POM Portables Lead-acid'!AS12+'POM Portables NiMH'!AS12+'POM Portables NiCd'!AS12+'POM Portables Other'!AS12</f>
        <v>13952.161486081501</v>
      </c>
      <c r="AT3" s="67">
        <f>'POM Portables Zn-based'!AT12+'POM Portables Li-Rechargeab'!AT12+'POM Portables Li-Primary'!AT12+'POM Portables Lead-acid'!AT12+'POM Portables NiMH'!AT12+'POM Portables NiCd'!AT12+'POM Portables Other'!AT12</f>
        <v>14174.501473723243</v>
      </c>
      <c r="AU3" s="67">
        <f>'POM Portables Zn-based'!AU12+'POM Portables Li-Rechargeab'!AU12+'POM Portables Li-Primary'!AU12+'POM Portables Lead-acid'!AU12+'POM Portables NiMH'!AU12+'POM Portables NiCd'!AU12+'POM Portables Other'!AU12</f>
        <v>14400.899845274373</v>
      </c>
      <c r="AV3" s="67">
        <f>'POM Portables Zn-based'!AV12+'POM Portables Li-Rechargeab'!AV12+'POM Portables Li-Primary'!AV12+'POM Portables Lead-acid'!AV12+'POM Portables NiMH'!AV12+'POM Portables NiCd'!AV12+'POM Portables Other'!AV12</f>
        <v>14622.285645703561</v>
      </c>
      <c r="AW3" s="67">
        <f>'POM Portables Zn-based'!AW12+'POM Portables Li-Rechargeab'!AW12+'POM Portables Li-Primary'!AW12+'POM Portables Lead-acid'!AW12+'POM Portables NiMH'!AW12+'POM Portables NiCd'!AW12+'POM Portables Other'!AW12</f>
        <v>14847.524604624225</v>
      </c>
      <c r="AX3" s="67">
        <f>'POM Portables Zn-based'!AX12+'POM Portables Li-Rechargeab'!AX12+'POM Portables Li-Primary'!AX12+'POM Portables Lead-acid'!AX12+'POM Portables NiMH'!AX12+'POM Portables NiCd'!AX12+'POM Portables Other'!AX12</f>
        <v>15076.687772340578</v>
      </c>
      <c r="AY3" s="67">
        <f>'POM Portables Zn-based'!AY12+'POM Portables Li-Rechargeab'!AY12+'POM Portables Li-Primary'!AY12+'POM Portables Lead-acid'!AY12+'POM Portables NiMH'!AY12+'POM Portables NiCd'!AY12+'POM Portables Other'!AY12</f>
        <v>15309.847582217792</v>
      </c>
      <c r="AZ3" s="67">
        <f>'POM Portables Zn-based'!AZ12+'POM Portables Li-Rechargeab'!AZ12+'POM Portables Li-Primary'!AZ12+'POM Portables Lead-acid'!AZ12+'POM Portables NiMH'!AZ12+'POM Portables NiCd'!AZ12+'POM Portables Other'!AZ12</f>
        <v>15547.077878327229</v>
      </c>
    </row>
    <row r="4" spans="1:52" x14ac:dyDescent="0.35">
      <c r="A4" s="52" t="s">
        <v>1</v>
      </c>
      <c r="B4" s="23">
        <f>'[2]POM Portables Zn-based'!B13+'[2]POM Portables NiMH'!B13+'[2]POM Portables Li-Primary'!B13+'[2]POM Portables Lead-acid'!B13+'[2]POM Portables NiCd'!B13+'[2]POM Portables Li-Rechargeable'!B13+'[2]POM Portables Other'!B13</f>
        <v>2908.6468649558274</v>
      </c>
      <c r="C4" s="23">
        <f>'[2]POM Portables Zn-based'!C13+'[2]POM Portables NiMH'!C13+'[2]POM Portables Li-Primary'!C13+'[2]POM Portables Lead-acid'!C13+'[2]POM Portables NiCd'!C13+'[2]POM Portables Li-Rechargeable'!C13+'[2]POM Portables Other'!C13</f>
        <v>3014.0692607236247</v>
      </c>
      <c r="D4" s="23">
        <f>'[2]POM Portables Zn-based'!D13+'[2]POM Portables NiMH'!D13+'[2]POM Portables Li-Primary'!D13+'[2]POM Portables Lead-acid'!D13+'[2]POM Portables NiCd'!D13+'[2]POM Portables Li-Rechargeable'!D13+'[2]POM Portables Other'!D13</f>
        <v>3130.9491517712891</v>
      </c>
      <c r="E4" s="23">
        <f>'[2]POM Portables Zn-based'!E13+'[2]POM Portables NiMH'!E13+'[2]POM Portables Li-Primary'!E13+'[2]POM Portables Lead-acid'!E13+'[2]POM Portables NiCd'!E13+'[2]POM Portables Li-Rechargeable'!E13+'[2]POM Portables Other'!E13</f>
        <v>3280.1818807628465</v>
      </c>
      <c r="F4" s="23">
        <f>'[2]POM Portables Zn-based'!F13+'[2]POM Portables NiMH'!F13+'[2]POM Portables Li-Primary'!F13+'[2]POM Portables Lead-acid'!F13+'[2]POM Portables NiCd'!F13+'[2]POM Portables Li-Rechargeable'!F13+'[2]POM Portables Other'!F13</f>
        <v>3485.2329805007967</v>
      </c>
      <c r="G4" s="23">
        <f>'[2]POM Portables Zn-based'!G13+'[2]POM Portables NiMH'!G13+'[2]POM Portables Li-Primary'!G13+'[2]POM Portables Lead-acid'!G13+'[2]POM Portables NiCd'!G13+'[2]POM Portables Li-Rechargeable'!G13+'[2]POM Portables Other'!G13</f>
        <v>3546.9363963822057</v>
      </c>
      <c r="H4" s="23">
        <f>'[2]POM Portables Zn-based'!H13+'[2]POM Portables NiMH'!H13+'[2]POM Portables Li-Primary'!H13+'[2]POM Portables Lead-acid'!H13+'[2]POM Portables NiCd'!H13+'[2]POM Portables Li-Rechargeable'!H13+'[2]POM Portables Other'!H13</f>
        <v>3786.8457335158296</v>
      </c>
      <c r="I4" s="23">
        <f>'[2]POM Portables Zn-based'!I13+'[2]POM Portables NiMH'!I13+'[2]POM Portables Li-Primary'!I13+'[2]POM Portables Lead-acid'!I13+'[2]POM Portables NiCd'!I13+'[2]POM Portables Li-Rechargeable'!I13+'[2]POM Portables Other'!I13</f>
        <v>3699.7644232875705</v>
      </c>
      <c r="J4" s="23">
        <f>'[2]POM Portables Zn-based'!J13+'[2]POM Portables NiMH'!J13+'[2]POM Portables Li-Primary'!J13+'[2]POM Portables Lead-acid'!J13+'[2]POM Portables NiCd'!J13+'[2]POM Portables Li-Rechargeable'!J13+'[2]POM Portables Other'!J13</f>
        <v>3896.8093025213657</v>
      </c>
      <c r="K4" s="23">
        <f>'[2]POM Portables Zn-based'!K13+'[2]POM Portables NiMH'!K13+'[2]POM Portables Li-Primary'!K13+'[2]POM Portables Lead-acid'!K13+'[2]POM Portables NiCd'!K13+'[2]POM Portables Li-Rechargeable'!K13+'[2]POM Portables Other'!K13</f>
        <v>3746.7602339284381</v>
      </c>
      <c r="L4" s="23">
        <f>'[2]POM Portables Zn-based'!L13+'[2]POM Portables NiMH'!L13+'[2]POM Portables Li-Primary'!L13+'[2]POM Portables Lead-acid'!L13+'[2]POM Portables NiCd'!L13+'[2]POM Portables Li-Rechargeable'!L13+'[2]POM Portables Other'!L13</f>
        <v>4037.2785246525109</v>
      </c>
      <c r="M4" s="4">
        <v>4401</v>
      </c>
      <c r="N4" s="4">
        <v>4259</v>
      </c>
      <c r="O4" s="4">
        <v>4398</v>
      </c>
      <c r="P4" s="4">
        <v>4222</v>
      </c>
      <c r="Q4" s="4">
        <v>4566</v>
      </c>
      <c r="R4" s="4">
        <v>4585</v>
      </c>
      <c r="S4" s="4">
        <v>4786</v>
      </c>
      <c r="T4" s="4">
        <v>4920</v>
      </c>
      <c r="U4" s="4">
        <v>5413</v>
      </c>
      <c r="V4" s="4">
        <v>5611</v>
      </c>
      <c r="W4" s="4">
        <v>6239</v>
      </c>
      <c r="X4" s="67">
        <f>'POM Portables Zn-based'!X13+'POM Portables Li-Rechargeab'!X13+'POM Portables Li-Primary'!X13+'POM Portables Lead-acid'!X13+'POM Portables NiMH'!X13+'POM Portables NiCd'!X13+'POM Portables Other'!X13</f>
        <v>6487.8605670390089</v>
      </c>
      <c r="Y4" s="67">
        <f>'POM Portables Zn-based'!Y13+'POM Portables Li-Rechargeab'!Y13+'POM Portables Li-Primary'!Y13+'POM Portables Lead-acid'!Y13+'POM Portables NiMH'!Y13+'POM Portables NiCd'!Y13+'POM Portables Other'!Y13</f>
        <v>6755.2541104178054</v>
      </c>
      <c r="Z4" s="67">
        <f>'POM Portables Zn-based'!Z13+'POM Portables Li-Rechargeab'!Z13+'POM Portables Li-Primary'!Z13+'POM Portables Lead-acid'!Z13+'POM Portables NiMH'!Z13+'POM Portables NiCd'!Z13+'POM Portables Other'!Z13</f>
        <v>7047.2615164478684</v>
      </c>
      <c r="AA4" s="67">
        <f>'POM Portables Zn-based'!AA13+'POM Portables Li-Rechargeab'!AA13+'POM Portables Li-Primary'!AA13+'POM Portables Lead-acid'!AA13+'POM Portables NiMH'!AA13+'POM Portables NiCd'!AA13+'POM Portables Other'!AA13</f>
        <v>7367.2757420129728</v>
      </c>
      <c r="AB4" s="67">
        <f>'POM Portables Zn-based'!AB13+'POM Portables Li-Rechargeab'!AB13+'POM Portables Li-Primary'!AB13+'POM Portables Lead-acid'!AB13+'POM Portables NiMH'!AB13+'POM Portables NiCd'!AB13+'POM Portables Other'!AB13</f>
        <v>7622.3273342661314</v>
      </c>
      <c r="AC4" s="67">
        <f>'POM Portables Zn-based'!AC13+'POM Portables Li-Rechargeab'!AC13+'POM Portables Li-Primary'!AC13+'POM Portables Lead-acid'!AC13+'POM Portables NiMH'!AC13+'POM Portables NiCd'!AC13+'POM Portables Other'!AC13</f>
        <v>7928.1235566203195</v>
      </c>
      <c r="AD4" s="67">
        <f>'POM Portables Zn-based'!AD13+'POM Portables Li-Rechargeab'!AD13+'POM Portables Li-Primary'!AD13+'POM Portables Lead-acid'!AD13+'POM Portables NiMH'!AD13+'POM Portables NiCd'!AD13+'POM Portables Other'!AD13</f>
        <v>8310.2187027787913</v>
      </c>
      <c r="AE4" s="67">
        <f>'POM Portables Zn-based'!AE13+'POM Portables Li-Rechargeab'!AE13+'POM Portables Li-Primary'!AE13+'POM Portables Lead-acid'!AE13+'POM Portables NiMH'!AE13+'POM Portables NiCd'!AE13+'POM Portables Other'!AE13</f>
        <v>8748.5166760234151</v>
      </c>
      <c r="AF4" s="67">
        <f>'POM Portables Zn-based'!AF13+'POM Portables Li-Rechargeab'!AF13+'POM Portables Li-Primary'!AF13+'POM Portables Lead-acid'!AF13+'POM Portables NiMH'!AF13+'POM Portables NiCd'!AF13+'POM Portables Other'!AF13</f>
        <v>9218.3279437741949</v>
      </c>
      <c r="AG4" s="67">
        <f>'POM Portables Zn-based'!AG13+'POM Portables Li-Rechargeab'!AG13+'POM Portables Li-Primary'!AG13+'POM Portables Lead-acid'!AG13+'POM Portables NiMH'!AG13+'POM Portables NiCd'!AG13+'POM Portables Other'!AG13</f>
        <v>9566.4712393284353</v>
      </c>
      <c r="AH4" s="67">
        <f>'POM Portables Zn-based'!AH13+'POM Portables Li-Rechargeab'!AH13+'POM Portables Li-Primary'!AH13+'POM Portables Lead-acid'!AH13+'POM Portables NiMH'!AH13+'POM Portables NiCd'!AH13+'POM Portables Other'!AH13</f>
        <v>9931.3979653981405</v>
      </c>
      <c r="AI4" s="67">
        <f>'POM Portables Zn-based'!AI13+'POM Portables Li-Rechargeab'!AI13+'POM Portables Li-Primary'!AI13+'POM Portables Lead-acid'!AI13+'POM Portables NiMH'!AI13+'POM Portables NiCd'!AI13+'POM Portables Other'!AI13</f>
        <v>10314.455885009478</v>
      </c>
      <c r="AJ4" s="67">
        <f>'POM Portables Zn-based'!AJ13+'POM Portables Li-Rechargeab'!AJ13+'POM Portables Li-Primary'!AJ13+'POM Portables Lead-acid'!AJ13+'POM Portables NiMH'!AJ13+'POM Portables NiCd'!AJ13+'POM Portables Other'!AJ13</f>
        <v>10716.64265636474</v>
      </c>
      <c r="AK4" s="67">
        <f>'POM Portables Zn-based'!AK13+'POM Portables Li-Rechargeab'!AK13+'POM Portables Li-Primary'!AK13+'POM Portables Lead-acid'!AK13+'POM Portables NiMH'!AK13+'POM Portables NiCd'!AK13+'POM Portables Other'!AK13</f>
        <v>11139.013961954774</v>
      </c>
      <c r="AL4" s="67">
        <f>'POM Portables Zn-based'!AL13+'POM Portables Li-Rechargeab'!AL13+'POM Portables Li-Primary'!AL13+'POM Portables Lead-acid'!AL13+'POM Portables NiMH'!AL13+'POM Portables NiCd'!AL13+'POM Portables Other'!AL13</f>
        <v>11582.686937459006</v>
      </c>
      <c r="AM4" s="67">
        <f>'POM Portables Zn-based'!AM13+'POM Portables Li-Rechargeab'!AM13+'POM Portables Li-Primary'!AM13+'POM Portables Lead-acid'!AM13+'POM Portables NiMH'!AM13+'POM Portables NiCd'!AM13+'POM Portables Other'!AM13</f>
        <v>12048.843804821701</v>
      </c>
      <c r="AN4" s="67">
        <f>'POM Portables Zn-based'!AN13+'POM Portables Li-Rechargeab'!AN13+'POM Portables Li-Primary'!AN13+'POM Portables Lead-acid'!AN13+'POM Portables NiMH'!AN13+'POM Portables NiCd'!AN13+'POM Portables Other'!AN13</f>
        <v>12538.735721692958</v>
      </c>
      <c r="AO4" s="67">
        <f>'POM Portables Zn-based'!AO13+'POM Portables Li-Rechargeab'!AO13+'POM Portables Li-Primary'!AO13+'POM Portables Lead-acid'!AO13+'POM Portables NiMH'!AO13+'POM Portables NiCd'!AO13+'POM Portables Other'!AO13</f>
        <v>13046.125457932498</v>
      </c>
      <c r="AP4" s="67">
        <f>'POM Portables Zn-based'!AP13+'POM Portables Li-Rechargeab'!AP13+'POM Portables Li-Primary'!AP13+'POM Portables Lead-acid'!AP13+'POM Portables NiMH'!AP13+'POM Portables NiCd'!AP13+'POM Portables Other'!AP13</f>
        <v>13524.152822363954</v>
      </c>
      <c r="AQ4" s="67">
        <f>'POM Portables Zn-based'!AQ13+'POM Portables Li-Rechargeab'!AQ13+'POM Portables Li-Primary'!AQ13+'POM Portables Lead-acid'!AQ13+'POM Portables NiMH'!AQ13+'POM Portables NiCd'!AQ13+'POM Portables Other'!AQ13</f>
        <v>13739.567240115779</v>
      </c>
      <c r="AR4" s="67">
        <f>'POM Portables Zn-based'!AR13+'POM Portables Li-Rechargeab'!AR13+'POM Portables Li-Primary'!AR13+'POM Portables Lead-acid'!AR13+'POM Portables NiMH'!AR13+'POM Portables NiCd'!AR13+'POM Portables Other'!AR13</f>
        <v>13957.515951851366</v>
      </c>
      <c r="AS4" s="67">
        <f>'POM Portables Zn-based'!AS13+'POM Portables Li-Rechargeab'!AS13+'POM Portables Li-Primary'!AS13+'POM Portables Lead-acid'!AS13+'POM Portables NiMH'!AS13+'POM Portables NiCd'!AS13+'POM Portables Other'!AS13</f>
        <v>14179.432401313317</v>
      </c>
      <c r="AT4" s="67">
        <f>'POM Portables Zn-based'!AT13+'POM Portables Li-Rechargeab'!AT13+'POM Portables Li-Primary'!AT13+'POM Portables Lead-acid'!AT13+'POM Portables NiMH'!AT13+'POM Portables NiCd'!AT13+'POM Portables Other'!AT13</f>
        <v>14405.394151255785</v>
      </c>
      <c r="AU4" s="67">
        <f>'POM Portables Zn-based'!AU13+'POM Portables Li-Rechargeab'!AU13+'POM Portables Li-Primary'!AU13+'POM Portables Lead-acid'!AU13+'POM Portables NiMH'!AU13+'POM Portables NiCd'!AU13+'POM Portables Other'!AU13</f>
        <v>14635.480393332262</v>
      </c>
      <c r="AV4" s="67">
        <f>'POM Portables Zn-based'!AV13+'POM Portables Li-Rechargeab'!AV13+'POM Portables Li-Primary'!AV13+'POM Portables Lead-acid'!AV13+'POM Portables NiMH'!AV13+'POM Portables NiCd'!AV13+'POM Portables Other'!AV13</f>
        <v>14860.472413022395</v>
      </c>
      <c r="AW4" s="67">
        <f>'POM Portables Zn-based'!AW13+'POM Portables Li-Rechargeab'!AW13+'POM Portables Li-Primary'!AW13+'POM Portables Lead-acid'!AW13+'POM Portables NiMH'!AW13+'POM Portables NiCd'!AW13+'POM Portables Other'!AW13</f>
        <v>15089.380356450643</v>
      </c>
      <c r="AX4" s="67">
        <f>'POM Portables Zn-based'!AX13+'POM Portables Li-Rechargeab'!AX13+'POM Portables Li-Primary'!AX13+'POM Portables Lead-acid'!AX13+'POM Portables NiMH'!AX13+'POM Portables NiCd'!AX13+'POM Portables Other'!AX13</f>
        <v>15322.276431280803</v>
      </c>
      <c r="AY4" s="67">
        <f>'POM Portables Zn-based'!AY13+'POM Portables Li-Rechargeab'!AY13+'POM Portables Li-Primary'!AY13+'POM Portables Lead-acid'!AY13+'POM Portables NiMH'!AY13+'POM Portables NiCd'!AY13+'POM Portables Other'!AY13</f>
        <v>15559.234250766694</v>
      </c>
      <c r="AZ4" s="67">
        <f>'POM Portables Zn-based'!AZ13+'POM Portables Li-Rechargeab'!AZ13+'POM Portables Li-Primary'!AZ13+'POM Portables Lead-acid'!AZ13+'POM Portables NiMH'!AZ13+'POM Portables NiCd'!AZ13+'POM Portables Other'!AZ13</f>
        <v>15800.328861847782</v>
      </c>
    </row>
    <row r="5" spans="1:52" x14ac:dyDescent="0.35">
      <c r="A5" s="52" t="s">
        <v>2</v>
      </c>
      <c r="B5" s="23">
        <f>'[2]POM Portables Zn-based'!B14+'[2]POM Portables NiMH'!B14+'[2]POM Portables Li-Primary'!B14+'[2]POM Portables Lead-acid'!B14+'[2]POM Portables NiCd'!B14+'[2]POM Portables Li-Rechargeable'!B14+'[2]POM Portables Other'!B14</f>
        <v>412.40528146612968</v>
      </c>
      <c r="C5" s="23">
        <f>'[2]POM Portables Zn-based'!C14+'[2]POM Portables NiMH'!C14+'[2]POM Portables Li-Primary'!C14+'[2]POM Portables Lead-acid'!C14+'[2]POM Portables NiCd'!C14+'[2]POM Portables Li-Rechargeable'!C14+'[2]POM Portables Other'!C14</f>
        <v>427.35269681698281</v>
      </c>
      <c r="D5" s="23">
        <f>'[2]POM Portables Zn-based'!D14+'[2]POM Portables NiMH'!D14+'[2]POM Portables Li-Primary'!D14+'[2]POM Portables Lead-acid'!D14+'[2]POM Portables NiCd'!D14+'[2]POM Portables Li-Rechargeable'!D14+'[2]POM Portables Other'!D14</f>
        <v>443.92462410935792</v>
      </c>
      <c r="E5" s="23">
        <f>'[2]POM Portables Zn-based'!E14+'[2]POM Portables NiMH'!E14+'[2]POM Portables Li-Primary'!E14+'[2]POM Portables Lead-acid'!E14+'[2]POM Portables NiCd'!E14+'[2]POM Portables Li-Rechargeable'!E14+'[2]POM Portables Other'!E14</f>
        <v>465.08372951511387</v>
      </c>
      <c r="F5" s="23">
        <f>'[2]POM Portables Zn-based'!F14+'[2]POM Portables NiMH'!F14+'[2]POM Portables Li-Primary'!F14+'[2]POM Portables Lead-acid'!F14+'[2]POM Portables NiCd'!F14+'[2]POM Portables Li-Rechargeable'!F14+'[2]POM Portables Other'!F14</f>
        <v>494.15709607645914</v>
      </c>
      <c r="G5" s="23">
        <f>'[2]POM Portables Zn-based'!G14+'[2]POM Portables NiMH'!G14+'[2]POM Portables Li-Primary'!G14+'[2]POM Portables Lead-acid'!G14+'[2]POM Portables NiCd'!G14+'[2]POM Portables Li-Rechargeable'!G14+'[2]POM Portables Other'!G14</f>
        <v>502.9057739928416</v>
      </c>
      <c r="H5" s="23">
        <f>'[2]POM Portables Zn-based'!H14+'[2]POM Portables NiMH'!H14+'[2]POM Portables Li-Primary'!H14+'[2]POM Portables Lead-acid'!H14+'[2]POM Portables NiCd'!H14+'[2]POM Portables Li-Rechargeable'!H14+'[2]POM Portables Other'!H14</f>
        <v>536.92154912835201</v>
      </c>
      <c r="I5" s="23">
        <f>'[2]POM Portables Zn-based'!I14+'[2]POM Portables NiMH'!I14+'[2]POM Portables Li-Primary'!I14+'[2]POM Portables Lead-acid'!I14+'[2]POM Portables NiCd'!I14+'[2]POM Portables Li-Rechargeable'!I14+'[2]POM Portables Other'!I14</f>
        <v>524.57464215665618</v>
      </c>
      <c r="J5" s="23">
        <f>'[2]POM Portables Zn-based'!J14+'[2]POM Portables NiMH'!J14+'[2]POM Portables Li-Primary'!J14+'[2]POM Portables Lead-acid'!J14+'[2]POM Portables NiCd'!J14+'[2]POM Portables Li-Rechargeable'!J14+'[2]POM Portables Other'!J14</f>
        <v>552.51283907596712</v>
      </c>
      <c r="K5" s="23">
        <f>'[2]POM Portables Zn-based'!K14+'[2]POM Portables NiMH'!K14+'[2]POM Portables Li-Primary'!K14+'[2]POM Portables Lead-acid'!K14+'[2]POM Portables NiCd'!K14+'[2]POM Portables Li-Rechargeable'!K14+'[2]POM Portables Other'!K14</f>
        <v>531.23798817799252</v>
      </c>
      <c r="L5" s="23">
        <f>'[2]POM Portables Zn-based'!L14+'[2]POM Portables NiMH'!L14+'[2]POM Portables Li-Primary'!L14+'[2]POM Portables Lead-acid'!L14+'[2]POM Portables NiCd'!L14+'[2]POM Portables Li-Rechargeable'!L14+'[2]POM Portables Other'!L14</f>
        <v>572.42940226838596</v>
      </c>
      <c r="M5" s="4">
        <v>624</v>
      </c>
      <c r="N5" s="4">
        <v>602.38300000000004</v>
      </c>
      <c r="O5" s="4">
        <v>677</v>
      </c>
      <c r="P5" s="4">
        <v>730</v>
      </c>
      <c r="Q5" s="4">
        <v>760</v>
      </c>
      <c r="R5" s="4">
        <v>750</v>
      </c>
      <c r="S5" s="4">
        <v>815</v>
      </c>
      <c r="T5" s="4">
        <v>690</v>
      </c>
      <c r="U5" s="4">
        <v>942</v>
      </c>
      <c r="V5" s="31">
        <v>940</v>
      </c>
      <c r="W5" s="31">
        <v>1002</v>
      </c>
      <c r="X5" s="67">
        <f>'POM Portables Zn-based'!X14+'POM Portables Li-Rechargeab'!X14+'POM Portables Li-Primary'!X14+'POM Portables Lead-acid'!X14+'POM Portables NiMH'!X14+'POM Portables NiCd'!X14+'POM Portables Other'!X14</f>
        <v>1041.9676692054957</v>
      </c>
      <c r="Y5" s="67">
        <f>'POM Portables Zn-based'!Y14+'POM Portables Li-Rechargeab'!Y14+'POM Portables Li-Primary'!Y14+'POM Portables Lead-acid'!Y14+'POM Portables NiMH'!Y14+'POM Portables NiCd'!Y14+'POM Portables Other'!Y14</f>
        <v>1084.9117837215326</v>
      </c>
      <c r="Z5" s="67">
        <f>'POM Portables Zn-based'!Z14+'POM Portables Li-Rechargeab'!Z14+'POM Portables Li-Primary'!Z14+'POM Portables Lead-acid'!Z14+'POM Portables NiMH'!Z14+'POM Portables NiCd'!Z14+'POM Portables Other'!Z14</f>
        <v>1131.8089500690442</v>
      </c>
      <c r="AA5" s="67">
        <f>'POM Portables Zn-based'!AA14+'POM Portables Li-Rechargeab'!AA14+'POM Portables Li-Primary'!AA14+'POM Portables Lead-acid'!AA14+'POM Portables NiMH'!AA14+'POM Portables NiCd'!AA14+'POM Portables Other'!AA14</f>
        <v>1183.2040861511459</v>
      </c>
      <c r="AB5" s="67">
        <f>'POM Portables Zn-based'!AB14+'POM Portables Li-Rechargeab'!AB14+'POM Portables Li-Primary'!AB14+'POM Portables Lead-acid'!AB14+'POM Portables NiMH'!AB14+'POM Portables NiCd'!AB14+'POM Portables Other'!AB14</f>
        <v>1224.1660504783881</v>
      </c>
      <c r="AC5" s="67">
        <f>'POM Portables Zn-based'!AC14+'POM Portables Li-Rechargeab'!AC14+'POM Portables Li-Primary'!AC14+'POM Portables Lead-acid'!AC14+'POM Portables NiMH'!AC14+'POM Portables NiCd'!AC14+'POM Portables Other'!AC14</f>
        <v>1273.2777374152206</v>
      </c>
      <c r="AD5" s="67">
        <f>'POM Portables Zn-based'!AD14+'POM Portables Li-Rechargeab'!AD14+'POM Portables Li-Primary'!AD14+'POM Portables Lead-acid'!AD14+'POM Portables NiMH'!AD14+'POM Portables NiCd'!AD14+'POM Portables Other'!AD14</f>
        <v>1334.6432345222552</v>
      </c>
      <c r="AE5" s="67">
        <f>'POM Portables Zn-based'!AE14+'POM Portables Li-Rechargeab'!AE14+'POM Portables Li-Primary'!AE14+'POM Portables Lead-acid'!AE14+'POM Portables NiMH'!AE14+'POM Portables NiCd'!AE14+'POM Portables Other'!AE14</f>
        <v>1405.0350551972208</v>
      </c>
      <c r="AF5" s="67">
        <f>'POM Portables Zn-based'!AF14+'POM Portables Li-Rechargeab'!AF14+'POM Portables Li-Primary'!AF14+'POM Portables Lead-acid'!AF14+'POM Portables NiMH'!AF14+'POM Portables NiCd'!AF14+'POM Portables Other'!AF14</f>
        <v>1480.4879948167563</v>
      </c>
      <c r="AG5" s="67">
        <f>'POM Portables Zn-based'!AG14+'POM Portables Li-Rechargeab'!AG14+'POM Portables Li-Primary'!AG14+'POM Portables Lead-acid'!AG14+'POM Portables NiMH'!AG14+'POM Portables NiCd'!AG14+'POM Portables Other'!AG14</f>
        <v>1536.4007343816468</v>
      </c>
      <c r="AH5" s="67">
        <f>'POM Portables Zn-based'!AH14+'POM Portables Li-Rechargeab'!AH14+'POM Portables Li-Primary'!AH14+'POM Portables Lead-acid'!AH14+'POM Portables NiMH'!AH14+'POM Portables NiCd'!AH14+'POM Portables Other'!AH14</f>
        <v>1595.0089375427051</v>
      </c>
      <c r="AI5" s="67">
        <f>'POM Portables Zn-based'!AI14+'POM Portables Li-Rechargeab'!AI14+'POM Portables Li-Primary'!AI14+'POM Portables Lead-acid'!AI14+'POM Portables NiMH'!AI14+'POM Portables NiCd'!AI14+'POM Portables Other'!AI14</f>
        <v>1656.5290586279052</v>
      </c>
      <c r="AJ5" s="67">
        <f>'POM Portables Zn-based'!AJ14+'POM Portables Li-Rechargeab'!AJ14+'POM Portables Li-Primary'!AJ14+'POM Portables Lead-acid'!AJ14+'POM Portables NiMH'!AJ14+'POM Portables NiCd'!AJ14+'POM Portables Other'!AJ14</f>
        <v>1721.1213241989851</v>
      </c>
      <c r="AK5" s="67">
        <f>'POM Portables Zn-based'!AK14+'POM Portables Li-Rechargeab'!AK14+'POM Portables Li-Primary'!AK14+'POM Portables Lead-acid'!AK14+'POM Portables NiMH'!AK14+'POM Portables NiCd'!AK14+'POM Portables Other'!AK14</f>
        <v>1788.9552796728135</v>
      </c>
      <c r="AL5" s="67">
        <f>'POM Portables Zn-based'!AL14+'POM Portables Li-Rechargeab'!AL14+'POM Portables Li-Primary'!AL14+'POM Portables Lead-acid'!AL14+'POM Portables NiMH'!AL14+'POM Portables NiCd'!AL14+'POM Portables Other'!AL14</f>
        <v>1860.210340011849</v>
      </c>
      <c r="AM5" s="67">
        <f>'POM Portables Zn-based'!AM14+'POM Portables Li-Rechargeab'!AM14+'POM Portables Li-Primary'!AM14+'POM Portables Lead-acid'!AM14+'POM Portables NiMH'!AM14+'POM Portables NiCd'!AM14+'POM Portables Other'!AM14</f>
        <v>1935.0763732058574</v>
      </c>
      <c r="AN5" s="67">
        <f>'POM Portables Zn-based'!AN14+'POM Portables Li-Rechargeab'!AN14+'POM Portables Li-Primary'!AN14+'POM Portables Lead-acid'!AN14+'POM Portables NiMH'!AN14+'POM Portables NiCd'!AN14+'POM Portables Other'!AN14</f>
        <v>2013.7543185023792</v>
      </c>
      <c r="AO5" s="67">
        <f>'POM Portables Zn-based'!AO14+'POM Portables Li-Rechargeab'!AO14+'POM Portables Li-Primary'!AO14+'POM Portables Lead-acid'!AO14+'POM Portables NiMH'!AO14+'POM Portables NiCd'!AO14+'POM Portables Other'!AO14</f>
        <v>2095.2424601455946</v>
      </c>
      <c r="AP5" s="67">
        <f>'POM Portables Zn-based'!AP14+'POM Portables Li-Rechargeab'!AP14+'POM Portables Li-Primary'!AP14+'POM Portables Lead-acid'!AP14+'POM Portables NiMH'!AP14+'POM Portables NiCd'!AP14+'POM Portables Other'!AP14</f>
        <v>2172.0149267524744</v>
      </c>
      <c r="AQ5" s="67">
        <f>'POM Portables Zn-based'!AQ14+'POM Portables Li-Rechargeab'!AQ14+'POM Portables Li-Primary'!AQ14+'POM Portables Lead-acid'!AQ14+'POM Portables NiMH'!AQ14+'POM Portables NiCd'!AQ14+'POM Portables Other'!AQ14</f>
        <v>2206.6110553928529</v>
      </c>
      <c r="AR5" s="67">
        <f>'POM Portables Zn-based'!AR14+'POM Portables Li-Rechargeab'!AR14+'POM Portables Li-Primary'!AR14+'POM Portables Lead-acid'!AR14+'POM Portables NiMH'!AR14+'POM Portables NiCd'!AR14+'POM Portables Other'!AR14</f>
        <v>2241.6141983899784</v>
      </c>
      <c r="AS5" s="67">
        <f>'POM Portables Zn-based'!AS14+'POM Portables Li-Rechargeab'!AS14+'POM Portables Li-Primary'!AS14+'POM Portables Lead-acid'!AS14+'POM Portables NiMH'!AS14+'POM Portables NiCd'!AS14+'POM Portables Other'!AS14</f>
        <v>2277.2545706228475</v>
      </c>
      <c r="AT5" s="67">
        <f>'POM Portables Zn-based'!AT14+'POM Portables Li-Rechargeab'!AT14+'POM Portables Li-Primary'!AT14+'POM Portables Lead-acid'!AT14+'POM Portables NiMH'!AT14+'POM Portables NiCd'!AT14+'POM Portables Other'!AT14</f>
        <v>2313.54462887615</v>
      </c>
      <c r="AU5" s="67">
        <f>'POM Portables Zn-based'!AU14+'POM Portables Li-Rechargeab'!AU14+'POM Portables Li-Primary'!AU14+'POM Portables Lead-acid'!AU14+'POM Portables NiMH'!AU14+'POM Portables NiCd'!AU14+'POM Portables Other'!AU14</f>
        <v>2350.49709154014</v>
      </c>
      <c r="AV5" s="67">
        <f>'POM Portables Zn-based'!AV14+'POM Portables Li-Rechargeab'!AV14+'POM Portables Li-Primary'!AV14+'POM Portables Lead-acid'!AV14+'POM Portables NiMH'!AV14+'POM Portables NiCd'!AV14+'POM Portables Other'!AV14</f>
        <v>2386.6314085347722</v>
      </c>
      <c r="AW5" s="67">
        <f>'POM Portables Zn-based'!AW14+'POM Portables Li-Rechargeab'!AW14+'POM Portables Li-Primary'!AW14+'POM Portables Lead-acid'!AW14+'POM Portables NiMH'!AW14+'POM Portables NiCd'!AW14+'POM Portables Other'!AW14</f>
        <v>2423.3946333007771</v>
      </c>
      <c r="AX5" s="67">
        <f>'POM Portables Zn-based'!AX14+'POM Portables Li-Rechargeab'!AX14+'POM Portables Li-Primary'!AX14+'POM Portables Lead-acid'!AX14+'POM Portables NiMH'!AX14+'POM Portables NiCd'!AX14+'POM Portables Other'!AX14</f>
        <v>2460.7983625810821</v>
      </c>
      <c r="AY5" s="67">
        <f>'POM Portables Zn-based'!AY14+'POM Portables Li-Rechargeab'!AY14+'POM Portables Li-Primary'!AY14+'POM Portables Lead-acid'!AY14+'POM Portables NiMH'!AY14+'POM Portables NiCd'!AY14+'POM Portables Other'!AY14</f>
        <v>2498.8544188601113</v>
      </c>
      <c r="AZ5" s="67">
        <f>'POM Portables Zn-based'!AZ14+'POM Portables Li-Rechargeab'!AZ14+'POM Portables Li-Primary'!AZ14+'POM Portables Lead-acid'!AZ14+'POM Portables NiMH'!AZ14+'POM Portables NiCd'!AZ14+'POM Portables Other'!AZ14</f>
        <v>2537.5748548760193</v>
      </c>
    </row>
    <row r="6" spans="1:52" x14ac:dyDescent="0.35">
      <c r="A6" s="52" t="s">
        <v>3</v>
      </c>
      <c r="B6" s="23">
        <f>'[2]POM Portables Zn-based'!B15+'[2]POM Portables NiMH'!B15+'[2]POM Portables Li-Primary'!B15+'[2]POM Portables Lead-acid'!B15+'[2]POM Portables NiCd'!B15+'[2]POM Portables Li-Rechargeable'!B15+'[2]POM Portables Other'!B15</f>
        <v>219.24892319482993</v>
      </c>
      <c r="C6" s="23">
        <f>'[2]POM Portables Zn-based'!C15+'[2]POM Portables NiMH'!C15+'[2]POM Portables Li-Primary'!C15+'[2]POM Portables Lead-acid'!C15+'[2]POM Portables NiCd'!C15+'[2]POM Portables Li-Rechargeable'!C15+'[2]POM Portables Other'!C15</f>
        <v>227.19548660587483</v>
      </c>
      <c r="D6" s="23">
        <f>'[2]POM Portables Zn-based'!D15+'[2]POM Portables NiMH'!D15+'[2]POM Portables Li-Primary'!D15+'[2]POM Portables Lead-acid'!D15+'[2]POM Portables NiCd'!D15+'[2]POM Portables Li-Rechargeable'!D15+'[2]POM Portables Other'!D15</f>
        <v>236.00569679813856</v>
      </c>
      <c r="E6" s="23">
        <f>'[2]POM Portables Zn-based'!E15+'[2]POM Portables NiMH'!E15+'[2]POM Portables Li-Primary'!E15+'[2]POM Portables Lead-acid'!E15+'[2]POM Portables NiCd'!E15+'[2]POM Portables Li-Rechargeable'!E15+'[2]POM Portables Other'!E15</f>
        <v>247.25460966241008</v>
      </c>
      <c r="F6" s="23">
        <f>'[2]POM Portables Zn-based'!F15+'[2]POM Portables NiMH'!F15+'[2]POM Portables Li-Primary'!F15+'[2]POM Portables Lead-acid'!F15+'[2]POM Portables NiCd'!F15+'[2]POM Portables Li-Rechargeable'!F15+'[2]POM Portables Other'!F15</f>
        <v>262.7110177121869</v>
      </c>
      <c r="G6" s="23">
        <f>'[2]POM Portables Zn-based'!G15+'[2]POM Portables NiMH'!G15+'[2]POM Portables Li-Primary'!G15+'[2]POM Portables Lead-acid'!G15+'[2]POM Portables NiCd'!G15+'[2]POM Portables Li-Rechargeable'!G15+'[2]POM Portables Other'!G15</f>
        <v>267.36211773138672</v>
      </c>
      <c r="H6" s="23">
        <f>'[2]POM Portables Zn-based'!H15+'[2]POM Portables NiMH'!H15+'[2]POM Portables Li-Primary'!H15+'[2]POM Portables Lead-acid'!H15+'[2]POM Portables NiCd'!H15+'[2]POM Portables Li-Rechargeable'!H15+'[2]POM Portables Other'!H15</f>
        <v>285.44608126256338</v>
      </c>
      <c r="I6" s="23">
        <f>'[2]POM Portables Zn-based'!I15+'[2]POM Portables NiMH'!I15+'[2]POM Portables Li-Primary'!I15+'[2]POM Portables Lead-acid'!I15+'[2]POM Portables NiCd'!I15+'[2]POM Portables Li-Rechargeable'!I15+'[2]POM Portables Other'!I15</f>
        <v>278.88203812347621</v>
      </c>
      <c r="J6" s="23">
        <f>'[2]POM Portables Zn-based'!J15+'[2]POM Portables NiMH'!J15+'[2]POM Portables Li-Primary'!J15+'[2]POM Portables Lead-acid'!J15+'[2]POM Portables NiCd'!J15+'[2]POM Portables Li-Rechargeable'!J15+'[2]POM Portables Other'!J15</f>
        <v>293.73495069721378</v>
      </c>
      <c r="K6" s="23">
        <f>'[2]POM Portables Zn-based'!K15+'[2]POM Portables NiMH'!K15+'[2]POM Portables Li-Primary'!K15+'[2]POM Portables Lead-acid'!K15+'[2]POM Portables NiCd'!K15+'[2]POM Portables Li-Rechargeable'!K15+'[2]POM Portables Other'!K15</f>
        <v>282.42450352270396</v>
      </c>
      <c r="L6" s="23">
        <f>'[2]POM Portables Zn-based'!L15+'[2]POM Portables NiMH'!L15+'[2]POM Portables Li-Primary'!L15+'[2]POM Portables Lead-acid'!L15+'[2]POM Portables NiCd'!L15+'[2]POM Portables Li-Rechargeable'!L15+'[2]POM Portables Other'!L15</f>
        <v>304.32328510979863</v>
      </c>
      <c r="M6" s="4">
        <v>331.74</v>
      </c>
      <c r="N6" s="4">
        <v>406.8</v>
      </c>
      <c r="O6" s="4">
        <v>393.58</v>
      </c>
      <c r="P6" s="4">
        <v>347</v>
      </c>
      <c r="Q6" s="4">
        <v>266</v>
      </c>
      <c r="R6" s="4">
        <v>395</v>
      </c>
      <c r="S6" s="4">
        <v>568</v>
      </c>
      <c r="T6" s="4">
        <v>674</v>
      </c>
      <c r="U6" s="4">
        <v>906</v>
      </c>
      <c r="V6" s="4">
        <v>1052</v>
      </c>
      <c r="W6" s="4">
        <v>1049</v>
      </c>
      <c r="X6" s="67">
        <f>'POM Portables Zn-based'!X15+'POM Portables Li-Rechargeab'!X15+'POM Portables Li-Primary'!X15+'POM Portables Lead-acid'!X15+'POM Portables NiMH'!X15+'POM Portables NiCd'!X15+'POM Portables Other'!X15</f>
        <v>1090.8424001961723</v>
      </c>
      <c r="Y6" s="67">
        <f>'POM Portables Zn-based'!Y15+'POM Portables Li-Rechargeab'!Y15+'POM Portables Li-Primary'!Y15+'POM Portables Lead-acid'!Y15+'POM Portables NiMH'!Y15+'POM Portables NiCd'!Y15+'POM Portables Other'!Y15</f>
        <v>1135.8008594050777</v>
      </c>
      <c r="Z6" s="67">
        <f>'POM Portables Zn-based'!Z15+'POM Portables Li-Rechargeab'!Z15+'POM Portables Li-Primary'!Z15+'POM Portables Lead-acid'!Z15+'POM Portables NiMH'!Z15+'POM Portables NiCd'!Z15+'POM Portables Other'!Z15</f>
        <v>1184.8977930363542</v>
      </c>
      <c r="AA6" s="67">
        <f>'POM Portables Zn-based'!AA15+'POM Portables Li-Rechargeab'!AA15+'POM Portables Li-Primary'!AA15+'POM Portables Lead-acid'!AA15+'POM Portables NiMH'!AA15+'POM Portables NiCd'!AA15+'POM Portables Other'!AA15</f>
        <v>1238.7036790145228</v>
      </c>
      <c r="AB6" s="67">
        <f>'POM Portables Zn-based'!AB15+'POM Portables Li-Rechargeab'!AB15+'POM Portables Li-Primary'!AB15+'POM Portables Lead-acid'!AB15+'POM Portables NiMH'!AB15+'POM Portables NiCd'!AB15+'POM Portables Other'!AB15</f>
        <v>1281.5870129259772</v>
      </c>
      <c r="AC6" s="67">
        <f>'POM Portables Zn-based'!AC15+'POM Portables Li-Rechargeab'!AC15+'POM Portables Li-Primary'!AC15+'POM Portables Lead-acid'!AC15+'POM Portables NiMH'!AC15+'POM Portables NiCd'!AC15+'POM Portables Other'!AC15</f>
        <v>1333.0023418648366</v>
      </c>
      <c r="AD6" s="67">
        <f>'POM Portables Zn-based'!AD15+'POM Portables Li-Rechargeab'!AD15+'POM Portables Li-Primary'!AD15+'POM Portables Lead-acid'!AD15+'POM Portables NiMH'!AD15+'POM Portables NiCd'!AD15+'POM Portables Other'!AD15</f>
        <v>1397.2462604928598</v>
      </c>
      <c r="AE6" s="67">
        <f>'POM Portables Zn-based'!AE15+'POM Portables Li-Rechargeab'!AE15+'POM Portables Li-Primary'!AE15+'POM Portables Lead-acid'!AE15+'POM Portables NiMH'!AE15+'POM Portables NiCd'!AE15+'POM Portables Other'!AE15</f>
        <v>1470.9398931156536</v>
      </c>
      <c r="AF6" s="67">
        <f>'POM Portables Zn-based'!AF15+'POM Portables Li-Rechargeab'!AF15+'POM Portables Li-Primary'!AF15+'POM Portables Lead-acid'!AF15+'POM Portables NiMH'!AF15+'POM Portables NiCd'!AF15+'POM Portables Other'!AF15</f>
        <v>1549.9320424778221</v>
      </c>
      <c r="AG6" s="67">
        <f>'POM Portables Zn-based'!AG15+'POM Portables Li-Rechargeab'!AG15+'POM Portables Li-Primary'!AG15+'POM Portables Lead-acid'!AG15+'POM Portables NiMH'!AG15+'POM Portables NiCd'!AG15+'POM Portables Other'!AG15</f>
        <v>1608.4674354953572</v>
      </c>
      <c r="AH6" s="67">
        <f>'POM Portables Zn-based'!AH15+'POM Portables Li-Rechargeab'!AH15+'POM Portables Li-Primary'!AH15+'POM Portables Lead-acid'!AH15+'POM Portables NiMH'!AH15+'POM Portables NiCd'!AH15+'POM Portables Other'!AH15</f>
        <v>1669.8247260302373</v>
      </c>
      <c r="AI6" s="67">
        <f>'POM Portables Zn-based'!AI15+'POM Portables Li-Rechargeab'!AI15+'POM Portables Li-Primary'!AI15+'POM Portables Lead-acid'!AI15+'POM Portables NiMH'!AI15+'POM Portables NiCd'!AI15+'POM Portables Other'!AI15</f>
        <v>1734.2305214577573</v>
      </c>
      <c r="AJ6" s="67">
        <f>'POM Portables Zn-based'!AJ15+'POM Portables Li-Rechargeab'!AJ15+'POM Portables Li-Primary'!AJ15+'POM Portables Lead-acid'!AJ15+'POM Portables NiMH'!AJ15+'POM Portables NiCd'!AJ15+'POM Portables Other'!AJ15</f>
        <v>1801.8525639568215</v>
      </c>
      <c r="AK6" s="67">
        <f>'POM Portables Zn-based'!AK15+'POM Portables Li-Rechargeab'!AK15+'POM Portables Li-Primary'!AK15+'POM Portables Lead-acid'!AK15+'POM Portables NiMH'!AK15+'POM Portables NiCd'!AK15+'POM Portables Other'!AK15</f>
        <v>1872.8683516734345</v>
      </c>
      <c r="AL6" s="67">
        <f>'POM Portables Zn-based'!AL15+'POM Portables Li-Rechargeab'!AL15+'POM Portables Li-Primary'!AL15+'POM Portables Lead-acid'!AL15+'POM Portables NiMH'!AL15+'POM Portables NiCd'!AL15+'POM Portables Other'!AL15</f>
        <v>1947.4657152419452</v>
      </c>
      <c r="AM6" s="67">
        <f>'POM Portables Zn-based'!AM15+'POM Portables Li-Rechargeab'!AM15+'POM Portables Li-Primary'!AM15+'POM Portables Lead-acid'!AM15+'POM Portables NiMH'!AM15+'POM Portables NiCd'!AM15+'POM Portables Other'!AM15</f>
        <v>2025.8434286356735</v>
      </c>
      <c r="AN6" s="67">
        <f>'POM Portables Zn-based'!AN15+'POM Portables Li-Rechargeab'!AN15+'POM Portables Li-Primary'!AN15+'POM Portables Lead-acid'!AN15+'POM Portables NiMH'!AN15+'POM Portables NiCd'!AN15+'POM Portables Other'!AN15</f>
        <v>2108.2118563962035</v>
      </c>
      <c r="AO6" s="67">
        <f>'POM Portables Zn-based'!AO15+'POM Portables Li-Rechargeab'!AO15+'POM Portables Li-Primary'!AO15+'POM Portables Lead-acid'!AO15+'POM Portables NiMH'!AO15+'POM Portables NiCd'!AO15+'POM Portables Other'!AO15</f>
        <v>2193.5222961005279</v>
      </c>
      <c r="AP6" s="67">
        <f>'POM Portables Zn-based'!AP15+'POM Portables Li-Rechargeab'!AP15+'POM Portables Li-Primary'!AP15+'POM Portables Lead-acid'!AP15+'POM Portables NiMH'!AP15+'POM Portables NiCd'!AP15+'POM Portables Other'!AP15</f>
        <v>2273.8958664304841</v>
      </c>
      <c r="AQ6" s="67">
        <f>'POM Portables Zn-based'!AQ15+'POM Portables Li-Rechargeab'!AQ15+'POM Portables Li-Primary'!AQ15+'POM Portables Lead-acid'!AQ15+'POM Portables NiMH'!AQ15+'POM Portables NiCd'!AQ15+'POM Portables Other'!AQ15</f>
        <v>2310.1147675719594</v>
      </c>
      <c r="AR6" s="67">
        <f>'POM Portables Zn-based'!AR15+'POM Portables Li-Rechargeab'!AR15+'POM Portables Li-Primary'!AR15+'POM Portables Lead-acid'!AR15+'POM Portables NiMH'!AR15+'POM Portables NiCd'!AR15+'POM Portables Other'!AR15</f>
        <v>2346.7597745619632</v>
      </c>
      <c r="AS6" s="67">
        <f>'POM Portables Zn-based'!AS15+'POM Portables Li-Rechargeab'!AS15+'POM Portables Li-Primary'!AS15+'POM Portables Lead-acid'!AS15+'POM Portables NiMH'!AS15+'POM Portables NiCd'!AS15+'POM Portables Other'!AS15</f>
        <v>2384.0719007818038</v>
      </c>
      <c r="AT6" s="67">
        <f>'POM Portables Zn-based'!AT15+'POM Portables Li-Rechargeab'!AT15+'POM Portables Li-Primary'!AT15+'POM Portables Lead-acid'!AT15+'POM Portables NiMH'!AT15+'POM Portables NiCd'!AT15+'POM Portables Other'!AT15</f>
        <v>2422.0641873164495</v>
      </c>
      <c r="AU6" s="67">
        <f>'POM Portables Zn-based'!AU15+'POM Portables Li-Rechargeab'!AU15+'POM Portables Li-Primary'!AU15+'POM Portables Lead-acid'!AU15+'POM Portables NiMH'!AU15+'POM Portables NiCd'!AU15+'POM Portables Other'!AU15</f>
        <v>2460.749949127352</v>
      </c>
      <c r="AV6" s="67">
        <f>'POM Portables Zn-based'!AV15+'POM Portables Li-Rechargeab'!AV15+'POM Portables Li-Primary'!AV15+'POM Portables Lead-acid'!AV15+'POM Portables NiMH'!AV15+'POM Portables NiCd'!AV15+'POM Portables Other'!AV15</f>
        <v>2498.5791891746271</v>
      </c>
      <c r="AW6" s="67">
        <f>'POM Portables Zn-based'!AW15+'POM Portables Li-Rechargeab'!AW15+'POM Portables Li-Primary'!AW15+'POM Portables Lead-acid'!AW15+'POM Portables NiMH'!AW15+'POM Portables NiCd'!AW15+'POM Portables Other'!AW15</f>
        <v>2537.0668366591972</v>
      </c>
      <c r="AX6" s="67">
        <f>'POM Portables Zn-based'!AX15+'POM Portables Li-Rechargeab'!AX15+'POM Portables Li-Primary'!AX15+'POM Portables Lead-acid'!AX15+'POM Portables NiMH'!AX15+'POM Portables NiCd'!AX15+'POM Portables Other'!AX15</f>
        <v>2576.2250322829877</v>
      </c>
      <c r="AY6" s="67">
        <f>'POM Portables Zn-based'!AY15+'POM Portables Li-Rechargeab'!AY15+'POM Portables Li-Primary'!AY15+'POM Portables Lead-acid'!AY15+'POM Portables NiMH'!AY15+'POM Portables NiCd'!AY15+'POM Portables Other'!AY15</f>
        <v>2616.0661530780999</v>
      </c>
      <c r="AZ6" s="67">
        <f>'POM Portables Zn-based'!AZ15+'POM Portables Li-Rechargeab'!AZ15+'POM Portables Li-Primary'!AZ15+'POM Portables Lead-acid'!AZ15+'POM Portables NiMH'!AZ15+'POM Portables NiCd'!AZ15+'POM Portables Other'!AZ15</f>
        <v>2656.6028171306825</v>
      </c>
    </row>
    <row r="7" spans="1:52" x14ac:dyDescent="0.35">
      <c r="A7" s="52" t="s">
        <v>4</v>
      </c>
      <c r="B7" s="23">
        <f>'[2]POM Portables Zn-based'!B16+'[2]POM Portables NiMH'!B16+'[2]POM Portables Li-Primary'!B16+'[2]POM Portables Lead-acid'!B16+'[2]POM Portables NiCd'!B16+'[2]POM Portables Li-Rechargeable'!B16+'[2]POM Portables Other'!B16</f>
        <v>182.14566598087393</v>
      </c>
      <c r="C7" s="23">
        <f>'[2]POM Portables Zn-based'!C16+'[2]POM Portables NiMH'!C16+'[2]POM Portables Li-Primary'!C16+'[2]POM Portables Lead-acid'!C16+'[2]POM Portables NiCd'!C16+'[2]POM Portables Li-Rechargeable'!C16+'[2]POM Portables Other'!C16</f>
        <v>188.74744109416747</v>
      </c>
      <c r="D7" s="23">
        <f>'[2]POM Portables Zn-based'!D16+'[2]POM Portables NiMH'!D16+'[2]POM Portables Li-Primary'!D16+'[2]POM Portables Lead-acid'!D16+'[2]POM Portables NiCd'!D16+'[2]POM Portables Li-Rechargeable'!D16+'[2]POM Portables Other'!D16</f>
        <v>196.06670898163313</v>
      </c>
      <c r="E7" s="23">
        <f>'[2]POM Portables Zn-based'!E16+'[2]POM Portables NiMH'!E16+'[2]POM Portables Li-Primary'!E16+'[2]POM Portables Lead-acid'!E16+'[2]POM Portables NiCd'!E16+'[2]POM Portables Li-Rechargeable'!E16+'[2]POM Portables Other'!E16</f>
        <v>205.41198053584196</v>
      </c>
      <c r="F7" s="23">
        <f>'[2]POM Portables Zn-based'!F16+'[2]POM Portables NiMH'!F16+'[2]POM Portables Li-Primary'!F16+'[2]POM Portables Lead-acid'!F16+'[2]POM Portables NiCd'!F16+'[2]POM Portables Li-Rechargeable'!F16+'[2]POM Portables Other'!F16</f>
        <v>218.25271743376953</v>
      </c>
      <c r="G7" s="23">
        <f>'[2]POM Portables Zn-based'!G16+'[2]POM Portables NiMH'!G16+'[2]POM Portables Li-Primary'!G16+'[2]POM Portables Lead-acid'!G16+'[2]POM Portables NiCd'!G16+'[2]POM Portables Li-Rechargeable'!G16+'[2]POM Portables Other'!G16</f>
        <v>222.11671684683839</v>
      </c>
      <c r="H7" s="23">
        <f>'[2]POM Portables Zn-based'!H16+'[2]POM Portables NiMH'!H16+'[2]POM Portables Li-Primary'!H16+'[2]POM Portables Lead-acid'!H16+'[2]POM Portables NiCd'!H16+'[2]POM Portables Li-Rechargeable'!H16+'[2]POM Portables Other'!H16</f>
        <v>237.14035086502221</v>
      </c>
      <c r="I7" s="23">
        <f>'[2]POM Portables Zn-based'!I16+'[2]POM Portables NiMH'!I16+'[2]POM Portables Li-Primary'!I16+'[2]POM Portables Lead-acid'!I16+'[2]POM Portables NiCd'!I16+'[2]POM Portables Li-Rechargeable'!I16+'[2]POM Portables Other'!I16</f>
        <v>231.68713361918989</v>
      </c>
      <c r="J7" s="23">
        <f>'[2]POM Portables Zn-based'!J16+'[2]POM Portables NiMH'!J16+'[2]POM Portables Li-Primary'!J16+'[2]POM Portables Lead-acid'!J16+'[2]POM Portables NiCd'!J16+'[2]POM Portables Li-Rechargeable'!J16+'[2]POM Portables Other'!J16</f>
        <v>244.02650392521883</v>
      </c>
      <c r="K7" s="23">
        <f>'[2]POM Portables Zn-based'!K16+'[2]POM Portables NiMH'!K16+'[2]POM Portables Li-Primary'!K16+'[2]POM Portables Lead-acid'!K16+'[2]POM Portables NiCd'!K16+'[2]POM Portables Li-Rechargeable'!K16+'[2]POM Portables Other'!K16</f>
        <v>234.63011144528008</v>
      </c>
      <c r="L7" s="23">
        <f>'[2]POM Portables Zn-based'!L16+'[2]POM Portables NiMH'!L16+'[2]POM Portables Li-Primary'!L16+'[2]POM Portables Lead-acid'!L16+'[2]POM Portables NiCd'!L16+'[2]POM Portables Li-Rechargeable'!L16+'[2]POM Portables Other'!L16</f>
        <v>252.8229860018705</v>
      </c>
      <c r="M7" s="4">
        <v>275.60000000000002</v>
      </c>
      <c r="N7" s="4">
        <v>258</v>
      </c>
      <c r="O7" s="4">
        <v>200.2</v>
      </c>
      <c r="P7" s="4">
        <v>190</v>
      </c>
      <c r="Q7" s="4">
        <v>206</v>
      </c>
      <c r="R7" s="4">
        <v>211</v>
      </c>
      <c r="S7" s="4">
        <v>233</v>
      </c>
      <c r="T7" s="4">
        <v>202</v>
      </c>
      <c r="U7" s="4">
        <v>175</v>
      </c>
      <c r="V7" s="4">
        <v>203</v>
      </c>
      <c r="W7" s="4">
        <v>197</v>
      </c>
      <c r="X7" s="67">
        <f>'POM Portables Zn-based'!X16+'POM Portables Li-Rechargeab'!X16+'POM Portables Li-Primary'!X16+'POM Portables Lead-acid'!X16+'POM Portables NiMH'!X16+'POM Portables NiCd'!X16+'POM Portables Other'!X16</f>
        <v>204.85791500347565</v>
      </c>
      <c r="Y7" s="67">
        <f>'POM Portables Zn-based'!Y16+'POM Portables Li-Rechargeab'!Y16+'POM Portables Li-Primary'!Y16+'POM Portables Lead-acid'!Y16+'POM Portables NiMH'!Y16+'POM Portables NiCd'!Y16+'POM Portables Other'!Y16</f>
        <v>213.30101935443307</v>
      </c>
      <c r="Z7" s="67">
        <f>'POM Portables Zn-based'!Z16+'POM Portables Li-Rechargeab'!Z16+'POM Portables Li-Primary'!Z16+'POM Portables Lead-acid'!Z16+'POM Portables NiMH'!Z16+'POM Portables NiCd'!Z16+'POM Portables Other'!Z16</f>
        <v>222.52132052255652</v>
      </c>
      <c r="AA7" s="67">
        <f>'POM Portables Zn-based'!AA16+'POM Portables Li-Rechargeab'!AA16+'POM Portables Li-Primary'!AA16+'POM Portables Lead-acid'!AA16+'POM Portables NiMH'!AA16+'POM Portables NiCd'!AA16+'POM Portables Other'!AA16</f>
        <v>232.62595306564441</v>
      </c>
      <c r="AB7" s="67">
        <f>'POM Portables Zn-based'!AB16+'POM Portables Li-Rechargeab'!AB16+'POM Portables Li-Primary'!AB16+'POM Portables Lead-acid'!AB16+'POM Portables NiMH'!AB16+'POM Portables NiCd'!AB16+'POM Portables Other'!AB16</f>
        <v>240.67935323776692</v>
      </c>
      <c r="AC7" s="67">
        <f>'POM Portables Zn-based'!AC16+'POM Portables Li-Rechargeab'!AC16+'POM Portables Li-Primary'!AC16+'POM Portables Lead-acid'!AC16+'POM Portables NiMH'!AC16+'POM Portables NiCd'!AC16+'POM Portables Other'!AC16</f>
        <v>250.33504418243353</v>
      </c>
      <c r="AD7" s="67">
        <f>'POM Portables Zn-based'!AD16+'POM Portables Li-Rechargeab'!AD16+'POM Portables Li-Primary'!AD16+'POM Portables Lead-acid'!AD16+'POM Portables NiMH'!AD16+'POM Portables NiCd'!AD16+'POM Portables Other'!AD16</f>
        <v>262.39991736615195</v>
      </c>
      <c r="AE7" s="67">
        <f>'POM Portables Zn-based'!AE16+'POM Portables Li-Rechargeab'!AE16+'POM Portables Li-Primary'!AE16+'POM Portables Lead-acid'!AE16+'POM Portables NiMH'!AE16+'POM Portables NiCd'!AE16+'POM Portables Other'!AE16</f>
        <v>276.23942701981287</v>
      </c>
      <c r="AF7" s="67">
        <f>'POM Portables Zn-based'!AF16+'POM Portables Li-Rechargeab'!AF16+'POM Portables Li-Primary'!AF16+'POM Portables Lead-acid'!AF16+'POM Portables NiMH'!AF16+'POM Portables NiCd'!AF16+'POM Portables Other'!AF16</f>
        <v>291.07398700489125</v>
      </c>
      <c r="AG7" s="67">
        <f>'POM Portables Zn-based'!AG16+'POM Portables Li-Rechargeab'!AG16+'POM Portables Li-Primary'!AG16+'POM Portables Lead-acid'!AG16+'POM Portables NiMH'!AG16+'POM Portables NiCd'!AG16+'POM Portables Other'!AG16</f>
        <v>302.06681105108231</v>
      </c>
      <c r="AH7" s="67">
        <f>'POM Portables Zn-based'!AH16+'POM Portables Li-Rechargeab'!AH16+'POM Portables Li-Primary'!AH16+'POM Portables Lead-acid'!AH16+'POM Portables NiMH'!AH16+'POM Portables NiCd'!AH16+'POM Portables Other'!AH16</f>
        <v>313.58958153284721</v>
      </c>
      <c r="AI7" s="67">
        <f>'POM Portables Zn-based'!AI16+'POM Portables Li-Rechargeab'!AI16+'POM Portables Li-Primary'!AI16+'POM Portables Lead-acid'!AI16+'POM Portables NiMH'!AI16+'POM Portables NiCd'!AI16+'POM Portables Other'!AI16</f>
        <v>325.68485484001729</v>
      </c>
      <c r="AJ7" s="67">
        <f>'POM Portables Zn-based'!AJ16+'POM Portables Li-Rechargeab'!AJ16+'POM Portables Li-Primary'!AJ16+'POM Portables Lead-acid'!AJ16+'POM Portables NiMH'!AJ16+'POM Portables NiCd'!AJ16+'POM Portables Other'!AJ16</f>
        <v>338.38413260199604</v>
      </c>
      <c r="AK7" s="67">
        <f>'POM Portables Zn-based'!AK16+'POM Portables Li-Rechargeab'!AK16+'POM Portables Li-Primary'!AK16+'POM Portables Lead-acid'!AK16+'POM Portables NiMH'!AK16+'POM Portables NiCd'!AK16+'POM Portables Other'!AK16</f>
        <v>351.72074859834748</v>
      </c>
      <c r="AL7" s="67">
        <f>'POM Portables Zn-based'!AL16+'POM Portables Li-Rechargeab'!AL16+'POM Portables Li-Primary'!AL16+'POM Portables Lead-acid'!AL16+'POM Portables NiMH'!AL16+'POM Portables NiCd'!AL16+'POM Portables Other'!AL16</f>
        <v>365.72997702827757</v>
      </c>
      <c r="AM7" s="67">
        <f>'POM Portables Zn-based'!AM16+'POM Portables Li-Rechargeab'!AM16+'POM Portables Li-Primary'!AM16+'POM Portables Lead-acid'!AM16+'POM Portables NiMH'!AM16+'POM Portables NiCd'!AM16+'POM Portables Other'!AM16</f>
        <v>380.44914722709967</v>
      </c>
      <c r="AN7" s="67">
        <f>'POM Portables Zn-based'!AN16+'POM Portables Li-Rechargeab'!AN16+'POM Portables Li-Primary'!AN16+'POM Portables Lead-acid'!AN16+'POM Portables NiMH'!AN16+'POM Portables NiCd'!AN16+'POM Portables Other'!AN16</f>
        <v>395.91776521453971</v>
      </c>
      <c r="AO7" s="67">
        <f>'POM Portables Zn-based'!AO16+'POM Portables Li-Rechargeab'!AO16+'POM Portables Li-Primary'!AO16+'POM Portables Lead-acid'!AO16+'POM Portables NiMH'!AO16+'POM Portables NiCd'!AO16+'POM Portables Other'!AO16</f>
        <v>411.93888687493228</v>
      </c>
      <c r="AP7" s="67">
        <f>'POM Portables Zn-based'!AP16+'POM Portables Li-Rechargeab'!AP16+'POM Portables Li-Primary'!AP16+'POM Portables Lead-acid'!AP16+'POM Portables NiMH'!AP16+'POM Portables NiCd'!AP16+'POM Portables Other'!AP16</f>
        <v>427.03287482059619</v>
      </c>
      <c r="AQ7" s="67">
        <f>'POM Portables Zn-based'!AQ16+'POM Portables Li-Rechargeab'!AQ16+'POM Portables Li-Primary'!AQ16+'POM Portables Lead-acid'!AQ16+'POM Portables NiMH'!AQ16+'POM Portables NiCd'!AQ16+'POM Portables Other'!AQ16</f>
        <v>433.83470849540129</v>
      </c>
      <c r="AR7" s="67">
        <f>'POM Portables Zn-based'!AR16+'POM Portables Li-Rechargeab'!AR16+'POM Portables Li-Primary'!AR16+'POM Portables Lead-acid'!AR16+'POM Portables NiMH'!AR16+'POM Portables NiCd'!AR16+'POM Portables Other'!AR16</f>
        <v>440.71656395491578</v>
      </c>
      <c r="AS7" s="67">
        <f>'POM Portables Zn-based'!AS16+'POM Portables Li-Rechargeab'!AS16+'POM Portables Li-Primary'!AS16+'POM Portables Lead-acid'!AS16+'POM Portables NiMH'!AS16+'POM Portables NiCd'!AS16+'POM Portables Other'!AS16</f>
        <v>447.72370300668757</v>
      </c>
      <c r="AT7" s="67">
        <f>'POM Portables Zn-based'!AT16+'POM Portables Li-Rechargeab'!AT16+'POM Portables Li-Primary'!AT16+'POM Portables Lead-acid'!AT16+'POM Portables NiMH'!AT16+'POM Portables NiCd'!AT16+'POM Portables Other'!AT16</f>
        <v>454.8585747391233</v>
      </c>
      <c r="AU7" s="67">
        <f>'POM Portables Zn-based'!AU16+'POM Portables Li-Rechargeab'!AU16+'POM Portables Li-Primary'!AU16+'POM Portables Lead-acid'!AU16+'POM Portables NiMH'!AU16+'POM Portables NiCd'!AU16+'POM Portables Other'!AU16</f>
        <v>462.12367967405942</v>
      </c>
      <c r="AV7" s="67">
        <f>'POM Portables Zn-based'!AV16+'POM Portables Li-Rechargeab'!AV16+'POM Portables Li-Primary'!AV16+'POM Portables Lead-acid'!AV16+'POM Portables NiMH'!AV16+'POM Portables NiCd'!AV16+'POM Portables Other'!AV16</f>
        <v>469.22793161811381</v>
      </c>
      <c r="AW7" s="67">
        <f>'POM Portables Zn-based'!AW16+'POM Portables Li-Rechargeab'!AW16+'POM Portables Li-Primary'!AW16+'POM Portables Lead-acid'!AW16+'POM Portables NiMH'!AW16+'POM Portables NiCd'!AW16+'POM Portables Other'!AW16</f>
        <v>476.45583109805699</v>
      </c>
      <c r="AX7" s="67">
        <f>'POM Portables Zn-based'!AX16+'POM Portables Li-Rechargeab'!AX16+'POM Portables Li-Primary'!AX16+'POM Portables Lead-acid'!AX16+'POM Portables NiMH'!AX16+'POM Portables NiCd'!AX16+'POM Portables Other'!AX16</f>
        <v>483.80965811224843</v>
      </c>
      <c r="AY7" s="67">
        <f>'POM Portables Zn-based'!AY16+'POM Portables Li-Rechargeab'!AY16+'POM Portables Li-Primary'!AY16+'POM Portables Lead-acid'!AY16+'POM Portables NiMH'!AY16+'POM Portables NiCd'!AY16+'POM Portables Other'!AY16</f>
        <v>491.29173704135917</v>
      </c>
      <c r="AZ7" s="67">
        <f>'POM Portables Zn-based'!AZ16+'POM Portables Li-Rechargeab'!AZ16+'POM Portables Li-Primary'!AZ16+'POM Portables Lead-acid'!AZ16+'POM Portables NiMH'!AZ16+'POM Portables NiCd'!AZ16+'POM Portables Other'!AZ16</f>
        <v>498.90443753550466</v>
      </c>
    </row>
    <row r="8" spans="1:52" x14ac:dyDescent="0.35">
      <c r="A8" s="52" t="s">
        <v>5</v>
      </c>
      <c r="B8" s="23">
        <f>'[2]POM Portables Zn-based'!B17+'[2]POM Portables NiMH'!B17+'[2]POM Portables Li-Primary'!B17+'[2]POM Portables Lead-acid'!B17+'[2]POM Portables NiCd'!B17+'[2]POM Portables Li-Rechargeable'!B17+'[2]POM Portables Other'!B17</f>
        <v>2237.6951954936249</v>
      </c>
      <c r="C8" s="23">
        <f>'[2]POM Portables Zn-based'!C17+'[2]POM Portables NiMH'!C17+'[2]POM Portables Li-Primary'!C17+'[2]POM Portables Lead-acid'!C17+'[2]POM Portables NiCd'!C17+'[2]POM Portables Li-Rechargeable'!C17+'[2]POM Portables Other'!C17</f>
        <v>2318.7992962867638</v>
      </c>
      <c r="D8" s="23">
        <f>'[2]POM Portables Zn-based'!D17+'[2]POM Portables NiMH'!D17+'[2]POM Portables Li-Primary'!D17+'[2]POM Portables Lead-acid'!D17+'[2]POM Portables NiCd'!D17+'[2]POM Portables Li-Rechargeable'!D17+'[2]POM Portables Other'!D17</f>
        <v>2408.7179363933724</v>
      </c>
      <c r="E8" s="23">
        <f>'[2]POM Portables Zn-based'!E17+'[2]POM Portables NiMH'!E17+'[2]POM Portables Li-Primary'!E17+'[2]POM Portables Lead-acid'!E17+'[2]POM Portables NiCd'!E17+'[2]POM Portables Li-Rechargeable'!E17+'[2]POM Portables Other'!E17</f>
        <v>2523.526428513258</v>
      </c>
      <c r="F8" s="23">
        <f>'[2]POM Portables Zn-based'!F17+'[2]POM Portables NiMH'!F17+'[2]POM Portables Li-Primary'!F17+'[2]POM Portables Lead-acid'!F17+'[2]POM Portables NiCd'!F17+'[2]POM Portables Li-Rechargeable'!F17+'[2]POM Portables Other'!F17</f>
        <v>2681.2773972687114</v>
      </c>
      <c r="G8" s="23">
        <f>'[2]POM Portables Zn-based'!G17+'[2]POM Portables NiMH'!G17+'[2]POM Portables Li-Primary'!G17+'[2]POM Portables Lead-acid'!G17+'[2]POM Portables NiCd'!G17+'[2]POM Portables Li-Rechargeable'!G17+'[2]POM Portables Other'!G17</f>
        <v>2728.7473871553902</v>
      </c>
      <c r="H8" s="23">
        <f>'[2]POM Portables Zn-based'!H17+'[2]POM Portables NiMH'!H17+'[2]POM Portables Li-Primary'!H17+'[2]POM Portables Lead-acid'!H17+'[2]POM Portables NiCd'!H17+'[2]POM Portables Li-Rechargeable'!H17+'[2]POM Portables Other'!H17</f>
        <v>2913.3156747416265</v>
      </c>
      <c r="I8" s="23">
        <f>'[2]POM Portables Zn-based'!I17+'[2]POM Portables NiMH'!I17+'[2]POM Portables Li-Primary'!I17+'[2]POM Portables Lead-acid'!I17+'[2]POM Portables NiCd'!I17+'[2]POM Portables Li-Rechargeable'!I17+'[2]POM Portables Other'!I17</f>
        <v>2846.3218323942415</v>
      </c>
      <c r="J8" s="23">
        <f>'[2]POM Portables Zn-based'!J17+'[2]POM Portables NiMH'!J17+'[2]POM Portables Li-Primary'!J17+'[2]POM Portables Lead-acid'!J17+'[2]POM Portables NiCd'!J17+'[2]POM Portables Li-Rechargeable'!J17+'[2]POM Portables Other'!J17</f>
        <v>2997.9134143323872</v>
      </c>
      <c r="K8" s="23">
        <f>'[2]POM Portables Zn-based'!K17+'[2]POM Portables NiMH'!K17+'[2]POM Portables Li-Primary'!K17+'[2]POM Portables Lead-acid'!K17+'[2]POM Portables NiCd'!K17+'[2]POM Portables Li-Rechargeable'!K17+'[2]POM Portables Other'!K17</f>
        <v>2882.4768916234739</v>
      </c>
      <c r="L8" s="23">
        <f>'[2]POM Portables Zn-based'!L17+'[2]POM Portables NiMH'!L17+'[2]POM Portables Li-Primary'!L17+'[2]POM Portables Lead-acid'!L17+'[2]POM Portables NiCd'!L17+'[2]POM Portables Li-Rechargeable'!L17+'[2]POM Portables Other'!L17</f>
        <v>3105.9799201927904</v>
      </c>
      <c r="M8" s="4">
        <v>3385.8</v>
      </c>
      <c r="N8" s="4">
        <v>3738.7250999999997</v>
      </c>
      <c r="O8" s="4">
        <v>3671</v>
      </c>
      <c r="P8" s="4">
        <v>3971</v>
      </c>
      <c r="Q8" s="4">
        <v>3965</v>
      </c>
      <c r="R8" s="4">
        <v>4047</v>
      </c>
      <c r="S8" s="4">
        <v>4064</v>
      </c>
      <c r="T8" s="4">
        <v>4048</v>
      </c>
      <c r="U8" s="4">
        <v>4293</v>
      </c>
      <c r="V8" s="4">
        <v>4963</v>
      </c>
      <c r="W8" s="4">
        <v>5206</v>
      </c>
      <c r="X8" s="67">
        <f>'POM Portables Zn-based'!X17+'POM Portables Li-Rechargeab'!X17+'POM Portables Li-Primary'!X17+'POM Portables Lead-acid'!X17+'POM Portables NiMH'!X17+'POM Portables NiCd'!X17+'POM Portables Other'!X17</f>
        <v>5413.6563731375345</v>
      </c>
      <c r="Y8" s="67">
        <f>'POM Portables Zn-based'!Y17+'POM Portables Li-Rechargeab'!Y17+'POM Portables Li-Primary'!Y17+'POM Portables Lead-acid'!Y17+'POM Portables NiMH'!Y17+'POM Portables NiCd'!Y17+'POM Portables Other'!Y17</f>
        <v>5636.777191670958</v>
      </c>
      <c r="Z8" s="67">
        <f>'POM Portables Zn-based'!Z17+'POM Portables Li-Rechargeab'!Z17+'POM Portables Li-Primary'!Z17+'POM Portables Lead-acid'!Z17+'POM Portables NiMH'!Z17+'POM Portables NiCd'!Z17+'POM Portables Other'!Z17</f>
        <v>5880.4365210174092</v>
      </c>
      <c r="AA8" s="67">
        <f>'POM Portables Zn-based'!AA17+'POM Portables Li-Rechargeab'!AA17+'POM Portables Li-Primary'!AA17+'POM Portables Lead-acid'!AA17+'POM Portables NiMH'!AA17+'POM Portables NiCd'!AA17+'POM Portables Other'!AA17</f>
        <v>6147.465541420027</v>
      </c>
      <c r="AB8" s="67">
        <f>'POM Portables Zn-based'!AB17+'POM Portables Li-Rechargeab'!AB17+'POM Portables Li-Primary'!AB17+'POM Portables Lead-acid'!AB17+'POM Portables NiMH'!AB17+'POM Portables NiCd'!AB17+'POM Portables Other'!AB17</f>
        <v>6360.2878830244417</v>
      </c>
      <c r="AC8" s="67">
        <f>'POM Portables Zn-based'!AC17+'POM Portables Li-Rechargeab'!AC17+'POM Portables Li-Primary'!AC17+'POM Portables Lead-acid'!AC17+'POM Portables NiMH'!AC17+'POM Portables NiCd'!AC17+'POM Portables Other'!AC17</f>
        <v>6615.4529949936514</v>
      </c>
      <c r="AD8" s="67">
        <f>'POM Portables Zn-based'!AD17+'POM Portables Li-Rechargeab'!AD17+'POM Portables Li-Primary'!AD17+'POM Portables Lead-acid'!AD17+'POM Portables NiMH'!AD17+'POM Portables NiCd'!AD17+'POM Portables Other'!AD17</f>
        <v>6934.2841107014583</v>
      </c>
      <c r="AE8" s="67">
        <f>'POM Portables Zn-based'!AE17+'POM Portables Li-Rechargeab'!AE17+'POM Portables Li-Primary'!AE17+'POM Portables Lead-acid'!AE17+'POM Portables NiMH'!AE17+'POM Portables NiCd'!AE17+'POM Portables Other'!AE17</f>
        <v>7300.0124724119096</v>
      </c>
      <c r="AF8" s="67">
        <f>'POM Portables Zn-based'!AF17+'POM Portables Li-Rechargeab'!AF17+'POM Portables Li-Primary'!AF17+'POM Portables Lead-acid'!AF17+'POM Portables NiMH'!AF17+'POM Portables NiCd'!AF17+'POM Portables Other'!AF17</f>
        <v>7692.0364281597158</v>
      </c>
      <c r="AG8" s="67">
        <f>'POM Portables Zn-based'!AG17+'POM Portables Li-Rechargeab'!AG17+'POM Portables Li-Primary'!AG17+'POM Portables Lead-acid'!AG17+'POM Portables NiMH'!AG17+'POM Portables NiCd'!AG17+'POM Portables Other'!AG17</f>
        <v>7982.5371488930696</v>
      </c>
      <c r="AH8" s="67">
        <f>'POM Portables Zn-based'!AH17+'POM Portables Li-Rechargeab'!AH17+'POM Portables Li-Primary'!AH17+'POM Portables Lead-acid'!AH17+'POM Portables NiMH'!AH17+'POM Portables NiCd'!AH17+'POM Portables Other'!AH17</f>
        <v>8287.0424439594062</v>
      </c>
      <c r="AI8" s="67">
        <f>'POM Portables Zn-based'!AI17+'POM Portables Li-Rechargeab'!AI17+'POM Portables Li-Primary'!AI17+'POM Portables Lead-acid'!AI17+'POM Portables NiMH'!AI17+'POM Portables NiCd'!AI17+'POM Portables Other'!AI17</f>
        <v>8606.6769253661441</v>
      </c>
      <c r="AJ8" s="67">
        <f>'POM Portables Zn-based'!AJ17+'POM Portables Li-Rechargeab'!AJ17+'POM Portables Li-Primary'!AJ17+'POM Portables Lead-acid'!AJ17+'POM Portables NiMH'!AJ17+'POM Portables NiCd'!AJ17+'POM Portables Other'!AJ17</f>
        <v>8942.2730676446281</v>
      </c>
      <c r="AK8" s="67">
        <f>'POM Portables Zn-based'!AK17+'POM Portables Li-Rechargeab'!AK17+'POM Portables Li-Primary'!AK17+'POM Portables Lead-acid'!AK17+'POM Portables NiMH'!AK17+'POM Portables NiCd'!AK17+'POM Portables Other'!AK17</f>
        <v>9294.711762451765</v>
      </c>
      <c r="AL8" s="67">
        <f>'POM Portables Zn-based'!AL17+'POM Portables Li-Rechargeab'!AL17+'POM Portables Li-Primary'!AL17+'POM Portables Lead-acid'!AL17+'POM Portables NiMH'!AL17+'POM Portables NiCd'!AL17+'POM Portables Other'!AL17</f>
        <v>9664.9251797422003</v>
      </c>
      <c r="AM8" s="67">
        <f>'POM Portables Zn-based'!AM17+'POM Portables Li-Rechargeab'!AM17+'POM Portables Li-Primary'!AM17+'POM Portables Lead-acid'!AM17+'POM Portables NiMH'!AM17+'POM Portables NiCd'!AM17+'POM Portables Other'!AM17</f>
        <v>10053.899799311072</v>
      </c>
      <c r="AN8" s="67">
        <f>'POM Portables Zn-based'!AN17+'POM Portables Li-Rechargeab'!AN17+'POM Portables Li-Primary'!AN17+'POM Portables Lead-acid'!AN17+'POM Portables NiMH'!AN17+'POM Portables NiCd'!AN17+'POM Portables Other'!AN17</f>
        <v>10462.679622877631</v>
      </c>
      <c r="AO8" s="67">
        <f>'POM Portables Zn-based'!AO17+'POM Portables Li-Rechargeab'!AO17+'POM Portables Li-Primary'!AO17+'POM Portables Lead-acid'!AO17+'POM Portables NiMH'!AO17+'POM Portables NiCd'!AO17+'POM Portables Other'!AO17</f>
        <v>10886.060127263439</v>
      </c>
      <c r="AP8" s="67">
        <f>'POM Portables Zn-based'!AP17+'POM Portables Li-Rechargeab'!AP17+'POM Portables Li-Primary'!AP17+'POM Portables Lead-acid'!AP17+'POM Portables NiMH'!AP17+'POM Portables NiCd'!AP17+'POM Portables Other'!AP17</f>
        <v>11284.939829015349</v>
      </c>
      <c r="AQ8" s="67">
        <f>'POM Portables Zn-based'!AQ17+'POM Portables Li-Rechargeab'!AQ17+'POM Portables Li-Primary'!AQ17+'POM Portables Lead-acid'!AQ17+'POM Portables NiMH'!AQ17+'POM Portables NiCd'!AQ17+'POM Portables Other'!AQ17</f>
        <v>11464.687778817559</v>
      </c>
      <c r="AR8" s="67">
        <f>'POM Portables Zn-based'!AR17+'POM Portables Li-Rechargeab'!AR17+'POM Portables Li-Primary'!AR17+'POM Portables Lead-acid'!AR17+'POM Portables NiMH'!AR17+'POM Portables NiCd'!AR17+'POM Portables Other'!AR17</f>
        <v>11646.550415986254</v>
      </c>
      <c r="AS8" s="67">
        <f>'POM Portables Zn-based'!AS17+'POM Portables Li-Rechargeab'!AS17+'POM Portables Li-Primary'!AS17+'POM Portables Lead-acid'!AS17+'POM Portables NiMH'!AS17+'POM Portables NiCd'!AS17+'POM Portables Other'!AS17</f>
        <v>11831.723846968607</v>
      </c>
      <c r="AT8" s="67">
        <f>'POM Portables Zn-based'!AT17+'POM Portables Li-Rechargeab'!AT17+'POM Portables Li-Primary'!AT17+'POM Portables Lead-acid'!AT17+'POM Portables NiMH'!AT17+'POM Portables NiCd'!AT17+'POM Portables Other'!AT17</f>
        <v>12020.272792344551</v>
      </c>
      <c r="AU8" s="67">
        <f>'POM Portables Zn-based'!AU17+'POM Portables Li-Rechargeab'!AU17+'POM Portables Li-Primary'!AU17+'POM Portables Lead-acid'!AU17+'POM Portables NiMH'!AU17+'POM Portables NiCd'!AU17+'POM Portables Other'!AU17</f>
        <v>12212.263331894179</v>
      </c>
      <c r="AV8" s="67">
        <f>'POM Portables Zn-based'!AV17+'POM Portables Li-Rechargeab'!AV17+'POM Portables Li-Primary'!AV17+'POM Portables Lead-acid'!AV17+'POM Portables NiMH'!AV17+'POM Portables NiCd'!AV17+'POM Portables Other'!AV17</f>
        <v>12400.003106618782</v>
      </c>
      <c r="AW8" s="67">
        <f>'POM Portables Zn-based'!AW17+'POM Portables Li-Rechargeab'!AW17+'POM Portables Li-Primary'!AW17+'POM Portables Lead-acid'!AW17+'POM Portables NiMH'!AW17+'POM Portables NiCd'!AW17+'POM Portables Other'!AW17</f>
        <v>12591.010440083677</v>
      </c>
      <c r="AX8" s="67">
        <f>'POM Portables Zn-based'!AX17+'POM Portables Li-Rechargeab'!AX17+'POM Portables Li-Primary'!AX17+'POM Portables Lead-acid'!AX17+'POM Portables NiMH'!AX17+'POM Portables NiCd'!AX17+'POM Portables Other'!AX17</f>
        <v>12785.345584428249</v>
      </c>
      <c r="AY8" s="67">
        <f>'POM Portables Zn-based'!AY17+'POM Portables Li-Rechargeab'!AY17+'POM Portables Li-Primary'!AY17+'POM Portables Lead-acid'!AY17+'POM Portables NiMH'!AY17+'POM Portables NiCd'!AY17+'POM Portables Other'!AY17</f>
        <v>12983.069964656423</v>
      </c>
      <c r="AZ8" s="67">
        <f>'POM Portables Zn-based'!AZ17+'POM Portables Li-Rechargeab'!AZ17+'POM Portables Li-Primary'!AZ17+'POM Portables Lead-acid'!AZ17+'POM Portables NiMH'!AZ17+'POM Portables NiCd'!AZ17+'POM Portables Other'!AZ17</f>
        <v>13184.246202080391</v>
      </c>
    </row>
    <row r="9" spans="1:52" x14ac:dyDescent="0.35">
      <c r="A9" s="52" t="s">
        <v>6</v>
      </c>
      <c r="B9" s="23">
        <f>'[2]POM Portables Zn-based'!B18+'[2]POM Portables NiMH'!B18+'[2]POM Portables Li-Primary'!B18+'[2]POM Portables Lead-acid'!B18+'[2]POM Portables NiCd'!B18+'[2]POM Portables Li-Rechargeable'!B18+'[2]POM Portables Other'!B18</f>
        <v>2235.1837530744401</v>
      </c>
      <c r="C9" s="23">
        <f>'[2]POM Portables Zn-based'!C18+'[2]POM Portables NiMH'!C18+'[2]POM Portables Li-Primary'!C18+'[2]POM Portables Lead-acid'!C18+'[2]POM Portables NiCd'!C18+'[2]POM Portables Li-Rechargeable'!C18+'[2]POM Portables Other'!C18</f>
        <v>2316.1968279407638</v>
      </c>
      <c r="D9" s="23">
        <f>'[2]POM Portables Zn-based'!D18+'[2]POM Portables NiMH'!D18+'[2]POM Portables Li-Primary'!D18+'[2]POM Portables Lead-acid'!D18+'[2]POM Portables NiCd'!D18+'[2]POM Portables Li-Rechargeable'!D18+'[2]POM Portables Other'!D18</f>
        <v>2406.0145492593729</v>
      </c>
      <c r="E9" s="23">
        <f>'[2]POM Portables Zn-based'!E18+'[2]POM Portables NiMH'!E18+'[2]POM Portables Li-Primary'!E18+'[2]POM Portables Lead-acid'!E18+'[2]POM Portables NiCd'!E18+'[2]POM Portables Li-Rechargeable'!E18+'[2]POM Portables Other'!E18</f>
        <v>2520.6941878527487</v>
      </c>
      <c r="F9" s="23">
        <f>'[2]POM Portables Zn-based'!F18+'[2]POM Portables NiMH'!F18+'[2]POM Portables Li-Primary'!F18+'[2]POM Portables Lead-acid'!F18+'[2]POM Portables NiCd'!F18+'[2]POM Portables Li-Rechargeable'!F18+'[2]POM Portables Other'!F18</f>
        <v>2678.2681072605528</v>
      </c>
      <c r="G9" s="23">
        <f>'[2]POM Portables Zn-based'!G18+'[2]POM Portables NiMH'!G18+'[2]POM Portables Li-Primary'!G18+'[2]POM Portables Lead-acid'!G18+'[2]POM Portables NiCd'!G18+'[2]POM Portables Li-Rechargeable'!G18+'[2]POM Portables Other'!G18</f>
        <v>2725.6848199419719</v>
      </c>
      <c r="H9" s="23">
        <f>'[2]POM Portables Zn-based'!H18+'[2]POM Portables NiMH'!H18+'[2]POM Portables Li-Primary'!H18+'[2]POM Portables Lead-acid'!H18+'[2]POM Portables NiCd'!H18+'[2]POM Portables Li-Rechargeable'!H18+'[2]POM Portables Other'!H18</f>
        <v>2910.0459601796265</v>
      </c>
      <c r="I9" s="23">
        <f>'[2]POM Portables Zn-based'!I18+'[2]POM Portables NiMH'!I18+'[2]POM Portables Li-Primary'!I18+'[2]POM Portables Lead-acid'!I18+'[2]POM Portables NiCd'!I18+'[2]POM Portables Li-Rechargeable'!I18+'[2]POM Portables Other'!I18</f>
        <v>2843.1273073298257</v>
      </c>
      <c r="J9" s="23">
        <f>'[2]POM Portables Zn-based'!J18+'[2]POM Portables NiMH'!J18+'[2]POM Portables Li-Primary'!J18+'[2]POM Portables Lead-acid'!J18+'[2]POM Portables NiCd'!J18+'[2]POM Portables Li-Rechargeable'!J18+'[2]POM Portables Other'!J18</f>
        <v>2994.5487528123726</v>
      </c>
      <c r="K9" s="23">
        <f>'[2]POM Portables Zn-based'!K18+'[2]POM Portables NiMH'!K18+'[2]POM Portables Li-Primary'!K18+'[2]POM Portables Lead-acid'!K18+'[2]POM Portables NiCd'!K18+'[2]POM Portables Li-Rechargeable'!K18+'[2]POM Portables Other'!K18</f>
        <v>2879.2417884903375</v>
      </c>
      <c r="L9" s="23">
        <f>'[2]POM Portables Zn-based'!L18+'[2]POM Portables NiMH'!L18+'[2]POM Portables Li-Primary'!L18+'[2]POM Portables Lead-acid'!L18+'[2]POM Portables NiCd'!L18+'[2]POM Portables Li-Rechargeable'!L18+'[2]POM Portables Other'!L18</f>
        <v>3102.4939719097451</v>
      </c>
      <c r="M9" s="4">
        <v>3382</v>
      </c>
      <c r="N9" s="4">
        <v>3704</v>
      </c>
      <c r="O9" s="4">
        <v>3132</v>
      </c>
      <c r="P9" s="4">
        <v>3517</v>
      </c>
      <c r="Q9" s="4">
        <v>3689</v>
      </c>
      <c r="R9" s="4">
        <v>3938</v>
      </c>
      <c r="S9" s="4">
        <v>3695</v>
      </c>
      <c r="T9" s="4">
        <v>4475</v>
      </c>
      <c r="U9" s="4">
        <v>4034</v>
      </c>
      <c r="V9" s="4">
        <v>4932</v>
      </c>
      <c r="W9" s="4">
        <v>5114</v>
      </c>
      <c r="X9" s="67">
        <f>'POM Portables Zn-based'!X18+'POM Portables Li-Rechargeab'!X18+'POM Portables Li-Primary'!X18+'POM Portables Lead-acid'!X18+'POM Portables NiMH'!X18+'POM Portables NiCd'!X18+'POM Portables Other'!X18</f>
        <v>5317.986686943018</v>
      </c>
      <c r="Y9" s="67">
        <f>'POM Portables Zn-based'!Y18+'POM Portables Li-Rechargeab'!Y18+'POM Portables Li-Primary'!Y18+'POM Portables Lead-acid'!Y18+'POM Portables NiMH'!Y18+'POM Portables NiCd'!Y18+'POM Portables Other'!Y18</f>
        <v>5537.1645328861468</v>
      </c>
      <c r="Z9" s="67">
        <f>'POM Portables Zn-based'!Z18+'POM Portables Li-Rechargeab'!Z18+'POM Portables Li-Primary'!Z18+'POM Portables Lead-acid'!Z18+'POM Portables NiMH'!Z18+'POM Portables NiCd'!Z18+'POM Portables Other'!Z18</f>
        <v>5776.5179347835228</v>
      </c>
      <c r="AA9" s="67">
        <f>'POM Portables Zn-based'!AA18+'POM Portables Li-Rechargeab'!AA18+'POM Portables Li-Primary'!AA18+'POM Portables Lead-acid'!AA18+'POM Portables NiMH'!AA18+'POM Portables NiCd'!AA18+'POM Portables Other'!AA18</f>
        <v>6038.8280404959687</v>
      </c>
      <c r="AB9" s="67">
        <f>'POM Portables Zn-based'!AB18+'POM Portables Li-Rechargeab'!AB18+'POM Portables Li-Primary'!AB18+'POM Portables Lead-acid'!AB18+'POM Portables NiMH'!AB18+'POM Portables NiCd'!AB18+'POM Portables Other'!AB18</f>
        <v>6247.8894033397983</v>
      </c>
      <c r="AC9" s="67">
        <f>'POM Portables Zn-based'!AC18+'POM Portables Li-Rechargeab'!AC18+'POM Portables Li-Primary'!AC18+'POM Portables Lead-acid'!AC18+'POM Portables NiMH'!AC18+'POM Portables NiCd'!AC18+'POM Portables Other'!AC18</f>
        <v>6498.545258624189</v>
      </c>
      <c r="AD9" s="67">
        <f>'POM Portables Zn-based'!AD18+'POM Portables Li-Rechargeab'!AD18+'POM Portables Li-Primary'!AD18+'POM Portables Lead-acid'!AD18+'POM Portables NiMH'!AD18+'POM Portables NiCd'!AD18+'POM Portables Other'!AD18</f>
        <v>6811.7420173121891</v>
      </c>
      <c r="AE9" s="67">
        <f>'POM Portables Zn-based'!AE18+'POM Portables Li-Rechargeab'!AE18+'POM Portables Li-Primary'!AE18+'POM Portables Lead-acid'!AE18+'POM Portables NiMH'!AE18+'POM Portables NiCd'!AE18+'POM Portables Other'!AE18</f>
        <v>7171.0072577630626</v>
      </c>
      <c r="AF9" s="67">
        <f>'POM Portables Zn-based'!AF18+'POM Portables Li-Rechargeab'!AF18+'POM Portables Li-Primary'!AF18+'POM Portables Lead-acid'!AF18+'POM Portables NiMH'!AF18+'POM Portables NiCd'!AF18+'POM Portables Other'!AF18</f>
        <v>7556.1033986955026</v>
      </c>
      <c r="AG9" s="67">
        <f>'POM Portables Zn-based'!AG18+'POM Portables Li-Rechargeab'!AG18+'POM Portables Li-Primary'!AG18+'POM Portables Lead-acid'!AG18+'POM Portables NiMH'!AG18+'POM Portables NiCd'!AG18+'POM Portables Other'!AG18</f>
        <v>7841.4704147981483</v>
      </c>
      <c r="AH9" s="67">
        <f>'POM Portables Zn-based'!AH18+'POM Portables Li-Rechargeab'!AH18+'POM Portables Li-Primary'!AH18+'POM Portables Lead-acid'!AH18+'POM Portables NiMH'!AH18+'POM Portables NiCd'!AH18+'POM Portables Other'!AH18</f>
        <v>8140.5945175582792</v>
      </c>
      <c r="AI9" s="67">
        <f>'POM Portables Zn-based'!AI18+'POM Portables Li-Rechargeab'!AI18+'POM Portables Li-Primary'!AI18+'POM Portables Lead-acid'!AI18+'POM Portables NiMH'!AI18+'POM Portables NiCd'!AI18+'POM Portables Other'!AI18</f>
        <v>8454.5804449332427</v>
      </c>
      <c r="AJ9" s="67">
        <f>'POM Portables Zn-based'!AJ18+'POM Portables Li-Rechargeab'!AJ18+'POM Portables Li-Primary'!AJ18+'POM Portables Lead-acid'!AJ18+'POM Portables NiMH'!AJ18+'POM Portables NiCd'!AJ18+'POM Portables Other'!AJ18</f>
        <v>8784.2459600335424</v>
      </c>
      <c r="AK9" s="67">
        <f>'POM Portables Zn-based'!AK18+'POM Portables Li-Rechargeab'!AK18+'POM Portables Li-Primary'!AK18+'POM Portables Lead-acid'!AK18+'POM Portables NiMH'!AK18+'POM Portables NiCd'!AK18+'POM Portables Other'!AK18</f>
        <v>9130.456387471826</v>
      </c>
      <c r="AL9" s="67">
        <f>'POM Portables Zn-based'!AL18+'POM Portables Li-Rechargeab'!AL18+'POM Portables Li-Primary'!AL18+'POM Portables Lead-acid'!AL18+'POM Portables NiMH'!AL18+'POM Portables NiCd'!AL18+'POM Portables Other'!AL18</f>
        <v>9494.1274239726499</v>
      </c>
      <c r="AM9" s="67">
        <f>'POM Portables Zn-based'!AM18+'POM Portables Li-Rechargeab'!AM18+'POM Portables Li-Primary'!AM18+'POM Portables Lead-acid'!AM18+'POM Portables NiMH'!AM18+'POM Portables NiCd'!AM18+'POM Portables Other'!AM18</f>
        <v>9876.2281163420739</v>
      </c>
      <c r="AN9" s="67">
        <f>'POM Portables Zn-based'!AN18+'POM Portables Li-Rechargeab'!AN18+'POM Portables Li-Primary'!AN18+'POM Portables Lead-acid'!AN18+'POM Portables NiMH'!AN18+'POM Portables NiCd'!AN18+'POM Portables Other'!AN18</f>
        <v>10277.784016787598</v>
      </c>
      <c r="AO9" s="67">
        <f>'POM Portables Zn-based'!AO18+'POM Portables Li-Rechargeab'!AO18+'POM Portables Li-Primary'!AO18+'POM Portables Lead-acid'!AO18+'POM Portables NiMH'!AO18+'POM Portables NiCd'!AO18+'POM Portables Other'!AO18</f>
        <v>10693.682576032508</v>
      </c>
      <c r="AP9" s="67">
        <f>'POM Portables Zn-based'!AP18+'POM Portables Li-Rechargeab'!AP18+'POM Portables Li-Primary'!AP18+'POM Portables Lead-acid'!AP18+'POM Portables NiMH'!AP18+'POM Portables NiCd'!AP18+'POM Portables Other'!AP18</f>
        <v>11085.513308794565</v>
      </c>
      <c r="AQ9" s="67">
        <f>'POM Portables Zn-based'!AQ18+'POM Portables Li-Rechargeab'!AQ18+'POM Portables Li-Primary'!AQ18+'POM Portables Lead-acid'!AQ18+'POM Portables NiMH'!AQ18+'POM Portables NiCd'!AQ18+'POM Portables Other'!AQ18</f>
        <v>11262.084767743567</v>
      </c>
      <c r="AR9" s="67">
        <f>'POM Portables Zn-based'!AR18+'POM Portables Li-Rechargeab'!AR18+'POM Portables Li-Primary'!AR18+'POM Portables Lead-acid'!AR18+'POM Portables NiMH'!AR18+'POM Portables NiCd'!AR18+'POM Portables Other'!AR18</f>
        <v>11440.733543479391</v>
      </c>
      <c r="AS9" s="67">
        <f>'POM Portables Zn-based'!AS18+'POM Portables Li-Rechargeab'!AS18+'POM Portables Li-Primary'!AS18+'POM Portables Lead-acid'!AS18+'POM Portables NiMH'!AS18+'POM Portables NiCd'!AS18+'POM Portables Other'!AS18</f>
        <v>11622.634604955332</v>
      </c>
      <c r="AT9" s="67">
        <f>'POM Portables Zn-based'!AT18+'POM Portables Li-Rechargeab'!AT18+'POM Portables Li-Primary'!AT18+'POM Portables Lead-acid'!AT18+'POM Portables NiMH'!AT18+'POM Portables NiCd'!AT18+'POM Portables Other'!AT18</f>
        <v>11807.851529014604</v>
      </c>
      <c r="AU9" s="67">
        <f>'POM Portables Zn-based'!AU18+'POM Portables Li-Rechargeab'!AU18+'POM Portables Li-Primary'!AU18+'POM Portables Lead-acid'!AU18+'POM Portables NiMH'!AU18+'POM Portables NiCd'!AU18+'POM Portables Other'!AU18</f>
        <v>11996.449227680914</v>
      </c>
      <c r="AV9" s="67">
        <f>'POM Portables Zn-based'!AV18+'POM Portables Li-Rechargeab'!AV18+'POM Portables Li-Primary'!AV18+'POM Portables Lead-acid'!AV18+'POM Portables NiMH'!AV18+'POM Portables NiCd'!AV18+'POM Portables Other'!AV18</f>
        <v>12180.871280685453</v>
      </c>
      <c r="AW9" s="67">
        <f>'POM Portables Zn-based'!AW18+'POM Portables Li-Rechargeab'!AW18+'POM Portables Li-Primary'!AW18+'POM Portables Lead-acid'!AW18+'POM Portables NiMH'!AW18+'POM Portables NiCd'!AW18+'POM Portables Other'!AW18</f>
        <v>12368.50314840337</v>
      </c>
      <c r="AX9" s="67">
        <f>'POM Portables Zn-based'!AX18+'POM Portables Li-Rechargeab'!AX18+'POM Portables Li-Primary'!AX18+'POM Portables Lead-acid'!AX18+'POM Portables NiMH'!AX18+'POM Portables NiCd'!AX18+'POM Portables Other'!AX18</f>
        <v>12559.404018203244</v>
      </c>
      <c r="AY9" s="67">
        <f>'POM Portables Zn-based'!AY18+'POM Portables Li-Rechargeab'!AY18+'POM Portables Li-Primary'!AY18+'POM Portables Lead-acid'!AY18+'POM Portables NiMH'!AY18+'POM Portables NiCd'!AY18+'POM Portables Other'!AY18</f>
        <v>12753.634229591427</v>
      </c>
      <c r="AZ9" s="67">
        <f>'POM Portables Zn-based'!AZ18+'POM Portables Li-Rechargeab'!AZ18+'POM Portables Li-Primary'!AZ18+'POM Portables Lead-acid'!AZ18+'POM Portables NiMH'!AZ18+'POM Portables NiCd'!AZ18+'POM Portables Other'!AZ18</f>
        <v>12951.255297241478</v>
      </c>
    </row>
    <row r="10" spans="1:52" x14ac:dyDescent="0.35">
      <c r="A10" s="52" t="s">
        <v>7</v>
      </c>
      <c r="B10" s="23">
        <f>'[2]POM Portables Zn-based'!B19+'[2]POM Portables NiMH'!B19+'[2]POM Portables Li-Primary'!B19+'[2]POM Portables Lead-acid'!B19+'[2]POM Portables NiCd'!B19+'[2]POM Portables Li-Rechargeable'!B19+'[2]POM Portables Other'!B19</f>
        <v>315.33274471744033</v>
      </c>
      <c r="C10" s="23">
        <f>'[2]POM Portables Zn-based'!C19+'[2]POM Portables NiMH'!C19+'[2]POM Portables Li-Primary'!C19+'[2]POM Portables Lead-acid'!C19+'[2]POM Portables NiCd'!C19+'[2]POM Portables Li-Rechargeable'!C19+'[2]POM Portables Other'!C19</f>
        <v>326.76181636332137</v>
      </c>
      <c r="D10" s="23">
        <f>'[2]POM Portables Zn-based'!D19+'[2]POM Portables NiMH'!D19+'[2]POM Portables Li-Primary'!D19+'[2]POM Portables Lead-acid'!D19+'[2]POM Portables NiCd'!D19+'[2]POM Portables Li-Rechargeable'!D19+'[2]POM Portables Other'!D19</f>
        <v>339.43302003895053</v>
      </c>
      <c r="E10" s="23">
        <f>'[2]POM Portables Zn-based'!E19+'[2]POM Portables NiMH'!E19+'[2]POM Portables Li-Primary'!E19+'[2]POM Portables Lead-acid'!E19+'[2]POM Portables NiCd'!E19+'[2]POM Portables Li-Rechargeable'!E19+'[2]POM Portables Other'!E19</f>
        <v>355.61166537453556</v>
      </c>
      <c r="F10" s="23">
        <f>'[2]POM Portables Zn-based'!F19+'[2]POM Portables NiMH'!F19+'[2]POM Portables Li-Primary'!F19+'[2]POM Portables Lead-acid'!F19+'[2]POM Portables NiCd'!F19+'[2]POM Portables Li-Rechargeable'!F19+'[2]POM Portables Other'!F19</f>
        <v>377.8417019137699</v>
      </c>
      <c r="G10" s="23">
        <f>'[2]POM Portables Zn-based'!G19+'[2]POM Portables NiMH'!G19+'[2]POM Portables Li-Primary'!G19+'[2]POM Portables Lead-acid'!G19+'[2]POM Portables NiCd'!G19+'[2]POM Portables Li-Rechargeable'!G19+'[2]POM Portables Other'!G19</f>
        <v>384.53110368431504</v>
      </c>
      <c r="H10" s="23">
        <f>'[2]POM Portables Zn-based'!H19+'[2]POM Portables NiMH'!H19+'[2]POM Portables Li-Primary'!H19+'[2]POM Portables Lead-acid'!H19+'[2]POM Portables NiCd'!H19+'[2]POM Portables Li-Rechargeable'!H19+'[2]POM Portables Other'!H19</f>
        <v>410.54019769746412</v>
      </c>
      <c r="I10" s="23">
        <f>'[2]POM Portables Zn-based'!I19+'[2]POM Portables NiMH'!I19+'[2]POM Portables Li-Primary'!I19+'[2]POM Portables Lead-acid'!I19+'[2]POM Portables NiCd'!I19+'[2]POM Portables Li-Rechargeable'!I19+'[2]POM Portables Other'!I19</f>
        <v>401.0995231010707</v>
      </c>
      <c r="J10" s="23">
        <f>'[2]POM Portables Zn-based'!J19+'[2]POM Portables NiMH'!J19+'[2]POM Portables Li-Primary'!J19+'[2]POM Portables Lead-acid'!J19+'[2]POM Portables NiCd'!J19+'[2]POM Portables Li-Rechargeable'!J19+'[2]POM Portables Other'!J19</f>
        <v>422.46158782949294</v>
      </c>
      <c r="K10" s="23">
        <f>'[2]POM Portables Zn-based'!K19+'[2]POM Portables NiMH'!K19+'[2]POM Portables Li-Primary'!K19+'[2]POM Portables Lead-acid'!K19+'[2]POM Portables NiCd'!K19+'[2]POM Portables Li-Rechargeable'!K19+'[2]POM Portables Other'!K19</f>
        <v>406.19444133887845</v>
      </c>
      <c r="L10" s="23">
        <f>'[2]POM Portables Zn-based'!L19+'[2]POM Portables NiMH'!L19+'[2]POM Portables Li-Primary'!L19+'[2]POM Portables Lead-acid'!L19+'[2]POM Portables NiCd'!L19+'[2]POM Portables Li-Rechargeable'!L19+'[2]POM Portables Other'!L19</f>
        <v>437.6901622902194</v>
      </c>
      <c r="M10" s="4">
        <v>477.12200000000001</v>
      </c>
      <c r="N10" s="4">
        <v>520.66800000000001</v>
      </c>
      <c r="O10" s="4">
        <v>466.04700000000003</v>
      </c>
      <c r="P10" s="4">
        <v>448.50200000000001</v>
      </c>
      <c r="Q10" s="4">
        <v>464</v>
      </c>
      <c r="R10" s="4">
        <v>479</v>
      </c>
      <c r="S10" s="4">
        <v>489</v>
      </c>
      <c r="T10" s="4">
        <v>483</v>
      </c>
      <c r="U10" s="4">
        <v>475</v>
      </c>
      <c r="V10" s="4">
        <v>542</v>
      </c>
      <c r="W10" s="4">
        <v>520</v>
      </c>
      <c r="X10" s="67">
        <f>'POM Portables Zn-based'!X19+'POM Portables Li-Rechargeab'!X19+'POM Portables Li-Primary'!X19+'POM Portables Lead-acid'!X19+'POM Portables NiMH'!X19+'POM Portables NiCd'!X19+'POM Portables Other'!X19</f>
        <v>540.74170457770219</v>
      </c>
      <c r="Y10" s="67">
        <f>'POM Portables Zn-based'!Y19+'POM Portables Li-Rechargeab'!Y19+'POM Portables Li-Primary'!Y19+'POM Portables Lead-acid'!Y19+'POM Portables NiMH'!Y19+'POM Portables NiCd'!Y19+'POM Portables Other'!Y19</f>
        <v>563.02807139241213</v>
      </c>
      <c r="Z10" s="67">
        <f>'POM Portables Zn-based'!Z19+'POM Portables Li-Rechargeab'!Z19+'POM Portables Li-Primary'!Z19+'POM Portables Lead-acid'!Z19+'POM Portables NiMH'!Z19+'POM Portables NiCd'!Z19+'POM Portables Other'!Z19</f>
        <v>587.36592219151987</v>
      </c>
      <c r="AA10" s="67">
        <f>'POM Portables Zn-based'!AA19+'POM Portables Li-Rechargeab'!AA19+'POM Portables Li-Primary'!AA19+'POM Portables Lead-acid'!AA19+'POM Portables NiMH'!AA19+'POM Portables NiCd'!AA19+'POM Portables Other'!AA19</f>
        <v>614.03804870119347</v>
      </c>
      <c r="AB10" s="67">
        <f>'POM Portables Zn-based'!AB19+'POM Portables Li-Rechargeab'!AB19+'POM Portables Li-Primary'!AB19+'POM Portables Lead-acid'!AB19+'POM Portables NiMH'!AB19+'POM Portables NiCd'!AB19+'POM Portables Other'!AB19</f>
        <v>635.29575473928332</v>
      </c>
      <c r="AC10" s="67">
        <f>'POM Portables Zn-based'!AC19+'POM Portables Li-Rechargeab'!AC19+'POM Portables Li-Primary'!AC19+'POM Portables Lead-acid'!AC19+'POM Portables NiMH'!AC19+'POM Portables NiCd'!AC19+'POM Portables Other'!AC19</f>
        <v>660.78285774043388</v>
      </c>
      <c r="AD10" s="67">
        <f>'POM Portables Zn-based'!AD19+'POM Portables Li-Rechargeab'!AD19+'POM Portables Li-Primary'!AD19+'POM Portables Lead-acid'!AD19+'POM Portables NiMH'!AD19+'POM Portables NiCd'!AD19+'POM Portables Other'!AD19</f>
        <v>692.62922350456347</v>
      </c>
      <c r="AE10" s="67">
        <f>'POM Portables Zn-based'!AE19+'POM Portables Li-Rechargeab'!AE19+'POM Portables Li-Primary'!AE19+'POM Portables Lead-acid'!AE19+'POM Portables NiMH'!AE19+'POM Portables NiCd'!AE19+'POM Portables Other'!AE19</f>
        <v>729.15990888478541</v>
      </c>
      <c r="AF10" s="67">
        <f>'POM Portables Zn-based'!AF19+'POM Portables Li-Rechargeab'!AF19+'POM Portables Li-Primary'!AF19+'POM Portables Lead-acid'!AF19+'POM Portables NiMH'!AF19+'POM Portables NiCd'!AF19+'POM Portables Other'!AF19</f>
        <v>768.31712305859617</v>
      </c>
      <c r="AG10" s="67">
        <f>'POM Portables Zn-based'!AG19+'POM Portables Li-Rechargeab'!AG19+'POM Portables Li-Primary'!AG19+'POM Portables Lead-acid'!AG19+'POM Portables NiMH'!AG19+'POM Portables NiCd'!AG19+'POM Portables Other'!AG19</f>
        <v>797.33371444955742</v>
      </c>
      <c r="AH10" s="67">
        <f>'POM Portables Zn-based'!AH19+'POM Portables Li-Rechargeab'!AH19+'POM Portables Li-Primary'!AH19+'POM Portables Lead-acid'!AH19+'POM Portables NiMH'!AH19+'POM Portables NiCd'!AH19+'POM Portables Other'!AH19</f>
        <v>827.74914922375922</v>
      </c>
      <c r="AI10" s="67">
        <f>'POM Portables Zn-based'!AI19+'POM Portables Li-Rechargeab'!AI19+'POM Portables Li-Primary'!AI19+'POM Portables Lead-acid'!AI19+'POM Portables NiMH'!AI19+'POM Portables NiCd'!AI19+'POM Portables Other'!AI19</f>
        <v>859.67575896857363</v>
      </c>
      <c r="AJ10" s="67">
        <f>'POM Portables Zn-based'!AJ19+'POM Portables Li-Rechargeab'!AJ19+'POM Portables Li-Primary'!AJ19+'POM Portables Lead-acid'!AJ19+'POM Portables NiMH'!AJ19+'POM Portables NiCd'!AJ19+'POM Portables Other'!AJ19</f>
        <v>893.19669519308604</v>
      </c>
      <c r="AK10" s="67">
        <f>'POM Portables Zn-based'!AK19+'POM Portables Li-Rechargeab'!AK19+'POM Portables Li-Primary'!AK19+'POM Portables Lead-acid'!AK19+'POM Portables NiMH'!AK19+'POM Portables NiCd'!AK19+'POM Portables Other'!AK19</f>
        <v>928.39994553878557</v>
      </c>
      <c r="AL10" s="67">
        <f>'POM Portables Zn-based'!AL19+'POM Portables Li-Rechargeab'!AL19+'POM Portables Li-Primary'!AL19+'POM Portables Lead-acid'!AL19+'POM Portables NiMH'!AL19+'POM Portables NiCd'!AL19+'POM Portables Other'!AL19</f>
        <v>965.37861956702739</v>
      </c>
      <c r="AM10" s="67">
        <f>'POM Portables Zn-based'!AM19+'POM Portables Li-Rechargeab'!AM19+'POM Portables Li-Primary'!AM19+'POM Portables Lead-acid'!AM19+'POM Portables NiMH'!AM19+'POM Portables NiCd'!AM19+'POM Portables Other'!AM19</f>
        <v>1004.2312515639184</v>
      </c>
      <c r="AN10" s="67">
        <f>'POM Portables Zn-based'!AN19+'POM Portables Li-Rechargeab'!AN19+'POM Portables Li-Primary'!AN19+'POM Portables Lead-acid'!AN19+'POM Portables NiMH'!AN19+'POM Portables NiCd'!AN19+'POM Portables Other'!AN19</f>
        <v>1045.0621213784805</v>
      </c>
      <c r="AO10" s="67">
        <f>'POM Portables Zn-based'!AO19+'POM Portables Li-Rechargeab'!AO19+'POM Portables Li-Primary'!AO19+'POM Portables Lead-acid'!AO19+'POM Portables NiMH'!AO19+'POM Portables NiCd'!AO19+'POM Portables Other'!AO19</f>
        <v>1087.3513765226642</v>
      </c>
      <c r="AP10" s="67">
        <f>'POM Portables Zn-based'!AP19+'POM Portables Li-Rechargeab'!AP19+'POM Portables Li-Primary'!AP19+'POM Portables Lead-acid'!AP19+'POM Portables NiMH'!AP19+'POM Portables NiCd'!AP19+'POM Portables Other'!AP19</f>
        <v>1127.1933751609647</v>
      </c>
      <c r="AQ10" s="67">
        <f>'POM Portables Zn-based'!AQ19+'POM Portables Li-Rechargeab'!AQ19+'POM Portables Li-Primary'!AQ19+'POM Portables Lead-acid'!AQ19+'POM Portables NiMH'!AQ19+'POM Portables NiCd'!AQ19+'POM Portables Other'!AQ19</f>
        <v>1145.1474538964908</v>
      </c>
      <c r="AR10" s="67">
        <f>'POM Portables Zn-based'!AR19+'POM Portables Li-Rechargeab'!AR19+'POM Portables Li-Primary'!AR19+'POM Portables Lead-acid'!AR19+'POM Portables NiMH'!AR19+'POM Portables NiCd'!AR19+'POM Portables Other'!AR19</f>
        <v>1163.3127576474935</v>
      </c>
      <c r="AS10" s="67">
        <f>'POM Portables Zn-based'!AS19+'POM Portables Li-Rechargeab'!AS19+'POM Portables Li-Primary'!AS19+'POM Portables Lead-acid'!AS19+'POM Portables NiMH'!AS19+'POM Portables NiCd'!AS19+'POM Portables Other'!AS19</f>
        <v>1181.8087592054699</v>
      </c>
      <c r="AT10" s="67">
        <f>'POM Portables Zn-based'!AT19+'POM Portables Li-Rechargeab'!AT19+'POM Portables Li-Primary'!AT19+'POM Portables Lead-acid'!AT19+'POM Portables NiMH'!AT19+'POM Portables NiCd'!AT19+'POM Portables Other'!AT19</f>
        <v>1200.6419231692596</v>
      </c>
      <c r="AU10" s="67">
        <f>'POM Portables Zn-based'!AU19+'POM Portables Li-Rechargeab'!AU19+'POM Portables Li-Primary'!AU19+'POM Portables Lead-acid'!AU19+'POM Portables NiMH'!AU19+'POM Portables NiCd'!AU19+'POM Portables Other'!AU19</f>
        <v>1219.8188499010707</v>
      </c>
      <c r="AV10" s="67">
        <f>'POM Portables Zn-based'!AV19+'POM Portables Li-Rechargeab'!AV19+'POM Portables Li-Primary'!AV19+'POM Portables Lead-acid'!AV19+'POM Portables NiMH'!AV19+'POM Portables NiCd'!AV19+'POM Portables Other'!AV19</f>
        <v>1238.5711900579656</v>
      </c>
      <c r="AW10" s="67">
        <f>'POM Portables Zn-based'!AW19+'POM Portables Li-Rechargeab'!AW19+'POM Portables Li-Primary'!AW19+'POM Portables Lead-acid'!AW19+'POM Portables NiMH'!AW19+'POM Portables NiCd'!AW19+'POM Portables Other'!AW19</f>
        <v>1257.6499094974095</v>
      </c>
      <c r="AX10" s="67">
        <f>'POM Portables Zn-based'!AX19+'POM Portables Li-Rechargeab'!AX19+'POM Portables Li-Primary'!AX19+'POM Portables Lead-acid'!AX19+'POM Portables NiMH'!AX19+'POM Portables NiCd'!AX19+'POM Portables Other'!AX19</f>
        <v>1277.0610264891836</v>
      </c>
      <c r="AY10" s="67">
        <f>'POM Portables Zn-based'!AY19+'POM Portables Li-Rechargeab'!AY19+'POM Portables Li-Primary'!AY19+'POM Portables Lead-acid'!AY19+'POM Portables NiMH'!AY19+'POM Portables NiCd'!AY19+'POM Portables Other'!AY19</f>
        <v>1296.810676454349</v>
      </c>
      <c r="AZ10" s="67">
        <f>'POM Portables Zn-based'!AZ19+'POM Portables Li-Rechargeab'!AZ19+'POM Portables Li-Primary'!AZ19+'POM Portables Lead-acid'!AZ19+'POM Portables NiMH'!AZ19+'POM Portables NiCd'!AZ19+'POM Portables Other'!AZ19</f>
        <v>1316.9051143069157</v>
      </c>
    </row>
    <row r="11" spans="1:52" x14ac:dyDescent="0.35">
      <c r="A11" s="52" t="s">
        <v>8</v>
      </c>
      <c r="B11" s="23">
        <f>'[2]POM Portables Zn-based'!B20+'[2]POM Portables NiMH'!B20+'[2]POM Portables Li-Primary'!B20+'[2]POM Portables Lead-acid'!B20+'[2]POM Portables NiCd'!B20+'[2]POM Portables Li-Rechargeable'!B20+'[2]POM Portables Other'!B20</f>
        <v>1826.0830011072376</v>
      </c>
      <c r="C11" s="23">
        <f>'[2]POM Portables Zn-based'!C20+'[2]POM Portables NiMH'!C20+'[2]POM Portables Li-Primary'!C20+'[2]POM Portables Lead-acid'!C20+'[2]POM Portables NiCd'!C20+'[2]POM Portables Li-Rechargeable'!C20+'[2]POM Portables Other'!C20</f>
        <v>1892.2684315790441</v>
      </c>
      <c r="D11" s="23">
        <f>'[2]POM Portables Zn-based'!D20+'[2]POM Portables NiMH'!D20+'[2]POM Portables Li-Primary'!D20+'[2]POM Portables Lead-acid'!D20+'[2]POM Portables NiCd'!D20+'[2]POM Portables Li-Rechargeable'!D20+'[2]POM Portables Other'!D20</f>
        <v>1965.6470134842243</v>
      </c>
      <c r="E11" s="23">
        <f>'[2]POM Portables Zn-based'!E20+'[2]POM Portables NiMH'!E20+'[2]POM Portables Li-Primary'!E20+'[2]POM Portables Lead-acid'!E20+'[2]POM Portables NiCd'!E20+'[2]POM Portables Li-Rechargeable'!E20+'[2]POM Portables Other'!E20</f>
        <v>2059.3370907856724</v>
      </c>
      <c r="F11" s="23">
        <f>'[2]POM Portables Zn-based'!F20+'[2]POM Portables NiMH'!F20+'[2]POM Portables Li-Primary'!F20+'[2]POM Portables Lead-acid'!F20+'[2]POM Portables NiCd'!F20+'[2]POM Portables Li-Rechargeable'!F20+'[2]POM Portables Other'!F20</f>
        <v>2188.0706033000906</v>
      </c>
      <c r="G11" s="23">
        <f>'[2]POM Portables Zn-based'!G20+'[2]POM Portables NiMH'!G20+'[2]POM Portables Li-Primary'!G20+'[2]POM Portables Lead-acid'!G20+'[2]POM Portables NiCd'!G20+'[2]POM Portables Li-Rechargeable'!G20+'[2]POM Portables Other'!G20</f>
        <v>2226.808739650995</v>
      </c>
      <c r="H11" s="23">
        <f>'[2]POM Portables Zn-based'!H20+'[2]POM Portables NiMH'!H20+'[2]POM Portables Li-Primary'!H20+'[2]POM Portables Lead-acid'!H20+'[2]POM Portables NiCd'!H20+'[2]POM Portables Li-Rechargeable'!H20+'[2]POM Portables Other'!H20</f>
        <v>2377.426667053905</v>
      </c>
      <c r="I11" s="23">
        <f>'[2]POM Portables Zn-based'!I20+'[2]POM Portables NiMH'!I20+'[2]POM Portables Li-Primary'!I20+'[2]POM Portables Lead-acid'!I20+'[2]POM Portables NiCd'!I20+'[2]POM Portables Li-Rechargeable'!I20+'[2]POM Portables Other'!I20</f>
        <v>2322.7559876263476</v>
      </c>
      <c r="J11" s="23">
        <f>'[2]POM Portables Zn-based'!J20+'[2]POM Portables NiMH'!J20+'[2]POM Portables Li-Primary'!J20+'[2]POM Portables Lead-acid'!J20+'[2]POM Portables NiCd'!J20+'[2]POM Portables Li-Rechargeable'!J20+'[2]POM Portables Other'!J20</f>
        <v>2446.4630999469505</v>
      </c>
      <c r="K11" s="23">
        <f>'[2]POM Portables Zn-based'!K20+'[2]POM Portables NiMH'!K20+'[2]POM Portables Li-Primary'!K20+'[2]POM Portables Lead-acid'!K20+'[2]POM Portables NiCd'!K20+'[2]POM Portables Li-Rechargeable'!K20+'[2]POM Portables Other'!K20</f>
        <v>2352.2605149612077</v>
      </c>
      <c r="L11" s="23">
        <f>'[2]POM Portables Zn-based'!L20+'[2]POM Portables NiMH'!L20+'[2]POM Portables Li-Primary'!L20+'[2]POM Portables Lead-acid'!L20+'[2]POM Portables NiCd'!L20+'[2]POM Portables Li-Rechargeable'!L20+'[2]POM Portables Other'!L20</f>
        <v>2534.6513436979976</v>
      </c>
      <c r="M11" s="4">
        <v>2763</v>
      </c>
      <c r="N11" s="4">
        <v>2752</v>
      </c>
      <c r="O11" s="4">
        <v>2703</v>
      </c>
      <c r="P11" s="4">
        <v>2651</v>
      </c>
      <c r="Q11" s="4">
        <v>2864</v>
      </c>
      <c r="R11" s="4">
        <v>3026</v>
      </c>
      <c r="S11" s="4">
        <v>3180</v>
      </c>
      <c r="T11" s="4">
        <v>3460</v>
      </c>
      <c r="U11" s="4">
        <v>3616</v>
      </c>
      <c r="V11" s="4">
        <v>3626</v>
      </c>
      <c r="W11" s="4">
        <v>4066</v>
      </c>
      <c r="X11" s="67">
        <f>'POM Portables Zn-based'!X20+'POM Portables Li-Rechargeab'!X20+'POM Portables Li-Primary'!X20+'POM Portables Lead-acid'!X20+'POM Portables NiMH'!X20+'POM Portables NiCd'!X20+'POM Portables Other'!X20</f>
        <v>4228.1841746402642</v>
      </c>
      <c r="Y11" s="67">
        <f>'POM Portables Zn-based'!Y20+'POM Portables Li-Rechargeab'!Y20+'POM Portables Li-Primary'!Y20+'POM Portables Lead-acid'!Y20+'POM Portables NiMH'!Y20+'POM Portables NiCd'!Y20+'POM Portables Other'!Y20</f>
        <v>4402.4464197722073</v>
      </c>
      <c r="Z11" s="67">
        <f>'POM Portables Zn-based'!Z20+'POM Portables Li-Rechargeab'!Z20+'POM Portables Li-Primary'!Z20+'POM Portables Lead-acid'!Z20+'POM Portables NiMH'!Z20+'POM Portables NiCd'!Z20+'POM Portables Other'!Z20</f>
        <v>4592.7496915975371</v>
      </c>
      <c r="AA11" s="67">
        <f>'POM Portables Zn-based'!AA20+'POM Portables Li-Rechargeab'!AA20+'POM Portables Li-Primary'!AA20+'POM Portables Lead-acid'!AA20+'POM Portables NiMH'!AA20+'POM Portables NiCd'!AA20+'POM Portables Other'!AA20</f>
        <v>4801.3052038827936</v>
      </c>
      <c r="AB11" s="67">
        <f>'POM Portables Zn-based'!AB20+'POM Portables Li-Rechargeab'!AB20+'POM Portables Li-Primary'!AB20+'POM Portables Lead-acid'!AB20+'POM Portables NiMH'!AB20+'POM Portables NiCd'!AB20+'POM Portables Other'!AB20</f>
        <v>4967.524113019088</v>
      </c>
      <c r="AC11" s="67">
        <f>'POM Portables Zn-based'!AC20+'POM Portables Li-Rechargeab'!AC20+'POM Portables Li-Primary'!AC20+'POM Portables Lead-acid'!AC20+'POM Portables NiMH'!AC20+'POM Portables NiCd'!AC20+'POM Portables Other'!AC20</f>
        <v>5166.8136530242382</v>
      </c>
      <c r="AD11" s="67">
        <f>'POM Portables Zn-based'!AD20+'POM Portables Li-Rechargeab'!AD20+'POM Portables Li-Primary'!AD20+'POM Portables Lead-acid'!AD20+'POM Portables NiMH'!AD20+'POM Portables NiCd'!AD20+'POM Portables Other'!AD20</f>
        <v>5415.8277360952989</v>
      </c>
      <c r="AE11" s="67">
        <f>'POM Portables Zn-based'!AE20+'POM Portables Li-Rechargeab'!AE20+'POM Portables Li-Primary'!AE20+'POM Portables Lead-acid'!AE20+'POM Portables NiMH'!AE20+'POM Portables NiCd'!AE20+'POM Portables Other'!AE20</f>
        <v>5701.4695952414177</v>
      </c>
      <c r="AF11" s="67">
        <f>'POM Portables Zn-based'!AF20+'POM Portables Li-Rechargeab'!AF20+'POM Portables Li-Primary'!AF20+'POM Portables Lead-acid'!AF20+'POM Portables NiMH'!AF20+'POM Portables NiCd'!AF20+'POM Portables Other'!AF20</f>
        <v>6007.6488891466397</v>
      </c>
      <c r="AG11" s="67">
        <f>'POM Portables Zn-based'!AG20+'POM Portables Li-Rechargeab'!AG20+'POM Portables Li-Primary'!AG20+'POM Portables Lead-acid'!AG20+'POM Portables NiMH'!AG20+'POM Portables NiCd'!AG20+'POM Portables Other'!AG20</f>
        <v>6234.5363133690407</v>
      </c>
      <c r="AH11" s="67">
        <f>'POM Portables Zn-based'!AH20+'POM Portables Li-Rechargeab'!AH20+'POM Portables Li-Primary'!AH20+'POM Portables Lead-acid'!AH20+'POM Portables NiMH'!AH20+'POM Portables NiCd'!AH20+'POM Portables Other'!AH20</f>
        <v>6472.3616168150102</v>
      </c>
      <c r="AI11" s="67">
        <f>'POM Portables Zn-based'!AI20+'POM Portables Li-Rechargeab'!AI20+'POM Portables Li-Primary'!AI20+'POM Portables Lead-acid'!AI20+'POM Portables NiMH'!AI20+'POM Portables NiCd'!AI20+'POM Portables Other'!AI20</f>
        <v>6722.0031460888858</v>
      </c>
      <c r="AJ11" s="67">
        <f>'POM Portables Zn-based'!AJ20+'POM Portables Li-Rechargeab'!AJ20+'POM Portables Li-Primary'!AJ20+'POM Portables Lead-acid'!AJ20+'POM Portables NiMH'!AJ20+'POM Portables NiCd'!AJ20+'POM Portables Other'!AJ20</f>
        <v>6984.111082029016</v>
      </c>
      <c r="AK11" s="67">
        <f>'POM Portables Zn-based'!AK20+'POM Portables Li-Rechargeab'!AK20+'POM Portables Li-Primary'!AK20+'POM Portables Lead-acid'!AK20+'POM Portables NiMH'!AK20+'POM Portables NiCd'!AK20+'POM Portables Other'!AK20</f>
        <v>7259.3734203090416</v>
      </c>
      <c r="AL11" s="67">
        <f>'POM Portables Zn-based'!AL20+'POM Portables Li-Rechargeab'!AL20+'POM Portables Li-Primary'!AL20+'POM Portables Lead-acid'!AL20+'POM Portables NiMH'!AL20+'POM Portables NiCd'!AL20+'POM Portables Other'!AL20</f>
        <v>7548.5182060760253</v>
      </c>
      <c r="AM11" s="67">
        <f>'POM Portables Zn-based'!AM20+'POM Portables Li-Rechargeab'!AM20+'POM Portables Li-Primary'!AM20+'POM Portables Lead-acid'!AM20+'POM Portables NiMH'!AM20+'POM Portables NiCd'!AM20+'POM Portables Other'!AM20</f>
        <v>7852.3159016517138</v>
      </c>
      <c r="AN11" s="67">
        <f>'POM Portables Zn-based'!AN20+'POM Portables Li-Rechargeab'!AN20+'POM Portables Li-Primary'!AN20+'POM Portables Lead-acid'!AN20+'POM Portables NiMH'!AN20+'POM Portables NiCd'!AN20+'POM Portables Other'!AN20</f>
        <v>8171.5818952401951</v>
      </c>
      <c r="AO11" s="67">
        <f>'POM Portables Zn-based'!AO20+'POM Portables Li-Rechargeab'!AO20+'POM Portables Li-Primary'!AO20+'POM Portables Lead-acid'!AO20+'POM Portables NiMH'!AO20+'POM Portables NiCd'!AO20+'POM Portables Other'!AO20</f>
        <v>8502.2513402714467</v>
      </c>
      <c r="AP11" s="67">
        <f>'POM Portables Zn-based'!AP20+'POM Portables Li-Rechargeab'!AP20+'POM Portables Li-Primary'!AP20+'POM Portables Lead-acid'!AP20+'POM Portables NiMH'!AP20+'POM Portables NiCd'!AP20+'POM Portables Other'!AP20</f>
        <v>8813.7851219316944</v>
      </c>
      <c r="AQ11" s="67">
        <f>'POM Portables Zn-based'!AQ20+'POM Portables Li-Rechargeab'!AQ20+'POM Portables Li-Primary'!AQ20+'POM Portables Lead-acid'!AQ20+'POM Portables NiMH'!AQ20+'POM Portables NiCd'!AQ20+'POM Portables Other'!AQ20</f>
        <v>8954.1722068137133</v>
      </c>
      <c r="AR11" s="67">
        <f>'POM Portables Zn-based'!AR20+'POM Portables Li-Rechargeab'!AR20+'POM Portables Li-Primary'!AR20+'POM Portables Lead-acid'!AR20+'POM Portables NiMH'!AR20+'POM Portables NiCd'!AR20+'POM Portables Other'!AR20</f>
        <v>9096.2109088359775</v>
      </c>
      <c r="AS11" s="67">
        <f>'POM Portables Zn-based'!AS20+'POM Portables Li-Rechargeab'!AS20+'POM Portables Li-Primary'!AS20+'POM Portables Lead-acid'!AS20+'POM Portables NiMH'!AS20+'POM Portables NiCd'!AS20+'POM Portables Other'!AS20</f>
        <v>9240.8354133258472</v>
      </c>
      <c r="AT11" s="67">
        <f>'POM Portables Zn-based'!AT20+'POM Portables Li-Rechargeab'!AT20+'POM Portables Li-Primary'!AT20+'POM Portables Lead-acid'!AT20+'POM Portables NiMH'!AT20+'POM Portables NiCd'!AT20+'POM Portables Other'!AT20</f>
        <v>9388.0962684734823</v>
      </c>
      <c r="AU11" s="67">
        <f>'POM Portables Zn-based'!AU20+'POM Portables Li-Rechargeab'!AU20+'POM Portables Li-Primary'!AU20+'POM Portables Lead-acid'!AU20+'POM Portables NiMH'!AU20+'POM Portables NiCd'!AU20+'POM Portables Other'!AU20</f>
        <v>9538.0450840341418</v>
      </c>
      <c r="AV11" s="67">
        <f>'POM Portables Zn-based'!AV20+'POM Portables Li-Rechargeab'!AV20+'POM Portables Li-Primary'!AV20+'POM Portables Lead-acid'!AV20+'POM Portables NiMH'!AV20+'POM Portables NiCd'!AV20+'POM Portables Other'!AV20</f>
        <v>9684.673959184016</v>
      </c>
      <c r="AW11" s="67">
        <f>'POM Portables Zn-based'!AW20+'POM Portables Li-Rechargeab'!AW20+'POM Portables Li-Primary'!AW20+'POM Portables Lead-acid'!AW20+'POM Portables NiMH'!AW20+'POM Portables NiCd'!AW20+'POM Portables Other'!AW20</f>
        <v>9833.8548692624354</v>
      </c>
      <c r="AX11" s="67">
        <f>'POM Portables Zn-based'!AX20+'POM Portables Li-Rechargeab'!AX20+'POM Portables Li-Primary'!AX20+'POM Portables Lead-acid'!AX20+'POM Portables NiMH'!AX20+'POM Portables NiCd'!AX20+'POM Portables Other'!AX20</f>
        <v>9985.6348725096541</v>
      </c>
      <c r="AY11" s="67">
        <f>'POM Portables Zn-based'!AY20+'POM Portables Li-Rechargeab'!AY20+'POM Portables Li-Primary'!AY20+'POM Portables Lead-acid'!AY20+'POM Portables NiMH'!AY20+'POM Portables NiCd'!AY20+'POM Portables Other'!AY20</f>
        <v>10140.061943198814</v>
      </c>
      <c r="AZ11" s="67">
        <f>'POM Portables Zn-based'!AZ20+'POM Portables Li-Rechargeab'!AZ20+'POM Portables Li-Primary'!AZ20+'POM Portables Lead-acid'!AZ20+'POM Portables NiMH'!AZ20+'POM Portables NiCd'!AZ20+'POM Portables Other'!AZ20</f>
        <v>10297.184989946001</v>
      </c>
    </row>
    <row r="12" spans="1:52" x14ac:dyDescent="0.35">
      <c r="A12" s="52" t="s">
        <v>9</v>
      </c>
      <c r="B12" s="23">
        <f>'[2]POM Portables Zn-based'!B21+'[2]POM Portables NiMH'!B21+'[2]POM Portables Li-Primary'!B21+'[2]POM Portables Lead-acid'!B21+'[2]POM Portables NiCd'!B21+'[2]POM Portables Li-Rechargeable'!B21+'[2]POM Portables Other'!B21</f>
        <v>22835.812714227162</v>
      </c>
      <c r="C12" s="23">
        <f>'[2]POM Portables Zn-based'!C21+'[2]POM Portables NiMH'!C21+'[2]POM Portables Li-Primary'!C21+'[2]POM Portables Lead-acid'!C21+'[2]POM Portables NiCd'!C21+'[2]POM Portables Li-Rechargeable'!C21+'[2]POM Portables Other'!C21</f>
        <v>23642.38518274789</v>
      </c>
      <c r="D12" s="23">
        <f>'[2]POM Portables Zn-based'!D21+'[2]POM Portables NiMH'!D21+'[2]POM Portables Li-Primary'!D21+'[2]POM Portables Lead-acid'!D21+'[2]POM Portables NiCd'!D21+'[2]POM Portables Li-Rechargeable'!D21+'[2]POM Portables Other'!D21</f>
        <v>24535.415828861096</v>
      </c>
      <c r="E12" s="23">
        <f>'[2]POM Portables Zn-based'!E21+'[2]POM Portables NiMH'!E21+'[2]POM Portables Li-Primary'!E21+'[2]POM Portables Lead-acid'!E21+'[2]POM Portables NiCd'!E21+'[2]POM Portables Li-Rechargeable'!E21+'[2]POM Portables Other'!E21</f>
        <v>25672.901811614869</v>
      </c>
      <c r="F12" s="23">
        <f>'[2]POM Portables Zn-based'!F21+'[2]POM Portables NiMH'!F21+'[2]POM Portables Li-Primary'!F21+'[2]POM Portables Lead-acid'!F21+'[2]POM Portables NiCd'!F21+'[2]POM Portables Li-Rechargeable'!F21+'[2]POM Portables Other'!F21</f>
        <v>27213.921574364023</v>
      </c>
      <c r="G12" s="23">
        <f>'[2]POM Portables Zn-based'!G21+'[2]POM Portables NiMH'!G21+'[2]POM Portables Li-Primary'!G21+'[2]POM Portables Lead-acid'!G21+'[2]POM Portables NiCd'!G21+'[2]POM Portables Li-Rechargeable'!G21+'[2]POM Portables Other'!G21</f>
        <v>27747.454484579306</v>
      </c>
      <c r="H12" s="23">
        <f>'[2]POM Portables Zn-based'!H21+'[2]POM Portables NiMH'!H21+'[2]POM Portables Li-Primary'!H21+'[2]POM Portables Lead-acid'!H21+'[2]POM Portables NiCd'!H21+'[2]POM Portables Li-Rechargeable'!H21+'[2]POM Portables Other'!H21</f>
        <v>29531.056837178101</v>
      </c>
      <c r="I12" s="23">
        <f>'[2]POM Portables Zn-based'!I21+'[2]POM Portables NiMH'!I21+'[2]POM Portables Li-Primary'!I21+'[2]POM Portables Lead-acid'!I21+'[2]POM Portables NiCd'!I21+'[2]POM Portables Li-Rechargeable'!I21+'[2]POM Portables Other'!I21</f>
        <v>28979.111999394834</v>
      </c>
      <c r="J12" s="23">
        <f>'[2]POM Portables Zn-based'!J21+'[2]POM Portables NiMH'!J21+'[2]POM Portables Li-Primary'!J21+'[2]POM Portables Lead-acid'!J21+'[2]POM Portables NiCd'!J21+'[2]POM Portables Li-Rechargeable'!J21+'[2]POM Portables Other'!J21</f>
        <v>30513.534681823592</v>
      </c>
      <c r="K12" s="23">
        <f>'[2]POM Portables Zn-based'!K21+'[2]POM Portables NiMH'!K21+'[2]POM Portables Li-Primary'!K21+'[2]POM Portables Lead-acid'!K21+'[2]POM Portables NiCd'!K21+'[2]POM Portables Li-Rechargeable'!K21+'[2]POM Portables Other'!K21</f>
        <v>29414.703450391236</v>
      </c>
      <c r="L12" s="23">
        <f>'[2]POM Portables Zn-based'!L21+'[2]POM Portables NiMH'!L21+'[2]POM Portables Li-Primary'!L21+'[2]POM Portables Lead-acid'!L21+'[2]POM Portables NiCd'!L21+'[2]POM Portables Li-Rechargeable'!L21+'[2]POM Portables Other'!L21</f>
        <v>31693.685248886723</v>
      </c>
      <c r="M12" s="4">
        <v>33458</v>
      </c>
      <c r="N12" s="4">
        <v>33353</v>
      </c>
      <c r="O12" s="4">
        <v>32227</v>
      </c>
      <c r="P12" s="4">
        <v>30363</v>
      </c>
      <c r="Q12" s="4">
        <v>31409</v>
      </c>
      <c r="R12" s="4">
        <v>29936</v>
      </c>
      <c r="S12" s="4">
        <v>31482</v>
      </c>
      <c r="T12" s="4">
        <v>31329</v>
      </c>
      <c r="U12" s="4">
        <v>33003</v>
      </c>
      <c r="V12" s="4">
        <v>35268</v>
      </c>
      <c r="W12" s="4">
        <v>37694</v>
      </c>
      <c r="X12" s="67">
        <f>'POM Portables Zn-based'!X21+'POM Portables Li-Rechargeab'!X21+'POM Portables Li-Primary'!X21+'POM Portables Lead-acid'!X21+'POM Portables NiMH'!X21+'POM Portables NiCd'!X21+'POM Portables Other'!X21</f>
        <v>39040.7272145229</v>
      </c>
      <c r="Y12" s="67">
        <f>'POM Portables Zn-based'!Y21+'POM Portables Li-Rechargeab'!Y21+'POM Portables Li-Primary'!Y21+'POM Portables Lead-acid'!Y21+'POM Portables NiMH'!Y21+'POM Portables NiCd'!Y21+'POM Portables Other'!Y21</f>
        <v>40734.635178203054</v>
      </c>
      <c r="Z12" s="67">
        <f>'POM Portables Zn-based'!Z21+'POM Portables Li-Rechargeab'!Z21+'POM Portables Li-Primary'!Z21+'POM Portables Lead-acid'!Z21+'POM Portables NiMH'!Z21+'POM Portables NiCd'!Z21+'POM Portables Other'!Z21</f>
        <v>42557.651179782981</v>
      </c>
      <c r="AA12" s="67">
        <f>'POM Portables Zn-based'!AA21+'POM Portables Li-Rechargeab'!AA21+'POM Portables Li-Primary'!AA21+'POM Portables Lead-acid'!AA21+'POM Portables NiMH'!AA21+'POM Portables NiCd'!AA21+'POM Portables Other'!AA21</f>
        <v>44510.673476428441</v>
      </c>
      <c r="AB12" s="67">
        <f>'POM Portables Zn-based'!AB21+'POM Portables Li-Rechargeab'!AB21+'POM Portables Li-Primary'!AB21+'POM Portables Lead-acid'!AB21+'POM Portables NiMH'!AB21+'POM Portables NiCd'!AB21+'POM Portables Other'!AB21</f>
        <v>46051.611882966441</v>
      </c>
      <c r="AC12" s="67">
        <f>'POM Portables Zn-based'!AC21+'POM Portables Li-Rechargeab'!AC21+'POM Portables Li-Primary'!AC21+'POM Portables Lead-acid'!AC21+'POM Portables NiMH'!AC21+'POM Portables NiCd'!AC21+'POM Portables Other'!AC21</f>
        <v>47899.132768592142</v>
      </c>
      <c r="AD12" s="67">
        <f>'POM Portables Zn-based'!AD21+'POM Portables Li-Rechargeab'!AD21+'POM Portables Li-Primary'!AD21+'POM Portables Lead-acid'!AD21+'POM Portables NiMH'!AD21+'POM Portables NiCd'!AD21+'POM Portables Other'!AD21</f>
        <v>50207.62682842504</v>
      </c>
      <c r="AE12" s="67">
        <f>'POM Portables Zn-based'!AE21+'POM Portables Li-Rechargeab'!AE21+'POM Portables Li-Primary'!AE21+'POM Portables Lead-acid'!AE21+'POM Portables NiMH'!AE21+'POM Portables NiCd'!AE21+'POM Portables Other'!AE21</f>
        <v>52855.680010582895</v>
      </c>
      <c r="AF12" s="67">
        <f>'POM Portables Zn-based'!AF21+'POM Portables Li-Rechargeab'!AF21+'POM Portables Li-Primary'!AF21+'POM Portables Lead-acid'!AF21+'POM Portables NiMH'!AF21+'POM Portables NiCd'!AF21+'POM Portables Other'!AF21</f>
        <v>55694.126224174477</v>
      </c>
      <c r="AG12" s="67">
        <f>'POM Portables Zn-based'!AG21+'POM Portables Li-Rechargeab'!AG21+'POM Portables Li-Primary'!AG21+'POM Portables Lead-acid'!AG21+'POM Portables NiMH'!AG21+'POM Portables NiCd'!AG21+'POM Portables Other'!AG21</f>
        <v>57797.494293195414</v>
      </c>
      <c r="AH12" s="67">
        <f>'POM Portables Zn-based'!AH21+'POM Portables Li-Rechargeab'!AH21+'POM Portables Li-Primary'!AH21+'POM Portables Lead-acid'!AH21+'POM Portables NiMH'!AH21+'POM Portables NiCd'!AH21+'POM Portables Other'!AH21</f>
        <v>60002.262367000731</v>
      </c>
      <c r="AI12" s="67">
        <f>'POM Portables Zn-based'!AI21+'POM Portables Li-Rechargeab'!AI21+'POM Portables Li-Primary'!AI21+'POM Portables Lead-acid'!AI21+'POM Portables NiMH'!AI21+'POM Portables NiCd'!AI21+'POM Portables Other'!AI21</f>
        <v>62316.573189541174</v>
      </c>
      <c r="AJ12" s="67">
        <f>'POM Portables Zn-based'!AJ21+'POM Portables Li-Rechargeab'!AJ21+'POM Portables Li-Primary'!AJ21+'POM Portables Lead-acid'!AJ21+'POM Portables NiMH'!AJ21+'POM Portables NiCd'!AJ21+'POM Portables Other'!AJ21</f>
        <v>64746.454285784981</v>
      </c>
      <c r="AK12" s="67">
        <f>'POM Portables Zn-based'!AK21+'POM Portables Li-Rechargeab'!AK21+'POM Portables Li-Primary'!AK21+'POM Portables Lead-acid'!AK21+'POM Portables NiMH'!AK21+'POM Portables NiCd'!AK21+'POM Portables Other'!AK21</f>
        <v>67298.283744498054</v>
      </c>
      <c r="AL12" s="67">
        <f>'POM Portables Zn-based'!AL21+'POM Portables Li-Rechargeab'!AL21+'POM Portables Li-Primary'!AL21+'POM Portables Lead-acid'!AL21+'POM Portables NiMH'!AL21+'POM Portables NiCd'!AL21+'POM Portables Other'!AL21</f>
        <v>69978.810934537571</v>
      </c>
      <c r="AM12" s="67">
        <f>'POM Portables Zn-based'!AM21+'POM Portables Li-Rechargeab'!AM21+'POM Portables Li-Primary'!AM21+'POM Portables Lead-acid'!AM21+'POM Portables NiMH'!AM21+'POM Portables NiCd'!AM21+'POM Portables Other'!AM21</f>
        <v>72795.178454712179</v>
      </c>
      <c r="AN12" s="67">
        <f>'POM Portables Zn-based'!AN21+'POM Portables Li-Rechargeab'!AN21+'POM Portables Li-Primary'!AN21+'POM Portables Lead-acid'!AN21+'POM Portables NiMH'!AN21+'POM Portables NiCd'!AN21+'POM Portables Other'!AN21</f>
        <v>75754.945390847017</v>
      </c>
      <c r="AO12" s="67">
        <f>'POM Portables Zn-based'!AO21+'POM Portables Li-Rechargeab'!AO21+'POM Portables Li-Primary'!AO21+'POM Portables Lead-acid'!AO21+'POM Portables NiMH'!AO21+'POM Portables NiCd'!AO21+'POM Portables Other'!AO21</f>
        <v>78820.428435856345</v>
      </c>
      <c r="AP12" s="67">
        <f>'POM Portables Zn-based'!AP21+'POM Portables Li-Rechargeab'!AP21+'POM Portables Li-Primary'!AP21+'POM Portables Lead-acid'!AP21+'POM Portables NiMH'!AP21+'POM Portables NiCd'!AP21+'POM Portables Other'!AP21</f>
        <v>81708.513621764228</v>
      </c>
      <c r="AQ12" s="67">
        <f>'POM Portables Zn-based'!AQ21+'POM Portables Li-Rechargeab'!AQ21+'POM Portables Li-Primary'!AQ21+'POM Portables Lead-acid'!AQ21+'POM Portables NiMH'!AQ21+'POM Portables NiCd'!AQ21+'POM Portables Other'!AQ21</f>
        <v>83009.977167642937</v>
      </c>
      <c r="AR12" s="67">
        <f>'POM Portables Zn-based'!AR21+'POM Portables Li-Rechargeab'!AR21+'POM Portables Li-Primary'!AR21+'POM Portables Lead-acid'!AR21+'POM Portables NiMH'!AR21+'POM Portables NiCd'!AR21+'POM Portables Other'!AR21</f>
        <v>84326.752089931964</v>
      </c>
      <c r="AS12" s="67">
        <f>'POM Portables Zn-based'!AS21+'POM Portables Li-Rechargeab'!AS21+'POM Portables Li-Primary'!AS21+'POM Portables Lead-acid'!AS21+'POM Portables NiMH'!AS21+'POM Portables NiCd'!AS21+'POM Portables Other'!AS21</f>
        <v>85667.498787482647</v>
      </c>
      <c r="AT12" s="67">
        <f>'POM Portables Zn-based'!AT21+'POM Portables Li-Rechargeab'!AT21+'POM Portables Li-Primary'!AT21+'POM Portables Lead-acid'!AT21+'POM Portables NiMH'!AT21+'POM Portables NiCd'!AT21+'POM Portables Other'!AT21</f>
        <v>87032.685869119392</v>
      </c>
      <c r="AU12" s="67">
        <f>'POM Portables Zn-based'!AU21+'POM Portables Li-Rechargeab'!AU21+'POM Portables Li-Primary'!AU21+'POM Portables Lead-acid'!AU21+'POM Portables NiMH'!AU21+'POM Portables NiCd'!AU21+'POM Portables Other'!AU21</f>
        <v>88422.791784944158</v>
      </c>
      <c r="AV12" s="67">
        <f>'POM Portables Zn-based'!AV21+'POM Portables Li-Rechargeab'!AV21+'POM Portables Li-Primary'!AV21+'POM Portables Lead-acid'!AV21+'POM Portables NiMH'!AV21+'POM Portables NiCd'!AV21+'POM Portables Other'!AV21</f>
        <v>89782.120073163387</v>
      </c>
      <c r="AW12" s="67">
        <f>'POM Portables Zn-based'!AW21+'POM Portables Li-Rechargeab'!AW21+'POM Portables Li-Primary'!AW21+'POM Portables Lead-acid'!AW21+'POM Portables NiMH'!AW21+'POM Portables NiCd'!AW21+'POM Portables Other'!AW21</f>
        <v>91165.107093452578</v>
      </c>
      <c r="AX12" s="67">
        <f>'POM Portables Zn-based'!AX21+'POM Portables Li-Rechargeab'!AX21+'POM Portables Li-Primary'!AX21+'POM Portables Lead-acid'!AX21+'POM Portables NiMH'!AX21+'POM Portables NiCd'!AX21+'POM Portables Other'!AX21</f>
        <v>92572.18910092942</v>
      </c>
      <c r="AY12" s="67">
        <f>'POM Portables Zn-based'!AY21+'POM Portables Li-Rechargeab'!AY21+'POM Portables Li-Primary'!AY21+'POM Portables Lead-acid'!AY21+'POM Portables NiMH'!AY21+'POM Portables NiCd'!AY21+'POM Portables Other'!AY21</f>
        <v>94003.81084282737</v>
      </c>
      <c r="AZ12" s="67">
        <f>'POM Portables Zn-based'!AZ21+'POM Portables Li-Rechargeab'!AZ21+'POM Portables Li-Primary'!AZ21+'POM Portables Lead-acid'!AZ21+'POM Portables NiMH'!AZ21+'POM Portables NiCd'!AZ21+'POM Portables Other'!AZ21</f>
        <v>95460.425728240181</v>
      </c>
    </row>
    <row r="13" spans="1:52" x14ac:dyDescent="0.35">
      <c r="A13" s="52" t="s">
        <v>10</v>
      </c>
      <c r="B13" s="23">
        <f>'[2]POM Portables Zn-based'!B22+'[2]POM Portables NiMH'!B22+'[2]POM Portables Li-Primary'!B22+'[2]POM Portables Lead-acid'!B22+'[2]POM Portables NiCd'!B22+'[2]POM Portables Li-Rechargeable'!B22+'[2]POM Portables Other'!B22</f>
        <v>27461.942672581903</v>
      </c>
      <c r="C13" s="23">
        <f>'[2]POM Portables Zn-based'!C22+'[2]POM Portables NiMH'!C22+'[2]POM Portables Li-Primary'!C22+'[2]POM Portables Lead-acid'!C22+'[2]POM Portables NiCd'!C22+'[2]POM Portables Li-Rechargeable'!C22+'[2]POM Portables Other'!C22</f>
        <v>28452.576209758357</v>
      </c>
      <c r="D13" s="23">
        <f>'[2]POM Portables Zn-based'!D22+'[2]POM Portables NiMH'!D22+'[2]POM Portables Li-Primary'!D22+'[2]POM Portables Lead-acid'!D22+'[2]POM Portables NiCd'!D22+'[2]POM Portables Li-Rechargeable'!D22+'[2]POM Portables Other'!D22</f>
        <v>29552.770350942312</v>
      </c>
      <c r="E13" s="23">
        <f>'[2]POM Portables Zn-based'!E22+'[2]POM Portables NiMH'!E22+'[2]POM Portables Li-Primary'!E22+'[2]POM Portables Lead-acid'!E22+'[2]POM Portables NiCd'!E22+'[2]POM Portables Li-Rechargeable'!E22+'[2]POM Portables Other'!E22</f>
        <v>30964.632805233374</v>
      </c>
      <c r="F13" s="23">
        <f>'[2]POM Portables Zn-based'!F22+'[2]POM Portables NiMH'!F22+'[2]POM Portables Li-Primary'!F22+'[2]POM Portables Lead-acid'!F22+'[2]POM Portables NiCd'!F22+'[2]POM Portables Li-Rechargeable'!F22+'[2]POM Portables Other'!F22</f>
        <v>32873.061071482691</v>
      </c>
      <c r="G13" s="23">
        <f>'[2]POM Portables Zn-based'!G22+'[2]POM Portables NiMH'!G22+'[2]POM Portables Li-Primary'!G22+'[2]POM Portables Lead-acid'!G22+'[2]POM Portables NiCd'!G22+'[2]POM Portables Li-Rechargeable'!G22+'[2]POM Portables Other'!G22</f>
        <v>33567.389927984696</v>
      </c>
      <c r="H13" s="23">
        <f>'[2]POM Portables Zn-based'!H22+'[2]POM Portables NiMH'!H22+'[2]POM Portables Li-Primary'!H22+'[2]POM Portables Lead-acid'!H22+'[2]POM Portables NiCd'!H22+'[2]POM Portables Li-Rechargeable'!H22+'[2]POM Portables Other'!H22</f>
        <v>35765.2768221527</v>
      </c>
      <c r="I13" s="23">
        <f>'[2]POM Portables Zn-based'!I22+'[2]POM Portables NiMH'!I22+'[2]POM Portables Li-Primary'!I22+'[2]POM Portables Lead-acid'!I22+'[2]POM Portables NiCd'!I22+'[2]POM Portables Li-Rechargeable'!I22+'[2]POM Portables Other'!I22</f>
        <v>35099.877718909258</v>
      </c>
      <c r="J13" s="23">
        <f>'[2]POM Portables Zn-based'!J22+'[2]POM Portables NiMH'!J22+'[2]POM Portables Li-Primary'!J22+'[2]POM Portables Lead-acid'!J22+'[2]POM Portables NiCd'!J22+'[2]POM Portables Li-Rechargeable'!J22+'[2]POM Portables Other'!J22</f>
        <v>37048.745518901429</v>
      </c>
      <c r="K13" s="23">
        <f>'[2]POM Portables Zn-based'!K22+'[2]POM Portables NiMH'!K22+'[2]POM Portables Li-Primary'!K22+'[2]POM Portables Lead-acid'!K22+'[2]POM Portables NiCd'!K22+'[2]POM Portables Li-Rechargeable'!K22+'[2]POM Portables Other'!K22</f>
        <v>35614.994960621523</v>
      </c>
      <c r="L13" s="23">
        <f>'[2]POM Portables Zn-based'!L22+'[2]POM Portables NiMH'!L22+'[2]POM Portables Li-Primary'!L22+'[2]POM Portables Lead-acid'!L22+'[2]POM Portables NiCd'!L22+'[2]POM Portables Li-Rechargeable'!L22+'[2]POM Portables Other'!L22</f>
        <v>38551.602035594027</v>
      </c>
      <c r="M13" s="4">
        <v>43337.197</v>
      </c>
      <c r="N13" s="4">
        <v>43548.455000000002</v>
      </c>
      <c r="O13" s="4">
        <v>42440.931000000004</v>
      </c>
      <c r="P13" s="4">
        <v>43994.175000000003</v>
      </c>
      <c r="Q13" s="4">
        <v>43902</v>
      </c>
      <c r="R13" s="4">
        <v>45511</v>
      </c>
      <c r="S13" s="4">
        <v>50643</v>
      </c>
      <c r="T13" s="4">
        <v>52159</v>
      </c>
      <c r="U13" s="4">
        <v>55905</v>
      </c>
      <c r="V13" s="4">
        <v>65368</v>
      </c>
      <c r="W13" s="4">
        <v>63211</v>
      </c>
      <c r="X13" s="67">
        <f>'POM Portables Zn-based'!X22+'POM Portables Li-Rechargeab'!X22+'POM Portables Li-Primary'!X22+'POM Portables Lead-acid'!X22+'POM Portables NiMH'!X22+'POM Portables NiCd'!X22+'POM Portables Other'!X22</f>
        <v>65775.047552966498</v>
      </c>
      <c r="Y13" s="67">
        <f>'POM Portables Zn-based'!Y22+'POM Portables Li-Rechargeab'!Y22+'POM Portables Li-Primary'!Y22+'POM Portables Lead-acid'!Y22+'POM Portables NiMH'!Y22+'POM Portables NiCd'!Y22+'POM Portables Other'!Y22</f>
        <v>68503.346000667196</v>
      </c>
      <c r="Z13" s="67">
        <f>'POM Portables Zn-based'!Z22+'POM Portables Li-Rechargeab'!Z22+'POM Portables Li-Primary'!Z22+'POM Portables Lead-acid'!Z22+'POM Portables NiMH'!Z22+'POM Portables NiCd'!Z22+'POM Portables Other'!Z22</f>
        <v>71455.162774371318</v>
      </c>
      <c r="AA13" s="67">
        <f>'POM Portables Zn-based'!AA22+'POM Portables Li-Rechargeab'!AA22+'POM Portables Li-Primary'!AA22+'POM Portables Lead-acid'!AA22+'POM Portables NiMH'!AA22+'POM Portables NiCd'!AA22+'POM Portables Other'!AA22</f>
        <v>74638.119931740788</v>
      </c>
      <c r="AB13" s="67">
        <f>'POM Portables Zn-based'!AB22+'POM Portables Li-Rechargeab'!AB22+'POM Portables Li-Primary'!AB22+'POM Portables Lead-acid'!AB22+'POM Portables NiMH'!AB22+'POM Portables NiCd'!AB22+'POM Portables Other'!AB22</f>
        <v>76760.175958489941</v>
      </c>
      <c r="AC13" s="67">
        <f>'POM Portables Zn-based'!AC22+'POM Portables Li-Rechargeab'!AC22+'POM Portables Li-Primary'!AC22+'POM Portables Lead-acid'!AC22+'POM Portables NiMH'!AC22+'POM Portables NiCd'!AC22+'POM Portables Other'!AC22</f>
        <v>79478.416710173726</v>
      </c>
      <c r="AD13" s="67">
        <f>'POM Portables Zn-based'!AD22+'POM Portables Li-Rechargeab'!AD22+'POM Portables Li-Primary'!AD22+'POM Portables Lead-acid'!AD22+'POM Portables NiMH'!AD22+'POM Portables NiCd'!AD22+'POM Portables Other'!AD22</f>
        <v>83142.690292899177</v>
      </c>
      <c r="AE13" s="67">
        <f>'POM Portables Zn-based'!AE22+'POM Portables Li-Rechargeab'!AE22+'POM Portables Li-Primary'!AE22+'POM Portables Lead-acid'!AE22+'POM Portables NiMH'!AE22+'POM Portables NiCd'!AE22+'POM Portables Other'!AE22</f>
        <v>87456.364274228472</v>
      </c>
      <c r="AF13" s="67">
        <f>'POM Portables Zn-based'!AF22+'POM Portables Li-Rechargeab'!AF22+'POM Portables Li-Primary'!AF22+'POM Portables Lead-acid'!AF22+'POM Portables NiMH'!AF22+'POM Portables NiCd'!AF22+'POM Portables Other'!AF22</f>
        <v>92071.652062493929</v>
      </c>
      <c r="AG13" s="67">
        <f>'POM Portables Zn-based'!AG22+'POM Portables Li-Rechargeab'!AG22+'POM Portables Li-Primary'!AG22+'POM Portables Lead-acid'!AG22+'POM Portables NiMH'!AG22+'POM Portables NiCd'!AG22+'POM Portables Other'!AG22</f>
        <v>95504.294462584381</v>
      </c>
      <c r="AH13" s="67">
        <f>'POM Portables Zn-based'!AH22+'POM Portables Li-Rechargeab'!AH22+'POM Portables Li-Primary'!AH22+'POM Portables Lead-acid'!AH22+'POM Portables NiMH'!AH22+'POM Portables NiCd'!AH22+'POM Portables Other'!AH22</f>
        <v>99103.769093541719</v>
      </c>
      <c r="AI13" s="67">
        <f>'POM Portables Zn-based'!AI22+'POM Portables Li-Rechargeab'!AI22+'POM Portables Li-Primary'!AI22+'POM Portables Lead-acid'!AI22+'POM Portables NiMH'!AI22+'POM Portables NiCd'!AI22+'POM Portables Other'!AI22</f>
        <v>102880.76773864738</v>
      </c>
      <c r="AJ13" s="67">
        <f>'POM Portables Zn-based'!AJ22+'POM Portables Li-Rechargeab'!AJ22+'POM Portables Li-Primary'!AJ22+'POM Portables Lead-acid'!AJ22+'POM Portables NiMH'!AJ22+'POM Portables NiCd'!AJ22+'POM Portables Other'!AJ22</f>
        <v>106845.02365451631</v>
      </c>
      <c r="AK13" s="67">
        <f>'POM Portables Zn-based'!AK22+'POM Portables Li-Rechargeab'!AK22+'POM Portables Li-Primary'!AK22+'POM Portables Lead-acid'!AK22+'POM Portables NiMH'!AK22+'POM Portables NiCd'!AK22+'POM Portables Other'!AK22</f>
        <v>111006.83542182382</v>
      </c>
      <c r="AL13" s="67">
        <f>'POM Portables Zn-based'!AL22+'POM Portables Li-Rechargeab'!AL22+'POM Portables Li-Primary'!AL22+'POM Portables Lead-acid'!AL22+'POM Portables NiMH'!AL22+'POM Portables NiCd'!AL22+'POM Portables Other'!AL22</f>
        <v>115377.1003327982</v>
      </c>
      <c r="AM13" s="67">
        <f>'POM Portables Zn-based'!AM22+'POM Portables Li-Rechargeab'!AM22+'POM Portables Li-Primary'!AM22+'POM Portables Lead-acid'!AM22+'POM Portables NiMH'!AM22+'POM Portables NiCd'!AM22+'POM Portables Other'!AM22</f>
        <v>119967.34976626001</v>
      </c>
      <c r="AN13" s="67">
        <f>'POM Portables Zn-based'!AN22+'POM Portables Li-Rechargeab'!AN22+'POM Portables Li-Primary'!AN22+'POM Portables Lead-acid'!AN22+'POM Portables NiMH'!AN22+'POM Portables NiCd'!AN22+'POM Portables Other'!AN22</f>
        <v>124789.78666883717</v>
      </c>
      <c r="AO13" s="67">
        <f>'POM Portables Zn-based'!AO22+'POM Portables Li-Rechargeab'!AO22+'POM Portables Li-Primary'!AO22+'POM Portables Lead-acid'!AO22+'POM Portables NiMH'!AO22+'POM Portables NiCd'!AO22+'POM Portables Other'!AO22</f>
        <v>129773.72611433949</v>
      </c>
      <c r="AP13" s="67">
        <f>'POM Portables Zn-based'!AP22+'POM Portables Li-Rechargeab'!AP22+'POM Portables Li-Primary'!AP22+'POM Portables Lead-acid'!AP22+'POM Portables NiMH'!AP22+'POM Portables NiCd'!AP22+'POM Portables Other'!AP22</f>
        <v>134445.82440036762</v>
      </c>
      <c r="AQ13" s="67">
        <f>'POM Portables Zn-based'!AQ22+'POM Portables Li-Rechargeab'!AQ22+'POM Portables Li-Primary'!AQ22+'POM Portables Lead-acid'!AQ22+'POM Portables NiMH'!AQ22+'POM Portables NiCd'!AQ22+'POM Portables Other'!AQ22</f>
        <v>136563.16029005393</v>
      </c>
      <c r="AR13" s="67">
        <f>'POM Portables Zn-based'!AR22+'POM Portables Li-Rechargeab'!AR22+'POM Portables Li-Primary'!AR22+'POM Portables Lead-acid'!AR22+'POM Portables NiMH'!AR22+'POM Portables NiCd'!AR22+'POM Portables Other'!AR22</f>
        <v>138713.7194354953</v>
      </c>
      <c r="AS13" s="67">
        <f>'POM Portables Zn-based'!AS22+'POM Portables Li-Rechargeab'!AS22+'POM Portables Li-Primary'!AS22+'POM Portables Lead-acid'!AS22+'POM Portables NiMH'!AS22+'POM Portables NiCd'!AS22+'POM Portables Other'!AS22</f>
        <v>140903.24960662684</v>
      </c>
      <c r="AT13" s="67">
        <f>'POM Portables Zn-based'!AT22+'POM Portables Li-Rechargeab'!AT22+'POM Portables Li-Primary'!AT22+'POM Portables Lead-acid'!AT22+'POM Portables NiMH'!AT22+'POM Portables NiCd'!AT22+'POM Portables Other'!AT22</f>
        <v>143132.51085841734</v>
      </c>
      <c r="AU13" s="67">
        <f>'POM Portables Zn-based'!AU22+'POM Portables Li-Rechargeab'!AU22+'POM Portables Li-Primary'!AU22+'POM Portables Lead-acid'!AU22+'POM Portables NiMH'!AU22+'POM Portables NiCd'!AU22+'POM Portables Other'!AU22</f>
        <v>145402.27920406527</v>
      </c>
      <c r="AV13" s="67">
        <f>'POM Portables Zn-based'!AV22+'POM Portables Li-Rechargeab'!AV22+'POM Portables Li-Primary'!AV22+'POM Portables Lead-acid'!AV22+'POM Portables NiMH'!AV22+'POM Portables NiCd'!AV22+'POM Portables Other'!AV22</f>
        <v>147610.53055271041</v>
      </c>
      <c r="AW13" s="67">
        <f>'POM Portables Zn-based'!AW22+'POM Portables Li-Rechargeab'!AW22+'POM Portables Li-Primary'!AW22+'POM Portables Lead-acid'!AW22+'POM Portables NiMH'!AW22+'POM Portables NiCd'!AW22+'POM Portables Other'!AW22</f>
        <v>149856.77765613596</v>
      </c>
      <c r="AX13" s="67">
        <f>'POM Portables Zn-based'!AX22+'POM Portables Li-Rechargeab'!AX22+'POM Portables Li-Primary'!AX22+'POM Portables Lead-acid'!AX22+'POM Portables NiMH'!AX22+'POM Portables NiCd'!AX22+'POM Portables Other'!AX22</f>
        <v>152141.71288611036</v>
      </c>
      <c r="AY13" s="67">
        <f>'POM Portables Zn-based'!AY22+'POM Portables Li-Rechargeab'!AY22+'POM Portables Li-Primary'!AY22+'POM Portables Lead-acid'!AY22+'POM Portables NiMH'!AY22+'POM Portables NiCd'!AY22+'POM Portables Other'!AY22</f>
        <v>154466.04191799319</v>
      </c>
      <c r="AZ13" s="67">
        <f>'POM Portables Zn-based'!AZ22+'POM Portables Li-Rechargeab'!AZ22+'POM Portables Li-Primary'!AZ22+'POM Portables Lead-acid'!AZ22+'POM Portables NiMH'!AZ22+'POM Portables NiCd'!AZ22+'POM Portables Other'!AZ22</f>
        <v>156830.48399224519</v>
      </c>
    </row>
    <row r="14" spans="1:52" x14ac:dyDescent="0.35">
      <c r="A14" s="52" t="s">
        <v>11</v>
      </c>
      <c r="B14" s="23">
        <f>'[2]POM Portables Zn-based'!B23+'[2]POM Portables NiMH'!B23+'[2]POM Portables Li-Primary'!B23+'[2]POM Portables Lead-acid'!B23+'[2]POM Portables NiCd'!B23+'[2]POM Portables Li-Rechargeable'!B23+'[2]POM Portables Other'!B23</f>
        <v>1222.6759146031088</v>
      </c>
      <c r="C14" s="23">
        <f>'[2]POM Portables Zn-based'!C23+'[2]POM Portables NiMH'!C23+'[2]POM Portables Li-Primary'!C23+'[2]POM Portables Lead-acid'!C23+'[2]POM Portables NiCd'!C23+'[2]POM Portables Li-Rechargeable'!C23+'[2]POM Portables Other'!C23</f>
        <v>1266.9911684477859</v>
      </c>
      <c r="D14" s="23">
        <f>'[2]POM Portables Zn-based'!D23+'[2]POM Portables NiMH'!D23+'[2]POM Portables Li-Primary'!D23+'[2]POM Portables Lead-acid'!D23+'[2]POM Portables NiCd'!D23+'[2]POM Portables Li-Rechargeable'!D23+'[2]POM Portables Other'!D23</f>
        <v>1316.1226836575515</v>
      </c>
      <c r="E14" s="23">
        <f>'[2]POM Portables Zn-based'!E23+'[2]POM Portables NiMH'!E23+'[2]POM Portables Li-Primary'!E23+'[2]POM Portables Lead-acid'!E23+'[2]POM Portables NiCd'!E23+'[2]POM Portables Li-Rechargeable'!E23+'[2]POM Portables Other'!E23</f>
        <v>1378.8540057739754</v>
      </c>
      <c r="F14" s="23">
        <f>'[2]POM Portables Zn-based'!F23+'[2]POM Portables NiMH'!F23+'[2]POM Portables Li-Primary'!F23+'[2]POM Portables Lead-acid'!F23+'[2]POM Portables NiCd'!F23+'[2]POM Portables Li-Rechargeable'!F23+'[2]POM Portables Other'!F23</f>
        <v>1465.0490829189896</v>
      </c>
      <c r="G14" s="23">
        <f>'[2]POM Portables Zn-based'!G23+'[2]POM Portables NiMH'!G23+'[2]POM Portables Li-Primary'!G23+'[2]POM Portables Lead-acid'!G23+'[2]POM Portables NiCd'!G23+'[2]POM Portables Li-Rechargeable'!G23+'[2]POM Portables Other'!G23</f>
        <v>1490.9866696903157</v>
      </c>
      <c r="H14" s="23">
        <f>'[2]POM Portables Zn-based'!H23+'[2]POM Portables NiMH'!H23+'[2]POM Portables Li-Primary'!H23+'[2]POM Portables Lead-acid'!H23+'[2]POM Portables NiCd'!H23+'[2]POM Portables Li-Rechargeable'!H23+'[2]POM Portables Other'!H23</f>
        <v>1591.8347209734798</v>
      </c>
      <c r="I14" s="23">
        <f>'[2]POM Portables Zn-based'!I23+'[2]POM Portables NiMH'!I23+'[2]POM Portables Li-Primary'!I23+'[2]POM Portables Lead-acid'!I23+'[2]POM Portables NiCd'!I23+'[2]POM Portables Li-Rechargeable'!I23+'[2]POM Portables Other'!I23</f>
        <v>1555.229307675984</v>
      </c>
      <c r="J14" s="23">
        <f>'[2]POM Portables Zn-based'!J23+'[2]POM Portables NiMH'!J23+'[2]POM Portables Li-Primary'!J23+'[2]POM Portables Lead-acid'!J23+'[2]POM Portables NiCd'!J23+'[2]POM Portables Li-Rechargeable'!J23+'[2]POM Portables Other'!J23</f>
        <v>1638.0588979015051</v>
      </c>
      <c r="K14" s="23">
        <f>'[2]POM Portables Zn-based'!K23+'[2]POM Portables NiMH'!K23+'[2]POM Portables Li-Primary'!K23+'[2]POM Portables Lead-acid'!K23+'[2]POM Portables NiCd'!K23+'[2]POM Portables Li-Rechargeable'!K23+'[2]POM Portables Other'!K23</f>
        <v>1574.9844200789842</v>
      </c>
      <c r="L14" s="23">
        <f>'[2]POM Portables Zn-based'!L23+'[2]POM Portables NiMH'!L23+'[2]POM Portables Li-Primary'!L23+'[2]POM Portables Lead-acid'!L23+'[2]POM Portables NiCd'!L23+'[2]POM Portables Li-Rechargeable'!L23+'[2]POM Portables Other'!L23</f>
        <v>1697.106400955952</v>
      </c>
      <c r="M14" s="4">
        <v>1850</v>
      </c>
      <c r="N14" s="4">
        <v>1589</v>
      </c>
      <c r="O14" s="4">
        <v>1587</v>
      </c>
      <c r="P14" s="4">
        <v>1535</v>
      </c>
      <c r="Q14" s="4">
        <v>1675</v>
      </c>
      <c r="R14" s="4">
        <v>1599</v>
      </c>
      <c r="S14" s="4">
        <v>1692</v>
      </c>
      <c r="T14" s="4">
        <v>1646</v>
      </c>
      <c r="U14" s="4">
        <v>1798</v>
      </c>
      <c r="V14" s="4">
        <v>1850</v>
      </c>
      <c r="W14" s="4">
        <v>2872</v>
      </c>
      <c r="X14" s="67">
        <f>'POM Portables Zn-based'!X23+'POM Portables Li-Rechargeab'!X23+'POM Portables Li-Primary'!X23+'POM Portables Lead-acid'!X23+'POM Portables NiMH'!X23+'POM Portables NiCd'!X23+'POM Portables Other'!X23</f>
        <v>2986.5580298983868</v>
      </c>
      <c r="Y14" s="67">
        <f>'POM Portables Zn-based'!Y23+'POM Portables Li-Rechargeab'!Y23+'POM Portables Li-Primary'!Y23+'POM Portables Lead-acid'!Y23+'POM Portables NiMH'!Y23+'POM Portables NiCd'!Y23+'POM Portables Other'!Y23</f>
        <v>3109.6473481519379</v>
      </c>
      <c r="Z14" s="67">
        <f>'POM Portables Zn-based'!Z23+'POM Portables Li-Rechargeab'!Z23+'POM Portables Li-Primary'!Z23+'POM Portables Lead-acid'!Z23+'POM Portables NiMH'!Z23+'POM Portables NiCd'!Z23+'POM Portables Other'!Z23</f>
        <v>3244.0671702577793</v>
      </c>
      <c r="AA14" s="67">
        <f>'POM Portables Zn-based'!AA23+'POM Portables Li-Rechargeab'!AA23+'POM Portables Li-Primary'!AA23+'POM Portables Lead-acid'!AA23+'POM Portables NiMH'!AA23+'POM Portables NiCd'!AA23+'POM Portables Other'!AA23</f>
        <v>3391.3793766727463</v>
      </c>
      <c r="AB14" s="67">
        <f>'POM Portables Zn-based'!AB23+'POM Portables Li-Rechargeab'!AB23+'POM Portables Li-Primary'!AB23+'POM Portables Lead-acid'!AB23+'POM Portables NiMH'!AB23+'POM Portables NiCd'!AB23+'POM Portables Other'!AB23</f>
        <v>3508.7873223292727</v>
      </c>
      <c r="AC14" s="67">
        <f>'POM Portables Zn-based'!AC23+'POM Portables Li-Rechargeab'!AC23+'POM Portables Li-Primary'!AC23+'POM Portables Lead-acid'!AC23+'POM Portables NiMH'!AC23+'POM Portables NiCd'!AC23+'POM Portables Other'!AC23</f>
        <v>3649.5545527510108</v>
      </c>
      <c r="AD14" s="67">
        <f>'POM Portables Zn-based'!AD23+'POM Portables Li-Rechargeab'!AD23+'POM Portables Li-Primary'!AD23+'POM Portables Lead-acid'!AD23+'POM Portables NiMH'!AD23+'POM Portables NiCd'!AD23+'POM Portables Other'!AD23</f>
        <v>3825.4444805867433</v>
      </c>
      <c r="AE14" s="67">
        <f>'POM Portables Zn-based'!AE23+'POM Portables Li-Rechargeab'!AE23+'POM Portables Li-Primary'!AE23+'POM Portables Lead-acid'!AE23+'POM Portables NiMH'!AE23+'POM Portables NiCd'!AE23+'POM Portables Other'!AE23</f>
        <v>4027.2062659944295</v>
      </c>
      <c r="AF14" s="67">
        <f>'POM Portables Zn-based'!AF23+'POM Portables Li-Rechargeab'!AF23+'POM Portables Li-Primary'!AF23+'POM Portables Lead-acid'!AF23+'POM Portables NiMH'!AF23+'POM Portables NiCd'!AF23+'POM Portables Other'!AF23</f>
        <v>4243.4745719697848</v>
      </c>
      <c r="AG14" s="67">
        <f>'POM Portables Zn-based'!AG23+'POM Portables Li-Rechargeab'!AG23+'POM Portables Li-Primary'!AG23+'POM Portables Lead-acid'!AG23+'POM Portables NiMH'!AG23+'POM Portables NiCd'!AG23+'POM Portables Other'!AG23</f>
        <v>4403.7354382675558</v>
      </c>
      <c r="AH14" s="67">
        <f>'POM Portables Zn-based'!AH23+'POM Portables Li-Rechargeab'!AH23+'POM Portables Li-Primary'!AH23+'POM Portables Lead-acid'!AH23+'POM Portables NiMH'!AH23+'POM Portables NiCd'!AH23+'POM Portables Other'!AH23</f>
        <v>4571.7222241743011</v>
      </c>
      <c r="AI14" s="67">
        <f>'POM Portables Zn-based'!AI23+'POM Portables Li-Rechargeab'!AI23+'POM Portables Li-Primary'!AI23+'POM Portables Lead-acid'!AI23+'POM Portables NiMH'!AI23+'POM Portables NiCd'!AI23+'POM Portables Other'!AI23</f>
        <v>4748.0553456879688</v>
      </c>
      <c r="AJ14" s="67">
        <f>'POM Portables Zn-based'!AJ23+'POM Portables Li-Rechargeab'!AJ23+'POM Portables Li-Primary'!AJ23+'POM Portables Lead-acid'!AJ23+'POM Portables NiMH'!AJ23+'POM Portables NiCd'!AJ23+'POM Portables Other'!AJ23</f>
        <v>4933.1940549895071</v>
      </c>
      <c r="AK14" s="67">
        <f>'POM Portables Zn-based'!AK23+'POM Portables Li-Rechargeab'!AK23+'POM Portables Li-Primary'!AK23+'POM Portables Lead-acid'!AK23+'POM Portables NiMH'!AK23+'POM Portables NiCd'!AK23+'POM Portables Other'!AK23</f>
        <v>5127.6243145911394</v>
      </c>
      <c r="AL14" s="67">
        <f>'POM Portables Zn-based'!AL23+'POM Portables Li-Rechargeab'!AL23+'POM Portables Li-Primary'!AL23+'POM Portables Lead-acid'!AL23+'POM Portables NiMH'!AL23+'POM Portables NiCd'!AL23+'POM Portables Other'!AL23</f>
        <v>5331.8603757625051</v>
      </c>
      <c r="AM14" s="67">
        <f>'POM Portables Zn-based'!AM23+'POM Portables Li-Rechargeab'!AM23+'POM Portables Li-Primary'!AM23+'POM Portables Lead-acid'!AM23+'POM Portables NiMH'!AM23+'POM Portables NiCd'!AM23+'POM Portables Other'!AM23</f>
        <v>5546.446450945331</v>
      </c>
      <c r="AN14" s="67">
        <f>'POM Portables Zn-based'!AN23+'POM Portables Li-Rechargeab'!AN23+'POM Portables Li-Primary'!AN23+'POM Portables Lead-acid'!AN23+'POM Portables NiMH'!AN23+'POM Portables NiCd'!AN23+'POM Portables Other'!AN23</f>
        <v>5771.9584857672999</v>
      </c>
      <c r="AO14" s="67">
        <f>'POM Portables Zn-based'!AO23+'POM Portables Li-Rechargeab'!AO23+'POM Portables Li-Primary'!AO23+'POM Portables Lead-acid'!AO23+'POM Portables NiMH'!AO23+'POM Portables NiCd'!AO23+'POM Portables Other'!AO23</f>
        <v>6005.5252949482519</v>
      </c>
      <c r="AP14" s="67">
        <f>'POM Portables Zn-based'!AP23+'POM Portables Li-Rechargeab'!AP23+'POM Portables Li-Primary'!AP23+'POM Portables Lead-acid'!AP23+'POM Portables NiMH'!AP23+'POM Portables NiCd'!AP23+'POM Portables Other'!AP23</f>
        <v>6225.5757181967128</v>
      </c>
      <c r="AQ14" s="67">
        <f>'POM Portables Zn-based'!AQ23+'POM Portables Li-Rechargeab'!AQ23+'POM Portables Li-Primary'!AQ23+'POM Portables Lead-acid'!AQ23+'POM Portables NiMH'!AQ23+'POM Portables NiCd'!AQ23+'POM Portables Other'!AQ23</f>
        <v>6324.7374761360034</v>
      </c>
      <c r="AR14" s="67">
        <f>'POM Portables Zn-based'!AR23+'POM Portables Li-Rechargeab'!AR23+'POM Portables Li-Primary'!AR23+'POM Portables Lead-acid'!AR23+'POM Portables NiMH'!AR23+'POM Portables NiCd'!AR23+'POM Portables Other'!AR23</f>
        <v>6425.0658460838495</v>
      </c>
      <c r="AS14" s="67">
        <f>'POM Portables Zn-based'!AS23+'POM Portables Li-Rechargeab'!AS23+'POM Portables Li-Primary'!AS23+'POM Portables Lead-acid'!AS23+'POM Portables NiMH'!AS23+'POM Portables NiCd'!AS23+'POM Portables Other'!AS23</f>
        <v>6527.2206854579026</v>
      </c>
      <c r="AT14" s="67">
        <f>'POM Portables Zn-based'!AT23+'POM Portables Li-Rechargeab'!AT23+'POM Portables Li-Primary'!AT23+'POM Portables Lead-acid'!AT23+'POM Portables NiMH'!AT23+'POM Portables NiCd'!AT23+'POM Portables Other'!AT23</f>
        <v>6631.2376987348352</v>
      </c>
      <c r="AU14" s="67">
        <f>'POM Portables Zn-based'!AU23+'POM Portables Li-Rechargeab'!AU23+'POM Portables Li-Primary'!AU23+'POM Portables Lead-acid'!AU23+'POM Portables NiMH'!AU23+'POM Portables NiCd'!AU23+'POM Portables Other'!AU23</f>
        <v>6737.1533402228361</v>
      </c>
      <c r="AV14" s="67">
        <f>'POM Portables Zn-based'!AV23+'POM Portables Li-Rechargeab'!AV23+'POM Portables Li-Primary'!AV23+'POM Portables Lead-acid'!AV23+'POM Portables NiMH'!AV23+'POM Portables NiCd'!AV23+'POM Portables Other'!AV23</f>
        <v>6840.7239573970719</v>
      </c>
      <c r="AW14" s="67">
        <f>'POM Portables Zn-based'!AW23+'POM Portables Li-Rechargeab'!AW23+'POM Portables Li-Primary'!AW23+'POM Portables Lead-acid'!AW23+'POM Portables NiMH'!AW23+'POM Portables NiCd'!AW23+'POM Portables Other'!AW23</f>
        <v>6946.0971924549231</v>
      </c>
      <c r="AX14" s="67">
        <f>'POM Portables Zn-based'!AX23+'POM Portables Li-Rechargeab'!AX23+'POM Portables Li-Primary'!AX23+'POM Portables Lead-acid'!AX23+'POM Portables NiMH'!AX23+'POM Portables NiCd'!AX23+'POM Portables Other'!AX23</f>
        <v>7053.3062847633391</v>
      </c>
      <c r="AY14" s="67">
        <f>'POM Portables Zn-based'!AY23+'POM Portables Li-Rechargeab'!AY23+'POM Portables Li-Primary'!AY23+'POM Portables Lead-acid'!AY23+'POM Portables NiMH'!AY23+'POM Portables NiCd'!AY23+'POM Portables Other'!AY23</f>
        <v>7162.3851207247908</v>
      </c>
      <c r="AZ14" s="67">
        <f>'POM Portables Zn-based'!AZ23+'POM Portables Li-Rechargeab'!AZ23+'POM Portables Li-Primary'!AZ23+'POM Portables Lead-acid'!AZ23+'POM Portables NiMH'!AZ23+'POM Portables NiCd'!AZ23+'POM Portables Other'!AZ23</f>
        <v>7273.3682467105064</v>
      </c>
    </row>
    <row r="15" spans="1:52" x14ac:dyDescent="0.35">
      <c r="A15" s="52" t="s">
        <v>12</v>
      </c>
      <c r="B15" s="23">
        <f>'[2]POM Portables Zn-based'!B24+'[2]POM Portables NiMH'!B24+'[2]POM Portables Li-Primary'!B24+'[2]POM Portables Lead-acid'!B24+'[2]POM Portables NiCd'!B24+'[2]POM Portables Li-Rechargeable'!B24+'[2]POM Portables Other'!B24</f>
        <v>1350.2307532617033</v>
      </c>
      <c r="C15" s="23">
        <f>'[2]POM Portables Zn-based'!C24+'[2]POM Portables NiMH'!C24+'[2]POM Portables Li-Primary'!C24+'[2]POM Portables Lead-acid'!C24+'[2]POM Portables NiCd'!C24+'[2]POM Portables Li-Rechargeable'!C24+'[2]POM Portables Other'!C24</f>
        <v>1399.1691660209876</v>
      </c>
      <c r="D15" s="23">
        <f>'[2]POM Portables Zn-based'!D24+'[2]POM Portables NiMH'!D24+'[2]POM Portables Li-Primary'!D24+'[2]POM Portables Lead-acid'!D24+'[2]POM Portables NiCd'!D24+'[2]POM Portables Li-Rechargeable'!D24+'[2]POM Portables Other'!D24</f>
        <v>1453.4262933580421</v>
      </c>
      <c r="E15" s="23">
        <f>'[2]POM Portables Zn-based'!E24+'[2]POM Portables NiMH'!E24+'[2]POM Portables Li-Primary'!E24+'[2]POM Portables Lead-acid'!E24+'[2]POM Portables NiCd'!E24+'[2]POM Portables Li-Rechargeable'!E24+'[2]POM Portables Other'!E24</f>
        <v>1522.7020182682336</v>
      </c>
      <c r="F15" s="23">
        <f>'[2]POM Portables Zn-based'!F24+'[2]POM Portables NiMH'!F24+'[2]POM Portables Li-Primary'!F24+'[2]POM Portables Lead-acid'!F24+'[2]POM Portables NiCd'!F24+'[2]POM Portables Li-Rechargeable'!F24+'[2]POM Portables Other'!F24</f>
        <v>1617.8893385964843</v>
      </c>
      <c r="G15" s="23">
        <f>'[2]POM Portables Zn-based'!G24+'[2]POM Portables NiMH'!G24+'[2]POM Portables Li-Primary'!G24+'[2]POM Portables Lead-acid'!G24+'[2]POM Portables NiCd'!G24+'[2]POM Portables Li-Rechargeable'!G24+'[2]POM Portables Other'!G24</f>
        <v>1646.5328465823327</v>
      </c>
      <c r="H15" s="23">
        <f>'[2]POM Portables Zn-based'!H24+'[2]POM Portables NiMH'!H24+'[2]POM Portables Li-Primary'!H24+'[2]POM Portables Lead-acid'!H24+'[2]POM Portables NiCd'!H24+'[2]POM Portables Li-Rechargeable'!H24+'[2]POM Portables Other'!H24</f>
        <v>1757.9018026750373</v>
      </c>
      <c r="I15" s="23">
        <f>'[2]POM Portables Zn-based'!I24+'[2]POM Portables NiMH'!I24+'[2]POM Portables Li-Primary'!I24+'[2]POM Portables Lead-acid'!I24+'[2]POM Portables NiCd'!I24+'[2]POM Portables Li-Rechargeable'!I24+'[2]POM Portables Other'!I24</f>
        <v>1717.4775543686681</v>
      </c>
      <c r="J15" s="23">
        <f>'[2]POM Portables Zn-based'!J24+'[2]POM Portables NiMH'!J24+'[2]POM Portables Li-Primary'!J24+'[2]POM Portables Lead-acid'!J24+'[2]POM Portables NiCd'!J24+'[2]POM Portables Li-Rechargeable'!J24+'[2]POM Portables Other'!J24</f>
        <v>1808.9482856285269</v>
      </c>
      <c r="K15" s="23">
        <f>'[2]POM Portables Zn-based'!K24+'[2]POM Portables NiMH'!K24+'[2]POM Portables Li-Primary'!K24+'[2]POM Portables Lead-acid'!K24+'[2]POM Portables NiCd'!K24+'[2]POM Portables Li-Rechargeable'!K24+'[2]POM Portables Other'!K24</f>
        <v>1739.2936055250625</v>
      </c>
      <c r="L15" s="23">
        <f>'[2]POM Portables Zn-based'!L24+'[2]POM Portables NiMH'!L24+'[2]POM Portables Li-Primary'!L24+'[2]POM Portables Lead-acid'!L24+'[2]POM Portables NiCd'!L24+'[2]POM Portables Li-Rechargeable'!L24+'[2]POM Portables Other'!L24</f>
        <v>1874.1558795421672</v>
      </c>
      <c r="M15" s="4">
        <v>2043</v>
      </c>
      <c r="N15" s="4">
        <v>1569.4</v>
      </c>
      <c r="O15" s="4">
        <v>1547.7</v>
      </c>
      <c r="P15" s="4">
        <v>1589.6146666666666</v>
      </c>
      <c r="Q15" s="4">
        <v>1804</v>
      </c>
      <c r="R15" s="4">
        <v>1684</v>
      </c>
      <c r="S15" s="4">
        <v>2357</v>
      </c>
      <c r="T15" s="4">
        <v>2842</v>
      </c>
      <c r="U15" s="4">
        <v>2920</v>
      </c>
      <c r="V15" s="4">
        <v>2507</v>
      </c>
      <c r="W15" s="4">
        <v>3173</v>
      </c>
      <c r="X15" s="67">
        <f>'POM Portables Zn-based'!X24+'POM Portables Li-Rechargeab'!X24+'POM Portables Li-Primary'!X24+'POM Portables Lead-acid'!X24+'POM Portables NiMH'!X24+'POM Portables NiCd'!X24+'POM Portables Other'!X24</f>
        <v>3299.5642858174024</v>
      </c>
      <c r="Y15" s="67">
        <f>'POM Portables Zn-based'!Y24+'POM Portables Li-Rechargeab'!Y24+'POM Portables Li-Primary'!Y24+'POM Portables Lead-acid'!Y24+'POM Portables NiMH'!Y24+'POM Portables NiCd'!Y24+'POM Portables Other'!Y24</f>
        <v>3435.5539817848535</v>
      </c>
      <c r="Z15" s="67">
        <f>'POM Portables Zn-based'!Z24+'POM Portables Li-Rechargeab'!Z24+'POM Portables Li-Primary'!Z24+'POM Portables Lead-acid'!Z24+'POM Portables NiMH'!Z24+'POM Portables NiCd'!Z24+'POM Portables Other'!Z24</f>
        <v>3584.0616752186388</v>
      </c>
      <c r="AA15" s="67">
        <f>'POM Portables Zn-based'!AA24+'POM Portables Li-Rechargeab'!AA24+'POM Portables Li-Primary'!AA24+'POM Portables Lead-acid'!AA24+'POM Portables NiMH'!AA24+'POM Portables NiCd'!AA24+'POM Portables Other'!AA24</f>
        <v>3746.8129394786292</v>
      </c>
      <c r="AB15" s="67">
        <f>'POM Portables Zn-based'!AB24+'POM Portables Li-Rechargeab'!AB24+'POM Portables Li-Primary'!AB24+'POM Portables Lead-acid'!AB24+'POM Portables NiMH'!AB24+'POM Portables NiCd'!AB24+'POM Portables Other'!AB24</f>
        <v>3876.5258265148964</v>
      </c>
      <c r="AC15" s="67">
        <f>'POM Portables Zn-based'!AC24+'POM Portables Li-Rechargeab'!AC24+'POM Portables Li-Primary'!AC24+'POM Portables Lead-acid'!AC24+'POM Portables NiMH'!AC24+'POM Portables NiCd'!AC24+'POM Portables Other'!AC24</f>
        <v>4032.0461684815318</v>
      </c>
      <c r="AD15" s="67">
        <f>'POM Portables Zn-based'!AD24+'POM Portables Li-Rechargeab'!AD24+'POM Portables Li-Primary'!AD24+'POM Portables Lead-acid'!AD24+'POM Portables NiMH'!AD24+'POM Portables NiCd'!AD24+'POM Portables Other'!AD24</f>
        <v>4226.3702426538093</v>
      </c>
      <c r="AE15" s="67">
        <f>'POM Portables Zn-based'!AE24+'POM Portables Li-Rechargeab'!AE24+'POM Portables Li-Primary'!AE24+'POM Portables Lead-acid'!AE24+'POM Portables NiMH'!AE24+'POM Portables NiCd'!AE24+'POM Portables Other'!AE24</f>
        <v>4449.2776747912003</v>
      </c>
      <c r="AF15" s="67">
        <f>'POM Portables Zn-based'!AF24+'POM Portables Li-Rechargeab'!AF24+'POM Portables Li-Primary'!AF24+'POM Portables Lead-acid'!AF24+'POM Portables NiMH'!AF24+'POM Portables NiCd'!AF24+'POM Portables Other'!AF24</f>
        <v>4688.2119835863969</v>
      </c>
      <c r="AG15" s="67">
        <f>'POM Portables Zn-based'!AG24+'POM Portables Li-Rechargeab'!AG24+'POM Portables Li-Primary'!AG24+'POM Portables Lead-acid'!AG24+'POM Portables NiMH'!AG24+'POM Portables NiCd'!AG24+'POM Portables Other'!AG24</f>
        <v>4865.2689922085483</v>
      </c>
      <c r="AH15" s="67">
        <f>'POM Portables Zn-based'!AH24+'POM Portables Li-Rechargeab'!AH24+'POM Portables Li-Primary'!AH24+'POM Portables Lead-acid'!AH24+'POM Portables NiMH'!AH24+'POM Portables NiCd'!AH24+'POM Portables Other'!AH24</f>
        <v>5050.8616355518998</v>
      </c>
      <c r="AI15" s="67">
        <f>'POM Portables Zn-based'!AI24+'POM Portables Li-Rechargeab'!AI24+'POM Portables Li-Primary'!AI24+'POM Portables Lead-acid'!AI24+'POM Portables NiMH'!AI24+'POM Portables NiCd'!AI24+'POM Portables Other'!AI24</f>
        <v>5245.6753523217003</v>
      </c>
      <c r="AJ15" s="67">
        <f>'POM Portables Zn-based'!AJ24+'POM Portables Li-Rechargeab'!AJ24+'POM Portables Li-Primary'!AJ24+'POM Portables Lead-acid'!AJ24+'POM Portables NiMH'!AJ24+'POM Portables NiCd'!AJ24+'POM Portables Other'!AJ24</f>
        <v>5450.2175266301201</v>
      </c>
      <c r="AK15" s="67">
        <f>'POM Portables Zn-based'!AK24+'POM Portables Li-Rechargeab'!AK24+'POM Portables Li-Primary'!AK24+'POM Portables Lead-acid'!AK24+'POM Portables NiMH'!AK24+'POM Portables NiCd'!AK24+'POM Portables Other'!AK24</f>
        <v>5665.0250522972437</v>
      </c>
      <c r="AL15" s="67">
        <f>'POM Portables Zn-based'!AL24+'POM Portables Li-Rechargeab'!AL24+'POM Portables Li-Primary'!AL24+'POM Portables Lead-acid'!AL24+'POM Portables NiMH'!AL24+'POM Portables NiCd'!AL24+'POM Portables Other'!AL24</f>
        <v>5890.6660767041885</v>
      </c>
      <c r="AM15" s="67">
        <f>'POM Portables Zn-based'!AM24+'POM Portables Li-Rechargeab'!AM24+'POM Portables Li-Primary'!AM24+'POM Portables Lead-acid'!AM24+'POM Portables NiMH'!AM24+'POM Portables NiCd'!AM24+'POM Portables Other'!AM24</f>
        <v>6127.741848485216</v>
      </c>
      <c r="AN15" s="67">
        <f>'POM Portables Zn-based'!AN24+'POM Portables Li-Rechargeab'!AN24+'POM Portables Li-Primary'!AN24+'POM Portables Lead-acid'!AN24+'POM Portables NiMH'!AN24+'POM Portables NiCd'!AN24+'POM Portables Other'!AN24</f>
        <v>6376.8886752575354</v>
      </c>
      <c r="AO15" s="67">
        <f>'POM Portables Zn-based'!AO24+'POM Portables Li-Rechargeab'!AO24+'POM Portables Li-Primary'!AO24+'POM Portables Lead-acid'!AO24+'POM Portables NiMH'!AO24+'POM Portables NiCd'!AO24+'POM Portables Other'!AO24</f>
        <v>6634.9344571277179</v>
      </c>
      <c r="AP15" s="67">
        <f>'POM Portables Zn-based'!AP24+'POM Portables Li-Rechargeab'!AP24+'POM Portables Li-Primary'!AP24+'POM Portables Lead-acid'!AP24+'POM Portables NiMH'!AP24+'POM Portables NiCd'!AP24+'POM Portables Other'!AP24</f>
        <v>6878.0472680495013</v>
      </c>
      <c r="AQ15" s="67">
        <f>'POM Portables Zn-based'!AQ24+'POM Portables Li-Rechargeab'!AQ24+'POM Portables Li-Primary'!AQ24+'POM Portables Lead-acid'!AQ24+'POM Portables NiMH'!AQ24+'POM Portables NiCd'!AQ24+'POM Portables Other'!AQ24</f>
        <v>6987.6016754107022</v>
      </c>
      <c r="AR15" s="67">
        <f>'POM Portables Zn-based'!AR24+'POM Portables Li-Rechargeab'!AR24+'POM Portables Li-Primary'!AR24+'POM Portables Lead-acid'!AR24+'POM Portables NiMH'!AR24+'POM Portables NiCd'!AR24+'POM Portables Other'!AR24</f>
        <v>7098.4449615682634</v>
      </c>
      <c r="AS15" s="67">
        <f>'POM Portables Zn-based'!AS24+'POM Portables Li-Rechargeab'!AS24+'POM Portables Li-Primary'!AS24+'POM Portables Lead-acid'!AS24+'POM Portables NiMH'!AS24+'POM Portables NiCd'!AS24+'POM Portables Other'!AS24</f>
        <v>7211.3061403056836</v>
      </c>
      <c r="AT15" s="67">
        <f>'POM Portables Zn-based'!AT24+'POM Portables Li-Rechargeab'!AT24+'POM Portables Li-Primary'!AT24+'POM Portables Lead-acid'!AT24+'POM Portables NiMH'!AT24+'POM Portables NiCd'!AT24+'POM Portables Other'!AT24</f>
        <v>7326.2246581078098</v>
      </c>
      <c r="AU15" s="67">
        <f>'POM Portables Zn-based'!AU24+'POM Portables Li-Rechargeab'!AU24+'POM Portables Li-Primary'!AU24+'POM Portables Lead-acid'!AU24+'POM Portables NiMH'!AU24+'POM Portables NiCd'!AU24+'POM Portables Other'!AU24</f>
        <v>7443.2407898771098</v>
      </c>
      <c r="AV15" s="67">
        <f>'POM Portables Zn-based'!AV24+'POM Portables Li-Rechargeab'!AV24+'POM Portables Li-Primary'!AV24+'POM Portables Lead-acid'!AV24+'POM Portables NiMH'!AV24+'POM Portables NiCd'!AV24+'POM Portables Other'!AV24</f>
        <v>7557.6661270267787</v>
      </c>
      <c r="AW15" s="67">
        <f>'POM Portables Zn-based'!AW24+'POM Portables Li-Rechargeab'!AW24+'POM Portables Li-Primary'!AW24+'POM Portables Lead-acid'!AW24+'POM Portables NiMH'!AW24+'POM Portables NiCd'!AW24+'POM Portables Other'!AW24</f>
        <v>7674.0830054524604</v>
      </c>
      <c r="AX15" s="67">
        <f>'POM Portables Zn-based'!AX24+'POM Portables Li-Rechargeab'!AX24+'POM Portables Li-Primary'!AX24+'POM Portables Lead-acid'!AX24+'POM Portables NiMH'!AX24+'POM Portables NiCd'!AX24+'POM Portables Other'!AX24</f>
        <v>7792.5281481734246</v>
      </c>
      <c r="AY15" s="67">
        <f>'POM Portables Zn-based'!AY24+'POM Portables Li-Rechargeab'!AY24+'POM Portables Li-Primary'!AY24+'POM Portables Lead-acid'!AY24+'POM Portables NiMH'!AY24+'POM Portables NiCd'!AY24+'POM Portables Other'!AY24</f>
        <v>7913.0389930570173</v>
      </c>
      <c r="AZ15" s="67">
        <f>'POM Portables Zn-based'!AZ24+'POM Portables Li-Rechargeab'!AZ24+'POM Portables Li-Primary'!AZ24+'POM Portables Lead-acid'!AZ24+'POM Portables NiMH'!AZ24+'POM Portables NiCd'!AZ24+'POM Portables Other'!AZ24</f>
        <v>8035.6537071073926</v>
      </c>
    </row>
    <row r="16" spans="1:52" x14ac:dyDescent="0.35">
      <c r="A16" s="52" t="s">
        <v>13</v>
      </c>
      <c r="B16" s="23">
        <f>'[2]POM Portables Zn-based'!B25+'[2]POM Portables NiMH'!B25+'[2]POM Portables Li-Primary'!B25+'[2]POM Portables Lead-acid'!B25+'[2]POM Portables NiCd'!B25+'[2]POM Portables Li-Rechargeable'!B25+'[2]POM Portables Other'!B25</f>
        <v>123.78767502981745</v>
      </c>
      <c r="C16" s="23">
        <f>'[2]POM Portables Zn-based'!C25+'[2]POM Portables NiMH'!C25+'[2]POM Portables Li-Primary'!C25+'[2]POM Portables Lead-acid'!C25+'[2]POM Portables NiCd'!C25+'[2]POM Portables Li-Rechargeable'!C25+'[2]POM Portables Other'!C25</f>
        <v>128.27429505420017</v>
      </c>
      <c r="D16" s="23">
        <f>'[2]POM Portables Zn-based'!D25+'[2]POM Portables NiMH'!D25+'[2]POM Portables Li-Primary'!D25+'[2]POM Portables Lead-acid'!D25+'[2]POM Portables NiCd'!D25+'[2]POM Portables Li-Rechargeable'!D25+'[2]POM Portables Other'!D25</f>
        <v>133.24852899949158</v>
      </c>
      <c r="E16" s="23">
        <f>'[2]POM Portables Zn-based'!E25+'[2]POM Portables NiMH'!E25+'[2]POM Portables Li-Primary'!E25+'[2]POM Portables Lead-acid'!E25+'[2]POM Portables NiCd'!E25+'[2]POM Portables Li-Rechargeable'!E25+'[2]POM Portables Other'!E25</f>
        <v>139.59965150349495</v>
      </c>
      <c r="F16" s="23">
        <f>'[2]POM Portables Zn-based'!F25+'[2]POM Portables NiMH'!F25+'[2]POM Portables Li-Primary'!F25+'[2]POM Portables Lead-acid'!F25+'[2]POM Portables NiCd'!F25+'[2]POM Portables Li-Rechargeable'!F25+'[2]POM Portables Other'!F25</f>
        <v>148.32632066525773</v>
      </c>
      <c r="G16" s="23">
        <f>'[2]POM Portables Zn-based'!G25+'[2]POM Portables NiMH'!G25+'[2]POM Portables Li-Primary'!G25+'[2]POM Portables Lead-acid'!G25+'[2]POM Portables NiCd'!G25+'[2]POM Portables Li-Rechargeable'!G25+'[2]POM Portables Other'!G25</f>
        <v>150.95232607188979</v>
      </c>
      <c r="H16" s="23">
        <f>'[2]POM Portables Zn-based'!H25+'[2]POM Portables NiMH'!H25+'[2]POM Portables Li-Primary'!H25+'[2]POM Portables Lead-acid'!H25+'[2]POM Portables NiCd'!H25+'[2]POM Portables Li-Rechargeable'!H25+'[2]POM Portables Other'!H25</f>
        <v>161.16250985855822</v>
      </c>
      <c r="I16" s="23">
        <f>'[2]POM Portables Zn-based'!I25+'[2]POM Portables NiMH'!I25+'[2]POM Portables Li-Primary'!I25+'[2]POM Portables Lead-acid'!I25+'[2]POM Portables NiCd'!I25+'[2]POM Portables Li-Rechargeable'!I25+'[2]POM Portables Other'!I25</f>
        <v>157.45645909606046</v>
      </c>
      <c r="J16" s="23">
        <f>'[2]POM Portables Zn-based'!J25+'[2]POM Portables NiMH'!J25+'[2]POM Portables Li-Primary'!J25+'[2]POM Portables Lead-acid'!J25+'[2]POM Portables NiCd'!J25+'[2]POM Portables Li-Rechargeable'!J25+'[2]POM Portables Other'!J25</f>
        <v>165.84239544700105</v>
      </c>
      <c r="K16" s="23">
        <f>'[2]POM Portables Zn-based'!K25+'[2]POM Portables NiMH'!K25+'[2]POM Portables Li-Primary'!K25+'[2]POM Portables Lead-acid'!K25+'[2]POM Portables NiCd'!K25+'[2]POM Portables Li-Rechargeable'!K25+'[2]POM Portables Other'!K25</f>
        <v>159.45653074637502</v>
      </c>
      <c r="L16" s="23">
        <f>'[2]POM Portables Zn-based'!L25+'[2]POM Portables NiMH'!L25+'[2]POM Portables Li-Primary'!L25+'[2]POM Portables Lead-acid'!L25+'[2]POM Portables NiCd'!L25+'[2]POM Portables Li-Rechargeable'!L25+'[2]POM Portables Other'!L25</f>
        <v>171.82055616164854</v>
      </c>
      <c r="M16" s="4">
        <v>187.3</v>
      </c>
      <c r="N16" s="4">
        <v>165.5</v>
      </c>
      <c r="O16" s="4">
        <v>206</v>
      </c>
      <c r="P16" s="4">
        <v>184.5</v>
      </c>
      <c r="Q16" s="31">
        <v>169.5</v>
      </c>
      <c r="R16" s="31">
        <v>221.4</v>
      </c>
      <c r="S16" s="31">
        <v>263.7</v>
      </c>
      <c r="T16" s="31">
        <v>254.8</v>
      </c>
      <c r="U16" s="31">
        <v>169</v>
      </c>
      <c r="V16" s="31">
        <v>311.8</v>
      </c>
      <c r="W16" s="31">
        <v>339.9</v>
      </c>
      <c r="X16" s="67">
        <f>'POM Portables Zn-based'!X25+'POM Portables Li-Rechargeab'!X25+'POM Portables Li-Primary'!X25+'POM Portables Lead-acid'!X25+'POM Portables NiMH'!X25+'POM Portables NiCd'!X25+'POM Portables Other'!X25</f>
        <v>353.45789497300183</v>
      </c>
      <c r="Y16" s="67">
        <f>'POM Portables Zn-based'!Y25+'POM Portables Li-Rechargeab'!Y25+'POM Portables Li-Primary'!Y25+'POM Portables Lead-acid'!Y25+'POM Portables NiMH'!Y25+'POM Portables NiCd'!Y25+'POM Portables Other'!Y25</f>
        <v>368.02546435823245</v>
      </c>
      <c r="Z16" s="67">
        <f>'POM Portables Zn-based'!Z25+'POM Portables Li-Rechargeab'!Z25+'POM Portables Li-Primary'!Z25+'POM Portables Lead-acid'!Z25+'POM Portables NiMH'!Z25+'POM Portables NiCd'!Z25+'POM Portables Other'!Z25</f>
        <v>383.93399414018756</v>
      </c>
      <c r="AA16" s="67">
        <f>'POM Portables Zn-based'!AA25+'POM Portables Li-Rechargeab'!AA25+'POM Portables Li-Primary'!AA25+'POM Portables Lead-acid'!AA25+'POM Portables NiMH'!AA25+'POM Portables NiCd'!AA25+'POM Portables Other'!AA25</f>
        <v>401.36833221833786</v>
      </c>
      <c r="AB16" s="67">
        <f>'POM Portables Zn-based'!AB25+'POM Portables Li-Rechargeab'!AB25+'POM Portables Li-Primary'!AB25+'POM Portables Lead-acid'!AB25+'POM Portables NiMH'!AB25+'POM Portables NiCd'!AB25+'POM Portables Other'!AB25</f>
        <v>415.26351353054304</v>
      </c>
      <c r="AC16" s="67">
        <f>'POM Portables Zn-based'!AC25+'POM Portables Li-Rechargeab'!AC25+'POM Portables Li-Primary'!AC25+'POM Portables Lead-acid'!AC25+'POM Portables NiMH'!AC25+'POM Portables NiCd'!AC25+'POM Portables Other'!AC25</f>
        <v>431.92325643456428</v>
      </c>
      <c r="AD16" s="67">
        <f>'POM Portables Zn-based'!AD25+'POM Portables Li-Rechargeab'!AD25+'POM Portables Li-Primary'!AD25+'POM Portables Lead-acid'!AD25+'POM Portables NiMH'!AD25+'POM Portables NiCd'!AD25+'POM Portables Other'!AD25</f>
        <v>452.73975590230987</v>
      </c>
      <c r="AE16" s="67">
        <f>'POM Portables Zn-based'!AE25+'POM Portables Li-Rechargeab'!AE25+'POM Portables Li-Primary'!AE25+'POM Portables Lead-acid'!AE25+'POM Portables NiMH'!AE25+'POM Portables NiCd'!AE25+'POM Portables Other'!AE25</f>
        <v>476.61817890372788</v>
      </c>
      <c r="AF16" s="67">
        <f>'POM Portables Zn-based'!AF25+'POM Portables Li-Rechargeab'!AF25+'POM Portables Li-Primary'!AF25+'POM Portables Lead-acid'!AF25+'POM Portables NiMH'!AF25+'POM Portables NiCd'!AF25+'POM Portables Other'!AF25</f>
        <v>502.21344255310936</v>
      </c>
      <c r="AG16" s="67">
        <f>'POM Portables Zn-based'!AG25+'POM Portables Li-Rechargeab'!AG25+'POM Portables Li-Primary'!AG25+'POM Portables Lead-acid'!AG25+'POM Portables NiMH'!AG25+'POM Portables NiCd'!AG25+'POM Portables Other'!AG25</f>
        <v>521.18024911808573</v>
      </c>
      <c r="AH16" s="67">
        <f>'POM Portables Zn-based'!AH25+'POM Portables Li-Rechargeab'!AH25+'POM Portables Li-Primary'!AH25+'POM Portables Lead-acid'!AH25+'POM Portables NiMH'!AH25+'POM Portables NiCd'!AH25+'POM Portables Other'!AH25</f>
        <v>541.06141504068421</v>
      </c>
      <c r="AI16" s="67">
        <f>'POM Portables Zn-based'!AI25+'POM Portables Li-Rechargeab'!AI25+'POM Portables Li-Primary'!AI25+'POM Portables Lead-acid'!AI25+'POM Portables NiMH'!AI25+'POM Portables NiCd'!AI25+'POM Portables Other'!AI25</f>
        <v>561.9303662950349</v>
      </c>
      <c r="AJ16" s="67">
        <f>'POM Portables Zn-based'!AJ25+'POM Portables Li-Rechargeab'!AJ25+'POM Portables Li-Primary'!AJ25+'POM Portables Lead-acid'!AJ25+'POM Portables NiMH'!AJ25+'POM Portables NiCd'!AJ25+'POM Portables Other'!AJ25</f>
        <v>583.84145518486537</v>
      </c>
      <c r="AK16" s="67">
        <f>'POM Portables Zn-based'!AK25+'POM Portables Li-Rechargeab'!AK25+'POM Portables Li-Primary'!AK25+'POM Portables Lead-acid'!AK25+'POM Portables NiMH'!AK25+'POM Portables NiCd'!AK25+'POM Portables Other'!AK25</f>
        <v>606.85219517044845</v>
      </c>
      <c r="AL16" s="67">
        <f>'POM Portables Zn-based'!AL25+'POM Portables Li-Rechargeab'!AL25+'POM Portables Li-Primary'!AL25+'POM Portables Lead-acid'!AL25+'POM Portables NiMH'!AL25+'POM Portables NiCd'!AL25+'POM Portables Other'!AL25</f>
        <v>631.02344767467798</v>
      </c>
      <c r="AM16" s="67">
        <f>'POM Portables Zn-based'!AM25+'POM Portables Li-Rechargeab'!AM25+'POM Portables Li-Primary'!AM25+'POM Portables Lead-acid'!AM25+'POM Portables NiMH'!AM25+'POM Portables NiCd'!AM25+'POM Portables Other'!AM25</f>
        <v>656.41962001264574</v>
      </c>
      <c r="AN16" s="67">
        <f>'POM Portables Zn-based'!AN25+'POM Portables Li-Rechargeab'!AN25+'POM Portables Li-Primary'!AN25+'POM Portables Lead-acid'!AN25+'POM Portables NiMH'!AN25+'POM Portables NiCd'!AN25+'POM Portables Other'!AN25</f>
        <v>683.10887510874124</v>
      </c>
      <c r="AO16" s="67">
        <f>'POM Portables Zn-based'!AO25+'POM Portables Li-Rechargeab'!AO25+'POM Portables Li-Primary'!AO25+'POM Portables Lead-acid'!AO25+'POM Portables NiMH'!AO25+'POM Portables NiCd'!AO25+'POM Portables Other'!AO25</f>
        <v>710.75140938471827</v>
      </c>
      <c r="AP16" s="67">
        <f>'POM Portables Zn-based'!AP25+'POM Portables Li-Rechargeab'!AP25+'POM Portables Li-Primary'!AP25+'POM Portables Lead-acid'!AP25+'POM Portables NiMH'!AP25+'POM Portables NiCd'!AP25+'POM Portables Other'!AP25</f>
        <v>736.79428503309975</v>
      </c>
      <c r="AQ16" s="67">
        <f>'POM Portables Zn-based'!AQ25+'POM Portables Li-Rechargeab'!AQ25+'POM Portables Li-Primary'!AQ25+'POM Portables Lead-acid'!AQ25+'POM Portables NiMH'!AQ25+'POM Portables NiCd'!AQ25+'POM Portables Other'!AQ25</f>
        <v>748.53003765272547</v>
      </c>
      <c r="AR16" s="67">
        <f>'POM Portables Zn-based'!AR25+'POM Portables Li-Rechargeab'!AR25+'POM Portables Li-Primary'!AR25+'POM Portables Lead-acid'!AR25+'POM Portables NiMH'!AR25+'POM Portables NiCd'!AR25+'POM Portables Other'!AR25</f>
        <v>760.40385831612139</v>
      </c>
      <c r="AS16" s="67">
        <f>'POM Portables Zn-based'!AS25+'POM Portables Li-Rechargeab'!AS25+'POM Portables Li-Primary'!AS25+'POM Portables Lead-acid'!AS25+'POM Portables NiMH'!AS25+'POM Portables NiCd'!AS25+'POM Portables Other'!AS25</f>
        <v>772.49384087295994</v>
      </c>
      <c r="AT16" s="67">
        <f>'POM Portables Zn-based'!AT25+'POM Portables Li-Rechargeab'!AT25+'POM Portables Li-Primary'!AT25+'POM Portables Lead-acid'!AT25+'POM Portables NiMH'!AT25+'POM Portables NiCd'!AT25+'POM Portables Other'!AT25</f>
        <v>784.80421093313726</v>
      </c>
      <c r="AU16" s="67">
        <f>'POM Portables Zn-based'!AU25+'POM Portables Li-Rechargeab'!AU25+'POM Portables Li-Primary'!AU25+'POM Portables Lead-acid'!AU25+'POM Portables NiMH'!AU25+'POM Portables NiCd'!AU25+'POM Portables Other'!AU25</f>
        <v>797.33928284879585</v>
      </c>
      <c r="AV16" s="67">
        <f>'POM Portables Zn-based'!AV25+'POM Portables Li-Rechargeab'!AV25+'POM Portables Li-Primary'!AV25+'POM Portables Lead-acid'!AV25+'POM Portables NiMH'!AV25+'POM Portables NiCd'!AV25+'POM Portables Other'!AV25</f>
        <v>809.59682211673555</v>
      </c>
      <c r="AW16" s="67">
        <f>'POM Portables Zn-based'!AW25+'POM Portables Li-Rechargeab'!AW25+'POM Portables Li-Primary'!AW25+'POM Portables Lead-acid'!AW25+'POM Portables NiMH'!AW25+'POM Portables NiCd'!AW25+'POM Portables Other'!AW25</f>
        <v>822.06770045801795</v>
      </c>
      <c r="AX16" s="67">
        <f>'POM Portables Zn-based'!AX25+'POM Portables Li-Rechargeab'!AX25+'POM Portables Li-Primary'!AX25+'POM Portables Lead-acid'!AX25+'POM Portables NiMH'!AX25+'POM Portables NiCd'!AX25+'POM Portables Other'!AX25</f>
        <v>834.75585173783361</v>
      </c>
      <c r="AY16" s="67">
        <f>'POM Portables Zn-based'!AY25+'POM Portables Li-Rechargeab'!AY25+'POM Portables Li-Primary'!AY25+'POM Portables Lead-acid'!AY25+'POM Portables NiMH'!AY25+'POM Portables NiCd'!AY25+'POM Portables Other'!AY25</f>
        <v>847.66528639775618</v>
      </c>
      <c r="AZ16" s="67">
        <f>'POM Portables Zn-based'!AZ25+'POM Portables Li-Rechargeab'!AZ25+'POM Portables Li-Primary'!AZ25+'POM Portables Lead-acid'!AZ25+'POM Portables NiMH'!AZ25+'POM Portables NiCd'!AZ25+'POM Portables Other'!AZ25</f>
        <v>860.80009298638583</v>
      </c>
    </row>
    <row r="17" spans="1:52" x14ac:dyDescent="0.35">
      <c r="A17" s="52" t="s">
        <v>14</v>
      </c>
      <c r="B17" s="23">
        <f>'[2]POM Portables Zn-based'!B26+'[2]POM Portables NiMH'!B26+'[2]POM Portables Li-Primary'!B26+'[2]POM Portables Lead-acid'!B26+'[2]POM Portables NiCd'!B26+'[2]POM Portables Li-Rechargeable'!B26+'[2]POM Portables Other'!B26</f>
        <v>1385.2587659503329</v>
      </c>
      <c r="C17" s="23">
        <f>'[2]POM Portables Zn-based'!C26+'[2]POM Portables NiMH'!C26+'[2]POM Portables Li-Primary'!C26+'[2]POM Portables Lead-acid'!C26+'[2]POM Portables NiCd'!C26+'[2]POM Portables Li-Rechargeable'!C26+'[2]POM Portables Other'!C26</f>
        <v>1435.4667508467885</v>
      </c>
      <c r="D17" s="23">
        <f>'[2]POM Portables Zn-based'!D26+'[2]POM Portables NiMH'!D26+'[2]POM Portables Li-Primary'!D26+'[2]POM Portables Lead-acid'!D26+'[2]POM Portables NiCd'!D26+'[2]POM Portables Li-Rechargeable'!D26+'[2]POM Portables Other'!D26</f>
        <v>1491.1314297006641</v>
      </c>
      <c r="E17" s="23">
        <f>'[2]POM Portables Zn-based'!E26+'[2]POM Portables NiMH'!E26+'[2]POM Portables Li-Primary'!E26+'[2]POM Portables Lead-acid'!E26+'[2]POM Portables NiCd'!E26+'[2]POM Portables Li-Rechargeable'!E26+'[2]POM Portables Other'!E26</f>
        <v>1562.2043222174336</v>
      </c>
      <c r="F17" s="23">
        <f>'[2]POM Portables Zn-based'!F26+'[2]POM Portables NiMH'!F26+'[2]POM Portables Li-Primary'!F26+'[2]POM Portables Lead-acid'!F26+'[2]POM Portables NiCd'!F26+'[2]POM Portables Li-Rechargeable'!F26+'[2]POM Portables Other'!F26</f>
        <v>1659.8610150260549</v>
      </c>
      <c r="G17" s="23">
        <f>'[2]POM Portables Zn-based'!G26+'[2]POM Portables NiMH'!G26+'[2]POM Portables Li-Primary'!G26+'[2]POM Portables Lead-acid'!G26+'[2]POM Portables NiCd'!G26+'[2]POM Portables Li-Rechargeable'!G26+'[2]POM Portables Other'!G26</f>
        <v>1689.2475998221089</v>
      </c>
      <c r="H17" s="23">
        <f>'[2]POM Portables Zn-based'!H26+'[2]POM Portables NiMH'!H26+'[2]POM Portables Li-Primary'!H26+'[2]POM Portables Lead-acid'!H26+'[2]POM Portables NiCd'!H26+'[2]POM Portables Li-Rechargeable'!H26+'[2]POM Portables Other'!H26</f>
        <v>1803.5057163029264</v>
      </c>
      <c r="I17" s="23">
        <f>'[2]POM Portables Zn-based'!I26+'[2]POM Portables NiMH'!I26+'[2]POM Portables Li-Primary'!I26+'[2]POM Portables Lead-acid'!I26+'[2]POM Portables NiCd'!I26+'[2]POM Portables Li-Rechargeable'!I26+'[2]POM Portables Other'!I26</f>
        <v>1762.0327723723581</v>
      </c>
      <c r="J17" s="23">
        <f>'[2]POM Portables Zn-based'!J26+'[2]POM Portables NiMH'!J26+'[2]POM Portables Li-Primary'!J26+'[2]POM Portables Lead-acid'!J26+'[2]POM Portables NiCd'!J26+'[2]POM Portables Li-Rechargeable'!J26+'[2]POM Portables Other'!J26</f>
        <v>1855.8764594603001</v>
      </c>
      <c r="K17" s="23">
        <f>'[2]POM Portables Zn-based'!K26+'[2]POM Portables NiMH'!K26+'[2]POM Portables Li-Primary'!K26+'[2]POM Portables Lead-acid'!K26+'[2]POM Portables NiCd'!K26+'[2]POM Portables Li-Rechargeable'!K26+'[2]POM Portables Other'!K26</f>
        <v>1784.4147808030007</v>
      </c>
      <c r="L17" s="23">
        <f>'[2]POM Portables Zn-based'!L26+'[2]POM Portables NiMH'!L26+'[2]POM Portables Li-Primary'!L26+'[2]POM Portables Lead-acid'!L26+'[2]POM Portables NiCd'!L26+'[2]POM Portables Li-Rechargeable'!L26+'[2]POM Portables Other'!L26</f>
        <v>1922.7756845425274</v>
      </c>
      <c r="M17" s="4">
        <v>2096</v>
      </c>
      <c r="N17" s="4">
        <v>1951</v>
      </c>
      <c r="O17" s="4">
        <v>1913</v>
      </c>
      <c r="P17" s="4">
        <v>2378</v>
      </c>
      <c r="Q17" s="4">
        <v>2703</v>
      </c>
      <c r="R17" s="4">
        <v>1968</v>
      </c>
      <c r="S17" s="4">
        <v>2991</v>
      </c>
      <c r="T17" s="4">
        <v>2336</v>
      </c>
      <c r="U17" s="4">
        <v>2666</v>
      </c>
      <c r="V17" s="4">
        <v>3543</v>
      </c>
      <c r="W17" s="4">
        <v>3692</v>
      </c>
      <c r="X17" s="67">
        <f>'POM Portables Zn-based'!X26+'POM Portables Li-Rechargeab'!X26+'POM Portables Li-Primary'!X26+'POM Portables Lead-acid'!X26+'POM Portables NiMH'!X26+'POM Portables NiCd'!X26+'POM Portables Other'!X26</f>
        <v>3839.2661025016851</v>
      </c>
      <c r="Y17" s="67">
        <f>'POM Portables Zn-based'!Y26+'POM Portables Li-Rechargeab'!Y26+'POM Portables Li-Primary'!Y26+'POM Portables Lead-acid'!Y26+'POM Portables NiMH'!Y26+'POM Portables NiCd'!Y26+'POM Portables Other'!Y26</f>
        <v>3997.4993068861259</v>
      </c>
      <c r="Z17" s="67">
        <f>'POM Portables Zn-based'!Z26+'POM Portables Li-Rechargeab'!Z26+'POM Portables Li-Primary'!Z26+'POM Portables Lead-acid'!Z26+'POM Portables NiMH'!Z26+'POM Portables NiCd'!Z26+'POM Portables Other'!Z26</f>
        <v>4170.2980475597897</v>
      </c>
      <c r="AA17" s="67">
        <f>'POM Portables Zn-based'!AA26+'POM Portables Li-Rechargeab'!AA26+'POM Portables Li-Primary'!AA26+'POM Portables Lead-acid'!AA26+'POM Portables NiMH'!AA26+'POM Portables NiCd'!AA26+'POM Portables Other'!AA26</f>
        <v>4359.6701457784739</v>
      </c>
      <c r="AB17" s="67">
        <f>'POM Portables Zn-based'!AB26+'POM Portables Li-Rechargeab'!AB26+'POM Portables Li-Primary'!AB26+'POM Portables Lead-acid'!AB26+'POM Portables NiMH'!AB26+'POM Portables NiCd'!AB26+'POM Portables Other'!AB26</f>
        <v>4510.5998586489122</v>
      </c>
      <c r="AC17" s="67">
        <f>'POM Portables Zn-based'!AC26+'POM Portables Li-Rechargeab'!AC26+'POM Portables Li-Primary'!AC26+'POM Portables Lead-acid'!AC26+'POM Portables NiMH'!AC26+'POM Portables NiCd'!AC26+'POM Portables Other'!AC26</f>
        <v>4691.5582899570791</v>
      </c>
      <c r="AD17" s="67">
        <f>'POM Portables Zn-based'!AD26+'POM Portables Li-Rechargeab'!AD26+'POM Portables Li-Primary'!AD26+'POM Portables Lead-acid'!AD26+'POM Portables NiMH'!AD26+'POM Portables NiCd'!AD26+'POM Portables Other'!AD26</f>
        <v>4917.6674868824011</v>
      </c>
      <c r="AE17" s="67">
        <f>'POM Portables Zn-based'!AE26+'POM Portables Li-Rechargeab'!AE26+'POM Portables Li-Primary'!AE26+'POM Portables Lead-acid'!AE26+'POM Portables NiMH'!AE26+'POM Portables NiCd'!AE26+'POM Portables Other'!AE26</f>
        <v>5177.0353530819766</v>
      </c>
      <c r="AF17" s="67">
        <f>'POM Portables Zn-based'!AF26+'POM Portables Li-Rechargeab'!AF26+'POM Portables Li-Primary'!AF26+'POM Portables Lead-acid'!AF26+'POM Portables NiMH'!AF26+'POM Portables NiCd'!AF26+'POM Portables Other'!AF26</f>
        <v>5455.0515737160331</v>
      </c>
      <c r="AG17" s="67">
        <f>'POM Portables Zn-based'!AG26+'POM Portables Li-Rechargeab'!AG26+'POM Portables Li-Primary'!AG26+'POM Portables Lead-acid'!AG26+'POM Portables NiMH'!AG26+'POM Portables NiCd'!AG26+'POM Portables Other'!AG26</f>
        <v>5661.0693725918563</v>
      </c>
      <c r="AH17" s="67">
        <f>'POM Portables Zn-based'!AH26+'POM Portables Li-Rechargeab'!AH26+'POM Portables Li-Primary'!AH26+'POM Portables Lead-acid'!AH26+'POM Portables NiMH'!AH26+'POM Portables NiCd'!AH26+'POM Portables Other'!AH26</f>
        <v>5877.0189594886888</v>
      </c>
      <c r="AI17" s="67">
        <f>'POM Portables Zn-based'!AI26+'POM Portables Li-Rechargeab'!AI26+'POM Portables Li-Primary'!AI26+'POM Portables Lead-acid'!AI26+'POM Portables NiMH'!AI26+'POM Portables NiCd'!AI26+'POM Portables Other'!AI26</f>
        <v>6103.6978886768711</v>
      </c>
      <c r="AJ17" s="67">
        <f>'POM Portables Zn-based'!AJ26+'POM Portables Li-Rechargeab'!AJ26+'POM Portables Li-Primary'!AJ26+'POM Portables Lead-acid'!AJ26+'POM Portables NiMH'!AJ26+'POM Portables NiCd'!AJ26+'POM Portables Other'!AJ26</f>
        <v>6341.6965358709103</v>
      </c>
      <c r="AK17" s="67">
        <f>'POM Portables Zn-based'!AK26+'POM Portables Li-Rechargeab'!AK26+'POM Portables Li-Primary'!AK26+'POM Portables Lead-acid'!AK26+'POM Portables NiMH'!AK26+'POM Portables NiCd'!AK26+'POM Portables Other'!AK26</f>
        <v>6591.6396133253756</v>
      </c>
      <c r="AL17" s="67">
        <f>'POM Portables Zn-based'!AL26+'POM Portables Li-Rechargeab'!AL26+'POM Portables Li-Primary'!AL26+'POM Portables Lead-acid'!AL26+'POM Portables NiMH'!AL26+'POM Portables NiCd'!AL26+'POM Portables Other'!AL26</f>
        <v>6854.1881989258918</v>
      </c>
      <c r="AM17" s="67">
        <f>'POM Portables Zn-based'!AM26+'POM Portables Li-Rechargeab'!AM26+'POM Portables Li-Primary'!AM26+'POM Portables Lead-acid'!AM26+'POM Portables NiMH'!AM26+'POM Portables NiCd'!AM26+'POM Portables Other'!AM26</f>
        <v>7130.0418861038161</v>
      </c>
      <c r="AN17" s="67">
        <f>'POM Portables Zn-based'!AN26+'POM Portables Li-Rechargeab'!AN26+'POM Portables Li-Primary'!AN26+'POM Portables Lead-acid'!AN26+'POM Portables NiMH'!AN26+'POM Portables NiCd'!AN26+'POM Portables Other'!AN26</f>
        <v>7419.9410617872081</v>
      </c>
      <c r="AO17" s="67">
        <f>'POM Portables Zn-based'!AO26+'POM Portables Li-Rechargeab'!AO26+'POM Portables Li-Primary'!AO26+'POM Portables Lead-acid'!AO26+'POM Portables NiMH'!AO26+'POM Portables NiCd'!AO26+'POM Portables Other'!AO26</f>
        <v>7720.1947733109128</v>
      </c>
      <c r="AP17" s="67">
        <f>'POM Portables Zn-based'!AP26+'POM Portables Li-Rechargeab'!AP26+'POM Portables Li-Primary'!AP26+'POM Portables Lead-acid'!AP26+'POM Portables NiMH'!AP26+'POM Portables NiCd'!AP26+'POM Portables Other'!AP26</f>
        <v>8003.0729636428459</v>
      </c>
      <c r="AQ17" s="67">
        <f>'POM Portables Zn-based'!AQ26+'POM Portables Li-Rechargeab'!AQ26+'POM Portables Li-Primary'!AQ26+'POM Portables Lead-acid'!AQ26+'POM Portables NiMH'!AQ26+'POM Portables NiCd'!AQ26+'POM Portables Other'!AQ26</f>
        <v>8130.546922665083</v>
      </c>
      <c r="AR17" s="67">
        <f>'POM Portables Zn-based'!AR26+'POM Portables Li-Rechargeab'!AR26+'POM Portables Li-Primary'!AR26+'POM Portables Lead-acid'!AR26+'POM Portables NiMH'!AR26+'POM Portables NiCd'!AR26+'POM Portables Other'!AR26</f>
        <v>8259.5205792972029</v>
      </c>
      <c r="AS17" s="67">
        <f>'POM Portables Zn-based'!AS26+'POM Portables Li-Rechargeab'!AS26+'POM Portables Li-Primary'!AS26+'POM Portables Lead-acid'!AS26+'POM Portables NiMH'!AS26+'POM Portables NiCd'!AS26+'POM Portables Other'!AS26</f>
        <v>8390.8421903588351</v>
      </c>
      <c r="AT17" s="67">
        <f>'POM Portables Zn-based'!AT26+'POM Portables Li-Rechargeab'!AT26+'POM Portables Li-Primary'!AT26+'POM Portables Lead-acid'!AT26+'POM Portables NiMH'!AT26+'POM Portables NiCd'!AT26+'POM Portables Other'!AT26</f>
        <v>8524.5576545017411</v>
      </c>
      <c r="AU17" s="67">
        <f>'POM Portables Zn-based'!AU26+'POM Portables Li-Rechargeab'!AU26+'POM Portables Li-Primary'!AU26+'POM Portables Lead-acid'!AU26+'POM Portables NiMH'!AU26+'POM Portables NiCd'!AU26+'POM Portables Other'!AU26</f>
        <v>8660.7138342975995</v>
      </c>
      <c r="AV17" s="67">
        <f>'POM Portables Zn-based'!AV26+'POM Portables Li-Rechargeab'!AV26+'POM Portables Li-Primary'!AV26+'POM Portables Lead-acid'!AV26+'POM Portables NiMH'!AV26+'POM Portables NiCd'!AV26+'POM Portables Other'!AV26</f>
        <v>8793.8554494115542</v>
      </c>
      <c r="AW17" s="67">
        <f>'POM Portables Zn-based'!AW26+'POM Portables Li-Rechargeab'!AW26+'POM Portables Li-Primary'!AW26+'POM Portables Lead-acid'!AW26+'POM Portables NiMH'!AW26+'POM Portables NiCd'!AW26+'POM Portables Other'!AW26</f>
        <v>8929.3143574316036</v>
      </c>
      <c r="AX17" s="67">
        <f>'POM Portables Zn-based'!AX26+'POM Portables Li-Rechargeab'!AX26+'POM Portables Li-Primary'!AX26+'POM Portables Lead-acid'!AX26+'POM Portables NiMH'!AX26+'POM Portables NiCd'!AX26+'POM Portables Other'!AX26</f>
        <v>9067.1332880732043</v>
      </c>
      <c r="AY17" s="67">
        <f>'POM Portables Zn-based'!AY26+'POM Portables Li-Rechargeab'!AY26+'POM Portables Li-Primary'!AY26+'POM Portables Lead-acid'!AY26+'POM Portables NiMH'!AY26+'POM Portables NiCd'!AY26+'POM Portables Other'!AY26</f>
        <v>9207.3558028258794</v>
      </c>
      <c r="AZ17" s="67">
        <f>'POM Portables Zn-based'!AZ26+'POM Portables Li-Rechargeab'!AZ26+'POM Portables Li-Primary'!AZ26+'POM Portables Lead-acid'!AZ26+'POM Portables NiMH'!AZ26+'POM Portables NiCd'!AZ26+'POM Portables Other'!AZ26</f>
        <v>9350.0263115791022</v>
      </c>
    </row>
    <row r="18" spans="1:52" x14ac:dyDescent="0.35">
      <c r="A18" s="52" t="s">
        <v>15</v>
      </c>
      <c r="B18" s="23">
        <f>'[2]POM Portables Zn-based'!B27+'[2]POM Portables NiMH'!B27+'[2]POM Portables Li-Primary'!B27+'[2]POM Portables Lead-acid'!B27+'[2]POM Portables NiCd'!B27+'[2]POM Portables Li-Rechargeable'!B27+'[2]POM Portables Other'!B27</f>
        <v>19501.381447546981</v>
      </c>
      <c r="C18" s="23">
        <f>'[2]POM Portables Zn-based'!C27+'[2]POM Portables NiMH'!C27+'[2]POM Portables Li-Primary'!C27+'[2]POM Portables Lead-acid'!C27+'[2]POM Portables NiCd'!C27+'[2]POM Portables Li-Rechargeable'!C27+'[2]POM Portables Other'!C27</f>
        <v>20208.198895120935</v>
      </c>
      <c r="D18" s="23">
        <f>'[2]POM Portables Zn-based'!D27+'[2]POM Portables NiMH'!D27+'[2]POM Portables Li-Primary'!D27+'[2]POM Portables Lead-acid'!D27+'[2]POM Portables NiCd'!D27+'[2]POM Portables Li-Rechargeable'!D27+'[2]POM Portables Other'!D27</f>
        <v>20991.834532134872</v>
      </c>
      <c r="E18" s="23">
        <f>'[2]POM Portables Zn-based'!E27+'[2]POM Portables NiMH'!E27+'[2]POM Portables Li-Primary'!E27+'[2]POM Portables Lead-acid'!E27+'[2]POM Portables NiCd'!E27+'[2]POM Portables Li-Rechargeable'!E27+'[2]POM Portables Other'!E27</f>
        <v>21992.38375919512</v>
      </c>
      <c r="F18" s="23">
        <f>'[2]POM Portables Zn-based'!F27+'[2]POM Portables NiMH'!F27+'[2]POM Portables Li-Primary'!F27+'[2]POM Portables Lead-acid'!F27+'[2]POM Portables NiCd'!F27+'[2]POM Portables Li-Rechargeable'!F27+'[2]POM Portables Other'!F27</f>
        <v>23367.174133512177</v>
      </c>
      <c r="G18" s="23">
        <f>'[2]POM Portables Zn-based'!G27+'[2]POM Portables NiMH'!G27+'[2]POM Portables Li-Primary'!G27+'[2]POM Portables Lead-acid'!G27+'[2]POM Portables NiCd'!G27+'[2]POM Portables Li-Rechargeable'!G27+'[2]POM Portables Other'!G27</f>
        <v>23780.872291311149</v>
      </c>
      <c r="H18" s="23">
        <f>'[2]POM Portables Zn-based'!H27+'[2]POM Portables NiMH'!H27+'[2]POM Portables Li-Primary'!H27+'[2]POM Portables Lead-acid'!H27+'[2]POM Portables NiCd'!H27+'[2]POM Portables Li-Rechargeable'!H27+'[2]POM Portables Other'!H27</f>
        <v>25389.374015133166</v>
      </c>
      <c r="I18" s="23">
        <f>'[2]POM Portables Zn-based'!I27+'[2]POM Portables NiMH'!I27+'[2]POM Portables Li-Primary'!I27+'[2]POM Portables Lead-acid'!I27+'[2]POM Portables NiCd'!I27+'[2]POM Portables Li-Rechargeable'!I27+'[2]POM Portables Other'!I27</f>
        <v>24805.52663641769</v>
      </c>
      <c r="J18" s="23">
        <f>'[2]POM Portables Zn-based'!J27+'[2]POM Portables NiMH'!J27+'[2]POM Portables Li-Primary'!J27+'[2]POM Portables Lead-acid'!J27+'[2]POM Portables NiCd'!J27+'[2]POM Portables Li-Rechargeable'!J27+'[2]POM Portables Other'!J27</f>
        <v>26126.638318458328</v>
      </c>
      <c r="K18" s="23">
        <f>'[2]POM Portables Zn-based'!K27+'[2]POM Portables NiMH'!K27+'[2]POM Portables Li-Primary'!K27+'[2]POM Portables Lead-acid'!K27+'[2]POM Portables NiCd'!K27+'[2]POM Portables Li-Rechargeable'!K27+'[2]POM Portables Other'!K27</f>
        <v>25120.615841912611</v>
      </c>
      <c r="L18" s="23">
        <f>'[2]POM Portables Zn-based'!L27+'[2]POM Portables NiMH'!L27+'[2]POM Portables Li-Primary'!L27+'[2]POM Portables Lead-acid'!L27+'[2]POM Portables NiCd'!L27+'[2]POM Portables Li-Rechargeable'!L27+'[2]POM Portables Other'!L27</f>
        <v>27068.431533517902</v>
      </c>
      <c r="M18" s="4">
        <v>29507.046999999999</v>
      </c>
      <c r="N18" s="4">
        <v>29432.988000000001</v>
      </c>
      <c r="O18" s="4">
        <v>26534.035</v>
      </c>
      <c r="P18" s="4">
        <v>24567.642</v>
      </c>
      <c r="Q18" s="4">
        <v>24524.115000000002</v>
      </c>
      <c r="R18" s="4">
        <v>24652.037</v>
      </c>
      <c r="S18" s="4">
        <v>25607.565999999999</v>
      </c>
      <c r="T18" s="4">
        <v>24232.886999999999</v>
      </c>
      <c r="U18" s="4">
        <v>25746.094000000001</v>
      </c>
      <c r="V18" s="4">
        <v>28164.453000000001</v>
      </c>
      <c r="W18" s="4">
        <v>32356</v>
      </c>
      <c r="X18" s="67">
        <f>'POM Portables Zn-based'!X27+'POM Portables Li-Rechargeab'!X27+'POM Portables Li-Primary'!X27+'POM Portables Lead-acid'!X27+'POM Portables NiMH'!X27+'POM Portables NiCd'!X27+'POM Portables Other'!X27</f>
        <v>33646.612679454105</v>
      </c>
      <c r="Y18" s="67">
        <f>'POM Portables Zn-based'!Y27+'POM Portables Li-Rechargeab'!Y27+'POM Portables Li-Primary'!Y27+'POM Portables Lead-acid'!Y27+'POM Portables NiMH'!Y27+'POM Portables NiCd'!Y27+'POM Portables Other'!Y27</f>
        <v>35033.338996101702</v>
      </c>
      <c r="Z18" s="67">
        <f>'POM Portables Zn-based'!Z27+'POM Portables Li-Rechargeab'!Z27+'POM Portables Li-Primary'!Z27+'POM Portables Lead-acid'!Z27+'POM Portables NiMH'!Z27+'POM Portables NiCd'!Z27+'POM Portables Other'!Z27</f>
        <v>36547.714958516961</v>
      </c>
      <c r="AA18" s="67">
        <f>'POM Portables Zn-based'!AA27+'POM Portables Li-Rechargeab'!AA27+'POM Portables Li-Primary'!AA27+'POM Portables Lead-acid'!AA27+'POM Portables NiMH'!AA27+'POM Portables NiCd'!AA27+'POM Portables Other'!AA27</f>
        <v>38207.336738030412</v>
      </c>
      <c r="AB18" s="67">
        <f>'POM Portables Zn-based'!AB27+'POM Portables Li-Rechargeab'!AB27+'POM Portables Li-Primary'!AB27+'POM Portables Lead-acid'!AB27+'POM Portables NiMH'!AB27+'POM Portables NiCd'!AB27+'POM Portables Other'!AB27</f>
        <v>39530.056616046641</v>
      </c>
      <c r="AC18" s="67">
        <f>'POM Portables Zn-based'!AC27+'POM Portables Li-Rechargeab'!AC27+'POM Portables Li-Primary'!AC27+'POM Portables Lead-acid'!AC27+'POM Portables NiMH'!AC27+'POM Portables NiCd'!AC27+'POM Portables Other'!AC27</f>
        <v>41115.94258663361</v>
      </c>
      <c r="AD18" s="67">
        <f>'POM Portables Zn-based'!AD27+'POM Portables Li-Rechargeab'!AD27+'POM Portables Li-Primary'!AD27+'POM Portables Lead-acid'!AD27+'POM Portables NiMH'!AD27+'POM Portables NiCd'!AD27+'POM Portables Other'!AD27</f>
        <v>43097.521453295492</v>
      </c>
      <c r="AE18" s="67">
        <f>'POM Portables Zn-based'!AE27+'POM Portables Li-Rechargeab'!AE27+'POM Portables Li-Primary'!AE27+'POM Portables Lead-acid'!AE27+'POM Portables NiMH'!AE27+'POM Portables NiCd'!AE27+'POM Portables Other'!AE27</f>
        <v>45370.573099761757</v>
      </c>
      <c r="AF18" s="67">
        <f>'POM Portables Zn-based'!AF27+'POM Portables Li-Rechargeab'!AF27+'POM Portables Li-Primary'!AF27+'POM Portables Lead-acid'!AF27+'POM Portables NiMH'!AF27+'POM Portables NiCd'!AF27+'POM Portables Other'!AF27</f>
        <v>47807.055449392195</v>
      </c>
      <c r="AG18" s="67">
        <f>'POM Portables Zn-based'!AG27+'POM Portables Li-Rechargeab'!AG27+'POM Portables Li-Primary'!AG27+'POM Portables Lead-acid'!AG27+'POM Portables NiMH'!AG27+'POM Portables NiCd'!AG27+'POM Portables Other'!AG27</f>
        <v>49612.557047557464</v>
      </c>
      <c r="AH18" s="67">
        <f>'POM Portables Zn-based'!AH27+'POM Portables Li-Rechargeab'!AH27+'POM Portables Li-Primary'!AH27+'POM Portables Lead-acid'!AH27+'POM Portables NiMH'!AH27+'POM Portables NiCd'!AH27+'POM Portables Other'!AH27</f>
        <v>51505.09898516145</v>
      </c>
      <c r="AI18" s="67">
        <f>'POM Portables Zn-based'!AI27+'POM Portables Li-Rechargeab'!AI27+'POM Portables Li-Primary'!AI27+'POM Portables Lead-acid'!AI27+'POM Portables NiMH'!AI27+'POM Portables NiCd'!AI27+'POM Portables Other'!AI27</f>
        <v>53491.670879206096</v>
      </c>
      <c r="AJ18" s="67">
        <f>'POM Portables Zn-based'!AJ27+'POM Portables Li-Rechargeab'!AJ27+'POM Portables Li-Primary'!AJ27+'POM Portables Lead-acid'!AJ27+'POM Portables NiMH'!AJ27+'POM Portables NiCd'!AJ27+'POM Portables Other'!AJ27</f>
        <v>55577.446672437494</v>
      </c>
      <c r="AK18" s="67">
        <f>'POM Portables Zn-based'!AK27+'POM Portables Li-Rechargeab'!AK27+'POM Portables Li-Primary'!AK27+'POM Portables Lead-acid'!AK27+'POM Portables NiMH'!AK27+'POM Portables NiCd'!AK27+'POM Portables Other'!AK27</f>
        <v>57767.901226640279</v>
      </c>
      <c r="AL18" s="67">
        <f>'POM Portables Zn-based'!AL27+'POM Portables Li-Rechargeab'!AL27+'POM Portables Li-Primary'!AL27+'POM Portables Lead-acid'!AL27+'POM Portables NiMH'!AL27+'POM Portables NiCd'!AL27+'POM Portables Other'!AL27</f>
        <v>60068.828105212953</v>
      </c>
      <c r="AM18" s="67">
        <f>'POM Portables Zn-based'!AM27+'POM Portables Li-Rechargeab'!AM27+'POM Portables Li-Primary'!AM27+'POM Portables Lead-acid'!AM27+'POM Portables NiMH'!AM27+'POM Portables NiCd'!AM27+'POM Portables Other'!AM27</f>
        <v>62486.358414619492</v>
      </c>
      <c r="AN18" s="67">
        <f>'POM Portables Zn-based'!AN27+'POM Portables Li-Rechargeab'!AN27+'POM Portables Li-Primary'!AN27+'POM Portables Lead-acid'!AN27+'POM Portables NiMH'!AN27+'POM Portables NiCd'!AN27+'POM Portables Other'!AN27</f>
        <v>65026.98076792714</v>
      </c>
      <c r="AO18" s="67">
        <f>'POM Portables Zn-based'!AO27+'POM Portables Li-Rechargeab'!AO27+'POM Portables Li-Primary'!AO27+'POM Portables Lead-acid'!AO27+'POM Portables NiMH'!AO27+'POM Portables NiCd'!AO27+'POM Portables Other'!AO27</f>
        <v>67658.348343783306</v>
      </c>
      <c r="AP18" s="67">
        <f>'POM Portables Zn-based'!AP27+'POM Portables Li-Rechargeab'!AP27+'POM Portables Li-Primary'!AP27+'POM Portables Lead-acid'!AP27+'POM Portables NiMH'!AP27+'POM Portables NiCd'!AP27+'POM Portables Other'!AP27</f>
        <v>70137.440089823402</v>
      </c>
      <c r="AQ18" s="67">
        <f>'POM Portables Zn-based'!AQ27+'POM Portables Li-Rechargeab'!AQ27+'POM Portables Li-Primary'!AQ27+'POM Portables Lead-acid'!AQ27+'POM Portables NiMH'!AQ27+'POM Portables NiCd'!AQ27+'POM Portables Other'!AQ27</f>
        <v>71254.598112067033</v>
      </c>
      <c r="AR18" s="67">
        <f>'POM Portables Zn-based'!AR27+'POM Portables Li-Rechargeab'!AR27+'POM Portables Li-Primary'!AR27+'POM Portables Lead-acid'!AR27+'POM Portables NiMH'!AR27+'POM Portables NiCd'!AR27+'POM Portables Other'!AR27</f>
        <v>72384.899204696732</v>
      </c>
      <c r="AS18" s="67">
        <f>'POM Portables Zn-based'!AS27+'POM Portables Li-Rechargeab'!AS27+'POM Portables Li-Primary'!AS27+'POM Portables Lead-acid'!AS27+'POM Portables NiMH'!AS27+'POM Portables NiCd'!AS27+'POM Portables Other'!AS27</f>
        <v>73535.777332408034</v>
      </c>
      <c r="AT18" s="67">
        <f>'POM Portables Zn-based'!AT27+'POM Portables Li-Rechargeab'!AT27+'POM Portables Li-Primary'!AT27+'POM Portables Lead-acid'!AT27+'POM Portables NiMH'!AT27+'POM Portables NiCd'!AT27+'POM Portables Other'!AT27</f>
        <v>74707.634742431866</v>
      </c>
      <c r="AU18" s="67">
        <f>'POM Portables Zn-based'!AU27+'POM Portables Li-Rechargeab'!AU27+'POM Portables Li-Primary'!AU27+'POM Portables Lead-acid'!AU27+'POM Portables NiMH'!AU27+'POM Portables NiCd'!AU27+'POM Portables Other'!AU27</f>
        <v>75900.882129613543</v>
      </c>
      <c r="AV18" s="67">
        <f>'POM Portables Zn-based'!AV27+'POM Portables Li-Rechargeab'!AV27+'POM Portables Li-Primary'!AV27+'POM Portables Lead-acid'!AV27+'POM Portables NiMH'!AV27+'POM Portables NiCd'!AV27+'POM Portables Other'!AV27</f>
        <v>77067.710433683707</v>
      </c>
      <c r="AW18" s="67">
        <f>'POM Portables Zn-based'!AW27+'POM Portables Li-Rechargeab'!AW27+'POM Portables Li-Primary'!AW27+'POM Portables Lead-acid'!AW27+'POM Portables NiMH'!AW27+'POM Portables NiCd'!AW27+'POM Portables Other'!AW27</f>
        <v>78254.847060958011</v>
      </c>
      <c r="AX18" s="67">
        <f>'POM Portables Zn-based'!AX27+'POM Portables Li-Rechargeab'!AX27+'POM Portables Li-Primary'!AX27+'POM Portables Lead-acid'!AX27+'POM Portables NiMH'!AX27+'POM Portables NiCd'!AX27+'POM Portables Other'!AX27</f>
        <v>79462.666486700051</v>
      </c>
      <c r="AY18" s="67">
        <f>'POM Portables Zn-based'!AY27+'POM Portables Li-Rechargeab'!AY27+'POM Portables Li-Primary'!AY27+'POM Portables Lead-acid'!AY27+'POM Portables NiMH'!AY27+'POM Portables NiCd'!AY27+'POM Portables Other'!AY27</f>
        <v>80691.550475686381</v>
      </c>
      <c r="AZ18" s="67">
        <f>'POM Portables Zn-based'!AZ27+'POM Portables Li-Rechargeab'!AZ27+'POM Portables Li-Primary'!AZ27+'POM Portables Lead-acid'!AZ27+'POM Portables NiMH'!AZ27+'POM Portables NiCd'!AZ27+'POM Portables Other'!AZ27</f>
        <v>81941.888227912626</v>
      </c>
    </row>
    <row r="19" spans="1:52" x14ac:dyDescent="0.35">
      <c r="A19" s="52" t="s">
        <v>16</v>
      </c>
      <c r="B19" s="23">
        <f>'[2]POM Portables Zn-based'!B28+'[2]POM Portables NiMH'!B28+'[2]POM Portables Li-Primary'!B28+'[2]POM Portables Lead-acid'!B28+'[2]POM Portables NiCd'!B28+'[2]POM Portables Li-Rechargeable'!B28+'[2]POM Portables Other'!B28</f>
        <v>760.76018946635043</v>
      </c>
      <c r="C19" s="23">
        <f>'[2]POM Portables Zn-based'!C28+'[2]POM Portables NiMH'!C28+'[2]POM Portables Li-Primary'!C28+'[2]POM Portables Lead-acid'!C28+'[2]POM Portables NiCd'!C28+'[2]POM Portables Li-Rechargeable'!C28+'[2]POM Portables Other'!C28</f>
        <v>788.33354762976012</v>
      </c>
      <c r="D19" s="23">
        <f>'[2]POM Portables Zn-based'!D28+'[2]POM Portables NiMH'!D28+'[2]POM Portables Li-Primary'!D28+'[2]POM Portables Lead-acid'!D28+'[2]POM Portables NiCd'!D28+'[2]POM Portables Li-Rechargeable'!D28+'[2]POM Portables Other'!D28</f>
        <v>818.90362787206482</v>
      </c>
      <c r="E19" s="23">
        <f>'[2]POM Portables Zn-based'!E28+'[2]POM Portables NiMH'!E28+'[2]POM Portables Li-Primary'!E28+'[2]POM Portables Lead-acid'!E28+'[2]POM Portables NiCd'!E28+'[2]POM Portables Li-Rechargeable'!E28+'[2]POM Portables Other'!E28</f>
        <v>857.93563294289072</v>
      </c>
      <c r="F19" s="23">
        <f>'[2]POM Portables Zn-based'!F28+'[2]POM Portables NiMH'!F28+'[2]POM Portables Li-Primary'!F28+'[2]POM Portables Lead-acid'!F28+'[2]POM Portables NiCd'!F28+'[2]POM Portables Li-Rechargeable'!F28+'[2]POM Portables Other'!F28</f>
        <v>911.56700200538978</v>
      </c>
      <c r="G19" s="23">
        <f>'[2]POM Portables Zn-based'!G28+'[2]POM Portables NiMH'!G28+'[2]POM Portables Li-Primary'!G28+'[2]POM Portables Lead-acid'!G28+'[2]POM Portables NiCd'!G28+'[2]POM Portables Li-Rechargeable'!G28+'[2]POM Portables Other'!G28</f>
        <v>927.70560683990061</v>
      </c>
      <c r="H19" s="23">
        <f>'[2]POM Portables Zn-based'!H28+'[2]POM Portables NiMH'!H28+'[2]POM Portables Li-Primary'!H28+'[2]POM Portables Lead-acid'!H28+'[2]POM Portables NiCd'!H28+'[2]POM Portables Li-Rechargeable'!H28+'[2]POM Portables Other'!H28</f>
        <v>990.45419106010809</v>
      </c>
      <c r="I19" s="23">
        <f>'[2]POM Portables Zn-based'!I28+'[2]POM Portables NiMH'!I28+'[2]POM Portables Li-Primary'!I28+'[2]POM Portables Lead-acid'!I28+'[2]POM Portables NiCd'!I28+'[2]POM Portables Li-Rechargeable'!I28+'[2]POM Portables Other'!I28</f>
        <v>967.67796653233802</v>
      </c>
      <c r="J19" s="23">
        <f>'[2]POM Portables Zn-based'!J28+'[2]POM Portables NiMH'!J28+'[2]POM Portables Li-Primary'!J28+'[2]POM Portables Lead-acid'!J28+'[2]POM Portables NiCd'!J28+'[2]POM Portables Li-Rechargeable'!J28+'[2]POM Portables Other'!J28</f>
        <v>1019.2152987074323</v>
      </c>
      <c r="K19" s="23">
        <f>'[2]POM Portables Zn-based'!K28+'[2]POM Portables NiMH'!K28+'[2]POM Portables Li-Primary'!K28+'[2]POM Portables Lead-acid'!K28+'[2]POM Portables NiCd'!K28+'[2]POM Portables Li-Rechargeable'!K28+'[2]POM Portables Other'!K28</f>
        <v>979.96977900295019</v>
      </c>
      <c r="L19" s="23">
        <f>'[2]POM Portables Zn-based'!L28+'[2]POM Portables NiMH'!L28+'[2]POM Portables Li-Primary'!L28+'[2]POM Portables Lead-acid'!L28+'[2]POM Portables NiCd'!L28+'[2]POM Portables Li-Rechargeable'!L28+'[2]POM Portables Other'!L28</f>
        <v>1055.9551977065857</v>
      </c>
      <c r="M19" s="4">
        <v>1151.087</v>
      </c>
      <c r="N19" s="4">
        <v>482.54500000000002</v>
      </c>
      <c r="O19" s="4">
        <v>515.55200000000002</v>
      </c>
      <c r="P19" s="4">
        <v>552.99800000000005</v>
      </c>
      <c r="Q19" s="4">
        <v>508.988</v>
      </c>
      <c r="R19" s="4">
        <v>425.37099999999998</v>
      </c>
      <c r="S19" s="4">
        <v>490.63799999999998</v>
      </c>
      <c r="T19" s="4">
        <v>521.79300000000001</v>
      </c>
      <c r="U19" s="4">
        <v>565.18899999999996</v>
      </c>
      <c r="V19" s="4">
        <v>666.61400000000003</v>
      </c>
      <c r="W19" s="4">
        <v>685</v>
      </c>
      <c r="X19" s="67">
        <f>'POM Portables Zn-based'!X28+'POM Portables Li-Rechargeab'!X28+'POM Portables Li-Primary'!X28+'POM Portables Lead-acid'!X28+'POM Portables NiMH'!X28+'POM Portables NiCd'!X28+'POM Portables Other'!X28</f>
        <v>712.32320699178081</v>
      </c>
      <c r="Y19" s="67">
        <f>'POM Portables Zn-based'!Y28+'POM Portables Li-Rechargeab'!Y28+'POM Portables Li-Primary'!Y28+'POM Portables Lead-acid'!Y28+'POM Portables NiMH'!Y28+'POM Portables NiCd'!Y28+'POM Portables Other'!Y28</f>
        <v>741.681209430389</v>
      </c>
      <c r="Z19" s="67">
        <f>'POM Portables Zn-based'!Z28+'POM Portables Li-Rechargeab'!Z28+'POM Portables Li-Primary'!Z28+'POM Portables Lead-acid'!Z28+'POM Portables NiMH'!Z28+'POM Portables NiCd'!Z28+'POM Portables Other'!Z28</f>
        <v>773.74164750229033</v>
      </c>
      <c r="AA19" s="67">
        <f>'POM Portables Zn-based'!AA28+'POM Portables Li-Rechargeab'!AA28+'POM Portables Li-Primary'!AA28+'POM Portables Lead-acid'!AA28+'POM Portables NiMH'!AA28+'POM Portables NiCd'!AA28+'POM Portables Other'!AA28</f>
        <v>808.87704492368766</v>
      </c>
      <c r="AB19" s="67">
        <f>'POM Portables Zn-based'!AB28+'POM Portables Li-Rechargeab'!AB28+'POM Portables Li-Primary'!AB28+'POM Portables Lead-acid'!AB28+'POM Portables NiMH'!AB28+'POM Portables NiCd'!AB28+'POM Portables Other'!AB28</f>
        <v>836.87998460847916</v>
      </c>
      <c r="AC19" s="67">
        <f>'POM Portables Zn-based'!AC28+'POM Portables Li-Rechargeab'!AC28+'POM Portables Li-Primary'!AC28+'POM Portables Lead-acid'!AC28+'POM Portables NiMH'!AC28+'POM Portables NiCd'!AC28+'POM Portables Other'!AC28</f>
        <v>870.45434144653314</v>
      </c>
      <c r="AD19" s="67">
        <f>'POM Portables Zn-based'!AD28+'POM Portables Li-Rechargeab'!AD28+'POM Portables Li-Primary'!AD28+'POM Portables Lead-acid'!AD28+'POM Portables NiMH'!AD28+'POM Portables NiCd'!AD28+'POM Portables Other'!AD28</f>
        <v>912.40580403966555</v>
      </c>
      <c r="AE19" s="67">
        <f>'POM Portables Zn-based'!AE28+'POM Portables Li-Rechargeab'!AE28+'POM Portables Li-Primary'!AE28+'POM Portables Lead-acid'!AE28+'POM Portables NiMH'!AE28+'POM Portables NiCd'!AE28+'POM Portables Other'!AE28</f>
        <v>960.52795689630386</v>
      </c>
      <c r="AF19" s="67">
        <f>'POM Portables Zn-based'!AF28+'POM Portables Li-Rechargeab'!AF28+'POM Portables Li-Primary'!AF28+'POM Portables Lead-acid'!AF28+'POM Portables NiMH'!AF28+'POM Portables NiCd'!AF28+'POM Portables Other'!AF28</f>
        <v>1012.1100563368047</v>
      </c>
      <c r="AG19" s="67">
        <f>'POM Portables Zn-based'!AG28+'POM Portables Li-Rechargeab'!AG28+'POM Portables Li-Primary'!AG28+'POM Portables Lead-acid'!AG28+'POM Portables NiMH'!AG28+'POM Portables NiCd'!AG28+'POM Portables Other'!AG28</f>
        <v>1050.3338353806671</v>
      </c>
      <c r="AH19" s="67">
        <f>'POM Portables Zn-based'!AH28+'POM Portables Li-Rechargeab'!AH28+'POM Portables Li-Primary'!AH28+'POM Portables Lead-acid'!AH28+'POM Portables NiMH'!AH28+'POM Portables NiCd'!AH28+'POM Portables Other'!AH28</f>
        <v>1090.4003215736061</v>
      </c>
      <c r="AI19" s="67">
        <f>'POM Portables Zn-based'!AI28+'POM Portables Li-Rechargeab'!AI28+'POM Portables Li-Primary'!AI28+'POM Portables Lead-acid'!AI28+'POM Portables NiMH'!AI28+'POM Portables NiCd'!AI28+'POM Portables Other'!AI28</f>
        <v>1132.457490179756</v>
      </c>
      <c r="AJ19" s="67">
        <f>'POM Portables Zn-based'!AJ28+'POM Portables Li-Rechargeab'!AJ28+'POM Portables Li-Primary'!AJ28+'POM Portables Lead-acid'!AJ28+'POM Portables NiMH'!AJ28+'POM Portables NiCd'!AJ28+'POM Portables Other'!AJ28</f>
        <v>1176.6148773216617</v>
      </c>
      <c r="AK19" s="67">
        <f>'POM Portables Zn-based'!AK28+'POM Portables Li-Rechargeab'!AK28+'POM Portables Li-Primary'!AK28+'POM Portables Lead-acid'!AK28+'POM Portables NiMH'!AK28+'POM Portables NiCd'!AK28+'POM Portables Other'!AK28</f>
        <v>1222.9883897962848</v>
      </c>
      <c r="AL19" s="67">
        <f>'POM Portables Zn-based'!AL28+'POM Portables Li-Rechargeab'!AL28+'POM Portables Li-Primary'!AL28+'POM Portables Lead-acid'!AL28+'POM Portables NiMH'!AL28+'POM Portables NiCd'!AL28+'POM Portables Other'!AL28</f>
        <v>1271.7006815450263</v>
      </c>
      <c r="AM19" s="67">
        <f>'POM Portables Zn-based'!AM28+'POM Portables Li-Rechargeab'!AM28+'POM Portables Li-Primary'!AM28+'POM Portables Lead-acid'!AM28+'POM Portables NiMH'!AM28+'POM Portables NiCd'!AM28+'POM Portables Other'!AM28</f>
        <v>1322.8815525409307</v>
      </c>
      <c r="AN19" s="67">
        <f>'POM Portables Zn-based'!AN28+'POM Portables Li-Rechargeab'!AN28+'POM Portables Li-Primary'!AN28+'POM Portables Lead-acid'!AN28+'POM Portables NiMH'!AN28+'POM Portables NiCd'!AN28+'POM Portables Other'!AN28</f>
        <v>1376.6683714312674</v>
      </c>
      <c r="AO19" s="67">
        <f>'POM Portables Zn-based'!AO28+'POM Portables Li-Rechargeab'!AO28+'POM Portables Li-Primary'!AO28+'POM Portables Lead-acid'!AO28+'POM Portables NiMH'!AO28+'POM Portables NiCd'!AO28+'POM Portables Other'!AO28</f>
        <v>1432.3763325346633</v>
      </c>
      <c r="AP19" s="67">
        <f>'POM Portables Zn-based'!AP28+'POM Portables Li-Rechargeab'!AP28+'POM Portables Li-Primary'!AP28+'POM Portables Lead-acid'!AP28+'POM Portables NiMH'!AP28+'POM Portables NiCd'!AP28+'POM Portables Other'!AP28</f>
        <v>1484.8605038178093</v>
      </c>
      <c r="AQ19" s="67">
        <f>'POM Portables Zn-based'!AQ28+'POM Portables Li-Rechargeab'!AQ28+'POM Portables Li-Primary'!AQ28+'POM Portables Lead-acid'!AQ28+'POM Portables NiMH'!AQ28+'POM Portables NiCd'!AQ28+'POM Portables Other'!AQ28</f>
        <v>1508.5115498444163</v>
      </c>
      <c r="AR19" s="67">
        <f>'POM Portables Zn-based'!AR28+'POM Portables Li-Rechargeab'!AR28+'POM Portables Li-Primary'!AR28+'POM Portables Lead-acid'!AR28+'POM Portables NiMH'!AR28+'POM Portables NiCd'!AR28+'POM Portables Other'!AR28</f>
        <v>1532.4408442087181</v>
      </c>
      <c r="AS19" s="67">
        <f>'POM Portables Zn-based'!AS28+'POM Portables Li-Rechargeab'!AS28+'POM Portables Li-Primary'!AS28+'POM Portables Lead-acid'!AS28+'POM Portables NiMH'!AS28+'POM Portables NiCd'!AS28+'POM Portables Other'!AS28</f>
        <v>1556.8057693379749</v>
      </c>
      <c r="AT19" s="67">
        <f>'POM Portables Zn-based'!AT28+'POM Portables Li-Rechargeab'!AT28+'POM Portables Li-Primary'!AT28+'POM Portables Lead-acid'!AT28+'POM Portables NiMH'!AT28+'POM Portables NiCd'!AT28+'POM Portables Other'!AT28</f>
        <v>1581.6148410979674</v>
      </c>
      <c r="AU19" s="67">
        <f>'POM Portables Zn-based'!AU28+'POM Portables Li-Rechargeab'!AU28+'POM Portables Li-Primary'!AU28+'POM Portables Lead-acid'!AU28+'POM Portables NiMH'!AU28+'POM Portables NiCd'!AU28+'POM Portables Other'!AU28</f>
        <v>1606.8767541966029</v>
      </c>
      <c r="AV19" s="67">
        <f>'POM Portables Zn-based'!AV28+'POM Portables Li-Rechargeab'!AV28+'POM Portables Li-Primary'!AV28+'POM Portables Lead-acid'!AV28+'POM Portables NiMH'!AV28+'POM Portables NiCd'!AV28+'POM Portables Other'!AV28</f>
        <v>1631.5793561340511</v>
      </c>
      <c r="AW19" s="67">
        <f>'POM Portables Zn-based'!AW28+'POM Portables Li-Rechargeab'!AW28+'POM Portables Li-Primary'!AW28+'POM Portables Lead-acid'!AW28+'POM Portables NiMH'!AW28+'POM Portables NiCd'!AW28+'POM Portables Other'!AW28</f>
        <v>1656.7119000110108</v>
      </c>
      <c r="AX19" s="67">
        <f>'POM Portables Zn-based'!AX28+'POM Portables Li-Rechargeab'!AX28+'POM Portables Li-Primary'!AX28+'POM Portables Lead-acid'!AX28+'POM Portables NiMH'!AX28+'POM Portables NiCd'!AX28+'POM Portables Other'!AX28</f>
        <v>1682.2823137405596</v>
      </c>
      <c r="AY19" s="67">
        <f>'POM Portables Zn-based'!AY28+'POM Portables Li-Rechargeab'!AY28+'POM Portables Li-Primary'!AY28+'POM Portables Lead-acid'!AY28+'POM Portables NiMH'!AY28+'POM Portables NiCd'!AY28+'POM Portables Other'!AY28</f>
        <v>1708.2986795600564</v>
      </c>
      <c r="AZ19" s="67">
        <f>'POM Portables Zn-based'!AZ28+'POM Portables Li-Rechargeab'!AZ28+'POM Portables Li-Primary'!AZ28+'POM Portables Lead-acid'!AZ28+'POM Portables NiMH'!AZ28+'POM Portables NiCd'!AZ28+'POM Portables Other'!AZ28</f>
        <v>1734.7692371158416</v>
      </c>
    </row>
    <row r="20" spans="1:52" x14ac:dyDescent="0.35">
      <c r="A20" s="52" t="s">
        <v>17</v>
      </c>
      <c r="B20" s="23">
        <f>'[2]POM Portables Zn-based'!B29+'[2]POM Portables NiMH'!B29+'[2]POM Portables Li-Primary'!B29+'[2]POM Portables Lead-acid'!B29+'[2]POM Portables NiCd'!B29+'[2]POM Portables Li-Rechargeable'!B29+'[2]POM Portables Other'!B29</f>
        <v>467.9213770481087</v>
      </c>
      <c r="C20" s="23">
        <f>'[2]POM Portables Zn-based'!C29+'[2]POM Portables NiMH'!C29+'[2]POM Portables Li-Primary'!C29+'[2]POM Portables Lead-acid'!C29+'[2]POM Portables NiCd'!C29+'[2]POM Portables Li-Rechargeable'!C29+'[2]POM Portables Other'!C29</f>
        <v>484.88094446542294</v>
      </c>
      <c r="D20" s="23">
        <f>'[2]POM Portables Zn-based'!D29+'[2]POM Portables NiMH'!D29+'[2]POM Portables Li-Primary'!D29+'[2]POM Portables Lead-acid'!D29+'[2]POM Portables NiCd'!D29+'[2]POM Portables Li-Rechargeable'!D29+'[2]POM Portables Other'!D29</f>
        <v>503.68370812407932</v>
      </c>
      <c r="E20" s="23">
        <f>'[2]POM Portables Zn-based'!E29+'[2]POM Portables NiMH'!E29+'[2]POM Portables Li-Primary'!E29+'[2]POM Portables Lead-acid'!E29+'[2]POM Portables NiCd'!E29+'[2]POM Portables Li-Rechargeable'!E29+'[2]POM Portables Other'!E29</f>
        <v>527.69115464214849</v>
      </c>
      <c r="F20" s="23">
        <f>'[2]POM Portables Zn-based'!F29+'[2]POM Portables NiMH'!F29+'[2]POM Portables Li-Primary'!F29+'[2]POM Portables Lead-acid'!F29+'[2]POM Portables NiCd'!F29+'[2]POM Portables Li-Rechargeable'!F29+'[2]POM Portables Other'!F29</f>
        <v>560.67824362521344</v>
      </c>
      <c r="G20" s="23">
        <f>'[2]POM Portables Zn-based'!G29+'[2]POM Portables NiMH'!G29+'[2]POM Portables Li-Primary'!G29+'[2]POM Portables Lead-acid'!G29+'[2]POM Portables NiCd'!G29+'[2]POM Portables Li-Rechargeable'!G29+'[2]POM Portables Other'!G29</f>
        <v>570.6046281841858</v>
      </c>
      <c r="H20" s="23">
        <f>'[2]POM Portables Zn-based'!H29+'[2]POM Portables NiMH'!H29+'[2]POM Portables Li-Primary'!H29+'[2]POM Portables Lead-acid'!H29+'[2]POM Portables NiCd'!H29+'[2]POM Portables Li-Rechargeable'!H29+'[2]POM Portables Other'!H29</f>
        <v>609.19944997255334</v>
      </c>
      <c r="I20" s="23">
        <f>'[2]POM Portables Zn-based'!I29+'[2]POM Portables NiMH'!I29+'[2]POM Portables Li-Primary'!I29+'[2]POM Portables Lead-acid'!I29+'[2]POM Portables NiCd'!I29+'[2]POM Portables Li-Rechargeable'!I29+'[2]POM Portables Other'!I29</f>
        <v>595.19045937005217</v>
      </c>
      <c r="J20" s="23">
        <f>'[2]POM Portables Zn-based'!J29+'[2]POM Portables NiMH'!J29+'[2]POM Portables Li-Primary'!J29+'[2]POM Portables Lead-acid'!J29+'[2]POM Portables NiCd'!J29+'[2]POM Portables Li-Rechargeable'!J29+'[2]POM Portables Other'!J29</f>
        <v>626.88956741311665</v>
      </c>
      <c r="K20" s="23">
        <f>'[2]POM Portables Zn-based'!K29+'[2]POM Portables NiMH'!K29+'[2]POM Portables Li-Primary'!K29+'[2]POM Portables Lead-acid'!K29+'[2]POM Portables NiCd'!K29+'[2]POM Portables Li-Rechargeable'!K29+'[2]POM Portables Other'!K29</f>
        <v>602.75079427887624</v>
      </c>
      <c r="L20" s="23">
        <f>'[2]POM Portables Zn-based'!L29+'[2]POM Portables NiMH'!L29+'[2]POM Portables Li-Primary'!L29+'[2]POM Portables Lead-acid'!L29+'[2]POM Portables NiCd'!L29+'[2]POM Portables Li-Rechargeable'!L29+'[2]POM Portables Other'!L29</f>
        <v>649.48720641989939</v>
      </c>
      <c r="M20" s="4">
        <v>708</v>
      </c>
      <c r="N20" s="4">
        <v>782</v>
      </c>
      <c r="O20" s="4">
        <v>795</v>
      </c>
      <c r="P20" s="4">
        <v>686</v>
      </c>
      <c r="Q20" s="4">
        <v>700.005</v>
      </c>
      <c r="R20" s="4">
        <v>747.65700000000004</v>
      </c>
      <c r="S20" s="4">
        <v>831.51199999999994</v>
      </c>
      <c r="T20" s="4">
        <v>762.03800000000001</v>
      </c>
      <c r="U20" s="4">
        <v>750.01499999999999</v>
      </c>
      <c r="V20" s="4">
        <v>817</v>
      </c>
      <c r="W20" s="4">
        <v>929</v>
      </c>
      <c r="X20" s="67">
        <f>'POM Portables Zn-based'!X29+'POM Portables Li-Rechargeab'!X29+'POM Portables Li-Primary'!X29+'POM Portables Lead-acid'!X29+'POM Portables NiMH'!X29+'POM Portables NiCd'!X29+'POM Portables Other'!X29</f>
        <v>966.0558529859336</v>
      </c>
      <c r="Y20" s="67">
        <f>'POM Portables Zn-based'!Y29+'POM Portables Li-Rechargeab'!Y29+'POM Portables Li-Primary'!Y29+'POM Portables Lead-acid'!Y29+'POM Portables NiMH'!Y29+'POM Portables NiCd'!Y29+'POM Portables Other'!Y29</f>
        <v>1005.8713044683672</v>
      </c>
      <c r="Z20" s="67">
        <f>'POM Portables Zn-based'!Z29+'POM Portables Li-Rechargeab'!Z29+'POM Portables Li-Primary'!Z29+'POM Portables Lead-acid'!Z29+'POM Portables NiMH'!Z29+'POM Portables NiCd'!Z29+'POM Portables Other'!Z29</f>
        <v>1049.3518109921577</v>
      </c>
      <c r="AA20" s="67">
        <f>'POM Portables Zn-based'!AA29+'POM Portables Li-Rechargeab'!AA29+'POM Portables Li-Primary'!AA29+'POM Portables Lead-acid'!AA29+'POM Portables NiMH'!AA29+'POM Portables NiCd'!AA29+'POM Portables Other'!AA29</f>
        <v>1097.0025908527093</v>
      </c>
      <c r="AB20" s="67">
        <f>'POM Portables Zn-based'!AB29+'POM Portables Li-Rechargeab'!AB29+'POM Portables Li-Primary'!AB29+'POM Portables Lead-acid'!AB29+'POM Portables NiMH'!AB29+'POM Portables NiCd'!AB29+'POM Portables Other'!AB29</f>
        <v>1134.9803002938349</v>
      </c>
      <c r="AC20" s="67">
        <f>'POM Portables Zn-based'!AC29+'POM Portables Li-Rechargeab'!AC29+'POM Portables Li-Primary'!AC29+'POM Portables Lead-acid'!AC29+'POM Portables NiMH'!AC29+'POM Portables NiCd'!AC29+'POM Portables Other'!AC29</f>
        <v>1180.5139900785825</v>
      </c>
      <c r="AD20" s="67">
        <f>'POM Portables Zn-based'!AD29+'POM Portables Li-Rechargeab'!AD29+'POM Portables Li-Primary'!AD29+'POM Portables Lead-acid'!AD29+'POM Portables NiMH'!AD29+'POM Portables NiCd'!AD29+'POM Portables Other'!AD29</f>
        <v>1237.4087473764223</v>
      </c>
      <c r="AE20" s="67">
        <f>'POM Portables Zn-based'!AE29+'POM Portables Li-Rechargeab'!AE29+'POM Portables Li-Primary'!AE29+'POM Portables Lead-acid'!AE29+'POM Portables NiMH'!AE29+'POM Portables NiCd'!AE29+'POM Portables Other'!AE29</f>
        <v>1302.6722218345494</v>
      </c>
      <c r="AF20" s="67">
        <f>'POM Portables Zn-based'!AF29+'POM Portables Li-Rechargeab'!AF29+'POM Portables Li-Primary'!AF29+'POM Portables Lead-acid'!AF29+'POM Portables NiMH'!AF29+'POM Portables NiCd'!AF29+'POM Portables Other'!AF29</f>
        <v>1372.6280910027615</v>
      </c>
      <c r="AG20" s="67">
        <f>'POM Portables Zn-based'!AG29+'POM Portables Li-Rechargeab'!AG29+'POM Portables Li-Primary'!AG29+'POM Portables Lead-acid'!AG29+'POM Portables NiMH'!AG29+'POM Portables NiCd'!AG29+'POM Portables Other'!AG29</f>
        <v>1424.4673475454592</v>
      </c>
      <c r="AH20" s="67">
        <f>'POM Portables Zn-based'!AH29+'POM Portables Li-Rechargeab'!AH29+'POM Portables Li-Primary'!AH29+'POM Portables Lead-acid'!AH29+'POM Portables NiMH'!AH29+'POM Portables NiCd'!AH29+'POM Portables Other'!AH29</f>
        <v>1478.8056915939853</v>
      </c>
      <c r="AI20" s="67">
        <f>'POM Portables Zn-based'!AI29+'POM Portables Li-Rechargeab'!AI29+'POM Portables Li-Primary'!AI29+'POM Portables Lead-acid'!AI29+'POM Portables NiMH'!AI29+'POM Portables NiCd'!AI29+'POM Portables Other'!AI29</f>
        <v>1535.8438078496249</v>
      </c>
      <c r="AJ20" s="67">
        <f>'POM Portables Zn-based'!AJ29+'POM Portables Li-Rechargeab'!AJ29+'POM Portables Li-Primary'!AJ29+'POM Portables Lead-acid'!AJ29+'POM Portables NiMH'!AJ29+'POM Portables NiCd'!AJ29+'POM Portables Other'!AJ29</f>
        <v>1595.7302496814941</v>
      </c>
      <c r="AK20" s="67">
        <f>'POM Portables Zn-based'!AK29+'POM Portables Li-Rechargeab'!AK29+'POM Portables Li-Primary'!AK29+'POM Portables Lead-acid'!AK29+'POM Portables NiMH'!AK29+'POM Portables NiCd'!AK29+'POM Portables Other'!AK29</f>
        <v>1658.6222103952534</v>
      </c>
      <c r="AL20" s="67">
        <f>'POM Portables Zn-based'!AL29+'POM Portables Li-Rechargeab'!AL29+'POM Portables Li-Primary'!AL29+'POM Portables Lead-acid'!AL29+'POM Portables NiMH'!AL29+'POM Portables NiCd'!AL29+'POM Portables Other'!AL29</f>
        <v>1724.6860338034007</v>
      </c>
      <c r="AM20" s="67">
        <f>'POM Portables Zn-based'!AM29+'POM Portables Li-Rechargeab'!AM29+'POM Portables Li-Primary'!AM29+'POM Portables Lead-acid'!AM29+'POM Portables NiMH'!AM29+'POM Portables NiCd'!AM29+'POM Portables Other'!AM29</f>
        <v>1794.097755197846</v>
      </c>
      <c r="AN20" s="67">
        <f>'POM Portables Zn-based'!AN29+'POM Portables Li-Rechargeab'!AN29+'POM Portables Li-Primary'!AN29+'POM Portables Lead-acid'!AN29+'POM Portables NiMH'!AN29+'POM Portables NiCd'!AN29+'POM Portables Other'!AN29</f>
        <v>1867.0436745396312</v>
      </c>
      <c r="AO20" s="67">
        <f>'POM Portables Zn-based'!AO29+'POM Portables Li-Rechargeab'!AO29+'POM Portables Li-Primary'!AO29+'POM Portables Lead-acid'!AO29+'POM Portables NiMH'!AO29+'POM Portables NiCd'!AO29+'POM Portables Other'!AO29</f>
        <v>1942.5950553645284</v>
      </c>
      <c r="AP20" s="67">
        <f>'POM Portables Zn-based'!AP29+'POM Portables Li-Rechargeab'!AP29+'POM Portables Li-Primary'!AP29+'POM Portables Lead-acid'!AP29+'POM Portables NiMH'!AP29+'POM Portables NiCd'!AP29+'POM Portables Other'!AP29</f>
        <v>2013.7743183164157</v>
      </c>
      <c r="AQ20" s="67">
        <f>'POM Portables Zn-based'!AQ29+'POM Portables Li-Rechargeab'!AQ29+'POM Portables Li-Primary'!AQ29+'POM Portables Lead-acid'!AQ29+'POM Portables NiMH'!AQ29+'POM Portables NiCd'!AQ29+'POM Portables Other'!AQ29</f>
        <v>2045.8499705189229</v>
      </c>
      <c r="AR20" s="67">
        <f>'POM Portables Zn-based'!AR29+'POM Portables Li-Rechargeab'!AR29+'POM Portables Li-Primary'!AR29+'POM Portables Lead-acid'!AR29+'POM Portables NiMH'!AR29+'POM Portables NiCd'!AR29+'POM Portables Other'!AR29</f>
        <v>2078.3029843356185</v>
      </c>
      <c r="AS20" s="67">
        <f>'POM Portables Zn-based'!AS29+'POM Portables Li-Rechargeab'!AS29+'POM Portables Li-Primary'!AS29+'POM Portables Lead-acid'!AS29+'POM Portables NiMH'!AS29+'POM Portables NiCd'!AS29+'POM Portables Other'!AS29</f>
        <v>2111.3468025036182</v>
      </c>
      <c r="AT20" s="67">
        <f>'POM Portables Zn-based'!AT29+'POM Portables Li-Rechargeab'!AT29+'POM Portables Li-Primary'!AT29+'POM Portables Lead-acid'!AT29+'POM Portables NiMH'!AT29+'POM Portables NiCd'!AT29+'POM Portables Other'!AT29</f>
        <v>2144.9929742773888</v>
      </c>
      <c r="AU20" s="67">
        <f>'POM Portables Zn-based'!AU29+'POM Portables Li-Rechargeab'!AU29+'POM Portables Li-Primary'!AU29+'POM Portables Lead-acid'!AU29+'POM Portables NiMH'!AU29+'POM Portables NiCd'!AU29+'POM Portables Other'!AU29</f>
        <v>2179.2532914578742</v>
      </c>
      <c r="AV20" s="67">
        <f>'POM Portables Zn-based'!AV29+'POM Portables Li-Rechargeab'!AV29+'POM Portables Li-Primary'!AV29+'POM Portables Lead-acid'!AV29+'POM Portables NiMH'!AV29+'POM Portables NiCd'!AV29+'POM Portables Other'!AV29</f>
        <v>2212.7550683920194</v>
      </c>
      <c r="AW20" s="67">
        <f>'POM Portables Zn-based'!AW29+'POM Portables Li-Rechargeab'!AW29+'POM Portables Li-Primary'!AW29+'POM Portables Lead-acid'!AW29+'POM Portables NiMH'!AW29+'POM Portables NiCd'!AW29+'POM Portables Other'!AW29</f>
        <v>2246.8399344674872</v>
      </c>
      <c r="AX20" s="67">
        <f>'POM Portables Zn-based'!AX29+'POM Portables Li-Rechargeab'!AX29+'POM Portables Li-Primary'!AX29+'POM Portables Lead-acid'!AX29+'POM Portables NiMH'!AX29+'POM Portables NiCd'!AX29+'POM Portables Other'!AX29</f>
        <v>2281.518641554715</v>
      </c>
      <c r="AY20" s="67">
        <f>'POM Portables Zn-based'!AY29+'POM Portables Li-Rechargeab'!AY29+'POM Portables Li-Primary'!AY29+'POM Portables Lead-acid'!AY29+'POM Portables NiMH'!AY29+'POM Portables NiCd'!AY29+'POM Portables Other'!AY29</f>
        <v>2316.8021508194047</v>
      </c>
      <c r="AZ20" s="67">
        <f>'POM Portables Zn-based'!AZ29+'POM Portables Li-Rechargeab'!AZ29+'POM Portables Li-Primary'!AZ29+'POM Portables Lead-acid'!AZ29+'POM Portables NiMH'!AZ29+'POM Portables NiCd'!AZ29+'POM Portables Other'!AZ29</f>
        <v>2352.7016369060093</v>
      </c>
    </row>
    <row r="21" spans="1:52" x14ac:dyDescent="0.35">
      <c r="A21" s="52" t="s">
        <v>18</v>
      </c>
      <c r="B21" s="23">
        <f>'[2]POM Portables Zn-based'!B30+'[2]POM Portables NiMH'!B30+'[2]POM Portables Li-Primary'!B30+'[2]POM Portables Lead-acid'!B30+'[2]POM Portables NiCd'!B30+'[2]POM Portables Li-Rechargeable'!B30+'[2]POM Portables Other'!B30</f>
        <v>120.7475078908043</v>
      </c>
      <c r="C21" s="23">
        <f>'[2]POM Portables Zn-based'!C30+'[2]POM Portables NiMH'!C30+'[2]POM Portables Li-Primary'!C30+'[2]POM Portables Lead-acid'!C30+'[2]POM Portables NiCd'!C30+'[2]POM Portables Li-Rechargeable'!C30+'[2]POM Portables Other'!C30</f>
        <v>125.12393863535699</v>
      </c>
      <c r="D21" s="23">
        <f>'[2]POM Portables Zn-based'!D30+'[2]POM Portables NiMH'!D30+'[2]POM Portables Li-Primary'!D30+'[2]POM Portables Lead-acid'!D30+'[2]POM Portables NiCd'!D30+'[2]POM Portables Li-Rechargeable'!D30+'[2]POM Portables Other'!D30</f>
        <v>129.97600773201873</v>
      </c>
      <c r="E21" s="23">
        <f>'[2]POM Portables Zn-based'!E30+'[2]POM Portables NiMH'!E30+'[2]POM Portables Li-Primary'!E30+'[2]POM Portables Lead-acid'!E30+'[2]POM Portables NiCd'!E30+'[2]POM Portables Li-Rechargeable'!E30+'[2]POM Portables Other'!E30</f>
        <v>136.17114965130014</v>
      </c>
      <c r="F21" s="23">
        <f>'[2]POM Portables Zn-based'!F30+'[2]POM Portables NiMH'!F30+'[2]POM Portables Li-Primary'!F30+'[2]POM Portables Lead-acid'!F30+'[2]POM Portables NiCd'!F30+'[2]POM Portables Li-Rechargeable'!F30+'[2]POM Portables Other'!F30</f>
        <v>144.68349591854022</v>
      </c>
      <c r="G21" s="23">
        <f>'[2]POM Portables Zn-based'!G30+'[2]POM Portables NiMH'!G30+'[2]POM Portables Li-Primary'!G30+'[2]POM Portables Lead-acid'!G30+'[2]POM Portables NiCd'!G30+'[2]POM Portables Li-Rechargeable'!G30+'[2]POM Portables Other'!G30</f>
        <v>147.2450078661733</v>
      </c>
      <c r="H21" s="23">
        <f>'[2]POM Portables Zn-based'!H30+'[2]POM Portables NiMH'!H30+'[2]POM Portables Li-Primary'!H30+'[2]POM Portables Lead-acid'!H30+'[2]POM Portables NiCd'!H30+'[2]POM Portables Li-Rechargeable'!H30+'[2]POM Portables Other'!H30</f>
        <v>157.20443433613769</v>
      </c>
      <c r="I21" s="23">
        <f>'[2]POM Portables Zn-based'!I30+'[2]POM Portables NiMH'!I30+'[2]POM Portables Li-Primary'!I30+'[2]POM Portables Lead-acid'!I30+'[2]POM Portables NiCd'!I30+'[2]POM Portables Li-Rechargeable'!I30+'[2]POM Portables Other'!I30</f>
        <v>153.58940243913634</v>
      </c>
      <c r="J21" s="23">
        <f>'[2]POM Portables Zn-based'!J30+'[2]POM Portables NiMH'!J30+'[2]POM Portables Li-Primary'!J30+'[2]POM Portables Lead-acid'!J30+'[2]POM Portables NiCd'!J30+'[2]POM Portables Li-Rechargeable'!J30+'[2]POM Portables Other'!J30</f>
        <v>161.76938413329998</v>
      </c>
      <c r="K21" s="23">
        <f>'[2]POM Portables Zn-based'!K30+'[2]POM Portables NiMH'!K30+'[2]POM Portables Li-Primary'!K30+'[2]POM Portables Lead-acid'!K30+'[2]POM Portables NiCd'!K30+'[2]POM Portables Li-Rechargeable'!K30+'[2]POM Portables Other'!K30</f>
        <v>155.54035326942187</v>
      </c>
      <c r="L21" s="23">
        <f>'[2]POM Portables Zn-based'!L30+'[2]POM Portables NiMH'!L30+'[2]POM Portables Li-Primary'!L30+'[2]POM Portables Lead-acid'!L30+'[2]POM Portables NiCd'!L30+'[2]POM Portables Li-Rechargeable'!L30+'[2]POM Portables Other'!L30</f>
        <v>167.60072402954188</v>
      </c>
      <c r="M21" s="4">
        <v>182.7</v>
      </c>
      <c r="N21" s="4">
        <v>186.7</v>
      </c>
      <c r="O21" s="4">
        <v>182.6</v>
      </c>
      <c r="P21" s="4">
        <v>171.1</v>
      </c>
      <c r="Q21" s="4">
        <v>172</v>
      </c>
      <c r="R21" s="4">
        <v>196</v>
      </c>
      <c r="S21" s="4">
        <v>201</v>
      </c>
      <c r="T21" s="4">
        <v>209</v>
      </c>
      <c r="U21" s="4">
        <v>242</v>
      </c>
      <c r="V21" s="4">
        <v>261</v>
      </c>
      <c r="W21" s="4">
        <v>285</v>
      </c>
      <c r="X21" s="67">
        <f>'POM Portables Zn-based'!X30+'POM Portables Li-Rechargeab'!X30+'POM Portables Li-Primary'!X30+'POM Portables Lead-acid'!X30+'POM Portables NiMH'!X30+'POM Portables NiCd'!X30+'POM Portables Other'!X30</f>
        <v>296.36804962431756</v>
      </c>
      <c r="Y21" s="67">
        <f>'POM Portables Zn-based'!Y30+'POM Portables Li-Rechargeab'!Y30+'POM Portables Li-Primary'!Y30+'POM Portables Lead-acid'!Y30+'POM Portables NiMH'!Y30+'POM Portables NiCd'!Y30+'POM Portables Other'!Y30</f>
        <v>308.5826929746874</v>
      </c>
      <c r="Z21" s="67">
        <f>'POM Portables Zn-based'!Z30+'POM Portables Li-Rechargeab'!Z30+'POM Portables Li-Primary'!Z30+'POM Portables Lead-acid'!Z30+'POM Portables NiMH'!Z30+'POM Portables NiCd'!Z30+'POM Portables Other'!Z30</f>
        <v>321.92170735496751</v>
      </c>
      <c r="AA21" s="67">
        <f>'POM Portables Zn-based'!AA30+'POM Portables Li-Rechargeab'!AA30+'POM Portables Li-Primary'!AA30+'POM Portables Lead-acid'!AA30+'POM Portables NiMH'!AA30+'POM Portables NiCd'!AA30+'POM Portables Other'!AA30</f>
        <v>336.54008438430799</v>
      </c>
      <c r="AB21" s="67">
        <f>'POM Portables Zn-based'!AB30+'POM Portables Li-Rechargeab'!AB30+'POM Portables Li-Primary'!AB30+'POM Portables Lead-acid'!AB30+'POM Portables NiMH'!AB30+'POM Portables NiCd'!AB30+'POM Portables Other'!AB30</f>
        <v>348.19094250133793</v>
      </c>
      <c r="AC21" s="67">
        <f>'POM Portables Zn-based'!AC30+'POM Portables Li-Rechargeab'!AC30+'POM Portables Li-Primary'!AC30+'POM Portables Lead-acid'!AC30+'POM Portables NiMH'!AC30+'POM Portables NiCd'!AC30+'POM Portables Other'!AC30</f>
        <v>362.15983549235307</v>
      </c>
      <c r="AD21" s="67">
        <f>'POM Portables Zn-based'!AD30+'POM Portables Li-Rechargeab'!AD30+'POM Portables Li-Primary'!AD30+'POM Portables Lead-acid'!AD30+'POM Portables NiMH'!AD30+'POM Portables NiCd'!AD30+'POM Portables Other'!AD30</f>
        <v>379.61409365153963</v>
      </c>
      <c r="AE21" s="67">
        <f>'POM Portables Zn-based'!AE30+'POM Portables Li-Rechargeab'!AE30+'POM Portables Li-Primary'!AE30+'POM Portables Lead-acid'!AE30+'POM Portables NiMH'!AE30+'POM Portables NiCd'!AE30+'POM Portables Other'!AE30</f>
        <v>399.6357192926227</v>
      </c>
      <c r="AF21" s="67">
        <f>'POM Portables Zn-based'!AF30+'POM Portables Li-Rechargeab'!AF30+'POM Portables Li-Primary'!AF30+'POM Portables Lead-acid'!AF30+'POM Portables NiMH'!AF30+'POM Portables NiCd'!AF30+'POM Portables Other'!AF30</f>
        <v>421.09688475326908</v>
      </c>
      <c r="AG21" s="67">
        <f>'POM Portables Zn-based'!AG30+'POM Portables Li-Rechargeab'!AG30+'POM Portables Li-Primary'!AG30+'POM Portables Lead-acid'!AG30+'POM Portables NiMH'!AG30+'POM Portables NiCd'!AG30+'POM Portables Other'!AG30</f>
        <v>437.00020888100738</v>
      </c>
      <c r="AH21" s="67">
        <f>'POM Portables Zn-based'!AH30+'POM Portables Li-Rechargeab'!AH30+'POM Portables Li-Primary'!AH30+'POM Portables Lead-acid'!AH30+'POM Portables NiMH'!AH30+'POM Portables NiCd'!AH30+'POM Portables Other'!AH30</f>
        <v>453.67020678609879</v>
      </c>
      <c r="AI21" s="67">
        <f>'POM Portables Zn-based'!AI30+'POM Portables Li-Rechargeab'!AI30+'POM Portables Li-Primary'!AI30+'POM Portables Lead-acid'!AI30+'POM Portables NiMH'!AI30+'POM Portables NiCd'!AI30+'POM Portables Other'!AI30</f>
        <v>471.16844481931435</v>
      </c>
      <c r="AJ21" s="67">
        <f>'POM Portables Zn-based'!AJ30+'POM Portables Li-Rechargeab'!AJ30+'POM Portables Li-Primary'!AJ30+'POM Portables Lead-acid'!AJ30+'POM Portables NiMH'!AJ30+'POM Portables NiCd'!AJ30+'POM Portables Other'!AJ30</f>
        <v>489.54049640390292</v>
      </c>
      <c r="AK21" s="67">
        <f>'POM Portables Zn-based'!AK30+'POM Portables Li-Rechargeab'!AK30+'POM Portables Li-Primary'!AK30+'POM Portables Lead-acid'!AK30+'POM Portables NiMH'!AK30+'POM Portables NiCd'!AK30+'POM Portables Other'!AK30</f>
        <v>508.83458553568045</v>
      </c>
      <c r="AL21" s="67">
        <f>'POM Portables Zn-based'!AL30+'POM Portables Li-Rechargeab'!AL30+'POM Portables Li-Primary'!AL30+'POM Portables Lead-acid'!AL30+'POM Portables NiMH'!AL30+'POM Portables NiCd'!AL30+'POM Portables Other'!AL30</f>
        <v>529.10174341654385</v>
      </c>
      <c r="AM21" s="67">
        <f>'POM Portables Zn-based'!AM30+'POM Portables Li-Rechargeab'!AM30+'POM Portables Li-Primary'!AM30+'POM Portables Lead-acid'!AM30+'POM Portables NiMH'!AM30+'POM Portables NiCd'!AM30+'POM Portables Other'!AM30</f>
        <v>550.39597441483977</v>
      </c>
      <c r="AN21" s="67">
        <f>'POM Portables Zn-based'!AN30+'POM Portables Li-Rechargeab'!AN30+'POM Portables Li-Primary'!AN30+'POM Portables Lead-acid'!AN30+'POM Portables NiMH'!AN30+'POM Portables NiCd'!AN30+'POM Portables Other'!AN30</f>
        <v>572.77443190935935</v>
      </c>
      <c r="AO21" s="67">
        <f>'POM Portables Zn-based'!AO30+'POM Portables Li-Rechargeab'!AO30+'POM Portables Li-Primary'!AO30+'POM Portables Lead-acid'!AO30+'POM Portables NiMH'!AO30+'POM Portables NiCd'!AO30+'POM Portables Other'!AO30</f>
        <v>595.95219674799853</v>
      </c>
      <c r="AP21" s="67">
        <f>'POM Portables Zn-based'!AP30+'POM Portables Li-Rechargeab'!AP30+'POM Portables Li-Primary'!AP30+'POM Portables Lead-acid'!AP30+'POM Portables NiMH'!AP30+'POM Portables NiCd'!AP30+'POM Portables Other'!AP30</f>
        <v>617.78867677091318</v>
      </c>
      <c r="AQ21" s="67">
        <f>'POM Portables Zn-based'!AQ30+'POM Portables Li-Rechargeab'!AQ30+'POM Portables Li-Primary'!AQ30+'POM Portables Lead-acid'!AQ30+'POM Portables NiMH'!AQ30+'POM Portables NiCd'!AQ30+'POM Portables Other'!AQ30</f>
        <v>627.62889300096128</v>
      </c>
      <c r="AR21" s="67">
        <f>'POM Portables Zn-based'!AR30+'POM Portables Li-Rechargeab'!AR30+'POM Portables Li-Primary'!AR30+'POM Portables Lead-acid'!AR30+'POM Portables NiMH'!AR30+'POM Portables NiCd'!AR30+'POM Portables Other'!AR30</f>
        <v>637.58487678756853</v>
      </c>
      <c r="AS21" s="67">
        <f>'POM Portables Zn-based'!AS30+'POM Portables Li-Rechargeab'!AS30+'POM Portables Li-Primary'!AS30+'POM Portables Lead-acid'!AS30+'POM Portables NiMH'!AS30+'POM Portables NiCd'!AS30+'POM Portables Other'!AS30</f>
        <v>647.72210841069</v>
      </c>
      <c r="AT21" s="67">
        <f>'POM Portables Zn-based'!AT30+'POM Portables Li-Rechargeab'!AT30+'POM Portables Li-Primary'!AT30+'POM Portables Lead-acid'!AT30+'POM Portables NiMH'!AT30+'POM Portables NiCd'!AT30+'POM Portables Other'!AT30</f>
        <v>658.04413096776716</v>
      </c>
      <c r="AU21" s="67">
        <f>'POM Portables Zn-based'!AU30+'POM Portables Li-Rechargeab'!AU30+'POM Portables Li-Primary'!AU30+'POM Portables Lead-acid'!AU30+'POM Portables NiMH'!AU30+'POM Portables NiCd'!AU30+'POM Portables Other'!AU30</f>
        <v>668.5545619650095</v>
      </c>
      <c r="AV21" s="67">
        <f>'POM Portables Zn-based'!AV30+'POM Portables Li-Rechargeab'!AV30+'POM Portables Li-Primary'!AV30+'POM Portables Lead-acid'!AV30+'POM Portables NiMH'!AV30+'POM Portables NiCd'!AV30+'POM Portables Other'!AV30</f>
        <v>678.83228685869244</v>
      </c>
      <c r="AW21" s="67">
        <f>'POM Portables Zn-based'!AW30+'POM Portables Li-Rechargeab'!AW30+'POM Portables Li-Primary'!AW30+'POM Portables Lead-acid'!AW30+'POM Portables NiMH'!AW30+'POM Portables NiCd'!AW30+'POM Portables Other'!AW30</f>
        <v>689.28889270531067</v>
      </c>
      <c r="AX21" s="67">
        <f>'POM Portables Zn-based'!AX30+'POM Portables Li-Rechargeab'!AX30+'POM Portables Li-Primary'!AX30+'POM Portables Lead-acid'!AX30+'POM Portables NiMH'!AX30+'POM Portables NiCd'!AX30+'POM Portables Other'!AX30</f>
        <v>699.92767797964859</v>
      </c>
      <c r="AY21" s="67">
        <f>'POM Portables Zn-based'!AY30+'POM Portables Li-Rechargeab'!AY30+'POM Portables Li-Primary'!AY30+'POM Portables Lead-acid'!AY30+'POM Portables NiMH'!AY30+'POM Portables NiCd'!AY30+'POM Portables Other'!AY30</f>
        <v>710.75200536440252</v>
      </c>
      <c r="AZ21" s="67">
        <f>'POM Portables Zn-based'!AZ30+'POM Portables Li-Rechargeab'!AZ30+'POM Portables Li-Primary'!AZ30+'POM Portables Lead-acid'!AZ30+'POM Portables NiMH'!AZ30+'POM Portables NiCd'!AZ30+'POM Portables Other'!AZ30</f>
        <v>721.76530303359777</v>
      </c>
    </row>
    <row r="22" spans="1:52" x14ac:dyDescent="0.35">
      <c r="A22" s="52" t="s">
        <v>19</v>
      </c>
      <c r="B22" s="23">
        <f>'[2]POM Portables Zn-based'!B31+'[2]POM Portables NiMH'!B31+'[2]POM Portables Li-Primary'!B31+'[2]POM Portables Lead-acid'!B31+'[2]POM Portables NiCd'!B31+'[2]POM Portables Li-Rechargeable'!B31+'[2]POM Portables Other'!B31</f>
        <v>57.703694110268898</v>
      </c>
      <c r="C22" s="23">
        <f>'[2]POM Portables Zn-based'!C31+'[2]POM Portables NiMH'!C31+'[2]POM Portables Li-Primary'!C31+'[2]POM Portables Lead-acid'!C31+'[2]POM Portables NiCd'!C31+'[2]POM Portables Li-Rechargeable'!C31+'[2]POM Portables Other'!C31</f>
        <v>59.795134549824979</v>
      </c>
      <c r="D22" s="23">
        <f>'[2]POM Portables Zn-based'!D31+'[2]POM Portables NiMH'!D31+'[2]POM Portables Li-Primary'!D31+'[2]POM Portables Lead-acid'!D31+'[2]POM Portables NiCd'!D31+'[2]POM Portables Li-Rechargeable'!D31+'[2]POM Portables Other'!D31</f>
        <v>62.113876491968036</v>
      </c>
      <c r="E22" s="23">
        <f>'[2]POM Portables Zn-based'!E31+'[2]POM Portables NiMH'!E31+'[2]POM Portables Li-Primary'!E31+'[2]POM Portables Lead-acid'!E31+'[2]POM Portables NiCd'!E31+'[2]POM Portables Li-Rechargeable'!E31+'[2]POM Portables Other'!E31</f>
        <v>65.074455807635559</v>
      </c>
      <c r="F22" s="23">
        <f>'[2]POM Portables Zn-based'!F31+'[2]POM Portables NiMH'!F31+'[2]POM Portables Li-Primary'!F31+'[2]POM Portables Lead-acid'!F31+'[2]POM Portables NiCd'!F31+'[2]POM Portables Li-Rechargeable'!F31+'[2]POM Portables Other'!F31</f>
        <v>69.142397529544326</v>
      </c>
      <c r="G22" s="23">
        <f>'[2]POM Portables Zn-based'!G31+'[2]POM Portables NiMH'!G31+'[2]POM Portables Li-Primary'!G31+'[2]POM Portables Lead-acid'!G31+'[2]POM Portables NiCd'!G31+'[2]POM Portables Li-Rechargeable'!G31+'[2]POM Portables Other'!G31</f>
        <v>70.366511421979183</v>
      </c>
      <c r="H22" s="23">
        <f>'[2]POM Portables Zn-based'!H31+'[2]POM Portables NiMH'!H31+'[2]POM Portables Li-Primary'!H31+'[2]POM Portables Lead-acid'!H31+'[2]POM Portables NiCd'!H31+'[2]POM Portables Li-Rechargeable'!H31+'[2]POM Portables Other'!H31</f>
        <v>75.125994317942997</v>
      </c>
      <c r="I22" s="23">
        <f>'[2]POM Portables Zn-based'!I31+'[2]POM Portables NiMH'!I31+'[2]POM Portables Li-Primary'!I31+'[2]POM Portables Lead-acid'!I31+'[2]POM Portables NiCd'!I31+'[2]POM Portables Li-Rechargeable'!I31+'[2]POM Portables Other'!I31</f>
        <v>73.398416677400093</v>
      </c>
      <c r="J22" s="23">
        <f>'[2]POM Portables Zn-based'!J31+'[2]POM Portables NiMH'!J31+'[2]POM Portables Li-Primary'!J31+'[2]POM Portables Lead-acid'!J31+'[2]POM Portables NiCd'!J31+'[2]POM Portables Li-Rechargeable'!J31+'[2]POM Portables Other'!J31</f>
        <v>77.307525608529971</v>
      </c>
      <c r="K22" s="23">
        <f>'[2]POM Portables Zn-based'!K31+'[2]POM Portables NiMH'!K31+'[2]POM Portables Li-Primary'!K31+'[2]POM Portables Lead-acid'!K31+'[2]POM Portables NiCd'!K31+'[2]POM Portables Li-Rechargeable'!K31+'[2]POM Portables Other'!K31</f>
        <v>74.330751198430349</v>
      </c>
      <c r="L22" s="23">
        <f>'[2]POM Portables Zn-based'!L31+'[2]POM Portables NiMH'!L31+'[2]POM Portables Li-Primary'!L31+'[2]POM Portables Lead-acid'!L31+'[2]POM Portables NiCd'!L31+'[2]POM Portables Li-Rechargeable'!L31+'[2]POM Portables Other'!L31</f>
        <v>80.094248577007662</v>
      </c>
      <c r="M22" s="4">
        <v>87.31</v>
      </c>
      <c r="N22" s="4">
        <v>104.27</v>
      </c>
      <c r="O22" s="4">
        <v>88.98</v>
      </c>
      <c r="P22" s="4">
        <v>102.65</v>
      </c>
      <c r="Q22" s="4">
        <v>73.900000000000006</v>
      </c>
      <c r="R22" s="4">
        <v>75.400000000000006</v>
      </c>
      <c r="S22" s="4">
        <v>68.099999999999994</v>
      </c>
      <c r="T22" s="4">
        <v>80.5</v>
      </c>
      <c r="U22" s="4">
        <v>171.6</v>
      </c>
      <c r="V22" s="4">
        <v>143.1</v>
      </c>
      <c r="W22" s="4">
        <v>164</v>
      </c>
      <c r="X22" s="67">
        <f>'POM Portables Zn-based'!X31+'POM Portables Li-Rechargeab'!X31+'POM Portables Li-Primary'!X31+'POM Portables Lead-acid'!X31+'POM Portables NiMH'!X31+'POM Portables NiCd'!X31+'POM Portables Other'!X31</f>
        <v>170.54161452065995</v>
      </c>
      <c r="Y22" s="67">
        <f>'POM Portables Zn-based'!Y31+'POM Portables Li-Rechargeab'!Y31+'POM Portables Li-Primary'!Y31+'POM Portables Lead-acid'!Y31+'POM Portables NiMH'!Y31+'POM Portables NiCd'!Y31+'POM Portables Other'!Y31</f>
        <v>177.57039174683769</v>
      </c>
      <c r="Z22" s="67">
        <f>'POM Portables Zn-based'!Z31+'POM Portables Li-Rechargeab'!Z31+'POM Portables Li-Primary'!Z31+'POM Portables Lead-acid'!Z31+'POM Portables NiMH'!Z31+'POM Portables NiCd'!Z31+'POM Portables Other'!Z31</f>
        <v>185.24617546040244</v>
      </c>
      <c r="AA22" s="67">
        <f>'POM Portables Zn-based'!AA31+'POM Portables Li-Rechargeab'!AA31+'POM Portables Li-Primary'!AA31+'POM Portables Lead-acid'!AA31+'POM Portables NiMH'!AA31+'POM Portables NiCd'!AA31+'POM Portables Other'!AA31</f>
        <v>193.65815382114562</v>
      </c>
      <c r="AB22" s="67">
        <f>'POM Portables Zn-based'!AB31+'POM Portables Li-Rechargeab'!AB31+'POM Portables Li-Primary'!AB31+'POM Portables Lead-acid'!AB31+'POM Portables NiMH'!AB31+'POM Portables NiCd'!AB31+'POM Portables Other'!AB31</f>
        <v>200.3625072639278</v>
      </c>
      <c r="AC22" s="67">
        <f>'POM Portables Zn-based'!AC31+'POM Portables Li-Rechargeab'!AC31+'POM Portables Li-Primary'!AC31+'POM Portables Lead-acid'!AC31+'POM Portables NiMH'!AC31+'POM Portables NiCd'!AC31+'POM Portables Other'!AC31</f>
        <v>208.40074744121372</v>
      </c>
      <c r="AD22" s="67">
        <f>'POM Portables Zn-based'!AD31+'POM Portables Li-Rechargeab'!AD31+'POM Portables Li-Primary'!AD31+'POM Portables Lead-acid'!AD31+'POM Portables NiMH'!AD31+'POM Portables NiCd'!AD31+'POM Portables Other'!AD31</f>
        <v>218.44460125913162</v>
      </c>
      <c r="AE22" s="67">
        <f>'POM Portables Zn-based'!AE31+'POM Portables Li-Rechargeab'!AE31+'POM Portables Li-Primary'!AE31+'POM Portables Lead-acid'!AE31+'POM Portables NiMH'!AE31+'POM Portables NiCd'!AE31+'POM Portables Other'!AE31</f>
        <v>229.96581741750924</v>
      </c>
      <c r="AF22" s="67">
        <f>'POM Portables Zn-based'!AF31+'POM Portables Li-Rechargeab'!AF31+'POM Portables Li-Primary'!AF31+'POM Portables Lead-acid'!AF31+'POM Portables NiMH'!AF31+'POM Portables NiCd'!AF31+'POM Portables Other'!AF31</f>
        <v>242.31540034924961</v>
      </c>
      <c r="AG22" s="67">
        <f>'POM Portables Zn-based'!AG31+'POM Portables Li-Rechargeab'!AG31+'POM Portables Li-Primary'!AG31+'POM Portables Lead-acid'!AG31+'POM Portables NiMH'!AG31+'POM Portables NiCd'!AG31+'POM Portables Other'!AG31</f>
        <v>251.46678686486044</v>
      </c>
      <c r="AH22" s="67">
        <f>'POM Portables Zn-based'!AH31+'POM Portables Li-Rechargeab'!AH31+'POM Portables Li-Primary'!AH31+'POM Portables Lead-acid'!AH31+'POM Portables NiMH'!AH31+'POM Portables NiCd'!AH31+'POM Portables Other'!AH31</f>
        <v>261.05934706287792</v>
      </c>
      <c r="AI22" s="67">
        <f>'POM Portables Zn-based'!AI31+'POM Portables Li-Rechargeab'!AI31+'POM Portables Li-Primary'!AI31+'POM Portables Lead-acid'!AI31+'POM Portables NiMH'!AI31+'POM Portables NiCd'!AI31+'POM Portables Other'!AI31</f>
        <v>271.12850859778086</v>
      </c>
      <c r="AJ22" s="67">
        <f>'POM Portables Zn-based'!AJ31+'POM Portables Li-Rechargeab'!AJ31+'POM Portables Li-Primary'!AJ31+'POM Portables Lead-acid'!AJ31+'POM Portables NiMH'!AJ31+'POM Portables NiCd'!AJ31+'POM Portables Other'!AJ31</f>
        <v>281.70049617628109</v>
      </c>
      <c r="AK22" s="67">
        <f>'POM Portables Zn-based'!AK31+'POM Portables Li-Rechargeab'!AK31+'POM Portables Li-Primary'!AK31+'POM Portables Lead-acid'!AK31+'POM Portables NiMH'!AK31+'POM Portables NiCd'!AK31+'POM Portables Other'!AK31</f>
        <v>292.80305974684768</v>
      </c>
      <c r="AL22" s="67">
        <f>'POM Portables Zn-based'!AL31+'POM Portables Li-Rechargeab'!AL31+'POM Portables Li-Primary'!AL31+'POM Portables Lead-acid'!AL31+'POM Portables NiMH'!AL31+'POM Portables NiCd'!AL31+'POM Portables Other'!AL31</f>
        <v>304.46556463267785</v>
      </c>
      <c r="AM22" s="67">
        <f>'POM Portables Zn-based'!AM31+'POM Portables Li-Rechargeab'!AM31+'POM Portables Li-Primary'!AM31+'POM Portables Lead-acid'!AM31+'POM Portables NiMH'!AM31+'POM Portables NiCd'!AM31+'POM Portables Other'!AM31</f>
        <v>316.71908703169731</v>
      </c>
      <c r="AN22" s="67">
        <f>'POM Portables Zn-based'!AN31+'POM Portables Li-Rechargeab'!AN31+'POM Portables Li-Primary'!AN31+'POM Portables Lead-acid'!AN31+'POM Portables NiMH'!AN31+'POM Portables NiCd'!AN31+'POM Portables Other'!AN31</f>
        <v>329.59651520398239</v>
      </c>
      <c r="AO22" s="67">
        <f>'POM Portables Zn-based'!AO31+'POM Portables Li-Rechargeab'!AO31+'POM Portables Li-Primary'!AO31+'POM Portables Lead-acid'!AO31+'POM Portables NiMH'!AO31+'POM Portables NiCd'!AO31+'POM Portables Other'!AO31</f>
        <v>342.93389567253251</v>
      </c>
      <c r="AP22" s="67">
        <f>'POM Portables Zn-based'!AP31+'POM Portables Li-Rechargeab'!AP31+'POM Portables Li-Primary'!AP31+'POM Portables Lead-acid'!AP31+'POM Portables NiMH'!AP31+'POM Portables NiCd'!AP31+'POM Portables Other'!AP31</f>
        <v>355.49944908922743</v>
      </c>
      <c r="AQ22" s="67">
        <f>'POM Portables Zn-based'!AQ31+'POM Portables Li-Rechargeab'!AQ31+'POM Portables Li-Primary'!AQ31+'POM Portables Lead-acid'!AQ31+'POM Portables NiMH'!AQ31+'POM Portables NiCd'!AQ31+'POM Portables Other'!AQ31</f>
        <v>361.16188930581643</v>
      </c>
      <c r="AR22" s="67">
        <f>'POM Portables Zn-based'!AR31+'POM Portables Li-Rechargeab'!AR31+'POM Portables Li-Primary'!AR31+'POM Portables Lead-acid'!AR31+'POM Portables NiMH'!AR31+'POM Portables NiCd'!AR31+'POM Portables Other'!AR31</f>
        <v>366.89094664267117</v>
      </c>
      <c r="AS22" s="67">
        <f>'POM Portables Zn-based'!AS31+'POM Portables Li-Rechargeab'!AS31+'POM Portables Li-Primary'!AS31+'POM Portables Lead-acid'!AS31+'POM Portables NiMH'!AS31+'POM Portables NiCd'!AS31+'POM Portables Other'!AS31</f>
        <v>372.72430098018674</v>
      </c>
      <c r="AT22" s="67">
        <f>'POM Portables Zn-based'!AT31+'POM Portables Li-Rechargeab'!AT31+'POM Portables Li-Primary'!AT31+'POM Portables Lead-acid'!AT31+'POM Portables NiMH'!AT31+'POM Portables NiCd'!AT31+'POM Portables Other'!AT31</f>
        <v>378.66399115338203</v>
      </c>
      <c r="AU22" s="67">
        <f>'POM Portables Zn-based'!AU31+'POM Portables Li-Rechargeab'!AU31+'POM Portables Li-Primary'!AU31+'POM Portables Lead-acid'!AU31+'POM Portables NiMH'!AU31+'POM Portables NiCd'!AU31+'POM Portables Other'!AU31</f>
        <v>384.71209881495315</v>
      </c>
      <c r="AV22" s="67">
        <f>'POM Portables Zn-based'!AV31+'POM Portables Li-Rechargeab'!AV31+'POM Portables Li-Primary'!AV31+'POM Portables Lead-acid'!AV31+'POM Portables NiMH'!AV31+'POM Portables NiCd'!AV31+'POM Portables Other'!AV31</f>
        <v>390.62629840289691</v>
      </c>
      <c r="AW22" s="67">
        <f>'POM Portables Zn-based'!AW31+'POM Portables Li-Rechargeab'!AW31+'POM Portables Li-Primary'!AW31+'POM Portables Lead-acid'!AW31+'POM Portables NiMH'!AW31+'POM Portables NiCd'!AW31+'POM Portables Other'!AW31</f>
        <v>396.64343299533692</v>
      </c>
      <c r="AX22" s="67">
        <f>'POM Portables Zn-based'!AX31+'POM Portables Li-Rechargeab'!AX31+'POM Portables Li-Primary'!AX31+'POM Portables Lead-acid'!AX31+'POM Portables NiMH'!AX31+'POM Portables NiCd'!AX31+'POM Portables Other'!AX31</f>
        <v>402.76540066197344</v>
      </c>
      <c r="AY22" s="67">
        <f>'POM Portables Zn-based'!AY31+'POM Portables Li-Rechargeab'!AY31+'POM Portables Li-Primary'!AY31+'POM Portables Lead-acid'!AY31+'POM Portables NiMH'!AY31+'POM Portables NiCd'!AY31+'POM Portables Other'!AY31</f>
        <v>408.9941364202179</v>
      </c>
      <c r="AZ22" s="67">
        <f>'POM Portables Zn-based'!AZ31+'POM Portables Li-Rechargeab'!AZ31+'POM Portables Li-Primary'!AZ31+'POM Portables Lead-acid'!AZ31+'POM Portables NiMH'!AZ31+'POM Portables NiCd'!AZ31+'POM Portables Other'!AZ31</f>
        <v>415.33161297371976</v>
      </c>
    </row>
    <row r="23" spans="1:52" x14ac:dyDescent="0.35">
      <c r="A23" s="52" t="s">
        <v>20</v>
      </c>
      <c r="B23" s="23">
        <f>'[2]POM Portables Zn-based'!B32+'[2]POM Portables NiMH'!B32+'[2]POM Portables Li-Primary'!B32+'[2]POM Portables Lead-acid'!B32+'[2]POM Portables NiCd'!B32+'[2]POM Portables Li-Rechargeable'!B32+'[2]POM Portables Other'!B32</f>
        <v>5139.8651826315545</v>
      </c>
      <c r="C23" s="23">
        <f>'[2]POM Portables Zn-based'!C32+'[2]POM Portables NiMH'!C32+'[2]POM Portables Li-Primary'!C32+'[2]POM Portables Lead-acid'!C32+'[2]POM Portables NiCd'!C32+'[2]POM Portables Li-Rechargeable'!C32+'[2]POM Portables Other'!C32</f>
        <v>5326.1569281180709</v>
      </c>
      <c r="D23" s="23">
        <f>'[2]POM Portables Zn-based'!D32+'[2]POM Portables NiMH'!D32+'[2]POM Portables Li-Primary'!D32+'[2]POM Portables Lead-acid'!D32+'[2]POM Portables NiCd'!D32+'[2]POM Portables Li-Rechargeable'!D32+'[2]POM Portables Other'!D32</f>
        <v>5532.6951950296107</v>
      </c>
      <c r="E23" s="23">
        <f>'[2]POM Portables Zn-based'!E32+'[2]POM Portables NiMH'!E32+'[2]POM Portables Li-Primary'!E32+'[2]POM Portables Lead-acid'!E32+'[2]POM Portables NiCd'!E32+'[2]POM Portables Li-Rechargeable'!E32+'[2]POM Portables Other'!E32</f>
        <v>5796.4041096779501</v>
      </c>
      <c r="F23" s="23">
        <f>'[2]POM Portables Zn-based'!F32+'[2]POM Portables NiMH'!F32+'[2]POM Portables Li-Primary'!F32+'[2]POM Portables Lead-acid'!F32+'[2]POM Portables NiCd'!F32+'[2]POM Portables Li-Rechargeable'!F32+'[2]POM Portables Other'!F32</f>
        <v>6158.7495772221528</v>
      </c>
      <c r="G23" s="23">
        <f>'[2]POM Portables Zn-based'!G32+'[2]POM Portables NiMH'!G32+'[2]POM Portables Li-Primary'!G32+'[2]POM Portables Lead-acid'!G32+'[2]POM Portables NiCd'!G32+'[2]POM Portables Li-Rechargeable'!G32+'[2]POM Portables Other'!G32</f>
        <v>6267.7855838819369</v>
      </c>
      <c r="H23" s="23">
        <f>'[2]POM Portables Zn-based'!H32+'[2]POM Portables NiMH'!H32+'[2]POM Portables Li-Primary'!H32+'[2]POM Portables Lead-acid'!H32+'[2]POM Portables NiCd'!H32+'[2]POM Portables Li-Rechargeable'!H32+'[2]POM Portables Other'!H32</f>
        <v>6691.7289864922986</v>
      </c>
      <c r="I23" s="23">
        <f>'[2]POM Portables Zn-based'!I32+'[2]POM Portables NiMH'!I32+'[2]POM Portables Li-Primary'!I32+'[2]POM Portables Lead-acid'!I32+'[2]POM Portables NiCd'!I32+'[2]POM Portables Li-Rechargeable'!I32+'[2]POM Portables Other'!I32</f>
        <v>6537.847743673582</v>
      </c>
      <c r="J23" s="23">
        <f>'[2]POM Portables Zn-based'!J32+'[2]POM Portables NiMH'!J32+'[2]POM Portables Li-Primary'!J32+'[2]POM Portables Lead-acid'!J32+'[2]POM Portables NiCd'!J32+'[2]POM Portables Li-Rechargeable'!J32+'[2]POM Portables Other'!J32</f>
        <v>6886.0454318810844</v>
      </c>
      <c r="K23" s="23">
        <f>'[2]POM Portables Zn-based'!K32+'[2]POM Portables NiMH'!K32+'[2]POM Portables Li-Primary'!K32+'[2]POM Portables Lead-acid'!K32+'[2]POM Portables NiCd'!K32+'[2]POM Portables Li-Rechargeable'!K32+'[2]POM Portables Other'!K32</f>
        <v>6620.893964840142</v>
      </c>
      <c r="L23" s="23">
        <f>'[2]POM Portables Zn-based'!L32+'[2]POM Portables NiMH'!L32+'[2]POM Portables Li-Primary'!L32+'[2]POM Portables Lead-acid'!L32+'[2]POM Portables NiCd'!L32+'[2]POM Portables Li-Rechargeable'!L32+'[2]POM Portables Other'!L32</f>
        <v>7134.2683676942906</v>
      </c>
      <c r="M23" s="4">
        <v>7777</v>
      </c>
      <c r="N23" s="4">
        <v>7424</v>
      </c>
      <c r="O23" s="4">
        <v>6789</v>
      </c>
      <c r="P23" s="4">
        <v>7697</v>
      </c>
      <c r="Q23" s="4">
        <v>8300</v>
      </c>
      <c r="R23" s="4">
        <v>8780</v>
      </c>
      <c r="S23" s="4">
        <v>8890</v>
      </c>
      <c r="T23" s="4">
        <v>9580</v>
      </c>
      <c r="U23" s="4">
        <v>8760</v>
      </c>
      <c r="V23" s="4">
        <v>10890</v>
      </c>
      <c r="W23" s="4">
        <v>11871</v>
      </c>
      <c r="X23" s="67">
        <f>'POM Portables Zn-based'!X32+'POM Portables Li-Rechargeab'!X32+'POM Portables Li-Primary'!X32+'POM Portables Lead-acid'!X32+'POM Portables NiMH'!X32+'POM Portables NiCd'!X32+'POM Portables Other'!X32</f>
        <v>12344.509182772892</v>
      </c>
      <c r="Y23" s="67">
        <f>'POM Portables Zn-based'!Y32+'POM Portables Li-Rechargeab'!Y32+'POM Portables Li-Primary'!Y32+'POM Portables Lead-acid'!Y32+'POM Portables NiMH'!Y32+'POM Portables NiCd'!Y32+'POM Portables Other'!Y32</f>
        <v>12853.281222114087</v>
      </c>
      <c r="Z23" s="67">
        <f>'POM Portables Zn-based'!Z32+'POM Portables Li-Rechargeab'!Z32+'POM Portables Li-Primary'!Z32+'POM Portables Lead-acid'!Z32+'POM Portables NiMH'!Z32+'POM Portables NiCd'!Z32+'POM Portables Other'!Z32</f>
        <v>13408.886273722179</v>
      </c>
      <c r="AA23" s="67">
        <f>'POM Portables Zn-based'!AA32+'POM Portables Li-Rechargeab'!AA32+'POM Portables Li-Primary'!AA32+'POM Portables Lead-acid'!AA32+'POM Portables NiMH'!AA32+'POM Portables NiCd'!AA32+'POM Portables Other'!AA32</f>
        <v>14017.78014640744</v>
      </c>
      <c r="AB23" s="67">
        <f>'POM Portables Zn-based'!AB32+'POM Portables Li-Rechargeab'!AB32+'POM Portables Li-Primary'!AB32+'POM Portables Lead-acid'!AB32+'POM Portables NiMH'!AB32+'POM Portables NiCd'!AB32+'POM Portables Other'!AB32</f>
        <v>14503.069047134679</v>
      </c>
      <c r="AC23" s="67">
        <f>'POM Portables Zn-based'!AC32+'POM Portables Li-Rechargeab'!AC32+'POM Portables Li-Primary'!AC32+'POM Portables Lead-acid'!AC32+'POM Portables NiMH'!AC32+'POM Portables NiCd'!AC32+'POM Portables Other'!AC32</f>
        <v>15084.910200455171</v>
      </c>
      <c r="AD23" s="67">
        <f>'POM Portables Zn-based'!AD32+'POM Portables Li-Rechargeab'!AD32+'POM Portables Li-Primary'!AD32+'POM Portables Lead-acid'!AD32+'POM Portables NiMH'!AD32+'POM Portables NiCd'!AD32+'POM Portables Other'!AD32</f>
        <v>15811.925985043605</v>
      </c>
      <c r="AE23" s="67">
        <f>'POM Portables Zn-based'!AE32+'POM Portables Li-Rechargeab'!AE32+'POM Portables Li-Primary'!AE32+'POM Portables Lead-acid'!AE32+'POM Portables NiMH'!AE32+'POM Portables NiCd'!AE32+'POM Portables Other'!AE32</f>
        <v>16645.879381483242</v>
      </c>
      <c r="AF23" s="67">
        <f>'POM Portables Zn-based'!AF32+'POM Portables Li-Rechargeab'!AF32+'POM Portables Li-Primary'!AF32+'POM Portables Lead-acid'!AF32+'POM Portables NiMH'!AF32+'POM Portables NiCd'!AF32+'POM Portables Other'!AF32</f>
        <v>17539.79339967038</v>
      </c>
      <c r="AG23" s="67">
        <f>'POM Portables Zn-based'!AG32+'POM Portables Li-Rechargeab'!AG32+'POM Portables Li-Primary'!AG32+'POM Portables Lead-acid'!AG32+'POM Portables NiMH'!AG32+'POM Portables NiCd'!AG32+'POM Portables Other'!AG32</f>
        <v>18202.208700443647</v>
      </c>
      <c r="AH23" s="67">
        <f>'POM Portables Zn-based'!AH32+'POM Portables Li-Rechargeab'!AH32+'POM Portables Li-Primary'!AH32+'POM Portables Lead-acid'!AH32+'POM Portables NiMH'!AH32+'POM Portables NiCd'!AH32+'POM Portables Other'!AH32</f>
        <v>18896.557981606242</v>
      </c>
      <c r="AI23" s="67">
        <f>'POM Portables Zn-based'!AI32+'POM Portables Li-Rechargeab'!AI32+'POM Portables Li-Primary'!AI32+'POM Portables Lead-acid'!AI32+'POM Portables NiMH'!AI32+'POM Portables NiCd'!AI32+'POM Portables Other'!AI32</f>
        <v>19625.405643684495</v>
      </c>
      <c r="AJ23" s="67">
        <f>'POM Portables Zn-based'!AJ32+'POM Portables Li-Rechargeab'!AJ32+'POM Portables Li-Primary'!AJ32+'POM Portables Lead-acid'!AJ32+'POM Portables NiMH'!AJ32+'POM Portables NiCd'!AJ32+'POM Portables Other'!AJ32</f>
        <v>20390.649939686777</v>
      </c>
      <c r="AK23" s="67">
        <f>'POM Portables Zn-based'!AK32+'POM Portables Li-Rechargeab'!AK32+'POM Portables Li-Primary'!AK32+'POM Portables Lead-acid'!AK32+'POM Portables NiMH'!AK32+'POM Portables NiCd'!AK32+'POM Portables Other'!AK32</f>
        <v>21194.299525944087</v>
      </c>
      <c r="AL23" s="67">
        <f>'POM Portables Zn-based'!AL32+'POM Portables Li-Rechargeab'!AL32+'POM Portables Li-Primary'!AL32+'POM Portables Lead-acid'!AL32+'POM Portables NiMH'!AL32+'POM Portables NiCd'!AL32+'POM Portables Other'!AL32</f>
        <v>22038.479986308044</v>
      </c>
      <c r="AM23" s="67">
        <f>'POM Portables Zn-based'!AM32+'POM Portables Li-Rechargeab'!AM32+'POM Portables Li-Primary'!AM32+'POM Portables Lead-acid'!AM32+'POM Portables NiMH'!AM32+'POM Portables NiCd'!AM32+'POM Portables Other'!AM32</f>
        <v>22925.440744837062</v>
      </c>
      <c r="AN23" s="67">
        <f>'POM Portables Zn-based'!AN32+'POM Portables Li-Rechargeab'!AN32+'POM Portables Li-Primary'!AN32+'POM Portables Lead-acid'!AN32+'POM Portables NiMH'!AN32+'POM Portables NiCd'!AN32+'POM Portables Other'!AN32</f>
        <v>23857.562390161427</v>
      </c>
      <c r="AO23" s="67">
        <f>'POM Portables Zn-based'!AO32+'POM Portables Li-Rechargeab'!AO32+'POM Portables Li-Primary'!AO32+'POM Portables Lead-acid'!AO32+'POM Portables NiMH'!AO32+'POM Portables NiCd'!AO32+'POM Portables Other'!AO32</f>
        <v>24822.977289808739</v>
      </c>
      <c r="AP23" s="67">
        <f>'POM Portables Zn-based'!AP32+'POM Portables Li-Rechargeab'!AP32+'POM Portables Li-Primary'!AP32+'POM Portables Lead-acid'!AP32+'POM Portables NiMH'!AP32+'POM Portables NiCd'!AP32+'POM Portables Other'!AP32</f>
        <v>25732.524147184253</v>
      </c>
      <c r="AQ23" s="67">
        <f>'POM Portables Zn-based'!AQ32+'POM Portables Li-Rechargeab'!AQ32+'POM Portables Li-Primary'!AQ32+'POM Portables Lead-acid'!AQ32+'POM Portables NiMH'!AQ32+'POM Portables NiCd'!AQ32+'POM Portables Other'!AQ32</f>
        <v>26142.395048471622</v>
      </c>
      <c r="AR23" s="67">
        <f>'POM Portables Zn-based'!AR32+'POM Portables Li-Rechargeab'!AR32+'POM Portables Li-Primary'!AR32+'POM Portables Lead-acid'!AR32+'POM Portables NiMH'!AR32+'POM Portables NiCd'!AR32+'POM Portables Other'!AR32</f>
        <v>26557.087973141151</v>
      </c>
      <c r="AS23" s="67">
        <f>'POM Portables Zn-based'!AS32+'POM Portables Li-Rechargeab'!AS32+'POM Portables Li-Primary'!AS32+'POM Portables Lead-acid'!AS32+'POM Portables NiMH'!AS32+'POM Portables NiCd'!AS32+'POM Portables Other'!AS32</f>
        <v>26979.330347169489</v>
      </c>
      <c r="AT23" s="67">
        <f>'POM Portables Zn-based'!AT32+'POM Portables Li-Rechargeab'!AT32+'POM Portables Li-Primary'!AT32+'POM Portables Lead-acid'!AT32+'POM Portables NiMH'!AT32+'POM Portables NiCd'!AT32+'POM Portables Other'!AT32</f>
        <v>27409.269749889005</v>
      </c>
      <c r="AU23" s="67">
        <f>'POM Portables Zn-based'!AU32+'POM Portables Li-Rechargeab'!AU32+'POM Portables Li-Primary'!AU32+'POM Portables Lead-acid'!AU32+'POM Portables NiMH'!AU32+'POM Portables NiCd'!AU32+'POM Portables Other'!AU32</f>
        <v>27847.056859953092</v>
      </c>
      <c r="AV23" s="67">
        <f>'POM Portables Zn-based'!AV32+'POM Portables Li-Rechargeab'!AV32+'POM Portables Li-Primary'!AV32+'POM Portables Lead-acid'!AV32+'POM Portables NiMH'!AV32+'POM Portables NiCd'!AV32+'POM Portables Other'!AV32</f>
        <v>28275.151148419438</v>
      </c>
      <c r="AW23" s="67">
        <f>'POM Portables Zn-based'!AW32+'POM Portables Li-Rechargeab'!AW32+'POM Portables Li-Primary'!AW32+'POM Portables Lead-acid'!AW32+'POM Portables NiMH'!AW32+'POM Portables NiCd'!AW32+'POM Portables Other'!AW32</f>
        <v>28710.696299314895</v>
      </c>
      <c r="AX23" s="67">
        <f>'POM Portables Zn-based'!AX32+'POM Portables Li-Rechargeab'!AX32+'POM Portables Li-Primary'!AX32+'POM Portables Lead-acid'!AX32+'POM Portables NiMH'!AX32+'POM Portables NiCd'!AX32+'POM Portables Other'!AX32</f>
        <v>29153.829702794428</v>
      </c>
      <c r="AY23" s="67">
        <f>'POM Portables Zn-based'!AY32+'POM Portables Li-Rechargeab'!AY32+'POM Portables Li-Primary'!AY32+'POM Portables Lead-acid'!AY32+'POM Portables NiMH'!AY32+'POM Portables NiCd'!AY32+'POM Portables Other'!AY32</f>
        <v>29604.691423441494</v>
      </c>
      <c r="AZ23" s="67">
        <f>'POM Portables Zn-based'!AZ32+'POM Portables Li-Rechargeab'!AZ32+'POM Portables Li-Primary'!AZ32+'POM Portables Lead-acid'!AZ32+'POM Portables NiMH'!AZ32+'POM Portables NiCd'!AZ32+'POM Portables Other'!AZ32</f>
        <v>30063.424253725763</v>
      </c>
    </row>
    <row r="24" spans="1:52" x14ac:dyDescent="0.35">
      <c r="A24" s="52" t="s">
        <v>21</v>
      </c>
      <c r="B24" s="23">
        <f>'[2]POM Portables Zn-based'!B33+'[2]POM Portables NiMH'!B33+'[2]POM Portables Li-Primary'!B33+'[2]POM Portables Lead-acid'!B33+'[2]POM Portables NiCd'!B33+'[2]POM Portables Li-Rechargeable'!B33+'[2]POM Portables Other'!B33</f>
        <v>1818.0067310118595</v>
      </c>
      <c r="C24" s="23">
        <f>'[2]POM Portables Zn-based'!C33+'[2]POM Portables NiMH'!C33+'[2]POM Portables Li-Primary'!C33+'[2]POM Portables Lead-acid'!C33+'[2]POM Portables NiCd'!C33+'[2]POM Portables Li-Rechargeable'!C33+'[2]POM Portables Other'!C33</f>
        <v>1883.899441266379</v>
      </c>
      <c r="D24" s="23">
        <f>'[2]POM Portables Zn-based'!D33+'[2]POM Portables NiMH'!D33+'[2]POM Portables Li-Primary'!D33+'[2]POM Portables Lead-acid'!D33+'[2]POM Portables NiCd'!D33+'[2]POM Portables Li-Rechargeable'!D33+'[2]POM Portables Other'!D33</f>
        <v>1956.9534895954166</v>
      </c>
      <c r="E24" s="23">
        <f>'[2]POM Portables Zn-based'!E33+'[2]POM Portables NiMH'!E33+'[2]POM Portables Li-Primary'!E33+'[2]POM Portables Lead-acid'!E33+'[2]POM Portables NiCd'!E33+'[2]POM Portables Li-Rechargeable'!E33+'[2]POM Portables Other'!E33</f>
        <v>2050.2292010826686</v>
      </c>
      <c r="F24" s="23">
        <f>'[2]POM Portables Zn-based'!F33+'[2]POM Portables NiMH'!F33+'[2]POM Portables Li-Primary'!F33+'[2]POM Portables Lead-acid'!F33+'[2]POM Portables NiCd'!F33+'[2]POM Portables Li-Rechargeable'!F33+'[2]POM Portables Other'!F33</f>
        <v>2178.393360168594</v>
      </c>
      <c r="G24" s="23">
        <f>'[2]POM Portables Zn-based'!G33+'[2]POM Portables NiMH'!G33+'[2]POM Portables Li-Primary'!G33+'[2]POM Portables Lead-acid'!G33+'[2]POM Portables NiCd'!G33+'[2]POM Portables Li-Rechargeable'!G33+'[2]POM Portables Other'!G33</f>
        <v>2216.960168243636</v>
      </c>
      <c r="H24" s="23">
        <f>'[2]POM Portables Zn-based'!H33+'[2]POM Portables NiMH'!H33+'[2]POM Portables Li-Primary'!H33+'[2]POM Portables Lead-acid'!H33+'[2]POM Portables NiCd'!H33+'[2]POM Portables Li-Rechargeable'!H33+'[2]POM Portables Other'!H33</f>
        <v>2366.9119533834751</v>
      </c>
      <c r="I24" s="23">
        <f>'[2]POM Portables Zn-based'!I33+'[2]POM Portables NiMH'!I33+'[2]POM Portables Li-Primary'!I33+'[2]POM Portables Lead-acid'!I33+'[2]POM Portables NiCd'!I33+'[2]POM Portables Li-Rechargeable'!I33+'[2]POM Portables Other'!I33</f>
        <v>2312.4830675507801</v>
      </c>
      <c r="J24" s="23">
        <f>'[2]POM Portables Zn-based'!J33+'[2]POM Portables NiMH'!J33+'[2]POM Portables Li-Primary'!J33+'[2]POM Portables Lead-acid'!J33+'[2]POM Portables NiCd'!J33+'[2]POM Portables Li-Rechargeable'!J33+'[2]POM Portables Other'!J33</f>
        <v>2435.6430568483802</v>
      </c>
      <c r="K24" s="23">
        <f>'[2]POM Portables Zn-based'!K33+'[2]POM Portables NiMH'!K33+'[2]POM Portables Li-Primary'!K33+'[2]POM Portables Lead-acid'!K33+'[2]POM Portables NiCd'!K33+'[2]POM Portables Li-Rechargeable'!K33+'[2]POM Portables Other'!K33</f>
        <v>2341.8571043593888</v>
      </c>
      <c r="L24" s="23">
        <f>'[2]POM Portables Zn-based'!L33+'[2]POM Portables NiMH'!L33+'[2]POM Portables Li-Primary'!L33+'[2]POM Portables Lead-acid'!L33+'[2]POM Portables NiCd'!L33+'[2]POM Portables Li-Rechargeable'!L33+'[2]POM Portables Other'!L33</f>
        <v>2523.441267903575</v>
      </c>
      <c r="M24" s="4">
        <v>2750.7799999999997</v>
      </c>
      <c r="N24" s="4">
        <v>2686</v>
      </c>
      <c r="O24" s="4">
        <v>2923</v>
      </c>
      <c r="P24" s="4">
        <v>3104.7</v>
      </c>
      <c r="Q24" s="4">
        <v>1965</v>
      </c>
      <c r="R24" s="4">
        <v>2230</v>
      </c>
      <c r="S24" s="4">
        <v>3599</v>
      </c>
      <c r="T24" s="4">
        <v>3122</v>
      </c>
      <c r="U24" s="4">
        <v>4367</v>
      </c>
      <c r="V24" s="4">
        <v>3526</v>
      </c>
      <c r="W24" s="4">
        <v>3530</v>
      </c>
      <c r="X24" s="67">
        <f>'POM Portables Zn-based'!X33+'POM Portables Li-Rechargeab'!X33+'POM Portables Li-Primary'!X33+'POM Portables Lead-acid'!X33+'POM Portables NiMH'!X33+'POM Portables NiCd'!X33+'POM Portables Other'!X33</f>
        <v>3670.8042637678632</v>
      </c>
      <c r="Y24" s="67">
        <f>'POM Portables Zn-based'!Y33+'POM Portables Li-Rechargeab'!Y33+'POM Portables Li-Primary'!Y33+'POM Portables Lead-acid'!Y33+'POM Portables NiMH'!Y33+'POM Portables NiCd'!Y33+'POM Portables Other'!Y33</f>
        <v>3822.0944077215668</v>
      </c>
      <c r="Z24" s="67">
        <f>'POM Portables Zn-based'!Z33+'POM Portables Li-Rechargeab'!Z33+'POM Portables Li-Primary'!Z33+'POM Portables Lead-acid'!Z33+'POM Portables NiMH'!Z33+'POM Portables NiCd'!Z33+'POM Portables Other'!Z33</f>
        <v>3987.3109718001247</v>
      </c>
      <c r="AA24" s="67">
        <f>'POM Portables Zn-based'!AA33+'POM Portables Li-Rechargeab'!AA33+'POM Portables Li-Primary'!AA33+'POM Portables Lead-acid'!AA33+'POM Portables NiMH'!AA33+'POM Portables NiCd'!AA33+'POM Portables Other'!AA33</f>
        <v>4168.3736767600249</v>
      </c>
      <c r="AB24" s="67">
        <f>'POM Portables Zn-based'!AB33+'POM Portables Li-Rechargeab'!AB33+'POM Portables Li-Primary'!AB33+'POM Portables Lead-acid'!AB33+'POM Portables NiMH'!AB33+'POM Portables NiCd'!AB33+'POM Portables Other'!AB33</f>
        <v>4312.6807965955186</v>
      </c>
      <c r="AC24" s="67">
        <f>'POM Portables Zn-based'!AC33+'POM Portables Li-Rechargeab'!AC33+'POM Portables Li-Primary'!AC33+'POM Portables Lead-acid'!AC33+'POM Portables NiMH'!AC33+'POM Portables NiCd'!AC33+'POM Portables Other'!AC33</f>
        <v>4485.6990150456359</v>
      </c>
      <c r="AD24" s="67">
        <f>'POM Portables Zn-based'!AD33+'POM Portables Li-Rechargeab'!AD33+'POM Portables Li-Primary'!AD33+'POM Portables Lead-acid'!AD33+'POM Portables NiMH'!AD33+'POM Portables NiCd'!AD33+'POM Portables Other'!AD33</f>
        <v>4701.8868441752111</v>
      </c>
      <c r="AE24" s="67">
        <f>'POM Portables Zn-based'!AE33+'POM Portables Li-Rechargeab'!AE33+'POM Portables Li-Primary'!AE33+'POM Portables Lead-acid'!AE33+'POM Portables NiMH'!AE33+'POM Portables NiCd'!AE33+'POM Portables Other'!AE33</f>
        <v>4949.873996852486</v>
      </c>
      <c r="AF24" s="67">
        <f>'POM Portables Zn-based'!AF33+'POM Portables Li-Rechargeab'!AF33+'POM Portables Li-Primary'!AF33+'POM Portables Lead-acid'!AF33+'POM Portables NiMH'!AF33+'POM Portables NiCd'!AF33+'POM Portables Other'!AF33</f>
        <v>5215.6912392247013</v>
      </c>
      <c r="AG24" s="67">
        <f>'POM Portables Zn-based'!AG33+'POM Portables Li-Rechargeab'!AG33+'POM Portables Li-Primary'!AG33+'POM Portables Lead-acid'!AG33+'POM Portables NiMH'!AG33+'POM Portables NiCd'!AG33+'POM Portables Other'!AG33</f>
        <v>5412.6692538594953</v>
      </c>
      <c r="AH24" s="67">
        <f>'POM Portables Zn-based'!AH33+'POM Portables Li-Rechargeab'!AH33+'POM Portables Li-Primary'!AH33+'POM Portables Lead-acid'!AH33+'POM Portables NiMH'!AH33+'POM Portables NiCd'!AH33+'POM Portables Other'!AH33</f>
        <v>5619.1432629997507</v>
      </c>
      <c r="AI24" s="67">
        <f>'POM Portables Zn-based'!AI33+'POM Portables Li-Rechargeab'!AI33+'POM Portables Li-Primary'!AI33+'POM Portables Lead-acid'!AI33+'POM Portables NiMH'!AI33+'POM Portables NiCd'!AI33+'POM Portables Other'!AI33</f>
        <v>5835.8758253058932</v>
      </c>
      <c r="AJ24" s="67">
        <f>'POM Portables Zn-based'!AJ33+'POM Portables Li-Rechargeab'!AJ33+'POM Portables Li-Primary'!AJ33+'POM Portables Lead-acid'!AJ33+'POM Portables NiMH'!AJ33+'POM Portables NiCd'!AJ33+'POM Portables Other'!AJ33</f>
        <v>6063.4314115992202</v>
      </c>
      <c r="AK24" s="67">
        <f>'POM Portables Zn-based'!AK33+'POM Portables Li-Rechargeab'!AK33+'POM Portables Li-Primary'!AK33+'POM Portables Lead-acid'!AK33+'POM Portables NiMH'!AK33+'POM Portables NiCd'!AK33+'POM Portables Other'!AK33</f>
        <v>6302.4073225998327</v>
      </c>
      <c r="AL24" s="67">
        <f>'POM Portables Zn-based'!AL33+'POM Portables Li-Rechargeab'!AL33+'POM Portables Li-Primary'!AL33+'POM Portables Lead-acid'!AL33+'POM Portables NiMH'!AL33+'POM Portables NiCd'!AL33+'POM Portables Other'!AL33</f>
        <v>6553.4356289838597</v>
      </c>
      <c r="AM24" s="67">
        <f>'POM Portables Zn-based'!AM33+'POM Portables Li-Rechargeab'!AM33+'POM Portables Li-Primary'!AM33+'POM Portables Lead-acid'!AM33+'POM Portables NiMH'!AM33+'POM Portables NiCd'!AM33+'POM Portables Other'!AM33</f>
        <v>6817.1852269627534</v>
      </c>
      <c r="AN24" s="67">
        <f>'POM Portables Zn-based'!AN33+'POM Portables Li-Rechargeab'!AN33+'POM Portables Li-Primary'!AN33+'POM Portables Lead-acid'!AN33+'POM Portables NiMH'!AN33+'POM Portables NiCd'!AN33+'POM Portables Other'!AN33</f>
        <v>7094.3640162808388</v>
      </c>
      <c r="AO24" s="67">
        <f>'POM Portables Zn-based'!AO33+'POM Portables Li-Rechargeab'!AO33+'POM Portables Li-Primary'!AO33+'POM Portables Lead-acid'!AO33+'POM Portables NiMH'!AO33+'POM Portables NiCd'!AO33+'POM Portables Other'!AO33</f>
        <v>7381.442998317315</v>
      </c>
      <c r="AP24" s="67">
        <f>'POM Portables Zn-based'!AP33+'POM Portables Li-Rechargeab'!AP33+'POM Portables Li-Primary'!AP33+'POM Portables Lead-acid'!AP33+'POM Portables NiMH'!AP33+'POM Portables NiCd'!AP33+'POM Portables Other'!AP33</f>
        <v>7651.9088736888561</v>
      </c>
      <c r="AQ24" s="67">
        <f>'POM Portables Zn-based'!AQ33+'POM Portables Li-Rechargeab'!AQ33+'POM Portables Li-Primary'!AQ33+'POM Portables Lead-acid'!AQ33+'POM Portables NiMH'!AQ33+'POM Portables NiCd'!AQ33+'POM Portables Other'!AQ33</f>
        <v>7773.7894466434846</v>
      </c>
      <c r="AR24" s="67">
        <f>'POM Portables Zn-based'!AR33+'POM Portables Li-Rechargeab'!AR33+'POM Portables Li-Primary'!AR33+'POM Portables Lead-acid'!AR33+'POM Portables NiMH'!AR33+'POM Portables NiCd'!AR33+'POM Portables Other'!AR33</f>
        <v>7897.1039124916379</v>
      </c>
      <c r="AS24" s="67">
        <f>'POM Portables Zn-based'!AS33+'POM Portables Li-Rechargeab'!AS33+'POM Portables Li-Primary'!AS33+'POM Portables Lead-acid'!AS33+'POM Portables NiMH'!AS33+'POM Portables NiCd'!AS33+'POM Portables Other'!AS33</f>
        <v>8022.663307683285</v>
      </c>
      <c r="AT24" s="67">
        <f>'POM Portables Zn-based'!AT33+'POM Portables Li-Rechargeab'!AT33+'POM Portables Li-Primary'!AT33+'POM Portables Lead-acid'!AT33+'POM Portables NiMH'!AT33+'POM Portables NiCd'!AT33+'POM Portables Other'!AT33</f>
        <v>8150.5115168990105</v>
      </c>
      <c r="AU24" s="67">
        <f>'POM Portables Zn-based'!AU33+'POM Portables Li-Rechargeab'!AU33+'POM Portables Li-Primary'!AU33+'POM Portables Lead-acid'!AU33+'POM Portables NiMH'!AU33+'POM Portables NiCd'!AU33+'POM Portables Other'!AU33</f>
        <v>8280.6933464438043</v>
      </c>
      <c r="AV24" s="67">
        <f>'POM Portables Zn-based'!AV33+'POM Portables Li-Rechargeab'!AV33+'POM Portables Li-Primary'!AV33+'POM Portables Lead-acid'!AV33+'POM Portables NiMH'!AV33+'POM Portables NiCd'!AV33+'POM Portables Other'!AV33</f>
        <v>8407.9928863550304</v>
      </c>
      <c r="AW24" s="67">
        <f>'POM Portables Zn-based'!AW33+'POM Portables Li-Rechargeab'!AW33+'POM Portables Li-Primary'!AW33+'POM Portables Lead-acid'!AW33+'POM Portables NiMH'!AW33+'POM Portables NiCd'!AW33+'POM Portables Other'!AW33</f>
        <v>8537.5080394727956</v>
      </c>
      <c r="AX24" s="67">
        <f>'POM Portables Zn-based'!AX33+'POM Portables Li-Rechargeab'!AX33+'POM Portables Li-Primary'!AX33+'POM Portables Lead-acid'!AX33+'POM Portables NiMH'!AX33+'POM Portables NiCd'!AX33+'POM Portables Other'!AX33</f>
        <v>8669.2796605900367</v>
      </c>
      <c r="AY24" s="67">
        <f>'POM Portables Zn-based'!AY33+'POM Portables Li-Rechargeab'!AY33+'POM Portables Li-Primary'!AY33+'POM Portables Lead-acid'!AY33+'POM Portables NiMH'!AY33+'POM Portables NiCd'!AY33+'POM Portables Other'!AY33</f>
        <v>8803.3493997766363</v>
      </c>
      <c r="AZ24" s="67">
        <f>'POM Portables Zn-based'!AZ33+'POM Portables Li-Rechargeab'!AZ33+'POM Portables Li-Primary'!AZ33+'POM Portables Lead-acid'!AZ33+'POM Portables NiMH'!AZ33+'POM Portables NiCd'!AZ33+'POM Portables Other'!AZ33</f>
        <v>8939.7597182757927</v>
      </c>
    </row>
    <row r="25" spans="1:52" x14ac:dyDescent="0.35">
      <c r="A25" s="52" t="s">
        <v>22</v>
      </c>
      <c r="B25" s="23">
        <f>'[2]POM Portables Zn-based'!B34+'[2]POM Portables NiMH'!B34+'[2]POM Portables Li-Primary'!B34+'[2]POM Portables Lead-acid'!B34+'[2]POM Portables NiCd'!B34+'[2]POM Portables Li-Rechargeable'!B34+'[2]POM Portables Other'!B34</f>
        <v>6607.7371860550729</v>
      </c>
      <c r="C25" s="23">
        <f>'[2]POM Portables Zn-based'!C34+'[2]POM Portables NiMH'!C34+'[2]POM Portables Li-Primary'!C34+'[2]POM Portables Lead-acid'!C34+'[2]POM Portables NiCd'!C34+'[2]POM Portables Li-Rechargeable'!C34+'[2]POM Portables Other'!C34</f>
        <v>6847.2311903464679</v>
      </c>
      <c r="D25" s="23">
        <f>'[2]POM Portables Zn-based'!D34+'[2]POM Portables NiMH'!D34+'[2]POM Portables Li-Primary'!D34+'[2]POM Portables Lead-acid'!D34+'[2]POM Portables NiCd'!D34+'[2]POM Portables Li-Rechargeable'!D34+'[2]POM Portables Other'!D34</f>
        <v>7112.7538330855159</v>
      </c>
      <c r="E25" s="23">
        <f>'[2]POM Portables Zn-based'!E34+'[2]POM Portables NiMH'!E34+'[2]POM Portables Li-Primary'!E34+'[2]POM Portables Lead-acid'!E34+'[2]POM Portables NiCd'!E34+'[2]POM Portables Li-Rechargeable'!E34+'[2]POM Portables Other'!E34</f>
        <v>7451.7742430963299</v>
      </c>
      <c r="F25" s="23">
        <f>'[2]POM Portables Zn-based'!F34+'[2]POM Portables NiMH'!F34+'[2]POM Portables Li-Primary'!F34+'[2]POM Portables Lead-acid'!F34+'[2]POM Portables NiCd'!F34+'[2]POM Portables Li-Rechargeable'!F34+'[2]POM Portables Other'!F34</f>
        <v>7917.6003951481416</v>
      </c>
      <c r="G25" s="23">
        <f>'[2]POM Portables Zn-based'!G34+'[2]POM Portables NiMH'!G34+'[2]POM Portables Li-Primary'!G34+'[2]POM Portables Lead-acid'!G34+'[2]POM Portables NiCd'!G34+'[2]POM Portables Li-Rechargeable'!G34+'[2]POM Portables Other'!G34</f>
        <v>8057.7755262506917</v>
      </c>
      <c r="H25" s="23">
        <f>'[2]POM Portables Zn-based'!H34+'[2]POM Portables NiMH'!H34+'[2]POM Portables Li-Primary'!H34+'[2]POM Portables Lead-acid'!H34+'[2]POM Portables NiCd'!H34+'[2]POM Portables Li-Rechargeable'!H34+'[2]POM Portables Other'!H34</f>
        <v>8602.7911028610015</v>
      </c>
      <c r="I25" s="23">
        <f>'[2]POM Portables Zn-based'!I34+'[2]POM Portables NiMH'!I34+'[2]POM Portables Li-Primary'!I34+'[2]POM Portables Lead-acid'!I34+'[2]POM Portables NiCd'!I34+'[2]POM Portables Li-Rechargeable'!I34+'[2]POM Portables Other'!I34</f>
        <v>8404.9635773753998</v>
      </c>
      <c r="J25" s="23">
        <f>'[2]POM Portables Zn-based'!J34+'[2]POM Portables NiMH'!J34+'[2]POM Portables Li-Primary'!J34+'[2]POM Portables Lead-acid'!J34+'[2]POM Portables NiCd'!J34+'[2]POM Portables Li-Rechargeable'!J34+'[2]POM Portables Other'!J34</f>
        <v>8852.6015466049994</v>
      </c>
      <c r="K25" s="23">
        <f>'[2]POM Portables Zn-based'!K34+'[2]POM Portables NiMH'!K34+'[2]POM Portables Li-Primary'!K34+'[2]POM Portables Lead-acid'!K34+'[2]POM Portables NiCd'!K34+'[2]POM Portables Li-Rechargeable'!K34+'[2]POM Portables Other'!K34</f>
        <v>8511.7266118646967</v>
      </c>
      <c r="L25" s="23">
        <f>'[2]POM Portables Zn-based'!L34+'[2]POM Portables NiMH'!L34+'[2]POM Portables Li-Primary'!L34+'[2]POM Portables Lead-acid'!L34+'[2]POM Portables NiCd'!L34+'[2]POM Portables Li-Rechargeable'!L34+'[2]POM Portables Other'!L34</f>
        <v>9171.7134036527605</v>
      </c>
      <c r="M25" s="4">
        <v>9998</v>
      </c>
      <c r="N25" s="4">
        <v>10599</v>
      </c>
      <c r="O25" s="4">
        <v>11264</v>
      </c>
      <c r="P25" s="4">
        <v>11799</v>
      </c>
      <c r="Q25" s="4">
        <v>12304</v>
      </c>
      <c r="R25" s="4">
        <v>12813</v>
      </c>
      <c r="S25" s="4">
        <v>13426</v>
      </c>
      <c r="T25" s="4">
        <v>13338</v>
      </c>
      <c r="U25" s="4">
        <v>19400</v>
      </c>
      <c r="V25" s="4">
        <v>19557</v>
      </c>
      <c r="W25" s="4">
        <v>20846</v>
      </c>
      <c r="X25" s="67">
        <f>'POM Portables Zn-based'!X34+'POM Portables Li-Rechargeab'!X34+'POM Portables Li-Primary'!X34+'POM Portables Lead-acid'!X34+'POM Portables NiMH'!X34+'POM Portables NiCd'!X34+'POM Portables Other'!X34</f>
        <v>21677.503026205344</v>
      </c>
      <c r="Y25" s="67">
        <f>'POM Portables Zn-based'!Y34+'POM Portables Li-Rechargeab'!Y34+'POM Portables Li-Primary'!Y34+'POM Portables Lead-acid'!Y34+'POM Portables NiMH'!Y34+'POM Portables NiCd'!Y34+'POM Portables Other'!Y34</f>
        <v>22570.929185088891</v>
      </c>
      <c r="Z25" s="67">
        <f>'POM Portables Zn-based'!Z34+'POM Portables Li-Rechargeab'!Z34+'POM Portables Li-Primary'!Z34+'POM Portables Lead-acid'!Z34+'POM Portables NiMH'!Z34+'POM Portables NiCd'!Z34+'POM Portables Other'!Z34</f>
        <v>23546.596180777731</v>
      </c>
      <c r="AA25" s="67">
        <f>'POM Portables Zn-based'!AA34+'POM Portables Li-Rechargeab'!AA34+'POM Portables Li-Primary'!AA34+'POM Portables Lead-acid'!AA34+'POM Portables NiMH'!AA34+'POM Portables NiCd'!AA34+'POM Portables Other'!AA34</f>
        <v>24615.840698509768</v>
      </c>
      <c r="AB25" s="67">
        <f>'POM Portables Zn-based'!AB34+'POM Portables Li-Rechargeab'!AB34+'POM Portables Li-Primary'!AB34+'POM Portables Lead-acid'!AB34+'POM Portables NiMH'!AB34+'POM Portables NiCd'!AB34+'POM Portables Other'!AB34</f>
        <v>25468.029429413655</v>
      </c>
      <c r="AC25" s="67">
        <f>'POM Portables Zn-based'!AC34+'POM Portables Li-Rechargeab'!AC34+'POM Portables Li-Primary'!AC34+'POM Portables Lead-acid'!AC34+'POM Portables NiMH'!AC34+'POM Portables NiCd'!AC34+'POM Portables Other'!AC34</f>
        <v>26489.768177802081</v>
      </c>
      <c r="AD25" s="67">
        <f>'POM Portables Zn-based'!AD34+'POM Portables Li-Rechargeab'!AD34+'POM Portables Li-Primary'!AD34+'POM Portables Lead-acid'!AD34+'POM Portables NiMH'!AD34+'POM Portables NiCd'!AD34+'POM Portables Other'!AD34</f>
        <v>27766.439986877176</v>
      </c>
      <c r="AE25" s="67">
        <f>'POM Portables Zn-based'!AE34+'POM Portables Li-Rechargeab'!AE34+'POM Portables Li-Primary'!AE34+'POM Portables Lead-acid'!AE34+'POM Portables NiMH'!AE34+'POM Portables NiCd'!AE34+'POM Portables Other'!AE34</f>
        <v>29230.898962715833</v>
      </c>
      <c r="AF25" s="67">
        <f>'POM Portables Zn-based'!AF34+'POM Portables Li-Rechargeab'!AF34+'POM Portables Li-Primary'!AF34+'POM Portables Lead-acid'!AF34+'POM Portables NiMH'!AF34+'POM Portables NiCd'!AF34+'POM Portables Other'!AF34</f>
        <v>30800.651437075961</v>
      </c>
      <c r="AG25" s="67">
        <f>'POM Portables Zn-based'!AG34+'POM Portables Li-Rechargeab'!AG34+'POM Portables Li-Primary'!AG34+'POM Portables Lead-acid'!AG34+'POM Portables NiMH'!AG34+'POM Portables NiCd'!AG34+'POM Portables Other'!AG34</f>
        <v>31963.88194502976</v>
      </c>
      <c r="AH25" s="67">
        <f>'POM Portables Zn-based'!AH34+'POM Portables Li-Rechargeab'!AH34+'POM Portables Li-Primary'!AH34+'POM Portables Lead-acid'!AH34+'POM Portables NiMH'!AH34+'POM Portables NiCd'!AH34+'POM Portables Other'!AH34</f>
        <v>33183.189932150934</v>
      </c>
      <c r="AI25" s="67">
        <f>'POM Portables Zn-based'!AI34+'POM Portables Li-Rechargeab'!AI34+'POM Portables Li-Primary'!AI34+'POM Portables Lead-acid'!AI34+'POM Portables NiMH'!AI34+'POM Portables NiCd'!AI34+'POM Portables Other'!AI34</f>
        <v>34463.078598959393</v>
      </c>
      <c r="AJ25" s="67">
        <f>'POM Portables Zn-based'!AJ34+'POM Portables Li-Rechargeab'!AJ34+'POM Portables Li-Primary'!AJ34+'POM Portables Lead-acid'!AJ34+'POM Portables NiMH'!AJ34+'POM Portables NiCd'!AJ34+'POM Portables Other'!AJ34</f>
        <v>35806.881361528984</v>
      </c>
      <c r="AK25" s="67">
        <f>'POM Portables Zn-based'!AK34+'POM Portables Li-Rechargeab'!AK34+'POM Portables Li-Primary'!AK34+'POM Portables Lead-acid'!AK34+'POM Portables NiMH'!AK34+'POM Portables NiCd'!AK34+'POM Portables Other'!AK34</f>
        <v>37218.125509041398</v>
      </c>
      <c r="AL25" s="67">
        <f>'POM Portables Zn-based'!AL34+'POM Portables Li-Rechargeab'!AL34+'POM Portables Li-Primary'!AL34+'POM Portables Lead-acid'!AL34+'POM Portables NiMH'!AL34+'POM Portables NiCd'!AL34+'POM Portables Other'!AL34</f>
        <v>38700.543660565869</v>
      </c>
      <c r="AM25" s="67">
        <f>'POM Portables Zn-based'!AM34+'POM Portables Li-Rechargeab'!AM34+'POM Portables Li-Primary'!AM34+'POM Portables Lead-acid'!AM34+'POM Portables NiMH'!AM34+'POM Portables NiCd'!AM34+'POM Portables Other'!AM34</f>
        <v>40258.085904041232</v>
      </c>
      <c r="AN25" s="67">
        <f>'POM Portables Zn-based'!AN34+'POM Portables Li-Rechargeab'!AN34+'POM Portables Li-Primary'!AN34+'POM Portables Lead-acid'!AN34+'POM Portables NiMH'!AN34+'POM Portables NiCd'!AN34+'POM Portables Other'!AN34</f>
        <v>41894.932658184247</v>
      </c>
      <c r="AO25" s="67">
        <f>'POM Portables Zn-based'!AO34+'POM Portables Li-Rechargeab'!AO34+'POM Portables Li-Primary'!AO34+'POM Portables Lead-acid'!AO34+'POM Portables NiMH'!AO34+'POM Portables NiCd'!AO34+'POM Portables Other'!AO34</f>
        <v>43590.24383652203</v>
      </c>
      <c r="AP25" s="67">
        <f>'POM Portables Zn-based'!AP34+'POM Portables Li-Rechargeab'!AP34+'POM Portables Li-Primary'!AP34+'POM Portables Lead-acid'!AP34+'POM Portables NiMH'!AP34+'POM Portables NiCd'!AP34+'POM Portables Other'!AP34</f>
        <v>45187.448266548985</v>
      </c>
      <c r="AQ25" s="67">
        <f>'POM Portables Zn-based'!AQ34+'POM Portables Li-Rechargeab'!AQ34+'POM Portables Li-Primary'!AQ34+'POM Portables Lead-acid'!AQ34+'POM Portables NiMH'!AQ34+'POM Portables NiCd'!AQ34+'POM Portables Other'!AQ34</f>
        <v>45907.199661396648</v>
      </c>
      <c r="AR25" s="67">
        <f>'POM Portables Zn-based'!AR34+'POM Portables Li-Rechargeab'!AR34+'POM Portables Li-Primary'!AR34+'POM Portables Lead-acid'!AR34+'POM Portables NiMH'!AR34+'POM Portables NiCd'!AR34+'POM Portables Other'!AR34</f>
        <v>46635.41874215319</v>
      </c>
      <c r="AS25" s="67">
        <f>'POM Portables Zn-based'!AS34+'POM Portables Li-Rechargeab'!AS34+'POM Portables Li-Primary'!AS34+'POM Portables Lead-acid'!AS34+'POM Portables NiMH'!AS34+'POM Portables NiCd'!AS34+'POM Portables Other'!AS34</f>
        <v>47376.894989225446</v>
      </c>
      <c r="AT25" s="67">
        <f>'POM Portables Zn-based'!AT34+'POM Portables Li-Rechargeab'!AT34+'POM Portables Li-Primary'!AT34+'POM Portables Lead-acid'!AT34+'POM Portables NiMH'!AT34+'POM Portables NiCd'!AT34+'POM Portables Other'!AT34</f>
        <v>48131.887558435366</v>
      </c>
      <c r="AU25" s="67">
        <f>'POM Portables Zn-based'!AU34+'POM Portables Li-Rechargeab'!AU34+'POM Portables Li-Primary'!AU34+'POM Portables Lead-acid'!AU34+'POM Portables NiMH'!AU34+'POM Portables NiCd'!AU34+'POM Portables Other'!AU34</f>
        <v>48900.661048149472</v>
      </c>
      <c r="AV25" s="67">
        <f>'POM Portables Zn-based'!AV34+'POM Portables Li-Rechargeab'!AV34+'POM Portables Li-Primary'!AV34+'POM Portables Lead-acid'!AV34+'POM Portables NiMH'!AV34+'POM Portables NiCd'!AV34+'POM Portables Other'!AV34</f>
        <v>49652.413515285298</v>
      </c>
      <c r="AW25" s="67">
        <f>'POM Portables Zn-based'!AW34+'POM Portables Li-Rechargeab'!AW34+'POM Portables Li-Primary'!AW34+'POM Portables Lead-acid'!AW34+'POM Portables NiMH'!AW34+'POM Portables NiCd'!AW34+'POM Portables Other'!AW34</f>
        <v>50417.250025736525</v>
      </c>
      <c r="AX25" s="67">
        <f>'POM Portables Zn-based'!AX34+'POM Portables Li-Rechargeab'!AX34+'POM Portables Li-Primary'!AX34+'POM Portables Lead-acid'!AX34+'POM Portables NiMH'!AX34+'POM Portables NiCd'!AX34+'POM Portables Other'!AX34</f>
        <v>51195.411842679881</v>
      </c>
      <c r="AY25" s="67">
        <f>'POM Portables Zn-based'!AY34+'POM Portables Li-Rechargeab'!AY34+'POM Portables Li-Primary'!AY34+'POM Portables Lead-acid'!AY34+'POM Portables NiMH'!AY34+'POM Portables NiCd'!AY34+'POM Portables Other'!AY34</f>
        <v>51987.144925706474</v>
      </c>
      <c r="AZ25" s="67">
        <f>'POM Portables Zn-based'!AZ34+'POM Portables Li-Rechargeab'!AZ34+'POM Portables Li-Primary'!AZ34+'POM Portables Lead-acid'!AZ34+'POM Portables NiMH'!AZ34+'POM Portables NiCd'!AZ34+'POM Portables Other'!AZ34</f>
        <v>52792.700024696096</v>
      </c>
    </row>
    <row r="26" spans="1:52" x14ac:dyDescent="0.35">
      <c r="A26" s="52" t="s">
        <v>23</v>
      </c>
      <c r="B26" s="23">
        <f>'[2]POM Portables Zn-based'!B35+'[2]POM Portables NiMH'!B35+'[2]POM Portables Li-Primary'!B35+'[2]POM Portables Lead-acid'!B35+'[2]POM Portables NiCd'!B35+'[2]POM Portables Li-Rechargeable'!B35+'[2]POM Portables Other'!B35</f>
        <v>1123.5400296352893</v>
      </c>
      <c r="C26" s="23">
        <f>'[2]POM Portables Zn-based'!C35+'[2]POM Portables NiMH'!C35+'[2]POM Portables Li-Primary'!C35+'[2]POM Portables Lead-acid'!C35+'[2]POM Portables NiCd'!C35+'[2]POM Portables Li-Rechargeable'!C35+'[2]POM Portables Other'!C35</f>
        <v>1164.2621547898573</v>
      </c>
      <c r="D26" s="23">
        <f>'[2]POM Portables Zn-based'!D35+'[2]POM Portables NiMH'!D35+'[2]POM Portables Li-Primary'!D35+'[2]POM Portables Lead-acid'!D35+'[2]POM Portables NiCd'!D35+'[2]POM Portables Li-Rechargeable'!D35+'[2]POM Portables Other'!D35</f>
        <v>1209.4100336312642</v>
      </c>
      <c r="E26" s="23">
        <f>'[2]POM Portables Zn-based'!E35+'[2]POM Portables NiMH'!E35+'[2]POM Portables Li-Primary'!E35+'[2]POM Portables Lead-acid'!E35+'[2]POM Portables NiCd'!E35+'[2]POM Portables Li-Rechargeable'!E35+'[2]POM Portables Other'!E35</f>
        <v>1267.0550323328423</v>
      </c>
      <c r="F26" s="23">
        <f>'[2]POM Portables Zn-based'!F35+'[2]POM Portables NiMH'!F35+'[2]POM Portables Li-Primary'!F35+'[2]POM Portables Lead-acid'!F35+'[2]POM Portables NiCd'!F35+'[2]POM Portables Li-Rechargeable'!F35+'[2]POM Portables Other'!F35</f>
        <v>1346.2613194390715</v>
      </c>
      <c r="G26" s="23">
        <f>'[2]POM Portables Zn-based'!G35+'[2]POM Portables NiMH'!G35+'[2]POM Portables Li-Primary'!G35+'[2]POM Portables Lead-acid'!G35+'[2]POM Portables NiCd'!G35+'[2]POM Portables Li-Rechargeable'!G35+'[2]POM Portables Other'!G35</f>
        <v>1370.0958586343443</v>
      </c>
      <c r="H26" s="23">
        <f>'[2]POM Portables Zn-based'!H35+'[2]POM Portables NiMH'!H35+'[2]POM Portables Li-Primary'!H35+'[2]POM Portables Lead-acid'!H35+'[2]POM Portables NiCd'!H35+'[2]POM Portables Li-Rechargeable'!H35+'[2]POM Portables Other'!H35</f>
        <v>1462.7670408945494</v>
      </c>
      <c r="I26" s="23">
        <f>'[2]POM Portables Zn-based'!I35+'[2]POM Portables NiMH'!I35+'[2]POM Portables Li-Primary'!I35+'[2]POM Portables Lead-acid'!I35+'[2]POM Portables NiCd'!I35+'[2]POM Portables Li-Rechargeable'!I35+'[2]POM Portables Other'!I35</f>
        <v>1429.1296340806343</v>
      </c>
      <c r="J26" s="23">
        <f>'[2]POM Portables Zn-based'!J35+'[2]POM Portables NiMH'!J35+'[2]POM Portables Li-Primary'!J35+'[2]POM Portables Lead-acid'!J35+'[2]POM Portables NiCd'!J35+'[2]POM Portables Li-Rechargeable'!J35+'[2]POM Portables Other'!J35</f>
        <v>1505.2433115851672</v>
      </c>
      <c r="K26" s="23">
        <f>'[2]POM Portables Zn-based'!K35+'[2]POM Portables NiMH'!K35+'[2]POM Portables Li-Primary'!K35+'[2]POM Portables Lead-acid'!K35+'[2]POM Portables NiCd'!K35+'[2]POM Portables Li-Rechargeable'!K35+'[2]POM Portables Other'!K35</f>
        <v>1447.282980613121</v>
      </c>
      <c r="L26" s="23">
        <f>'[2]POM Portables Zn-based'!L35+'[2]POM Portables NiMH'!L35+'[2]POM Portables Li-Primary'!L35+'[2]POM Portables Lead-acid'!L35+'[2]POM Portables NiCd'!L35+'[2]POM Portables Li-Rechargeable'!L35+'[2]POM Portables Other'!L35</f>
        <v>1559.5031792568211</v>
      </c>
      <c r="M26" s="4">
        <v>1700</v>
      </c>
      <c r="N26" s="4">
        <v>1730.37</v>
      </c>
      <c r="O26" s="4">
        <v>1726.78</v>
      </c>
      <c r="P26" s="4">
        <v>1820</v>
      </c>
      <c r="Q26" s="4">
        <v>1547</v>
      </c>
      <c r="R26" s="4">
        <v>1778</v>
      </c>
      <c r="S26" s="4">
        <v>2241</v>
      </c>
      <c r="T26" s="4">
        <v>2456</v>
      </c>
      <c r="U26" s="4">
        <v>2586</v>
      </c>
      <c r="V26" s="4">
        <v>2432</v>
      </c>
      <c r="W26" s="4">
        <v>2870</v>
      </c>
      <c r="X26" s="67">
        <f>'POM Portables Zn-based'!X35+'POM Portables Li-Rechargeab'!X35+'POM Portables Li-Primary'!X35+'POM Portables Lead-acid'!X35+'POM Portables NiMH'!X35+'POM Portables NiCd'!X35+'POM Portables Other'!X35</f>
        <v>2984.4782541115487</v>
      </c>
      <c r="Y26" s="67">
        <f>'POM Portables Zn-based'!Y35+'POM Portables Li-Rechargeab'!Y35+'POM Portables Li-Primary'!Y35+'POM Portables Lead-acid'!Y35+'POM Portables NiMH'!Y35+'POM Portables NiCd'!Y35+'POM Portables Other'!Y35</f>
        <v>3107.4818555696597</v>
      </c>
      <c r="Z26" s="67">
        <f>'POM Portables Zn-based'!Z35+'POM Portables Li-Rechargeab'!Z35+'POM Portables Li-Primary'!Z35+'POM Portables Lead-acid'!Z35+'POM Portables NiMH'!Z35+'POM Portables NiCd'!Z35+'POM Portables Other'!Z35</f>
        <v>3241.8080705570419</v>
      </c>
      <c r="AA26" s="67">
        <f>'POM Portables Zn-based'!AA35+'POM Portables Li-Rechargeab'!AA35+'POM Portables Li-Primary'!AA35+'POM Portables Lead-acid'!AA35+'POM Portables NiMH'!AA35+'POM Portables NiCd'!AA35+'POM Portables Other'!AA35</f>
        <v>3389.0176918700486</v>
      </c>
      <c r="AB26" s="67">
        <f>'POM Portables Zn-based'!AB35+'POM Portables Li-Rechargeab'!AB35+'POM Portables Li-Primary'!AB35+'POM Portables Lead-acid'!AB35+'POM Portables NiMH'!AB35+'POM Portables NiCd'!AB35+'POM Portables Other'!AB35</f>
        <v>3506.3438771187366</v>
      </c>
      <c r="AC26" s="67">
        <f>'POM Portables Zn-based'!AC35+'POM Portables Li-Rechargeab'!AC35+'POM Portables Li-Primary'!AC35+'POM Portables Lead-acid'!AC35+'POM Portables NiMH'!AC35+'POM Portables NiCd'!AC35+'POM Portables Other'!AC35</f>
        <v>3647.0130802212402</v>
      </c>
      <c r="AD26" s="67">
        <f>'POM Portables Zn-based'!AD35+'POM Portables Li-Rechargeab'!AD35+'POM Portables Li-Primary'!AD35+'POM Portables Lead-acid'!AD35+'POM Portables NiMH'!AD35+'POM Portables NiCd'!AD35+'POM Portables Other'!AD35</f>
        <v>3822.7805220348023</v>
      </c>
      <c r="AE26" s="67">
        <f>'POM Portables Zn-based'!AE35+'POM Portables Li-Rechargeab'!AE35+'POM Portables Li-Primary'!AE35+'POM Portables Lead-acid'!AE35+'POM Portables NiMH'!AE35+'POM Portables NiCd'!AE35+'POM Portables Other'!AE35</f>
        <v>4024.4018048064113</v>
      </c>
      <c r="AF26" s="67">
        <f>'POM Portables Zn-based'!AF35+'POM Portables Li-Rechargeab'!AF35+'POM Portables Li-Primary'!AF35+'POM Portables Lead-acid'!AF35+'POM Portables NiMH'!AF35+'POM Portables NiCd'!AF35+'POM Portables Other'!AF35</f>
        <v>4240.5195061118666</v>
      </c>
      <c r="AG26" s="67">
        <f>'POM Portables Zn-based'!AG35+'POM Portables Li-Rechargeab'!AG35+'POM Portables Li-Primary'!AG35+'POM Portables Lead-acid'!AG35+'POM Portables NiMH'!AG35+'POM Portables NiCd'!AG35+'POM Portables Other'!AG35</f>
        <v>4400.6687701350565</v>
      </c>
      <c r="AH26" s="67">
        <f>'POM Portables Zn-based'!AH35+'POM Portables Li-Rechargeab'!AH35+'POM Portables Li-Primary'!AH35+'POM Portables Lead-acid'!AH35+'POM Portables NiMH'!AH35+'POM Portables NiCd'!AH35+'POM Portables Other'!AH35</f>
        <v>4568.5385736003627</v>
      </c>
      <c r="AI26" s="67">
        <f>'POM Portables Zn-based'!AI35+'POM Portables Li-Rechargeab'!AI35+'POM Portables Li-Primary'!AI35+'POM Portables Lead-acid'!AI35+'POM Portables NiMH'!AI35+'POM Portables NiCd'!AI35+'POM Portables Other'!AI35</f>
        <v>4744.7489004611652</v>
      </c>
      <c r="AJ26" s="67">
        <f>'POM Portables Zn-based'!AJ35+'POM Portables Li-Rechargeab'!AJ35+'POM Portables Li-Primary'!AJ35+'POM Portables Lead-acid'!AJ35+'POM Portables NiMH'!AJ35+'POM Portables NiCd'!AJ35+'POM Portables Other'!AJ35</f>
        <v>4929.7586830849168</v>
      </c>
      <c r="AK26" s="67">
        <f>'POM Portables Zn-based'!AK35+'POM Portables Li-Rechargeab'!AK35+'POM Portables Li-Primary'!AK35+'POM Portables Lead-acid'!AK35+'POM Portables NiMH'!AK35+'POM Portables NiCd'!AK35+'POM Portables Other'!AK35</f>
        <v>5124.0535455698346</v>
      </c>
      <c r="AL26" s="67">
        <f>'POM Portables Zn-based'!AL35+'POM Portables Li-Rechargeab'!AL35+'POM Portables Li-Primary'!AL35+'POM Portables Lead-acid'!AL35+'POM Portables NiMH'!AL35+'POM Portables NiCd'!AL35+'POM Portables Other'!AL35</f>
        <v>5328.1473810718617</v>
      </c>
      <c r="AM26" s="67">
        <f>'POM Portables Zn-based'!AM35+'POM Portables Li-Rechargeab'!AM35+'POM Portables Li-Primary'!AM35+'POM Portables Lead-acid'!AM35+'POM Portables NiMH'!AM35+'POM Portables NiCd'!AM35+'POM Portables Other'!AM35</f>
        <v>5542.584023054701</v>
      </c>
      <c r="AN26" s="67">
        <f>'POM Portables Zn-based'!AN35+'POM Portables Li-Rechargeab'!AN35+'POM Portables Li-Primary'!AN35+'POM Portables Lead-acid'!AN35+'POM Portables NiMH'!AN35+'POM Portables NiCd'!AN35+'POM Portables Other'!AN35</f>
        <v>5767.9390160696885</v>
      </c>
      <c r="AO26" s="67">
        <f>'POM Portables Zn-based'!AO35+'POM Portables Li-Rechargeab'!AO35+'POM Portables Li-Primary'!AO35+'POM Portables Lead-acid'!AO35+'POM Portables NiMH'!AO35+'POM Portables NiCd'!AO35+'POM Portables Other'!AO35</f>
        <v>6001.3431742693165</v>
      </c>
      <c r="AP26" s="67">
        <f>'POM Portables Zn-based'!AP35+'POM Portables Li-Rechargeab'!AP35+'POM Portables Li-Primary'!AP35+'POM Portables Lead-acid'!AP35+'POM Portables NiMH'!AP35+'POM Portables NiCd'!AP35+'POM Portables Other'!AP35</f>
        <v>6221.2403590614749</v>
      </c>
      <c r="AQ26" s="67">
        <f>'POM Portables Zn-based'!AQ35+'POM Portables Li-Rechargeab'!AQ35+'POM Portables Li-Primary'!AQ35+'POM Portables Lead-acid'!AQ35+'POM Portables NiMH'!AQ35+'POM Portables NiCd'!AQ35+'POM Portables Other'!AQ35</f>
        <v>6320.3330628517833</v>
      </c>
      <c r="AR26" s="67">
        <f>'POM Portables Zn-based'!AR35+'POM Portables Li-Rechargeab'!AR35+'POM Portables Li-Primary'!AR35+'POM Portables Lead-acid'!AR35+'POM Portables NiMH'!AR35+'POM Portables NiCd'!AR35+'POM Portables Other'!AR35</f>
        <v>6420.5915662467414</v>
      </c>
      <c r="AS26" s="67">
        <f>'POM Portables Zn-based'!AS35+'POM Portables Li-Rechargeab'!AS35+'POM Portables Li-Primary'!AS35+'POM Portables Lead-acid'!AS35+'POM Portables NiMH'!AS35+'POM Portables NiCd'!AS35+'POM Portables Other'!AS35</f>
        <v>6522.6752671532631</v>
      </c>
      <c r="AT26" s="67">
        <f>'POM Portables Zn-based'!AT35+'POM Portables Li-Rechargeab'!AT35+'POM Portables Li-Primary'!AT35+'POM Portables Lead-acid'!AT35+'POM Portables NiMH'!AT35+'POM Portables NiCd'!AT35+'POM Portables Other'!AT35</f>
        <v>6626.619845184181</v>
      </c>
      <c r="AU26" s="67">
        <f>'POM Portables Zn-based'!AU35+'POM Portables Li-Rechargeab'!AU35+'POM Portables Li-Primary'!AU35+'POM Portables Lead-acid'!AU35+'POM Portables NiMH'!AU35+'POM Portables NiCd'!AU35+'POM Portables Other'!AU35</f>
        <v>6732.4617292616767</v>
      </c>
      <c r="AV26" s="67">
        <f>'POM Portables Zn-based'!AV35+'POM Portables Li-Rechargeab'!AV35+'POM Portables Li-Primary'!AV35+'POM Portables Lead-acid'!AV35+'POM Portables NiMH'!AV35+'POM Portables NiCd'!AV35+'POM Portables Other'!AV35</f>
        <v>6835.9602220506922</v>
      </c>
      <c r="AW26" s="67">
        <f>'POM Portables Zn-based'!AW35+'POM Portables Li-Rechargeab'!AW35+'POM Portables Li-Primary'!AW35+'POM Portables Lead-acid'!AW35+'POM Portables NiMH'!AW35+'POM Portables NiCd'!AW35+'POM Portables Other'!AW35</f>
        <v>6941.2600774183911</v>
      </c>
      <c r="AX26" s="67">
        <f>'POM Portables Zn-based'!AX35+'POM Portables Li-Rechargeab'!AX35+'POM Portables Li-Primary'!AX35+'POM Portables Lead-acid'!AX35+'POM Portables NiMH'!AX35+'POM Portables NiCd'!AX35+'POM Portables Other'!AX35</f>
        <v>7048.3945115845318</v>
      </c>
      <c r="AY26" s="67">
        <f>'POM Portables Zn-based'!AY35+'POM Portables Li-Rechargeab'!AY35+'POM Portables Li-Primary'!AY35+'POM Portables Lead-acid'!AY35+'POM Portables NiMH'!AY35+'POM Portables NiCd'!AY35+'POM Portables Other'!AY35</f>
        <v>7157.3973873538089</v>
      </c>
      <c r="AZ26" s="67">
        <f>'POM Portables Zn-based'!AZ35+'POM Portables Li-Rechargeab'!AZ35+'POM Portables Li-Primary'!AZ35+'POM Portables Lead-acid'!AZ35+'POM Portables NiMH'!AZ35+'POM Portables NiCd'!AZ35+'POM Portables Other'!AZ35</f>
        <v>7268.3032270400909</v>
      </c>
    </row>
    <row r="27" spans="1:52" x14ac:dyDescent="0.35">
      <c r="A27" s="52" t="s">
        <v>24</v>
      </c>
      <c r="B27" s="23">
        <f>'[2]POM Portables Zn-based'!B36+'[2]POM Portables NiMH'!B36+'[2]POM Portables Li-Primary'!B36+'[2]POM Portables Lead-acid'!B36+'[2]POM Portables NiCd'!B36+'[2]POM Portables Li-Rechargeable'!B36+'[2]POM Portables Other'!B36</f>
        <v>1782.0732772405233</v>
      </c>
      <c r="C27" s="23">
        <f>'[2]POM Portables Zn-based'!C36+'[2]POM Portables NiMH'!C36+'[2]POM Portables Li-Primary'!C36+'[2]POM Portables Lead-acid'!C36+'[2]POM Portables NiCd'!C36+'[2]POM Portables Li-Rechargeable'!C36+'[2]POM Portables Other'!C36</f>
        <v>1846.6635981158347</v>
      </c>
      <c r="D27" s="23">
        <f>'[2]POM Portables Zn-based'!D36+'[2]POM Portables NiMH'!D36+'[2]POM Portables Li-Primary'!D36+'[2]POM Portables Lead-acid'!D36+'[2]POM Portables NiCd'!D36+'[2]POM Portables Li-Rechargeable'!D36+'[2]POM Portables Other'!D36</f>
        <v>1918.2737110492208</v>
      </c>
      <c r="E27" s="23">
        <f>'[2]POM Portables Zn-based'!E36+'[2]POM Portables NiMH'!E36+'[2]POM Portables Li-Primary'!E36+'[2]POM Portables Lead-acid'!E36+'[2]POM Portables NiCd'!E36+'[2]POM Portables Li-Rechargeable'!E36+'[2]POM Portables Other'!E36</f>
        <v>2009.7057998427053</v>
      </c>
      <c r="F27" s="23">
        <f>'[2]POM Portables Zn-based'!F36+'[2]POM Portables NiMH'!F36+'[2]POM Portables Li-Primary'!F36+'[2]POM Portables Lead-acid'!F36+'[2]POM Portables NiCd'!F36+'[2]POM Portables Li-Rechargeable'!F36+'[2]POM Portables Other'!F36</f>
        <v>2135.3367554992392</v>
      </c>
      <c r="G27" s="23">
        <f>'[2]POM Portables Zn-based'!G36+'[2]POM Portables NiMH'!G36+'[2]POM Portables Li-Primary'!G36+'[2]POM Portables Lead-acid'!G36+'[2]POM Portables NiCd'!G36+'[2]POM Portables Li-Rechargeable'!G36+'[2]POM Portables Other'!G36</f>
        <v>2173.1412789295482</v>
      </c>
      <c r="H27" s="23">
        <f>'[2]POM Portables Zn-based'!H36+'[2]POM Portables NiMH'!H36+'[2]POM Portables Li-Primary'!H36+'[2]POM Portables Lead-acid'!H36+'[2]POM Portables NiCd'!H36+'[2]POM Portables Li-Rechargeable'!H36+'[2]POM Portables Other'!H36</f>
        <v>2320.129221610865</v>
      </c>
      <c r="I27" s="23">
        <f>'[2]POM Portables Zn-based'!I36+'[2]POM Portables NiMH'!I36+'[2]POM Portables Li-Primary'!I36+'[2]POM Portables Lead-acid'!I36+'[2]POM Portables NiCd'!I36+'[2]POM Portables Li-Rechargeable'!I36+'[2]POM Portables Other'!I36</f>
        <v>2266.7761391949189</v>
      </c>
      <c r="J27" s="23">
        <f>'[2]POM Portables Zn-based'!J36+'[2]POM Portables NiMH'!J36+'[2]POM Portables Li-Primary'!J36+'[2]POM Portables Lead-acid'!J36+'[2]POM Portables NiCd'!J36+'[2]POM Portables Li-Rechargeable'!J36+'[2]POM Portables Other'!J36</f>
        <v>2387.5018339949174</v>
      </c>
      <c r="K27" s="23">
        <f>'[2]POM Portables Zn-based'!K36+'[2]POM Portables NiMH'!K36+'[2]POM Portables Li-Primary'!K36+'[2]POM Portables Lead-acid'!K36+'[2]POM Portables NiCd'!K36+'[2]POM Portables Li-Rechargeable'!K36+'[2]POM Portables Other'!K36</f>
        <v>2295.5695892676617</v>
      </c>
      <c r="L27" s="23">
        <f>'[2]POM Portables Zn-based'!L36+'[2]POM Portables NiMH'!L36+'[2]POM Portables Li-Primary'!L36+'[2]POM Portables Lead-acid'!L36+'[2]POM Portables NiCd'!L36+'[2]POM Portables Li-Rechargeable'!L36+'[2]POM Portables Other'!L36</f>
        <v>2473.5646868116964</v>
      </c>
      <c r="M27" s="4">
        <v>2696.41</v>
      </c>
      <c r="N27" s="4">
        <v>2739.56</v>
      </c>
      <c r="O27" s="4">
        <v>1737</v>
      </c>
      <c r="P27" s="4">
        <v>1737</v>
      </c>
      <c r="Q27" s="4">
        <v>2646</v>
      </c>
      <c r="R27" s="4">
        <v>2340</v>
      </c>
      <c r="S27" s="4">
        <v>3625</v>
      </c>
      <c r="T27" s="4">
        <v>2802</v>
      </c>
      <c r="U27" s="4">
        <v>4276</v>
      </c>
      <c r="V27" s="4">
        <v>4964</v>
      </c>
      <c r="W27" s="4">
        <v>6874</v>
      </c>
      <c r="X27" s="67">
        <f>'POM Portables Zn-based'!X36+'POM Portables Li-Rechargeab'!X36+'POM Portables Li-Primary'!X36+'POM Portables Lead-acid'!X36+'POM Portables NiMH'!X36+'POM Portables NiCd'!X36+'POM Portables Other'!X36</f>
        <v>7148.1893793598565</v>
      </c>
      <c r="Y27" s="67">
        <f>'POM Portables Zn-based'!Y36+'POM Portables Li-Rechargeab'!Y36+'POM Portables Li-Primary'!Y36+'POM Portables Lead-acid'!Y36+'POM Portables NiMH'!Y36+'POM Portables NiCd'!Y36+'POM Portables Other'!Y36</f>
        <v>7442.7980052912335</v>
      </c>
      <c r="Z27" s="67">
        <f>'POM Portables Zn-based'!Z36+'POM Portables Li-Rechargeab'!Z36+'POM Portables Li-Primary'!Z36+'POM Portables Lead-acid'!Z36+'POM Portables NiMH'!Z36+'POM Portables NiCd'!Z36+'POM Portables Other'!Z36</f>
        <v>7764.5256714317447</v>
      </c>
      <c r="AA27" s="67">
        <f>'POM Portables Zn-based'!AA36+'POM Portables Li-Rechargeab'!AA36+'POM Portables Li-Primary'!AA36+'POM Portables Lead-acid'!AA36+'POM Portables NiMH'!AA36+'POM Portables NiCd'!AA36+'POM Portables Other'!AA36</f>
        <v>8117.1106668692382</v>
      </c>
      <c r="AB27" s="67">
        <f>'POM Portables Zn-based'!AB36+'POM Portables Li-Rechargeab'!AB36+'POM Portables Li-Primary'!AB36+'POM Portables Lead-acid'!AB36+'POM Portables NiMH'!AB36+'POM Portables NiCd'!AB36+'POM Portables Other'!AB36</f>
        <v>8398.1211886112178</v>
      </c>
      <c r="AC27" s="67">
        <f>'POM Portables Zn-based'!AC36+'POM Portables Li-Rechargeab'!AC36+'POM Portables Li-Primary'!AC36+'POM Portables Lead-acid'!AC36+'POM Portables NiMH'!AC36+'POM Portables NiCd'!AC36+'POM Portables Other'!AC36</f>
        <v>8735.0410848225783</v>
      </c>
      <c r="AD27" s="67">
        <f>'POM Portables Zn-based'!AD36+'POM Portables Li-Rechargeab'!AD36+'POM Portables Li-Primary'!AD36+'POM Portables Lead-acid'!AD36+'POM Portables NiMH'!AD36+'POM Portables NiCd'!AD36+'POM Portables Other'!AD36</f>
        <v>9156.0255430199413</v>
      </c>
      <c r="AE27" s="67">
        <f>'POM Portables Zn-based'!AE36+'POM Portables Li-Rechargeab'!AE36+'POM Portables Li-Primary'!AE36+'POM Portables Lead-acid'!AE36+'POM Portables NiMH'!AE36+'POM Portables NiCd'!AE36+'POM Portables Other'!AE36</f>
        <v>9638.9331032192586</v>
      </c>
      <c r="AF27" s="67">
        <f>'POM Portables Zn-based'!AF36+'POM Portables Li-Rechargeab'!AF36+'POM Portables Li-Primary'!AF36+'POM Portables Lead-acid'!AF36+'POM Portables NiMH'!AF36+'POM Portables NiCd'!AF36+'POM Portables Other'!AF36</f>
        <v>10156.561353663057</v>
      </c>
      <c r="AG27" s="67">
        <f>'POM Portables Zn-based'!AG36+'POM Portables Li-Rechargeab'!AG36+'POM Portables Li-Primary'!AG36+'POM Portables Lead-acid'!AG36+'POM Portables NiMH'!AG36+'POM Portables NiCd'!AG36+'POM Portables Other'!AG36</f>
        <v>10540.13837139665</v>
      </c>
      <c r="AH27" s="67">
        <f>'POM Portables Zn-based'!AH36+'POM Portables Li-Rechargeab'!AH36+'POM Portables Li-Primary'!AH36+'POM Portables Lead-acid'!AH36+'POM Portables NiMH'!AH36+'POM Portables NiCd'!AH36+'POM Portables Other'!AH36</f>
        <v>10942.20702262331</v>
      </c>
      <c r="AI27" s="67">
        <f>'POM Portables Zn-based'!AI36+'POM Portables Li-Rechargeab'!AI36+'POM Portables Li-Primary'!AI36+'POM Portables Lead-acid'!AI36+'POM Portables NiMH'!AI36+'POM Portables NiCd'!AI36+'POM Portables Other'!AI36</f>
        <v>11364.252244519184</v>
      </c>
      <c r="AJ27" s="67">
        <f>'POM Portables Zn-based'!AJ36+'POM Portables Li-Rechargeab'!AJ36+'POM Portables Li-Primary'!AJ36+'POM Portables Lead-acid'!AJ36+'POM Portables NiMH'!AJ36+'POM Portables NiCd'!AJ36+'POM Portables Other'!AJ36</f>
        <v>11807.373236071682</v>
      </c>
      <c r="AK27" s="67">
        <f>'POM Portables Zn-based'!AK36+'POM Portables Li-Rechargeab'!AK36+'POM Portables Li-Primary'!AK36+'POM Portables Lead-acid'!AK36+'POM Portables NiMH'!AK36+'POM Portables NiCd'!AK36+'POM Portables Other'!AK36</f>
        <v>12272.733126218485</v>
      </c>
      <c r="AL27" s="67">
        <f>'POM Portables Zn-based'!AL36+'POM Portables Li-Rechargeab'!AL36+'POM Portables Li-Primary'!AL36+'POM Portables Lead-acid'!AL36+'POM Portables NiMH'!AL36+'POM Portables NiCd'!AL36+'POM Portables Other'!AL36</f>
        <v>12761.562751737973</v>
      </c>
      <c r="AM27" s="67">
        <f>'POM Portables Zn-based'!AM36+'POM Portables Li-Rechargeab'!AM36+'POM Portables Li-Primary'!AM36+'POM Portables Lead-acid'!AM36+'POM Portables NiMH'!AM36+'POM Portables NiCd'!AM36+'POM Portables Other'!AM36</f>
        <v>13275.164660096871</v>
      </c>
      <c r="AN27" s="67">
        <f>'POM Portables Zn-based'!AN36+'POM Portables Li-Rechargeab'!AN36+'POM Portables Li-Primary'!AN36+'POM Portables Lead-acid'!AN36+'POM Portables NiMH'!AN36+'POM Portables NiCd'!AN36+'POM Portables Other'!AN36</f>
        <v>13814.917350683991</v>
      </c>
      <c r="AO27" s="67">
        <f>'POM Portables Zn-based'!AO36+'POM Portables Li-Rechargeab'!AO36+'POM Portables Li-Primary'!AO36+'POM Portables Lead-acid'!AO36+'POM Portables NiMH'!AO36+'POM Portables NiCd'!AO36+'POM Portables Other'!AO36</f>
        <v>14373.948773493834</v>
      </c>
      <c r="AP27" s="67">
        <f>'POM Portables Zn-based'!AP36+'POM Portables Li-Rechargeab'!AP36+'POM Portables Li-Primary'!AP36+'POM Portables Lead-acid'!AP36+'POM Portables NiMH'!AP36+'POM Portables NiCd'!AP36+'POM Portables Other'!AP36</f>
        <v>14900.629347800907</v>
      </c>
      <c r="AQ27" s="67">
        <f>'POM Portables Zn-based'!AQ36+'POM Portables Li-Rechargeab'!AQ36+'POM Portables Li-Primary'!AQ36+'POM Portables Lead-acid'!AQ36+'POM Portables NiMH'!AQ36+'POM Portables NiCd'!AQ36+'POM Portables Other'!AQ36</f>
        <v>15137.968457854764</v>
      </c>
      <c r="AR27" s="67">
        <f>'POM Portables Zn-based'!AR36+'POM Portables Li-Rechargeab'!AR36+'POM Portables Li-Primary'!AR36+'POM Portables Lead-acid'!AR36+'POM Portables NiMH'!AR36+'POM Portables NiCd'!AR36+'POM Portables Other'!AR36</f>
        <v>15378.099800132446</v>
      </c>
      <c r="AS27" s="67">
        <f>'POM Portables Zn-based'!AS36+'POM Portables Li-Rechargeab'!AS36+'POM Portables Li-Primary'!AS36+'POM Portables Lead-acid'!AS36+'POM Portables NiMH'!AS36+'POM Portables NiCd'!AS36+'POM Portables Other'!AS36</f>
        <v>15622.602713035385</v>
      </c>
      <c r="AT27" s="67">
        <f>'POM Portables Zn-based'!AT36+'POM Portables Li-Rechargeab'!AT36+'POM Portables Li-Primary'!AT36+'POM Portables Lead-acid'!AT36+'POM Portables NiMH'!AT36+'POM Portables NiCd'!AT36+'POM Portables Other'!AT36</f>
        <v>15871.562653587485</v>
      </c>
      <c r="AU27" s="67">
        <f>'POM Portables Zn-based'!AU36+'POM Portables Li-Rechargeab'!AU36+'POM Portables Li-Primary'!AU36+'POM Portables Lead-acid'!AU36+'POM Portables NiMH'!AU36+'POM Portables NiCd'!AU36+'POM Portables Other'!AU36</f>
        <v>16125.066873499924</v>
      </c>
      <c r="AV27" s="67">
        <f>'POM Portables Zn-based'!AV36+'POM Portables Li-Rechargeab'!AV36+'POM Portables Li-Primary'!AV36+'POM Portables Lead-acid'!AV36+'POM Portables NiMH'!AV36+'POM Portables NiCd'!AV36+'POM Portables Other'!AV36</f>
        <v>16372.958385497031</v>
      </c>
      <c r="AW27" s="67">
        <f>'POM Portables Zn-based'!AW36+'POM Portables Li-Rechargeab'!AW36+'POM Portables Li-Primary'!AW36+'POM Portables Lead-acid'!AW36+'POM Portables NiMH'!AW36+'POM Portables NiCd'!AW36+'POM Portables Other'!AW36</f>
        <v>16625.164380548445</v>
      </c>
      <c r="AX27" s="67">
        <f>'POM Portables Zn-based'!AX36+'POM Portables Li-Rechargeab'!AX36+'POM Portables Li-Primary'!AX36+'POM Portables Lead-acid'!AX36+'POM Portables NiMH'!AX36+'POM Portables NiCd'!AX36+'POM Portables Other'!AX36</f>
        <v>16881.76441555125</v>
      </c>
      <c r="AY27" s="67">
        <f>'POM Portables Zn-based'!AY36+'POM Portables Li-Rechargeab'!AY36+'POM Portables Li-Primary'!AY36+'POM Portables Lead-acid'!AY36+'POM Portables NiMH'!AY36+'POM Portables NiCd'!AY36+'POM Portables Other'!AY36</f>
        <v>17142.839596052305</v>
      </c>
      <c r="AZ27" s="67">
        <f>'POM Portables Zn-based'!AZ36+'POM Portables Li-Rechargeab'!AZ36+'POM Portables Li-Primary'!AZ36+'POM Portables Lead-acid'!AZ36+'POM Portables NiMH'!AZ36+'POM Portables NiCd'!AZ36+'POM Portables Other'!AZ36</f>
        <v>17408.472607203352</v>
      </c>
    </row>
    <row r="28" spans="1:52" x14ac:dyDescent="0.35">
      <c r="A28" s="52" t="s">
        <v>25</v>
      </c>
      <c r="B28" s="23">
        <f>'[2]POM Portables Zn-based'!B37+'[2]POM Portables NiMH'!B37+'[2]POM Portables Li-Primary'!B37+'[2]POM Portables Lead-acid'!B37+'[2]POM Portables NiCd'!B37+'[2]POM Portables Li-Rechargeable'!B37+'[2]POM Portables Other'!B37</f>
        <v>647.68778178975504</v>
      </c>
      <c r="C28" s="23">
        <f>'[2]POM Portables Zn-based'!C37+'[2]POM Portables NiMH'!C37+'[2]POM Portables Li-Primary'!C37+'[2]POM Portables Lead-acid'!C37+'[2]POM Portables NiCd'!C37+'[2]POM Portables Li-Rechargeable'!C37+'[2]POM Portables Other'!C37</f>
        <v>671.16288923180014</v>
      </c>
      <c r="D28" s="23">
        <f>'[2]POM Portables Zn-based'!D37+'[2]POM Portables NiMH'!D37+'[2]POM Portables Li-Primary'!D37+'[2]POM Portables Lead-acid'!D37+'[2]POM Portables NiCd'!D37+'[2]POM Portables Li-Rechargeable'!D37+'[2]POM Portables Other'!D37</f>
        <v>697.1893135050816</v>
      </c>
      <c r="E28" s="23">
        <f>'[2]POM Portables Zn-based'!E37+'[2]POM Portables NiMH'!E37+'[2]POM Portables Li-Primary'!E37+'[2]POM Portables Lead-acid'!E37+'[2]POM Portables NiCd'!E37+'[2]POM Portables Li-Rechargeable'!E37+'[2]POM Portables Other'!E37</f>
        <v>730.41995981540322</v>
      </c>
      <c r="F28" s="23">
        <f>'[2]POM Portables Zn-based'!F37+'[2]POM Portables NiMH'!F37+'[2]POM Portables Li-Primary'!F37+'[2]POM Portables Lead-acid'!F37+'[2]POM Portables NiCd'!F37+'[2]POM Portables Li-Rechargeable'!F37+'[2]POM Portables Other'!F37</f>
        <v>776.08005473546496</v>
      </c>
      <c r="G28" s="23">
        <f>'[2]POM Portables Zn-based'!G37+'[2]POM Portables NiMH'!G37+'[2]POM Portables Li-Primary'!G37+'[2]POM Portables Lead-acid'!G37+'[2]POM Portables NiCd'!G37+'[2]POM Portables Li-Rechargeable'!G37+'[2]POM Portables Other'!G37</f>
        <v>789.81996556568083</v>
      </c>
      <c r="H28" s="23">
        <f>'[2]POM Portables Zn-based'!H37+'[2]POM Portables NiMH'!H37+'[2]POM Portables Li-Primary'!H37+'[2]POM Portables Lead-acid'!H37+'[2]POM Portables NiCd'!H37+'[2]POM Portables Li-Rechargeable'!H37+'[2]POM Portables Other'!H37</f>
        <v>843.24217651568119</v>
      </c>
      <c r="I28" s="23">
        <f>'[2]POM Portables Zn-based'!I37+'[2]POM Portables NiMH'!I37+'[2]POM Portables Li-Primary'!I37+'[2]POM Portables Lead-acid'!I37+'[2]POM Portables NiCd'!I37+'[2]POM Portables Li-Rechargeable'!I37+'[2]POM Portables Other'!I37</f>
        <v>823.85120082295373</v>
      </c>
      <c r="J28" s="23">
        <f>'[2]POM Portables Zn-based'!J37+'[2]POM Portables NiMH'!J37+'[2]POM Portables Li-Primary'!J37+'[2]POM Portables Lead-acid'!J37+'[2]POM Portables NiCd'!J37+'[2]POM Portables Li-Rechargeable'!J37+'[2]POM Portables Other'!J37</f>
        <v>867.72849726674337</v>
      </c>
      <c r="K28" s="23">
        <f>'[2]POM Portables Zn-based'!K37+'[2]POM Portables NiMH'!K37+'[2]POM Portables Li-Primary'!K37+'[2]POM Portables Lead-acid'!K37+'[2]POM Portables NiCd'!K37+'[2]POM Portables Li-Rechargeable'!K37+'[2]POM Portables Other'!K37</f>
        <v>834.31607117697558</v>
      </c>
      <c r="L28" s="23">
        <f>'[2]POM Portables Zn-based'!L37+'[2]POM Portables NiMH'!L37+'[2]POM Portables Li-Primary'!L37+'[2]POM Portables Lead-acid'!L37+'[2]POM Portables NiCd'!L37+'[2]POM Portables Li-Rechargeable'!L37+'[2]POM Portables Other'!L37</f>
        <v>899.00771510099082</v>
      </c>
      <c r="M28" s="4">
        <v>980</v>
      </c>
      <c r="N28" s="4">
        <v>1000</v>
      </c>
      <c r="O28" s="4">
        <v>950</v>
      </c>
      <c r="P28" s="4">
        <v>842</v>
      </c>
      <c r="Q28" s="4">
        <v>939</v>
      </c>
      <c r="R28" s="4">
        <v>1236</v>
      </c>
      <c r="S28" s="4">
        <v>1460</v>
      </c>
      <c r="T28" s="4">
        <v>1534</v>
      </c>
      <c r="U28" s="4">
        <v>1748</v>
      </c>
      <c r="V28" s="4">
        <v>2030</v>
      </c>
      <c r="W28" s="4">
        <v>2270</v>
      </c>
      <c r="X28" s="67">
        <f>'POM Portables Zn-based'!X37+'POM Portables Li-Rechargeab'!X37+'POM Portables Li-Primary'!X37+'POM Portables Lead-acid'!X37+'POM Portables NiMH'!X37+'POM Portables NiCd'!X37+'POM Portables Other'!X37</f>
        <v>2360.5455180603544</v>
      </c>
      <c r="Y28" s="67">
        <f>'POM Portables Zn-based'!Y37+'POM Portables Li-Rechargeab'!Y37+'POM Portables Li-Primary'!Y37+'POM Portables Lead-acid'!Y37+'POM Portables NiMH'!Y37+'POM Portables NiCd'!Y37+'POM Portables Other'!Y37</f>
        <v>2457.8340808861071</v>
      </c>
      <c r="Z28" s="67">
        <f>'POM Portables Zn-based'!Z37+'POM Portables Li-Rechargeab'!Z37+'POM Portables Li-Primary'!Z37+'POM Portables Lead-acid'!Z37+'POM Portables NiMH'!Z37+'POM Portables NiCd'!Z37+'POM Portables Other'!Z37</f>
        <v>2564.0781603360579</v>
      </c>
      <c r="AA28" s="67">
        <f>'POM Portables Zn-based'!AA37+'POM Portables Li-Rechargeab'!AA37+'POM Portables Li-Primary'!AA37+'POM Portables Lead-acid'!AA37+'POM Portables NiMH'!AA37+'POM Portables NiCd'!AA37+'POM Portables Other'!AA37</f>
        <v>2680.512251060979</v>
      </c>
      <c r="AB28" s="67">
        <f>'POM Portables Zn-based'!AB37+'POM Portables Li-Rechargeab'!AB37+'POM Portables Li-Primary'!AB37+'POM Portables Lead-acid'!AB37+'POM Portables NiMH'!AB37+'POM Portables NiCd'!AB37+'POM Portables Other'!AB37</f>
        <v>2773.3103139580253</v>
      </c>
      <c r="AC28" s="67">
        <f>'POM Portables Zn-based'!AC37+'POM Portables Li-Rechargeab'!AC37+'POM Portables Li-Primary'!AC37+'POM Portables Lead-acid'!AC37+'POM Portables NiMH'!AC37+'POM Portables NiCd'!AC37+'POM Portables Other'!AC37</f>
        <v>2884.5713212899705</v>
      </c>
      <c r="AD28" s="67">
        <f>'POM Portables Zn-based'!AD37+'POM Portables Li-Rechargeab'!AD37+'POM Portables Li-Primary'!AD37+'POM Portables Lead-acid'!AD37+'POM Portables NiMH'!AD37+'POM Portables NiCd'!AD37+'POM Portables Other'!AD37</f>
        <v>3023.5929564526141</v>
      </c>
      <c r="AE28" s="67">
        <f>'POM Portables Zn-based'!AE37+'POM Portables Li-Rechargeab'!AE37+'POM Portables Li-Primary'!AE37+'POM Portables Lead-acid'!AE37+'POM Portables NiMH'!AE37+'POM Portables NiCd'!AE37+'POM Portables Other'!AE37</f>
        <v>3183.0634484008906</v>
      </c>
      <c r="AF28" s="67">
        <f>'POM Portables Zn-based'!AF37+'POM Portables Li-Rechargeab'!AF37+'POM Portables Li-Primary'!AF37+'POM Portables Lead-acid'!AF37+'POM Portables NiMH'!AF37+'POM Portables NiCd'!AF37+'POM Portables Other'!AF37</f>
        <v>3353.9997487365645</v>
      </c>
      <c r="AG28" s="67">
        <f>'POM Portables Zn-based'!AG37+'POM Portables Li-Rechargeab'!AG37+'POM Portables Li-Primary'!AG37+'POM Portables Lead-acid'!AG37+'POM Portables NiMH'!AG37+'POM Portables NiCd'!AG37+'POM Portables Other'!AG37</f>
        <v>3480.668330385568</v>
      </c>
      <c r="AH28" s="67">
        <f>'POM Portables Zn-based'!AH37+'POM Portables Li-Rechargeab'!AH37+'POM Portables Li-Primary'!AH37+'POM Portables Lead-acid'!AH37+'POM Portables NiMH'!AH37+'POM Portables NiCd'!AH37+'POM Portables Other'!AH37</f>
        <v>3613.4434014191033</v>
      </c>
      <c r="AI28" s="67">
        <f>'POM Portables Zn-based'!AI37+'POM Portables Li-Rechargeab'!AI37+'POM Portables Li-Primary'!AI37+'POM Portables Lead-acid'!AI37+'POM Portables NiMH'!AI37+'POM Portables NiCd'!AI37+'POM Portables Other'!AI37</f>
        <v>3752.8153324205045</v>
      </c>
      <c r="AJ28" s="67">
        <f>'POM Portables Zn-based'!AJ37+'POM Portables Li-Rechargeab'!AJ37+'POM Portables Li-Primary'!AJ37+'POM Portables Lead-acid'!AJ37+'POM Portables NiMH'!AJ37+'POM Portables NiCd'!AJ37+'POM Portables Other'!AJ37</f>
        <v>3899.1471117082801</v>
      </c>
      <c r="AK28" s="67">
        <f>'POM Portables Zn-based'!AK37+'POM Portables Li-Rechargeab'!AK37+'POM Portables Li-Primary'!AK37+'POM Portables Lead-acid'!AK37+'POM Portables NiMH'!AK37+'POM Portables NiCd'!AK37+'POM Portables Other'!AK37</f>
        <v>4052.8228391789289</v>
      </c>
      <c r="AL28" s="67">
        <f>'POM Portables Zn-based'!AL37+'POM Portables Li-Rechargeab'!AL37+'POM Portables Li-Primary'!AL37+'POM Portables Lead-acid'!AL37+'POM Portables NiMH'!AL37+'POM Portables NiCd'!AL37+'POM Portables Other'!AL37</f>
        <v>4214.2489738791392</v>
      </c>
      <c r="AM28" s="67">
        <f>'POM Portables Zn-based'!AM37+'POM Portables Li-Rechargeab'!AM37+'POM Portables Li-Primary'!AM37+'POM Portables Lead-acid'!AM37+'POM Portables NiMH'!AM37+'POM Portables NiCd'!AM37+'POM Portables Other'!AM37</f>
        <v>4383.8556558655655</v>
      </c>
      <c r="AN28" s="67">
        <f>'POM Portables Zn-based'!AN37+'POM Portables Li-Rechargeab'!AN37+'POM Portables Li-Primary'!AN37+'POM Portables Lead-acid'!AN37+'POM Portables NiMH'!AN37+'POM Portables NiCd'!AN37+'POM Portables Other'!AN37</f>
        <v>4562.0981067868288</v>
      </c>
      <c r="AO28" s="67">
        <f>'POM Portables Zn-based'!AO37+'POM Portables Li-Rechargeab'!AO37+'POM Portables Li-Primary'!AO37+'POM Portables Lead-acid'!AO37+'POM Portables NiMH'!AO37+'POM Portables NiCd'!AO37+'POM Portables Other'!AO37</f>
        <v>4746.7069705893218</v>
      </c>
      <c r="AP28" s="67">
        <f>'POM Portables Zn-based'!AP37+'POM Portables Li-Rechargeab'!AP37+'POM Portables Li-Primary'!AP37+'POM Portables Lead-acid'!AP37+'POM Portables NiMH'!AP37+'POM Portables NiCd'!AP37+'POM Portables Other'!AP37</f>
        <v>4920.6326184911341</v>
      </c>
      <c r="AQ28" s="67">
        <f>'POM Portables Zn-based'!AQ37+'POM Portables Li-Rechargeab'!AQ37+'POM Portables Li-Primary'!AQ37+'POM Portables Lead-acid'!AQ37+'POM Portables NiMH'!AQ37+'POM Portables NiCd'!AQ37+'POM Portables Other'!AQ37</f>
        <v>4999.0090775866038</v>
      </c>
      <c r="AR28" s="67">
        <f>'POM Portables Zn-based'!AR37+'POM Portables Li-Rechargeab'!AR37+'POM Portables Li-Primary'!AR37+'POM Portables Lead-acid'!AR37+'POM Portables NiMH'!AR37+'POM Portables NiCd'!AR37+'POM Portables Other'!AR37</f>
        <v>5078.3076151150208</v>
      </c>
      <c r="AS28" s="67">
        <f>'POM Portables Zn-based'!AS37+'POM Portables Li-Rechargeab'!AS37+'POM Portables Li-Primary'!AS37+'POM Portables Lead-acid'!AS37+'POM Portables NiMH'!AS37+'POM Portables NiCd'!AS37+'POM Portables Other'!AS37</f>
        <v>5159.0497757623398</v>
      </c>
      <c r="AT28" s="67">
        <f>'POM Portables Zn-based'!AT37+'POM Portables Li-Rechargeab'!AT37+'POM Portables Li-Primary'!AT37+'POM Portables Lead-acid'!AT37+'POM Portables NiMH'!AT37+'POM Portables NiCd'!AT37+'POM Portables Other'!AT37</f>
        <v>5241.2637799888844</v>
      </c>
      <c r="AU28" s="67">
        <f>'POM Portables Zn-based'!AU37+'POM Portables Li-Rechargeab'!AU37+'POM Portables Li-Primary'!AU37+'POM Portables Lead-acid'!AU37+'POM Portables NiMH'!AU37+'POM Portables NiCd'!AU37+'POM Portables Other'!AU37</f>
        <v>5324.9784409142894</v>
      </c>
      <c r="AV28" s="67">
        <f>'POM Portables Zn-based'!AV37+'POM Portables Li-Rechargeab'!AV37+'POM Portables Li-Primary'!AV37+'POM Portables Lead-acid'!AV37+'POM Portables NiMH'!AV37+'POM Portables NiCd'!AV37+'POM Portables Other'!AV37</f>
        <v>5406.8396181376565</v>
      </c>
      <c r="AW28" s="67">
        <f>'POM Portables Zn-based'!AW37+'POM Portables Li-Rechargeab'!AW37+'POM Portables Li-Primary'!AW37+'POM Portables Lead-acid'!AW37+'POM Portables NiMH'!AW37+'POM Portables NiCd'!AW37+'POM Portables Other'!AW37</f>
        <v>5490.1255664598439</v>
      </c>
      <c r="AX28" s="67">
        <f>'POM Portables Zn-based'!AX37+'POM Portables Li-Rechargeab'!AX37+'POM Portables Li-Primary'!AX37+'POM Portables Lead-acid'!AX37+'POM Portables NiMH'!AX37+'POM Portables NiCd'!AX37+'POM Portables Other'!AX37</f>
        <v>5574.8625579431682</v>
      </c>
      <c r="AY28" s="67">
        <f>'POM Portables Zn-based'!AY37+'POM Portables Li-Rechargeab'!AY37+'POM Portables Li-Primary'!AY37+'POM Portables Lead-acid'!AY37+'POM Portables NiMH'!AY37+'POM Portables NiCd'!AY37+'POM Portables Other'!AY37</f>
        <v>5661.0773760603315</v>
      </c>
      <c r="AZ28" s="67">
        <f>'POM Portables Zn-based'!AZ37+'POM Portables Li-Rechargeab'!AZ37+'POM Portables Li-Primary'!AZ37+'POM Portables Lead-acid'!AZ37+'POM Portables NiMH'!AZ37+'POM Portables NiCd'!AZ37+'POM Portables Other'!AZ37</f>
        <v>5748.7973259167293</v>
      </c>
    </row>
    <row r="29" spans="1:52" x14ac:dyDescent="0.35">
      <c r="A29" s="52" t="s">
        <v>26</v>
      </c>
      <c r="B29" s="23">
        <f>'[2]POM Portables Zn-based'!B38+'[2]POM Portables NiMH'!B38+'[2]POM Portables Li-Primary'!B38+'[2]POM Portables Lead-acid'!B38+'[2]POM Portables NiCd'!B38+'[2]POM Portables Li-Rechargeable'!B38+'[2]POM Portables Other'!B38</f>
        <v>442.80695285626098</v>
      </c>
      <c r="C29" s="23">
        <f>'[2]POM Portables Zn-based'!C38+'[2]POM Portables NiMH'!C38+'[2]POM Portables Li-Primary'!C38+'[2]POM Portables Lead-acid'!C38+'[2]POM Portables NiCd'!C38+'[2]POM Portables Li-Rechargeable'!C38+'[2]POM Portables Other'!C38</f>
        <v>458.8562610054143</v>
      </c>
      <c r="D29" s="23">
        <f>'[2]POM Portables Zn-based'!D38+'[2]POM Portables NiMH'!D38+'[2]POM Portables Li-Primary'!D38+'[2]POM Portables Lead-acid'!D38+'[2]POM Portables NiCd'!D38+'[2]POM Portables Li-Rechargeable'!D38+'[2]POM Portables Other'!D38</f>
        <v>476.64983678408635</v>
      </c>
      <c r="E29" s="23">
        <f>'[2]POM Portables Zn-based'!E38+'[2]POM Portables NiMH'!E38+'[2]POM Portables Li-Primary'!E38+'[2]POM Portables Lead-acid'!E38+'[2]POM Portables NiCd'!E38+'[2]POM Portables Li-Rechargeable'!E38+'[2]POM Portables Other'!E38</f>
        <v>499.36874803706144</v>
      </c>
      <c r="F29" s="23">
        <f>'[2]POM Portables Zn-based'!F38+'[2]POM Portables NiMH'!F38+'[2]POM Portables Li-Primary'!F38+'[2]POM Portables Lead-acid'!F38+'[2]POM Portables NiCd'!F38+'[2]POM Portables Li-Rechargeable'!F38+'[2]POM Portables Other'!F38</f>
        <v>530.58534354363417</v>
      </c>
      <c r="G29" s="23">
        <f>'[2]POM Portables Zn-based'!G38+'[2]POM Portables NiMH'!G38+'[2]POM Portables Li-Primary'!G38+'[2]POM Portables Lead-acid'!G38+'[2]POM Portables NiCd'!G38+'[2]POM Portables Li-Rechargeable'!G38+'[2]POM Portables Other'!G38</f>
        <v>539.97895605000622</v>
      </c>
      <c r="H29" s="23">
        <f>'[2]POM Portables Zn-based'!H38+'[2]POM Portables NiMH'!H38+'[2]POM Portables Li-Primary'!H38+'[2]POM Portables Lead-acid'!H38+'[2]POM Portables NiCd'!H38+'[2]POM Portables Li-Rechargeable'!H38+'[2]POM Portables Other'!H38</f>
        <v>576.50230435255742</v>
      </c>
      <c r="I29" s="23">
        <f>'[2]POM Portables Zn-based'!I38+'[2]POM Portables NiMH'!I38+'[2]POM Portables Li-Primary'!I38+'[2]POM Portables Lead-acid'!I38+'[2]POM Portables NiCd'!I38+'[2]POM Portables Li-Rechargeable'!I38+'[2]POM Portables Other'!I38</f>
        <v>563.24520872589699</v>
      </c>
      <c r="J29" s="23">
        <f>'[2]POM Portables Zn-based'!J38+'[2]POM Portables NiMH'!J38+'[2]POM Portables Li-Primary'!J38+'[2]POM Portables Lead-acid'!J38+'[2]POM Portables NiCd'!J38+'[2]POM Portables Li-Rechargeable'!J38+'[2]POM Portables Other'!J38</f>
        <v>593.24295221297746</v>
      </c>
      <c r="K29" s="23">
        <f>'[2]POM Portables Zn-based'!K38+'[2]POM Portables NiMH'!K38+'[2]POM Portables Li-Primary'!K38+'[2]POM Portables Lead-acid'!K38+'[2]POM Portables NiCd'!K38+'[2]POM Portables Li-Rechargeable'!K38+'[2]POM Portables Other'!K38</f>
        <v>570.39976294752421</v>
      </c>
      <c r="L29" s="23">
        <f>'[2]POM Portables Zn-based'!L38+'[2]POM Portables NiMH'!L38+'[2]POM Portables Li-Primary'!L38+'[2]POM Portables Lead-acid'!L38+'[2]POM Portables NiCd'!L38+'[2]POM Portables Li-Rechargeable'!L38+'[2]POM Portables Other'!L38</f>
        <v>614.62772358945301</v>
      </c>
      <c r="M29" s="4">
        <v>670</v>
      </c>
      <c r="N29" s="4">
        <v>722</v>
      </c>
      <c r="O29" s="4">
        <v>720</v>
      </c>
      <c r="P29" s="4">
        <v>719</v>
      </c>
      <c r="Q29" s="4">
        <v>663</v>
      </c>
      <c r="R29" s="4">
        <v>872</v>
      </c>
      <c r="S29" s="4">
        <v>790</v>
      </c>
      <c r="T29" s="4">
        <v>823</v>
      </c>
      <c r="U29" s="4">
        <v>833</v>
      </c>
      <c r="V29" s="4">
        <v>826</v>
      </c>
      <c r="W29" s="4">
        <v>884</v>
      </c>
      <c r="X29" s="67">
        <f>'POM Portables Zn-based'!X38+'POM Portables Li-Rechargeab'!X38+'POM Portables Li-Primary'!X38+'POM Portables Lead-acid'!X38+'POM Portables NiMH'!X38+'POM Portables NiCd'!X38+'POM Portables Other'!X38</f>
        <v>919.26089778209382</v>
      </c>
      <c r="Y29" s="67">
        <f>'POM Portables Zn-based'!Y38+'POM Portables Li-Rechargeab'!Y38+'POM Portables Li-Primary'!Y38+'POM Portables Lead-acid'!Y38+'POM Portables NiMH'!Y38+'POM Portables NiCd'!Y38+'POM Portables Other'!Y38</f>
        <v>957.14772136710053</v>
      </c>
      <c r="Z29" s="67">
        <f>'POM Portables Zn-based'!Z38+'POM Portables Li-Rechargeab'!Z38+'POM Portables Li-Primary'!Z38+'POM Portables Lead-acid'!Z38+'POM Portables NiMH'!Z38+'POM Portables NiCd'!Z38+'POM Portables Other'!Z38</f>
        <v>998.52206772558384</v>
      </c>
      <c r="AA29" s="67">
        <f>'POM Portables Zn-based'!AA38+'POM Portables Li-Rechargeab'!AA38+'POM Portables Li-Primary'!AA38+'POM Portables Lead-acid'!AA38+'POM Portables NiMH'!AA38+'POM Portables NiCd'!AA38+'POM Portables Other'!AA38</f>
        <v>1043.864682792029</v>
      </c>
      <c r="AB29" s="67">
        <f>'POM Portables Zn-based'!AB38+'POM Portables Li-Rechargeab'!AB38+'POM Portables Li-Primary'!AB38+'POM Portables Lead-acid'!AB38+'POM Portables NiMH'!AB38+'POM Portables NiCd'!AB38+'POM Portables Other'!AB38</f>
        <v>1080.0027830567819</v>
      </c>
      <c r="AC29" s="67">
        <f>'POM Portables Zn-based'!AC38+'POM Portables Li-Rechargeab'!AC38+'POM Portables Li-Primary'!AC38+'POM Portables Lead-acid'!AC38+'POM Portables NiMH'!AC38+'POM Portables NiCd'!AC38+'POM Portables Other'!AC38</f>
        <v>1123.3308581587371</v>
      </c>
      <c r="AD29" s="67">
        <f>'POM Portables Zn-based'!AD38+'POM Portables Li-Rechargeab'!AD38+'POM Portables Li-Primary'!AD38+'POM Portables Lead-acid'!AD38+'POM Portables NiMH'!AD38+'POM Portables NiCd'!AD38+'POM Portables Other'!AD38</f>
        <v>1177.4696799577582</v>
      </c>
      <c r="AE29" s="67">
        <f>'POM Portables Zn-based'!AE38+'POM Portables Li-Rechargeab'!AE38+'POM Portables Li-Primary'!AE38+'POM Portables Lead-acid'!AE38+'POM Portables NiMH'!AE38+'POM Portables NiCd'!AE38+'POM Portables Other'!AE38</f>
        <v>1239.5718451041353</v>
      </c>
      <c r="AF29" s="67">
        <f>'POM Portables Zn-based'!AF38+'POM Portables Li-Rechargeab'!AF38+'POM Portables Li-Primary'!AF38+'POM Portables Lead-acid'!AF38+'POM Portables NiMH'!AF38+'POM Portables NiCd'!AF38+'POM Portables Other'!AF38</f>
        <v>1306.1391091996136</v>
      </c>
      <c r="AG29" s="67">
        <f>'POM Portables Zn-based'!AG38+'POM Portables Li-Rechargeab'!AG38+'POM Portables Li-Primary'!AG38+'POM Portables Lead-acid'!AG38+'POM Portables NiMH'!AG38+'POM Portables NiCd'!AG38+'POM Portables Other'!AG38</f>
        <v>1355.4673145642475</v>
      </c>
      <c r="AH29" s="67">
        <f>'POM Portables Zn-based'!AH38+'POM Portables Li-Rechargeab'!AH38+'POM Portables Li-Primary'!AH38+'POM Portables Lead-acid'!AH38+'POM Portables NiMH'!AH38+'POM Portables NiCd'!AH38+'POM Portables Other'!AH38</f>
        <v>1407.173553680391</v>
      </c>
      <c r="AI29" s="67">
        <f>'POM Portables Zn-based'!AI38+'POM Portables Li-Rechargeab'!AI38+'POM Portables Li-Primary'!AI38+'POM Portables Lead-acid'!AI38+'POM Portables NiMH'!AI38+'POM Portables NiCd'!AI38+'POM Portables Other'!AI38</f>
        <v>1461.4487902465753</v>
      </c>
      <c r="AJ29" s="67">
        <f>'POM Portables Zn-based'!AJ38+'POM Portables Li-Rechargeab'!AJ38+'POM Portables Li-Primary'!AJ38+'POM Portables Lead-acid'!AJ38+'POM Portables NiMH'!AJ38+'POM Portables NiCd'!AJ38+'POM Portables Other'!AJ38</f>
        <v>1518.4343818282466</v>
      </c>
      <c r="AK29" s="67">
        <f>'POM Portables Zn-based'!AK38+'POM Portables Li-Rechargeab'!AK38+'POM Portables Li-Primary'!AK38+'POM Portables Lead-acid'!AK38+'POM Portables NiMH'!AK38+'POM Portables NiCd'!AK38+'POM Portables Other'!AK38</f>
        <v>1578.2799074159354</v>
      </c>
      <c r="AL29" s="67">
        <f>'POM Portables Zn-based'!AL38+'POM Portables Li-Rechargeab'!AL38+'POM Portables Li-Primary'!AL38+'POM Portables Lead-acid'!AL38+'POM Portables NiMH'!AL38+'POM Portables NiCd'!AL38+'POM Portables Other'!AL38</f>
        <v>1641.1436532639466</v>
      </c>
      <c r="AM29" s="67">
        <f>'POM Portables Zn-based'!AM38+'POM Portables Li-Rechargeab'!AM38+'POM Portables Li-Primary'!AM38+'POM Portables Lead-acid'!AM38+'POM Portables NiMH'!AM38+'POM Portables NiCd'!AM38+'POM Portables Other'!AM38</f>
        <v>1707.1931276586608</v>
      </c>
      <c r="AN29" s="67">
        <f>'POM Portables Zn-based'!AN38+'POM Portables Li-Rechargeab'!AN38+'POM Portables Li-Primary'!AN38+'POM Portables Lead-acid'!AN38+'POM Portables NiMH'!AN38+'POM Portables NiCd'!AN38+'POM Portables Other'!AN38</f>
        <v>1776.6056063434166</v>
      </c>
      <c r="AO29" s="67">
        <f>'POM Portables Zn-based'!AO38+'POM Portables Li-Rechargeab'!AO38+'POM Portables Li-Primary'!AO38+'POM Portables Lead-acid'!AO38+'POM Portables NiMH'!AO38+'POM Portables NiCd'!AO38+'POM Portables Other'!AO38</f>
        <v>1848.4973400885287</v>
      </c>
      <c r="AP29" s="67">
        <f>'POM Portables Zn-based'!AP38+'POM Portables Li-Rechargeab'!AP38+'POM Portables Li-Primary'!AP38+'POM Portables Lead-acid'!AP38+'POM Portables NiMH'!AP38+'POM Portables NiCd'!AP38+'POM Portables Other'!AP38</f>
        <v>1916.2287377736398</v>
      </c>
      <c r="AQ29" s="67">
        <f>'POM Portables Zn-based'!AQ38+'POM Portables Li-Rechargeab'!AQ38+'POM Portables Li-Primary'!AQ38+'POM Portables Lead-acid'!AQ38+'POM Portables NiMH'!AQ38+'POM Portables NiCd'!AQ38+'POM Portables Other'!AQ38</f>
        <v>1946.7506716240348</v>
      </c>
      <c r="AR29" s="67">
        <f>'POM Portables Zn-based'!AR38+'POM Portables Li-Rechargeab'!AR38+'POM Portables Li-Primary'!AR38+'POM Portables Lead-acid'!AR38+'POM Portables NiMH'!AR38+'POM Portables NiCd'!AR38+'POM Portables Other'!AR38</f>
        <v>1977.6316880007394</v>
      </c>
      <c r="AS29" s="67">
        <f>'POM Portables Zn-based'!AS38+'POM Portables Li-Rechargeab'!AS38+'POM Portables Li-Primary'!AS38+'POM Portables Lead-acid'!AS38+'POM Portables NiMH'!AS38+'POM Portables NiCd'!AS38+'POM Portables Other'!AS38</f>
        <v>2009.0748906492986</v>
      </c>
      <c r="AT29" s="67">
        <f>'POM Portables Zn-based'!AT38+'POM Portables Li-Rechargeab'!AT38+'POM Portables Li-Primary'!AT38+'POM Portables Lead-acid'!AT38+'POM Portables NiMH'!AT38+'POM Portables NiCd'!AT38+'POM Portables Other'!AT38</f>
        <v>2041.0912693877412</v>
      </c>
      <c r="AU29" s="67">
        <f>'POM Portables Zn-based'!AU38+'POM Portables Li-Rechargeab'!AU38+'POM Portables Li-Primary'!AU38+'POM Portables Lead-acid'!AU38+'POM Portables NiMH'!AU38+'POM Portables NiCd'!AU38+'POM Portables Other'!AU38</f>
        <v>2073.6920448318201</v>
      </c>
      <c r="AV29" s="67">
        <f>'POM Portables Zn-based'!AV38+'POM Portables Li-Rechargeab'!AV38+'POM Portables Li-Primary'!AV38+'POM Portables Lead-acid'!AV38+'POM Portables NiMH'!AV38+'POM Portables NiCd'!AV38+'POM Portables Other'!AV38</f>
        <v>2105.5710230985419</v>
      </c>
      <c r="AW29" s="67">
        <f>'POM Portables Zn-based'!AW38+'POM Portables Li-Rechargeab'!AW38+'POM Portables Li-Primary'!AW38+'POM Portables Lead-acid'!AW38+'POM Portables NiMH'!AW38+'POM Portables NiCd'!AW38+'POM Portables Other'!AW38</f>
        <v>2138.0048461455963</v>
      </c>
      <c r="AX29" s="67">
        <f>'POM Portables Zn-based'!AX38+'POM Portables Li-Rechargeab'!AX38+'POM Portables Li-Primary'!AX38+'POM Portables Lead-acid'!AX38+'POM Portables NiMH'!AX38+'POM Portables NiCd'!AX38+'POM Portables Other'!AX38</f>
        <v>2171.0037450316127</v>
      </c>
      <c r="AY29" s="67">
        <f>'POM Portables Zn-based'!AY38+'POM Portables Li-Rechargeab'!AY38+'POM Portables Li-Primary'!AY38+'POM Portables Lead-acid'!AY38+'POM Portables NiMH'!AY38+'POM Portables NiCd'!AY38+'POM Portables Other'!AY38</f>
        <v>2204.5781499723939</v>
      </c>
      <c r="AZ29" s="67">
        <f>'POM Portables Zn-based'!AZ38+'POM Portables Li-Rechargeab'!AZ38+'POM Portables Li-Primary'!AZ38+'POM Portables Lead-acid'!AZ38+'POM Portables NiMH'!AZ38+'POM Portables NiCd'!AZ38+'POM Portables Other'!AZ38</f>
        <v>2238.7386943217575</v>
      </c>
    </row>
    <row r="30" spans="1:52" x14ac:dyDescent="0.35">
      <c r="A30" s="52" t="s">
        <v>27</v>
      </c>
      <c r="B30" s="23">
        <f>'[2]POM Portables Zn-based'!B39+'[2]POM Portables NiMH'!B39+'[2]POM Portables Li-Primary'!B39+'[2]POM Portables Lead-acid'!B39+'[2]POM Portables NiCd'!B39+'[2]POM Portables Li-Rechargeable'!B39+'[2]POM Portables Other'!B39</f>
        <v>7686.4037901603624</v>
      </c>
      <c r="C30" s="23">
        <f>'[2]POM Portables Zn-based'!C39+'[2]POM Portables NiMH'!C39+'[2]POM Portables Li-Primary'!C39+'[2]POM Portables Lead-acid'!C39+'[2]POM Portables NiCd'!C39+'[2]POM Portables Li-Rechargeable'!C39+'[2]POM Portables Other'!C39</f>
        <v>7982.0031246668486</v>
      </c>
      <c r="D30" s="23">
        <f>'[2]POM Portables Zn-based'!D39+'[2]POM Portables NiMH'!D39+'[2]POM Portables Li-Primary'!D39+'[2]POM Portables Lead-acid'!D39+'[2]POM Portables NiCd'!D39+'[2]POM Portables Li-Rechargeable'!D39+'[2]POM Portables Other'!D39</f>
        <v>8309.2068778605117</v>
      </c>
      <c r="E30" s="23">
        <f>'[2]POM Portables Zn-based'!E39+'[2]POM Portables NiMH'!E39+'[2]POM Portables Li-Primary'!E39+'[2]POM Portables Lead-acid'!E39+'[2]POM Portables NiCd'!E39+'[2]POM Portables Li-Rechargeable'!E39+'[2]POM Portables Other'!E39</f>
        <v>8723.9003023355508</v>
      </c>
      <c r="F30" s="23">
        <f>'[2]POM Portables Zn-based'!F39+'[2]POM Portables NiMH'!F39+'[2]POM Portables Li-Primary'!F39+'[2]POM Portables Lead-acid'!F39+'[2]POM Portables NiCd'!F39+'[2]POM Portables Li-Rechargeable'!F39+'[2]POM Portables Other'!F39</f>
        <v>9330.0933877428688</v>
      </c>
      <c r="G30" s="23">
        <f>'[2]POM Portables Zn-based'!G39+'[2]POM Portables NiMH'!G39+'[2]POM Portables Li-Primary'!G39+'[2]POM Portables Lead-acid'!G39+'[2]POM Portables NiCd'!G39+'[2]POM Portables Li-Rechargeable'!G39+'[2]POM Portables Other'!G39</f>
        <v>9383.2887022534196</v>
      </c>
      <c r="H30" s="23">
        <f>'[2]POM Portables Zn-based'!H39+'[2]POM Portables NiMH'!H39+'[2]POM Portables Li-Primary'!H39+'[2]POM Portables Lead-acid'!H39+'[2]POM Portables NiCd'!H39+'[2]POM Portables Li-Rechargeable'!H39+'[2]POM Portables Other'!H39</f>
        <v>10129.189091201699</v>
      </c>
      <c r="I30" s="23">
        <f>'[2]POM Portables Zn-based'!I39+'[2]POM Portables NiMH'!I39+'[2]POM Portables Li-Primary'!I39+'[2]POM Portables Lead-acid'!I39+'[2]POM Portables NiCd'!I39+'[2]POM Portables Li-Rechargeable'!I39+'[2]POM Portables Other'!I39</f>
        <v>9704.7839690568217</v>
      </c>
      <c r="J30" s="23">
        <f>'[2]POM Portables Zn-based'!J39+'[2]POM Portables NiMH'!J39+'[2]POM Portables Li-Primary'!J39+'[2]POM Portables Lead-acid'!J39+'[2]POM Portables NiCd'!J39+'[2]POM Portables Li-Rechargeable'!J39+'[2]POM Portables Other'!J39</f>
        <v>10172.508324959625</v>
      </c>
      <c r="K30" s="23">
        <f>'[2]POM Portables Zn-based'!K39+'[2]POM Portables NiMH'!K39+'[2]POM Portables Li-Primary'!K39+'[2]POM Portables Lead-acid'!K39+'[2]POM Portables NiCd'!K39+'[2]POM Portables Li-Rechargeable'!K39+'[2]POM Portables Other'!K39</f>
        <v>9735.8821486405741</v>
      </c>
      <c r="L30" s="23">
        <f>'[2]POM Portables Zn-based'!L39+'[2]POM Portables NiMH'!L39+'[2]POM Portables Li-Primary'!L39+'[2]POM Portables Lead-acid'!L39+'[2]POM Portables NiCd'!L39+'[2]POM Portables Li-Rechargeable'!L39+'[2]POM Portables Other'!L39</f>
        <v>10370.851562332926</v>
      </c>
      <c r="M30" s="4">
        <v>11063.232</v>
      </c>
      <c r="N30" s="4">
        <v>10514</v>
      </c>
      <c r="O30" s="4">
        <v>10622</v>
      </c>
      <c r="P30" s="4">
        <v>10815</v>
      </c>
      <c r="Q30" s="4">
        <v>12669</v>
      </c>
      <c r="R30" s="4">
        <v>11915</v>
      </c>
      <c r="S30" s="4">
        <v>12017</v>
      </c>
      <c r="T30" s="4">
        <v>12774</v>
      </c>
      <c r="U30" s="4">
        <v>12948</v>
      </c>
      <c r="V30" s="4">
        <v>14364</v>
      </c>
      <c r="W30" s="4">
        <v>15547</v>
      </c>
      <c r="X30" s="67">
        <f>'POM Portables Zn-based'!X39+'POM Portables Li-Rechargeab'!X39+'POM Portables Li-Primary'!X39+'POM Portables Lead-acid'!X39+'POM Portables NiMH'!X39+'POM Portables NiCd'!X39+'POM Portables Other'!X39</f>
        <v>16141.870115513844</v>
      </c>
      <c r="Y30" s="67">
        <f>'POM Portables Zn-based'!Y39+'POM Portables Li-Rechargeab'!Y39+'POM Portables Li-Primary'!Y39+'POM Portables Lead-acid'!Y39+'POM Portables NiMH'!Y39+'POM Portables NiCd'!Y39+'POM Portables Other'!Y39</f>
        <v>16730.087639688893</v>
      </c>
      <c r="Z30" s="67">
        <f>'POM Portables Zn-based'!Z39+'POM Portables Li-Rechargeab'!Z39+'POM Portables Li-Primary'!Z39+'POM Portables Lead-acid'!Z39+'POM Portables NiMH'!Z39+'POM Portables NiCd'!Z39+'POM Portables Other'!Z39</f>
        <v>17399.731707367493</v>
      </c>
      <c r="AA30" s="67">
        <f>'POM Portables Zn-based'!AA39+'POM Portables Li-Rechargeab'!AA39+'POM Portables Li-Primary'!AA39+'POM Portables Lead-acid'!AA39+'POM Portables NiMH'!AA39+'POM Portables NiCd'!AA39+'POM Portables Other'!AA39</f>
        <v>18182.516088927325</v>
      </c>
      <c r="AB30" s="67">
        <f>'POM Portables Zn-based'!AB39+'POM Portables Li-Rechargeab'!AB39+'POM Portables Li-Primary'!AB39+'POM Portables Lead-acid'!AB39+'POM Portables NiMH'!AB39+'POM Portables NiCd'!AB39+'POM Portables Other'!AB39</f>
        <v>19001.229152051535</v>
      </c>
      <c r="AC30" s="67">
        <f>'POM Portables Zn-based'!AC39+'POM Portables Li-Rechargeab'!AC39+'POM Portables Li-Primary'!AC39+'POM Portables Lead-acid'!AC39+'POM Portables NiMH'!AC39+'POM Portables NiCd'!AC39+'POM Portables Other'!AC39</f>
        <v>19903.453427143108</v>
      </c>
      <c r="AD30" s="67">
        <f>'POM Portables Zn-based'!AD39+'POM Portables Li-Rechargeab'!AD39+'POM Portables Li-Primary'!AD39+'POM Portables Lead-acid'!AD39+'POM Portables NiMH'!AD39+'POM Portables NiCd'!AD39+'POM Portables Other'!AD39</f>
        <v>20909.404004217315</v>
      </c>
      <c r="AE30" s="67">
        <f>'POM Portables Zn-based'!AE39+'POM Portables Li-Rechargeab'!AE39+'POM Portables Li-Primary'!AE39+'POM Portables Lead-acid'!AE39+'POM Portables NiMH'!AE39+'POM Portables NiCd'!AE39+'POM Portables Other'!AE39</f>
        <v>22012.573370138394</v>
      </c>
      <c r="AF30" s="67">
        <f>'POM Portables Zn-based'!AF39+'POM Portables Li-Rechargeab'!AF39+'POM Portables Li-Primary'!AF39+'POM Portables Lead-acid'!AF39+'POM Portables NiMH'!AF39+'POM Portables NiCd'!AF39+'POM Portables Other'!AF39</f>
        <v>23196.957438459071</v>
      </c>
      <c r="AG30" s="67">
        <f>'POM Portables Zn-based'!AG39+'POM Portables Li-Rechargeab'!AG39+'POM Portables Li-Primary'!AG39+'POM Portables Lead-acid'!AG39+'POM Portables NiMH'!AG39+'POM Portables NiCd'!AG39+'POM Portables Other'!AG39</f>
        <v>24075.833741664548</v>
      </c>
      <c r="AH30" s="67">
        <f>'POM Portables Zn-based'!AH39+'POM Portables Li-Rechargeab'!AH39+'POM Portables Li-Primary'!AH39+'POM Portables Lead-acid'!AH39+'POM Portables NiMH'!AH39+'POM Portables NiCd'!AH39+'POM Portables Other'!AH39</f>
        <v>24995.630520000082</v>
      </c>
      <c r="AI30" s="67">
        <f>'POM Portables Zn-based'!AI39+'POM Portables Li-Rechargeab'!AI39+'POM Portables Li-Primary'!AI39+'POM Portables Lead-acid'!AI39+'POM Portables NiMH'!AI39+'POM Portables NiCd'!AI39+'POM Portables Other'!AI39</f>
        <v>25961.078634202207</v>
      </c>
      <c r="AJ30" s="67">
        <f>'POM Portables Zn-based'!AJ39+'POM Portables Li-Rechargeab'!AJ39+'POM Portables Li-Primary'!AJ39+'POM Portables Lead-acid'!AJ39+'POM Portables NiMH'!AJ39+'POM Portables NiCd'!AJ39+'POM Portables Other'!AJ39</f>
        <v>26974.689944989157</v>
      </c>
      <c r="AK30" s="67">
        <f>'POM Portables Zn-based'!AK39+'POM Portables Li-Rechargeab'!AK39+'POM Portables Li-Primary'!AK39+'POM Portables Lead-acid'!AK39+'POM Portables NiMH'!AK39+'POM Portables NiCd'!AK39+'POM Portables Other'!AK39</f>
        <v>28039.12234422714</v>
      </c>
      <c r="AL30" s="67">
        <f>'POM Portables Zn-based'!AL39+'POM Portables Li-Rechargeab'!AL39+'POM Portables Li-Primary'!AL39+'POM Portables Lead-acid'!AL39+'POM Portables NiMH'!AL39+'POM Portables NiCd'!AL39+'POM Portables Other'!AL39</f>
        <v>29157.188382616125</v>
      </c>
      <c r="AM30" s="67">
        <f>'POM Portables Zn-based'!AM39+'POM Portables Li-Rechargeab'!AM39+'POM Portables Li-Primary'!AM39+'POM Portables Lead-acid'!AM39+'POM Portables NiMH'!AM39+'POM Portables NiCd'!AM39+'POM Portables Other'!AM39</f>
        <v>30331.86441099982</v>
      </c>
      <c r="AN30" s="67">
        <f>'POM Portables Zn-based'!AN39+'POM Portables Li-Rechargeab'!AN39+'POM Portables Li-Primary'!AN39+'POM Portables Lead-acid'!AN39+'POM Portables NiMH'!AN39+'POM Portables NiCd'!AN39+'POM Portables Other'!AN39</f>
        <v>31566.300265955284</v>
      </c>
      <c r="AO30" s="67">
        <f>'POM Portables Zn-based'!AO39+'POM Portables Li-Rechargeab'!AO39+'POM Portables Li-Primary'!AO39+'POM Portables Lead-acid'!AO39+'POM Portables NiMH'!AO39+'POM Portables NiCd'!AO39+'POM Portables Other'!AO39</f>
        <v>32848.003832729053</v>
      </c>
      <c r="AP30" s="67">
        <f>'POM Portables Zn-based'!AP39+'POM Portables Li-Rechargeab'!AP39+'POM Portables Li-Primary'!AP39+'POM Portables Lead-acid'!AP39+'POM Portables NiMH'!AP39+'POM Portables NiCd'!AP39+'POM Portables Other'!AP39</f>
        <v>34055.808191196986</v>
      </c>
      <c r="AQ30" s="67">
        <f>'POM Portables Zn-based'!AQ39+'POM Portables Li-Rechargeab'!AQ39+'POM Portables Li-Primary'!AQ39+'POM Portables Lead-acid'!AQ39+'POM Portables NiMH'!AQ39+'POM Portables NiCd'!AQ39+'POM Portables Other'!AQ39</f>
        <v>34604.119104973266</v>
      </c>
      <c r="AR30" s="67">
        <f>'POM Portables Zn-based'!AR39+'POM Portables Li-Rechargeab'!AR39+'POM Portables Li-Primary'!AR39+'POM Portables Lead-acid'!AR39+'POM Portables NiMH'!AR39+'POM Portables NiCd'!AR39+'POM Portables Other'!AR39</f>
        <v>35154.368983461922</v>
      </c>
      <c r="AS30" s="67">
        <f>'POM Portables Zn-based'!AS39+'POM Portables Li-Rechargeab'!AS39+'POM Portables Li-Primary'!AS39+'POM Portables Lead-acid'!AS39+'POM Portables NiMH'!AS39+'POM Portables NiCd'!AS39+'POM Portables Other'!AS39</f>
        <v>35714.652474870127</v>
      </c>
      <c r="AT30" s="67">
        <f>'POM Portables Zn-based'!AT39+'POM Portables Li-Rechargeab'!AT39+'POM Portables Li-Primary'!AT39+'POM Portables Lead-acid'!AT39+'POM Portables NiMH'!AT39+'POM Portables NiCd'!AT39+'POM Portables Other'!AT39</f>
        <v>36285.166403828211</v>
      </c>
      <c r="AU30" s="67">
        <f>'POM Portables Zn-based'!AU39+'POM Portables Li-Rechargeab'!AU39+'POM Portables Li-Primary'!AU39+'POM Portables Lead-acid'!AU39+'POM Portables NiMH'!AU39+'POM Portables NiCd'!AU39+'POM Portables Other'!AU39</f>
        <v>36866.111744389302</v>
      </c>
      <c r="AV30" s="67">
        <f>'POM Portables Zn-based'!AV39+'POM Portables Li-Rechargeab'!AV39+'POM Portables Li-Primary'!AV39+'POM Portables Lead-acid'!AV39+'POM Portables NiMH'!AV39+'POM Portables NiCd'!AV39+'POM Portables Other'!AV39</f>
        <v>37438.230097814921</v>
      </c>
      <c r="AW30" s="67">
        <f>'POM Portables Zn-based'!AW39+'POM Portables Li-Rechargeab'!AW39+'POM Portables Li-Primary'!AW39+'POM Portables Lead-acid'!AW39+'POM Portables NiMH'!AW39+'POM Portables NiCd'!AW39+'POM Portables Other'!AW39</f>
        <v>38020.416084414908</v>
      </c>
      <c r="AX30" s="67">
        <f>'POM Portables Zn-based'!AX39+'POM Portables Li-Rechargeab'!AX39+'POM Portables Li-Primary'!AX39+'POM Portables Lead-acid'!AX39+'POM Portables NiMH'!AX39+'POM Portables NiCd'!AX39+'POM Portables Other'!AX39</f>
        <v>38612.858383852887</v>
      </c>
      <c r="AY30" s="67">
        <f>'POM Portables Zn-based'!AY39+'POM Portables Li-Rechargeab'!AY39+'POM Portables Li-Primary'!AY39+'POM Portables Lead-acid'!AY39+'POM Portables NiMH'!AY39+'POM Portables NiCd'!AY39+'POM Portables Other'!AY39</f>
        <v>39215.749427334013</v>
      </c>
      <c r="AZ30" s="67">
        <f>'POM Portables Zn-based'!AZ39+'POM Portables Li-Rechargeab'!AZ39+'POM Portables Li-Primary'!AZ39+'POM Portables Lead-acid'!AZ39+'POM Portables NiMH'!AZ39+'POM Portables NiCd'!AZ39+'POM Portables Other'!AZ39</f>
        <v>39829.285474831166</v>
      </c>
    </row>
    <row r="31" spans="1:52" x14ac:dyDescent="0.35">
      <c r="A31" s="52" t="s">
        <v>28</v>
      </c>
      <c r="B31" s="23">
        <f>'[2]POM Portables Zn-based'!B40+'[2]POM Portables NiMH'!B40+'[2]POM Portables Li-Primary'!B40+'[2]POM Portables Lead-acid'!B40+'[2]POM Portables NiCd'!B40+'[2]POM Portables Li-Rechargeable'!B40+'[2]POM Portables Other'!B40</f>
        <v>3287.3828867920324</v>
      </c>
      <c r="C31" s="23">
        <f>'[2]POM Portables Zn-based'!C40+'[2]POM Portables NiMH'!C40+'[2]POM Portables Li-Primary'!C40+'[2]POM Portables Lead-acid'!C40+'[2]POM Portables NiCd'!C40+'[2]POM Portables Li-Rechargeable'!C40+'[2]POM Portables Other'!C40</f>
        <v>3393.1791786672034</v>
      </c>
      <c r="D31" s="23">
        <f>'[2]POM Portables Zn-based'!D40+'[2]POM Portables NiMH'!D40+'[2]POM Portables Li-Primary'!D40+'[2]POM Portables Lead-acid'!D40+'[2]POM Portables NiCd'!D40+'[2]POM Portables Li-Rechargeable'!D40+'[2]POM Portables Other'!D40</f>
        <v>3511.0936175449392</v>
      </c>
      <c r="E31" s="23">
        <f>'[2]POM Portables Zn-based'!E40+'[2]POM Portables NiMH'!E40+'[2]POM Portables Li-Primary'!E40+'[2]POM Portables Lead-acid'!E40+'[2]POM Portables NiCd'!E40+'[2]POM Portables Li-Rechargeable'!E40+'[2]POM Portables Other'!E40</f>
        <v>3664.7483622554878</v>
      </c>
      <c r="F31" s="23">
        <f>'[2]POM Portables Zn-based'!F40+'[2]POM Portables NiMH'!F40+'[2]POM Portables Li-Primary'!F40+'[2]POM Portables Lead-acid'!F40+'[2]POM Portables NiCd'!F40+'[2]POM Portables Li-Rechargeable'!F40+'[2]POM Portables Other'!F40</f>
        <v>3844.0442042971758</v>
      </c>
      <c r="G31" s="23">
        <f>'[2]POM Portables Zn-based'!G40+'[2]POM Portables NiMH'!G40+'[2]POM Portables Li-Primary'!G40+'[2]POM Portables Lead-acid'!G40+'[2]POM Portables NiCd'!G40+'[2]POM Portables Li-Rechargeable'!G40+'[2]POM Portables Other'!G40</f>
        <v>4011.3939712139759</v>
      </c>
      <c r="H31" s="23">
        <f>'[2]POM Portables Zn-based'!H40+'[2]POM Portables NiMH'!H40+'[2]POM Portables Li-Primary'!H40+'[2]POM Portables Lead-acid'!H40+'[2]POM Portables NiCd'!H40+'[2]POM Portables Li-Rechargeable'!H40+'[2]POM Portables Other'!H40</f>
        <v>4189.5381919463143</v>
      </c>
      <c r="I31" s="23">
        <f>'[2]POM Portables Zn-based'!I40+'[2]POM Portables NiMH'!I40+'[2]POM Portables Li-Primary'!I40+'[2]POM Portables Lead-acid'!I40+'[2]POM Portables NiCd'!I40+'[2]POM Portables Li-Rechargeable'!I40+'[2]POM Portables Other'!I40</f>
        <v>4256.7218649233564</v>
      </c>
      <c r="J31" s="23">
        <f>'[2]POM Portables Zn-based'!J40+'[2]POM Portables NiMH'!J40+'[2]POM Portables Li-Primary'!J40+'[2]POM Portables Lead-acid'!J40+'[2]POM Portables NiCd'!J40+'[2]POM Portables Li-Rechargeable'!J40+'[2]POM Portables Other'!J40</f>
        <v>4530.3963192654819</v>
      </c>
      <c r="K31" s="23">
        <f>'[2]POM Portables Zn-based'!K40+'[2]POM Portables NiMH'!K40+'[2]POM Portables Li-Primary'!K40+'[2]POM Portables Lead-acid'!K40+'[2]POM Portables NiCd'!K40+'[2]POM Portables Li-Rechargeable'!K40+'[2]POM Portables Other'!K40</f>
        <v>4389.2282763016246</v>
      </c>
      <c r="L31" s="23">
        <f>'[2]POM Portables Zn-based'!L40+'[2]POM Portables NiMH'!L40+'[2]POM Portables Li-Primary'!L40+'[2]POM Portables Lead-acid'!L40+'[2]POM Portables NiCd'!L40+'[2]POM Portables Li-Rechargeable'!L40+'[2]POM Portables Other'!L40</f>
        <v>4841.7872643495484</v>
      </c>
      <c r="M31" s="4">
        <v>5708</v>
      </c>
      <c r="N31" s="4">
        <v>5640.7999999999993</v>
      </c>
      <c r="O31" s="4">
        <v>5601.2</v>
      </c>
      <c r="P31" s="4">
        <v>6041.6</v>
      </c>
      <c r="Q31" s="4">
        <v>5811.9000000000005</v>
      </c>
      <c r="R31" s="4">
        <v>6013.8000000000011</v>
      </c>
      <c r="S31" s="4">
        <v>6904</v>
      </c>
      <c r="T31" s="4">
        <v>6833.5</v>
      </c>
      <c r="U31" s="4">
        <v>7386</v>
      </c>
      <c r="V31" s="4">
        <v>7558</v>
      </c>
      <c r="W31" s="4">
        <v>8875</v>
      </c>
      <c r="X31" s="67">
        <f>'POM Portables Zn-based'!X40+'POM Portables Li-Rechargeab'!X40+'POM Portables Li-Primary'!X40+'POM Portables Lead-acid'!X40+'POM Portables NiMH'!X40+'POM Portables NiCd'!X40+'POM Portables Other'!X40</f>
        <v>9493.5163666419739</v>
      </c>
      <c r="Y31" s="67">
        <f>'POM Portables Zn-based'!Y40+'POM Portables Li-Rechargeab'!Y40+'POM Portables Li-Primary'!Y40+'POM Portables Lead-acid'!Y40+'POM Portables NiMH'!Y40+'POM Portables NiCd'!Y40+'POM Portables Other'!Y40</f>
        <v>9933.0954764669914</v>
      </c>
      <c r="Z31" s="67">
        <f>'POM Portables Zn-based'!Z40+'POM Portables Li-Rechargeab'!Z40+'POM Portables Li-Primary'!Z40+'POM Portables Lead-acid'!Z40+'POM Portables NiMH'!Z40+'POM Portables NiCd'!Z40+'POM Portables Other'!Z40</f>
        <v>10415.076404715373</v>
      </c>
      <c r="AA31" s="67">
        <f>'POM Portables Zn-based'!AA40+'POM Portables Li-Rechargeab'!AA40+'POM Portables Li-Primary'!AA40+'POM Portables Lead-acid'!AA40+'POM Portables NiMH'!AA40+'POM Portables NiCd'!AA40+'POM Portables Other'!AA40</f>
        <v>10944.438900566276</v>
      </c>
      <c r="AB31" s="67">
        <f>'POM Portables Zn-based'!AB40+'POM Portables Li-Rechargeab'!AB40+'POM Portables Li-Primary'!AB40+'POM Portables Lead-acid'!AB40+'POM Portables NiMH'!AB40+'POM Portables NiCd'!AB40+'POM Portables Other'!AB40</f>
        <v>11349.59221352518</v>
      </c>
      <c r="AC31" s="67">
        <f>'POM Portables Zn-based'!AC40+'POM Portables Li-Rechargeab'!AC40+'POM Portables Li-Primary'!AC40+'POM Portables Lead-acid'!AC40+'POM Portables NiMH'!AC40+'POM Portables NiCd'!AC40+'POM Portables Other'!AC40</f>
        <v>11846.496255395456</v>
      </c>
      <c r="AD31" s="67">
        <f>'POM Portables Zn-based'!AD40+'POM Portables Li-Rechargeab'!AD40+'POM Portables Li-Primary'!AD40+'POM Portables Lead-acid'!AD40+'POM Portables NiMH'!AD40+'POM Portables NiCd'!AD40+'POM Portables Other'!AD40</f>
        <v>12482.462139440502</v>
      </c>
      <c r="AE31" s="67">
        <f>'POM Portables Zn-based'!AE40+'POM Portables Li-Rechargeab'!AE40+'POM Portables Li-Primary'!AE40+'POM Portables Lead-acid'!AE40+'POM Portables NiMH'!AE40+'POM Portables NiCd'!AE40+'POM Portables Other'!AE40</f>
        <v>13220.005718130473</v>
      </c>
      <c r="AF31" s="67">
        <f>'POM Portables Zn-based'!AF40+'POM Portables Li-Rechargeab'!AF40+'POM Portables Li-Primary'!AF40+'POM Portables Lead-acid'!AF40+'POM Portables NiMH'!AF40+'POM Portables NiCd'!AF40+'POM Portables Other'!AF40</f>
        <v>14015.21765335744</v>
      </c>
      <c r="AG31" s="67">
        <f>'POM Portables Zn-based'!AG40+'POM Portables Li-Rechargeab'!AG40+'POM Portables Li-Primary'!AG40+'POM Portables Lead-acid'!AG40+'POM Portables NiMH'!AG40+'POM Portables NiCd'!AG40+'POM Portables Other'!AG40</f>
        <v>14587.279604455714</v>
      </c>
      <c r="AH31" s="67">
        <f>'POM Portables Zn-based'!AH40+'POM Portables Li-Rechargeab'!AH40+'POM Portables Li-Primary'!AH40+'POM Portables Lead-acid'!AH40+'POM Portables NiMH'!AH40+'POM Portables NiCd'!AH40+'POM Portables Other'!AH40</f>
        <v>15189.139000372345</v>
      </c>
      <c r="AI31" s="67">
        <f>'POM Portables Zn-based'!AI40+'POM Portables Li-Rechargeab'!AI40+'POM Portables Li-Primary'!AI40+'POM Portables Lead-acid'!AI40+'POM Portables NiMH'!AI40+'POM Portables NiCd'!AI40+'POM Portables Other'!AI40</f>
        <v>15822.500603278375</v>
      </c>
      <c r="AJ31" s="67">
        <f>'POM Portables Zn-based'!AJ40+'POM Portables Li-Rechargeab'!AJ40+'POM Portables Li-Primary'!AJ40+'POM Portables Lead-acid'!AJ40+'POM Portables NiMH'!AJ40+'POM Portables NiCd'!AJ40+'POM Portables Other'!AJ40</f>
        <v>16489.137097299121</v>
      </c>
      <c r="AK31" s="67">
        <f>'POM Portables Zn-based'!AK40+'POM Portables Li-Rechargeab'!AK40+'POM Portables Li-Primary'!AK40+'POM Portables Lead-acid'!AK40+'POM Portables NiMH'!AK40+'POM Portables NiCd'!AK40+'POM Portables Other'!AK40</f>
        <v>17190.925278997627</v>
      </c>
      <c r="AL31" s="67">
        <f>'POM Portables Zn-based'!AL40+'POM Portables Li-Rechargeab'!AL40+'POM Portables Li-Primary'!AL40+'POM Portables Lead-acid'!AL40+'POM Portables NiMH'!AL40+'POM Portables NiCd'!AL40+'POM Portables Other'!AL40</f>
        <v>17929.852236898227</v>
      </c>
      <c r="AM31" s="67">
        <f>'POM Portables Zn-based'!AM40+'POM Portables Li-Rechargeab'!AM40+'POM Portables Li-Primary'!AM40+'POM Portables Lead-acid'!AM40+'POM Portables NiMH'!AM40+'POM Portables NiCd'!AM40+'POM Portables Other'!AM40</f>
        <v>18708.021899869971</v>
      </c>
      <c r="AN31" s="67">
        <f>'POM Portables Zn-based'!AN40+'POM Portables Li-Rechargeab'!AN40+'POM Portables Li-Primary'!AN40+'POM Portables Lead-acid'!AN40+'POM Portables NiMH'!AN40+'POM Portables NiCd'!AN40+'POM Portables Other'!AN40</f>
        <v>19527.6619764239</v>
      </c>
      <c r="AO31" s="67">
        <f>'POM Portables Zn-based'!AO40+'POM Portables Li-Rechargeab'!AO40+'POM Portables Li-Primary'!AO40+'POM Portables Lead-acid'!AO40+'POM Portables NiMH'!AO40+'POM Portables NiCd'!AO40+'POM Portables Other'!AO40</f>
        <v>20380.375186372858</v>
      </c>
      <c r="AP31" s="67">
        <f>'POM Portables Zn-based'!AP40+'POM Portables Li-Rechargeab'!AP40+'POM Portables Li-Primary'!AP40+'POM Portables Lead-acid'!AP40+'POM Portables NiMH'!AP40+'POM Portables NiCd'!AP40+'POM Portables Other'!AP40</f>
        <v>21209.328740515029</v>
      </c>
      <c r="AQ31" s="67">
        <f>'POM Portables Zn-based'!AQ40+'POM Portables Li-Rechargeab'!AQ40+'POM Portables Li-Primary'!AQ40+'POM Portables Lead-acid'!AQ40+'POM Portables NiMH'!AQ40+'POM Portables NiCd'!AQ40+'POM Portables Other'!AQ40</f>
        <v>21559.154861596147</v>
      </c>
      <c r="AR31" s="67">
        <f>'POM Portables Zn-based'!AR40+'POM Portables Li-Rechargeab'!AR40+'POM Portables Li-Primary'!AR40+'POM Portables Lead-acid'!AR40+'POM Portables NiMH'!AR40+'POM Portables NiCd'!AR40+'POM Portables Other'!AR40</f>
        <v>21915.398019090142</v>
      </c>
      <c r="AS31" s="67">
        <f>'POM Portables Zn-based'!AS40+'POM Portables Li-Rechargeab'!AS40+'POM Portables Li-Primary'!AS40+'POM Portables Lead-acid'!AS40+'POM Portables NiMH'!AS40+'POM Portables NiCd'!AS40+'POM Portables Other'!AS40</f>
        <v>22278.287534130894</v>
      </c>
      <c r="AT31" s="67">
        <f>'POM Portables Zn-based'!AT40+'POM Portables Li-Rechargeab'!AT40+'POM Portables Li-Primary'!AT40+'POM Portables Lead-acid'!AT40+'POM Portables NiMH'!AT40+'POM Portables NiCd'!AT40+'POM Portables Other'!AT40</f>
        <v>22647.953585309024</v>
      </c>
      <c r="AU31" s="67">
        <f>'POM Portables Zn-based'!AU40+'POM Portables Li-Rechargeab'!AU40+'POM Portables Li-Primary'!AU40+'POM Portables Lead-acid'!AU40+'POM Portables NiMH'!AU40+'POM Portables NiCd'!AU40+'POM Portables Other'!AU40</f>
        <v>23024.529049299435</v>
      </c>
      <c r="AV31" s="67">
        <f>'POM Portables Zn-based'!AV40+'POM Portables Li-Rechargeab'!AV40+'POM Portables Li-Primary'!AV40+'POM Portables Lead-acid'!AV40+'POM Portables NiMH'!AV40+'POM Portables NiCd'!AV40+'POM Portables Other'!AV40</f>
        <v>23394.920885569605</v>
      </c>
      <c r="AW31" s="67">
        <f>'POM Portables Zn-based'!AW40+'POM Portables Li-Rechargeab'!AW40+'POM Portables Li-Primary'!AW40+'POM Portables Lead-acid'!AW40+'POM Portables NiMH'!AW40+'POM Portables NiCd'!AW40+'POM Portables Other'!AW40</f>
        <v>23771.967068452264</v>
      </c>
      <c r="AX31" s="67">
        <f>'POM Portables Zn-based'!AX40+'POM Portables Li-Rechargeab'!AX40+'POM Portables Li-Primary'!AX40+'POM Portables Lead-acid'!AX40+'POM Portables NiMH'!AX40+'POM Portables NiCd'!AX40+'POM Portables Other'!AX40</f>
        <v>24155.791724563278</v>
      </c>
      <c r="AY31" s="67">
        <f>'POM Portables Zn-based'!AY40+'POM Portables Li-Rechargeab'!AY40+'POM Portables Li-Primary'!AY40+'POM Portables Lead-acid'!AY40+'POM Portables NiMH'!AY40+'POM Portables NiCd'!AY40+'POM Portables Other'!AY40</f>
        <v>24546.52138918858</v>
      </c>
      <c r="AZ31" s="67">
        <f>'POM Portables Zn-based'!AZ40+'POM Portables Li-Rechargeab'!AZ40+'POM Portables Li-Primary'!AZ40+'POM Portables Lead-acid'!AZ40+'POM Portables NiMH'!AZ40+'POM Portables NiCd'!AZ40+'POM Portables Other'!AZ40</f>
        <v>24944.285053606134</v>
      </c>
    </row>
    <row r="32" spans="1:52" x14ac:dyDescent="0.35">
      <c r="A32" s="52" t="s">
        <v>29</v>
      </c>
      <c r="B32" s="23">
        <f>'[2]POM Portables Zn-based'!B41+'[2]POM Portables NiMH'!B41+'[2]POM Portables Li-Primary'!B41+'[2]POM Portables Lead-acid'!B41+'[2]POM Portables NiCd'!B41+'[2]POM Portables Li-Rechargeable'!B41+'[2]POM Portables Other'!B41</f>
        <v>2336.3023557416163</v>
      </c>
      <c r="C32" s="23">
        <f>'[2]POM Portables Zn-based'!C41+'[2]POM Portables NiMH'!C41+'[2]POM Portables Li-Primary'!C41+'[2]POM Portables Lead-acid'!C41+'[2]POM Portables NiCd'!C41+'[2]POM Portables Li-Rechargeable'!C41+'[2]POM Portables Other'!C41</f>
        <v>2420.9804218718505</v>
      </c>
      <c r="D32" s="23">
        <f>'[2]POM Portables Zn-based'!D41+'[2]POM Portables NiMH'!D41+'[2]POM Portables Li-Primary'!D41+'[2]POM Portables Lead-acid'!D41+'[2]POM Portables NiCd'!D41+'[2]POM Portables Li-Rechargeable'!D41+'[2]POM Portables Other'!D41</f>
        <v>2514.8614522861872</v>
      </c>
      <c r="E32" s="23">
        <f>'[2]POM Portables Zn-based'!E41+'[2]POM Portables NiMH'!E41+'[2]POM Portables Li-Primary'!E41+'[2]POM Portables Lead-acid'!E41+'[2]POM Portables NiCd'!E41+'[2]POM Portables Li-Rechargeable'!E41+'[2]POM Portables Other'!E41</f>
        <v>2634.7291407627049</v>
      </c>
      <c r="F32" s="23">
        <f>'[2]POM Portables Zn-based'!F41+'[2]POM Portables NiMH'!F41+'[2]POM Portables Li-Primary'!F41+'[2]POM Portables Lead-acid'!F41+'[2]POM Portables NiCd'!F41+'[2]POM Portables Li-Rechargeable'!F41+'[2]POM Portables Other'!F41</f>
        <v>2799.43162601007</v>
      </c>
      <c r="G32" s="23">
        <f>'[2]POM Portables Zn-based'!G41+'[2]POM Portables NiMH'!G41+'[2]POM Portables Li-Primary'!G41+'[2]POM Portables Lead-acid'!G41+'[2]POM Portables NiCd'!G41+'[2]POM Portables Li-Rechargeable'!G41+'[2]POM Portables Other'!G41</f>
        <v>2848.9934472190625</v>
      </c>
      <c r="H32" s="23">
        <f>'[2]POM Portables Zn-based'!H41+'[2]POM Portables NiMH'!H41+'[2]POM Portables Li-Primary'!H41+'[2]POM Portables Lead-acid'!H41+'[2]POM Portables NiCd'!H41+'[2]POM Portables Li-Rechargeable'!H41+'[2]POM Portables Other'!H41</f>
        <v>3041.694993860136</v>
      </c>
      <c r="I32" s="23">
        <f>'[2]POM Portables Zn-based'!I41+'[2]POM Portables NiMH'!I41+'[2]POM Portables Li-Primary'!I41+'[2]POM Portables Lead-acid'!I41+'[2]POM Portables NiCd'!I41+'[2]POM Portables Li-Rechargeable'!I41+'[2]POM Portables Other'!I41</f>
        <v>2971.7489743970832</v>
      </c>
      <c r="J32" s="23">
        <f>'[2]POM Portables Zn-based'!J41+'[2]POM Portables NiMH'!J41+'[2]POM Portables Li-Primary'!J41+'[2]POM Portables Lead-acid'!J41+'[2]POM Portables NiCd'!J41+'[2]POM Portables Li-Rechargeable'!J41+'[2]POM Portables Other'!J41</f>
        <v>3130.0206508550386</v>
      </c>
      <c r="K32" s="23">
        <f>'[2]POM Portables Zn-based'!K41+'[2]POM Portables NiMH'!K41+'[2]POM Portables Li-Primary'!K41+'[2]POM Portables Lead-acid'!K41+'[2]POM Portables NiCd'!K41+'[2]POM Portables Li-Rechargeable'!K41+'[2]POM Portables Other'!K41</f>
        <v>3009.4972567455188</v>
      </c>
      <c r="L32" s="23">
        <f>'[2]POM Portables Zn-based'!L41+'[2]POM Portables NiMH'!L41+'[2]POM Portables Li-Primary'!L41+'[2]POM Portables Lead-acid'!L41+'[2]POM Portables NiCd'!L41+'[2]POM Portables Li-Rechargeable'!L41+'[2]POM Portables Other'!L41</f>
        <v>3242.8492580428601</v>
      </c>
      <c r="M32" s="4">
        <v>3535</v>
      </c>
      <c r="N32" s="4">
        <v>3527</v>
      </c>
      <c r="O32" s="4">
        <v>3599</v>
      </c>
      <c r="P32" s="4">
        <v>3828</v>
      </c>
      <c r="Q32" s="4">
        <v>4040</v>
      </c>
      <c r="R32" s="4">
        <v>4125</v>
      </c>
      <c r="S32" s="4">
        <v>4180</v>
      </c>
      <c r="T32" s="4">
        <v>4539</v>
      </c>
      <c r="U32" s="4">
        <v>4885</v>
      </c>
      <c r="V32" s="4">
        <v>5762</v>
      </c>
      <c r="W32" s="4">
        <v>6615</v>
      </c>
      <c r="X32" s="67">
        <f>'POM Portables Zn-based'!X41+'POM Portables Li-Rechargeab'!X41+'POM Portables Li-Primary'!X41+'POM Portables Lead-acid'!X41+'POM Portables NiMH'!X41+'POM Portables NiCd'!X41+'POM Portables Other'!X41</f>
        <v>6878.8584149644239</v>
      </c>
      <c r="Y32" s="67">
        <f>'POM Portables Zn-based'!Y41+'POM Portables Li-Rechargeab'!Y41+'POM Portables Li-Primary'!Y41+'POM Portables Lead-acid'!Y41+'POM Portables NiMH'!Y41+'POM Portables NiCd'!Y41+'POM Portables Other'!Y41</f>
        <v>7162.3667158861672</v>
      </c>
      <c r="Z32" s="67">
        <f>'POM Portables Zn-based'!Z41+'POM Portables Li-Rechargeab'!Z41+'POM Portables Li-Primary'!Z41+'POM Portables Lead-acid'!Z41+'POM Portables NiMH'!Z41+'POM Portables NiCd'!Z41+'POM Portables Other'!Z41</f>
        <v>7471.9722601863532</v>
      </c>
      <c r="AA32" s="67">
        <f>'POM Portables Zn-based'!AA41+'POM Portables Li-Rechargeab'!AA41+'POM Portables Li-Primary'!AA41+'POM Portables Lead-acid'!AA41+'POM Portables NiMH'!AA41+'POM Portables NiCd'!AA41+'POM Portables Other'!AA41</f>
        <v>7811.2724849199903</v>
      </c>
      <c r="AB32" s="67">
        <f>'POM Portables Zn-based'!AB41+'POM Portables Li-Rechargeab'!AB41+'POM Portables Li-Primary'!AB41+'POM Portables Lead-acid'!AB41+'POM Portables NiMH'!AB41+'POM Portables NiCd'!AB41+'POM Portables Other'!AB41</f>
        <v>8081.695033846845</v>
      </c>
      <c r="AC32" s="67">
        <f>'POM Portables Zn-based'!AC41+'POM Portables Li-Rechargeab'!AC41+'POM Portables Li-Primary'!AC41+'POM Portables Lead-acid'!AC41+'POM Portables NiMH'!AC41+'POM Portables NiCd'!AC41+'POM Portables Other'!AC41</f>
        <v>8405.9203922172492</v>
      </c>
      <c r="AD32" s="67">
        <f>'POM Portables Zn-based'!AD41+'POM Portables Li-Rechargeab'!AD41+'POM Portables Li-Primary'!AD41+'POM Portables Lead-acid'!AD41+'POM Portables NiMH'!AD41+'POM Portables NiCd'!AD41+'POM Portables Other'!AD41</f>
        <v>8811.0429105436306</v>
      </c>
      <c r="AE32" s="67">
        <f>'POM Portables Zn-based'!AE41+'POM Portables Li-Rechargeab'!AE41+'POM Portables Li-Primary'!AE41+'POM Portables Lead-acid'!AE41+'POM Portables NiMH'!AE41+'POM Portables NiCd'!AE41+'POM Portables Other'!AE41</f>
        <v>9275.7553793708757</v>
      </c>
      <c r="AF32" s="67">
        <f>'POM Portables Zn-based'!AF41+'POM Portables Li-Rechargeab'!AF41+'POM Portables Li-Primary'!AF41+'POM Portables Lead-acid'!AF41+'POM Portables NiMH'!AF41+'POM Portables NiCd'!AF41+'POM Portables Other'!AF41</f>
        <v>9773.8803250627207</v>
      </c>
      <c r="AG32" s="67">
        <f>'POM Portables Zn-based'!AG41+'POM Portables Li-Rechargeab'!AG41+'POM Portables Li-Primary'!AG41+'POM Portables Lead-acid'!AG41+'POM Portables NiMH'!AG41+'POM Portables NiCd'!AG41+'POM Portables Other'!AG41</f>
        <v>10143.004848238117</v>
      </c>
      <c r="AH32" s="67">
        <f>'POM Portables Zn-based'!AH41+'POM Portables Li-Rechargeab'!AH41+'POM Portables Li-Primary'!AH41+'POM Portables Lead-acid'!AH41+'POM Portables NiMH'!AH41+'POM Portables NiCd'!AH41+'POM Portables Other'!AH41</f>
        <v>10529.924273298398</v>
      </c>
      <c r="AI32" s="67">
        <f>'POM Portables Zn-based'!AI41+'POM Portables Li-Rechargeab'!AI41+'POM Portables Li-Primary'!AI41+'POM Portables Lead-acid'!AI41+'POM Portables NiMH'!AI41+'POM Portables NiCd'!AI41+'POM Portables Other'!AI41</f>
        <v>10936.067587648296</v>
      </c>
      <c r="AJ32" s="67">
        <f>'POM Portables Zn-based'!AJ41+'POM Portables Li-Rechargeab'!AJ41+'POM Portables Li-Primary'!AJ41+'POM Portables Lead-acid'!AJ41+'POM Portables NiMH'!AJ41+'POM Portables NiCd'!AJ41+'POM Portables Other'!AJ41</f>
        <v>11362.492574427431</v>
      </c>
      <c r="AK32" s="67">
        <f>'POM Portables Zn-based'!AK41+'POM Portables Li-Rechargeab'!AK41+'POM Portables Li-Primary'!AK41+'POM Portables Lead-acid'!AK41+'POM Portables NiMH'!AK41+'POM Portables NiCd'!AK41+'POM Portables Other'!AK41</f>
        <v>11810.318537959743</v>
      </c>
      <c r="AL32" s="67">
        <f>'POM Portables Zn-based'!AL41+'POM Portables Li-Rechargeab'!AL41+'POM Portables Li-Primary'!AL41+'POM Portables Lead-acid'!AL41+'POM Portables NiMH'!AL41+'POM Portables NiCd'!AL41+'POM Portables Other'!AL41</f>
        <v>12280.729939299781</v>
      </c>
      <c r="AM32" s="67">
        <f>'POM Portables Zn-based'!AM41+'POM Portables Li-Rechargeab'!AM41+'POM Portables Li-Primary'!AM41+'POM Portables Lead-acid'!AM41+'POM Portables NiMH'!AM41+'POM Portables NiCd'!AM41+'POM Portables Other'!AM41</f>
        <v>12774.980248260228</v>
      </c>
      <c r="AN32" s="67">
        <f>'POM Portables Zn-based'!AN41+'POM Portables Li-Rechargeab'!AN41+'POM Portables Li-Primary'!AN41+'POM Portables Lead-acid'!AN41+'POM Portables NiMH'!AN41+'POM Portables NiCd'!AN41+'POM Portables Other'!AN41</f>
        <v>13294.396024843552</v>
      </c>
      <c r="AO32" s="67">
        <f>'POM Portables Zn-based'!AO41+'POM Portables Li-Rechargeab'!AO41+'POM Portables Li-Primary'!AO41+'POM Portables Lead-acid'!AO41+'POM Portables NiMH'!AO41+'POM Portables NiCd'!AO41+'POM Portables Other'!AO41</f>
        <v>13832.364145571963</v>
      </c>
      <c r="AP32" s="67">
        <f>'POM Portables Zn-based'!AP41+'POM Portables Li-Rechargeab'!AP41+'POM Portables Li-Primary'!AP41+'POM Portables Lead-acid'!AP41+'POM Portables NiMH'!AP41+'POM Portables NiCd'!AP41+'POM Portables Other'!AP41</f>
        <v>14339.200339788038</v>
      </c>
      <c r="AQ32" s="67">
        <f>'POM Portables Zn-based'!AQ41+'POM Portables Li-Rechargeab'!AQ41+'POM Portables Li-Primary'!AQ41+'POM Portables Lead-acid'!AQ41+'POM Portables NiMH'!AQ41+'POM Portables NiCd'!AQ41+'POM Portables Other'!AQ41</f>
        <v>14567.596937548627</v>
      </c>
      <c r="AR32" s="67">
        <f>'POM Portables Zn-based'!AR41+'POM Portables Li-Rechargeab'!AR41+'POM Portables Li-Primary'!AR41+'POM Portables Lead-acid'!AR41+'POM Portables NiMH'!AR41+'POM Portables NiCd'!AR41+'POM Portables Other'!AR41</f>
        <v>14798.680561227251</v>
      </c>
      <c r="AS32" s="67">
        <f>'POM Portables Zn-based'!AS41+'POM Portables Li-Rechargeab'!AS41+'POM Portables Li-Primary'!AS41+'POM Portables Lead-acid'!AS41+'POM Portables NiMH'!AS41+'POM Portables NiCd'!AS41+'POM Portables Other'!AS41</f>
        <v>15033.971042584966</v>
      </c>
      <c r="AT32" s="67">
        <f>'POM Portables Zn-based'!AT41+'POM Portables Li-Rechargeab'!AT41+'POM Portables Li-Primary'!AT41+'POM Portables Lead-acid'!AT41+'POM Portables NiMH'!AT41+'POM Portables NiCd'!AT41+'POM Portables Other'!AT41</f>
        <v>15273.550618778178</v>
      </c>
      <c r="AU32" s="67">
        <f>'POM Portables Zn-based'!AU41+'POM Portables Li-Rechargeab'!AU41+'POM Portables Li-Primary'!AU41+'POM Portables Lead-acid'!AU41+'POM Portables NiMH'!AU41+'POM Portables NiCd'!AU41+'POM Portables Other'!AU41</f>
        <v>15517.503254029967</v>
      </c>
      <c r="AV32" s="67">
        <f>'POM Portables Zn-based'!AV41+'POM Portables Li-Rechargeab'!AV41+'POM Portables Li-Primary'!AV41+'POM Portables Lead-acid'!AV41+'POM Portables NiMH'!AV41+'POM Portables NiCd'!AV41+'POM Portables Other'!AV41</f>
        <v>15756.054658141235</v>
      </c>
      <c r="AW32" s="67">
        <f>'POM Portables Zn-based'!AW41+'POM Portables Li-Rechargeab'!AW41+'POM Portables Li-Primary'!AW41+'POM Portables Lead-acid'!AW41+'POM Portables NiMH'!AW41+'POM Portables NiCd'!AW41+'POM Portables Other'!AW41</f>
        <v>15998.757983318006</v>
      </c>
      <c r="AX32" s="67">
        <f>'POM Portables Zn-based'!AX41+'POM Portables Li-Rechargeab'!AX41+'POM Portables Li-Primary'!AX41+'POM Portables Lead-acid'!AX41+'POM Portables NiMH'!AX41+'POM Portables NiCd'!AX41+'POM Portables Other'!AX41</f>
        <v>16245.689788896058</v>
      </c>
      <c r="AY32" s="67">
        <f>'POM Portables Zn-based'!AY41+'POM Portables Li-Rechargeab'!AY41+'POM Portables Li-Primary'!AY41+'POM Portables Lead-acid'!AY41+'POM Portables NiMH'!AY41+'POM Portables NiCd'!AY41+'POM Portables Other'!AY41</f>
        <v>16496.92812451061</v>
      </c>
      <c r="AZ32" s="67">
        <f>'POM Portables Zn-based'!AZ41+'POM Portables Li-Rechargeab'!AZ41+'POM Portables Li-Primary'!AZ41+'POM Portables Lead-acid'!AZ41+'POM Portables NiMH'!AZ41+'POM Portables NiCd'!AZ41+'POM Portables Other'!AZ41</f>
        <v>16752.552559885091</v>
      </c>
    </row>
    <row r="33" spans="1:52" x14ac:dyDescent="0.35">
      <c r="A33" s="52" t="s">
        <v>30</v>
      </c>
      <c r="B33" s="23">
        <f>'[2]POM Portables Zn-based'!B42+'[2]POM Portables NiMH'!B42+'[2]POM Portables Li-Primary'!B42+'[2]POM Portables Lead-acid'!B42+'[2]POM Portables NiCd'!B42+'[2]POM Portables Li-Rechargeable'!B42+'[2]POM Portables Other'!B42</f>
        <v>24573.517654474421</v>
      </c>
      <c r="C33" s="23">
        <f>'[2]POM Portables Zn-based'!C42+'[2]POM Portables NiMH'!C42+'[2]POM Portables Li-Primary'!C42+'[2]POM Portables Lead-acid'!C42+'[2]POM Portables NiCd'!C42+'[2]POM Portables Li-Rechargeable'!C42+'[2]POM Portables Other'!C42</f>
        <v>25464.172045968</v>
      </c>
      <c r="D33" s="23">
        <f>'[2]POM Portables Zn-based'!D42+'[2]POM Portables NiMH'!D42+'[2]POM Portables Li-Primary'!D42+'[2]POM Portables Lead-acid'!D42+'[2]POM Portables NiCd'!D42+'[2]POM Portables Li-Rechargeable'!D42+'[2]POM Portables Other'!D42</f>
        <v>26451.62435608419</v>
      </c>
      <c r="E33" s="23">
        <f>'[2]POM Portables Zn-based'!E42+'[2]POM Portables NiMH'!E42+'[2]POM Portables Li-Primary'!E42+'[2]POM Portables Lead-acid'!E42+'[2]POM Portables NiCd'!E42+'[2]POM Portables Li-Rechargeable'!E42+'[2]POM Portables Other'!E42</f>
        <v>27712.407555544578</v>
      </c>
      <c r="F33" s="23">
        <f>'[2]POM Portables Zn-based'!F42+'[2]POM Portables NiMH'!F42+'[2]POM Portables Li-Primary'!F42+'[2]POM Portables Lead-acid'!F42+'[2]POM Portables NiCd'!F42+'[2]POM Portables Li-Rechargeable'!F42+'[2]POM Portables Other'!F42</f>
        <v>29444.768702643272</v>
      </c>
      <c r="G33" s="23">
        <f>'[2]POM Portables Zn-based'!G42+'[2]POM Portables NiMH'!G42+'[2]POM Portables Li-Primary'!G42+'[2]POM Portables Lead-acid'!G42+'[2]POM Portables NiCd'!G42+'[2]POM Portables Li-Rechargeable'!G42+'[2]POM Portables Other'!G42</f>
        <v>29966.06607901839</v>
      </c>
      <c r="H33" s="23">
        <f>'[2]POM Portables Zn-based'!H42+'[2]POM Portables NiMH'!H42+'[2]POM Portables Li-Primary'!H42+'[2]POM Portables Lead-acid'!H42+'[2]POM Portables NiCd'!H42+'[2]POM Portables Li-Rechargeable'!H42+'[2]POM Portables Other'!H42</f>
        <v>31992.924823046738</v>
      </c>
      <c r="I33" s="23">
        <f>'[2]POM Portables Zn-based'!I42+'[2]POM Portables NiMH'!I42+'[2]POM Portables Li-Primary'!I42+'[2]POM Portables Lead-acid'!I42+'[2]POM Portables NiCd'!I42+'[2]POM Portables Li-Rechargeable'!I42+'[2]POM Portables Other'!I42</f>
        <v>31257.223923755409</v>
      </c>
      <c r="J33" s="23">
        <f>'[2]POM Portables Zn-based'!J42+'[2]POM Portables NiMH'!J42+'[2]POM Portables Li-Primary'!J42+'[2]POM Portables Lead-acid'!J42+'[2]POM Portables NiCd'!J42+'[2]POM Portables Li-Rechargeable'!J42+'[2]POM Portables Other'!J42</f>
        <v>32921.945027205336</v>
      </c>
      <c r="K33" s="23">
        <f>'[2]POM Portables Zn-based'!K42+'[2]POM Portables NiMH'!K42+'[2]POM Portables Li-Primary'!K42+'[2]POM Portables Lead-acid'!K42+'[2]POM Portables NiCd'!K42+'[2]POM Portables Li-Rechargeable'!K42+'[2]POM Portables Other'!K42</f>
        <v>31654.265034652606</v>
      </c>
      <c r="L33" s="23">
        <f>'[2]POM Portables Zn-based'!L42+'[2]POM Portables NiMH'!L42+'[2]POM Portables Li-Primary'!L42+'[2]POM Portables Lead-acid'!L42+'[2]POM Portables NiCd'!L42+'[2]POM Portables Li-Rechargeable'!L42+'[2]POM Portables Other'!L42</f>
        <v>34108.690297502159</v>
      </c>
      <c r="M33" s="4">
        <v>37181.567999999999</v>
      </c>
      <c r="N33" s="4">
        <v>35377.061999999998</v>
      </c>
      <c r="O33" s="4">
        <v>37276.79</v>
      </c>
      <c r="P33" s="4">
        <v>37657.976999999999</v>
      </c>
      <c r="Q33" s="4">
        <v>37950.137000000002</v>
      </c>
      <c r="R33" s="4">
        <v>38918.51</v>
      </c>
      <c r="S33" s="4">
        <v>39013.525999999998</v>
      </c>
      <c r="T33" s="4">
        <v>38165.735000000001</v>
      </c>
      <c r="U33" s="4">
        <v>37748.826999999997</v>
      </c>
      <c r="V33" s="4">
        <v>40367.79</v>
      </c>
      <c r="W33" s="52">
        <v>43473.63</v>
      </c>
      <c r="X33" s="67">
        <f>'POM Portables Zn-based'!X42+'POM Portables Li-Rechargeab'!X42+'POM Portables Li-Primary'!X42+'POM Portables Lead-acid'!X42+'POM Portables NiMH'!X42+'POM Portables NiCd'!X42+'POM Portables Other'!X42</f>
        <v>45207.701519962182</v>
      </c>
      <c r="Y33" s="67">
        <f>'POM Portables Zn-based'!Y42+'POM Portables Li-Rechargeab'!Y42+'POM Portables Li-Primary'!Y42+'POM Portables Lead-acid'!Y42+'POM Portables NiMH'!Y42+'POM Portables NiCd'!Y42+'POM Portables Other'!Y42</f>
        <v>47070.911644860214</v>
      </c>
      <c r="Z33" s="67">
        <f>'POM Portables Zn-based'!Z42+'POM Portables Li-Rechargeab'!Z42+'POM Portables Li-Primary'!Z42+'POM Portables Lead-acid'!Z42+'POM Portables NiMH'!Z42+'POM Portables NiCd'!Z42+'POM Portables Other'!Z42</f>
        <v>49105.632261467152</v>
      </c>
      <c r="AA33" s="67">
        <f>'POM Portables Zn-based'!AA42+'POM Portables Li-Rechargeab'!AA42+'POM Portables Li-Primary'!AA42+'POM Portables Lead-acid'!AA42+'POM Portables NiMH'!AA42+'POM Portables NiCd'!AA42+'POM Portables Other'!AA42</f>
        <v>51335.50564453398</v>
      </c>
      <c r="AB33" s="67">
        <f>'POM Portables Zn-based'!AB42+'POM Portables Li-Rechargeab'!AB42+'POM Portables Li-Primary'!AB42+'POM Portables Lead-acid'!AB42+'POM Portables NiMH'!AB42+'POM Portables NiCd'!AB42+'POM Portables Other'!AB42</f>
        <v>53112.716504050666</v>
      </c>
      <c r="AC33" s="67">
        <f>'POM Portables Zn-based'!AC42+'POM Portables Li-Rechargeab'!AC42+'POM Portables Li-Primary'!AC42+'POM Portables Lead-acid'!AC42+'POM Portables NiMH'!AC42+'POM Portables NiCd'!AC42+'POM Portables Other'!AC42</f>
        <v>55243.518207212022</v>
      </c>
      <c r="AD33" s="67">
        <f>'POM Portables Zn-based'!AD42+'POM Portables Li-Rechargeab'!AD42+'POM Portables Li-Primary'!AD42+'POM Portables Lead-acid'!AD42+'POM Portables NiMH'!AD42+'POM Portables NiCd'!AD42+'POM Portables Other'!AD42</f>
        <v>57905.974211201341</v>
      </c>
      <c r="AE33" s="67">
        <f>'POM Portables Zn-based'!AE42+'POM Portables Li-Rechargeab'!AE42+'POM Portables Li-Primary'!AE42+'POM Portables Lead-acid'!AE42+'POM Portables NiMH'!AE42+'POM Portables NiCd'!AE42+'POM Portables Other'!AE42</f>
        <v>60960.054018636285</v>
      </c>
      <c r="AF33" s="67">
        <f>'POM Portables Zn-based'!AF42+'POM Portables Li-Rechargeab'!AF42+'POM Portables Li-Primary'!AF42+'POM Portables Lead-acid'!AF42+'POM Portables NiMH'!AF42+'POM Portables NiCd'!AF42+'POM Portables Other'!AF42</f>
        <v>64233.719866372849</v>
      </c>
      <c r="AG33" s="67">
        <f>'POM Portables Zn-based'!AG42+'POM Portables Li-Rechargeab'!AG42+'POM Portables Li-Primary'!AG42+'POM Portables Lead-acid'!AG42+'POM Portables NiMH'!AG42+'POM Portables NiCd'!AG42+'POM Portables Other'!AG42</f>
        <v>66659.597862510971</v>
      </c>
      <c r="AH33" s="67">
        <f>'POM Portables Zn-based'!AH42+'POM Portables Li-Rechargeab'!AH42+'POM Portables Li-Primary'!AH42+'POM Portables Lead-acid'!AH42+'POM Portables NiMH'!AH42+'POM Portables NiCd'!AH42+'POM Portables Other'!AH42</f>
        <v>69202.423550324034</v>
      </c>
      <c r="AI33" s="67">
        <f>'POM Portables Zn-based'!AI42+'POM Portables Li-Rechargeab'!AI42+'POM Portables Li-Primary'!AI42+'POM Portables Lead-acid'!AI42+'POM Portables NiMH'!AI42+'POM Portables NiCd'!AI42+'POM Portables Other'!AI42</f>
        <v>71871.5882026326</v>
      </c>
      <c r="AJ33" s="67">
        <f>'POM Portables Zn-based'!AJ42+'POM Portables Li-Rechargeab'!AJ42+'POM Portables Li-Primary'!AJ42+'POM Portables Lead-acid'!AJ42+'POM Portables NiMH'!AJ42+'POM Portables NiCd'!AJ42+'POM Portables Other'!AJ42</f>
        <v>74674.043546244226</v>
      </c>
      <c r="AK33" s="67">
        <f>'POM Portables Zn-based'!AK42+'POM Portables Li-Rechargeab'!AK42+'POM Portables Li-Primary'!AK42+'POM Portables Lead-acid'!AK42+'POM Portables NiMH'!AK42+'POM Portables NiCd'!AK42+'POM Portables Other'!AK42</f>
        <v>77617.1456237948</v>
      </c>
      <c r="AL33" s="67">
        <f>'POM Portables Zn-based'!AL42+'POM Portables Li-Rechargeab'!AL42+'POM Portables Li-Primary'!AL42+'POM Portables Lead-acid'!AL42+'POM Portables NiMH'!AL42+'POM Portables NiCd'!AL42+'POM Portables Other'!AL42</f>
        <v>80708.678686476327</v>
      </c>
      <c r="AM33" s="67">
        <f>'POM Portables Zn-based'!AM42+'POM Portables Li-Rechargeab'!AM42+'POM Portables Li-Primary'!AM42+'POM Portables Lead-acid'!AM42+'POM Portables NiMH'!AM42+'POM Portables NiCd'!AM42+'POM Portables Other'!AM42</f>
        <v>83956.880509474402</v>
      </c>
      <c r="AN33" s="67">
        <f>'POM Portables Zn-based'!AN42+'POM Portables Li-Rechargeab'!AN42+'POM Portables Li-Primary'!AN42+'POM Portables Lead-acid'!AN42+'POM Portables NiMH'!AN42+'POM Portables NiCd'!AN42+'POM Portables Other'!AN42</f>
        <v>87370.46921504449</v>
      </c>
      <c r="AO33" s="67">
        <f>'POM Portables Zn-based'!AO42+'POM Portables Li-Rechargeab'!AO42+'POM Portables Li-Primary'!AO42+'POM Portables Lead-acid'!AO42+'POM Portables NiMH'!AO42+'POM Portables NiCd'!AO42+'POM Portables Other'!AO42</f>
        <v>90905.983505648008</v>
      </c>
      <c r="AP33" s="67">
        <f>'POM Portables Zn-based'!AP42+'POM Portables Li-Rechargeab'!AP42+'POM Portables Li-Primary'!AP42+'POM Portables Lead-acid'!AP42+'POM Portables NiMH'!AP42+'POM Portables NiCd'!AP42+'POM Portables Other'!AP42</f>
        <v>94236.89948115185</v>
      </c>
      <c r="AQ33" s="67">
        <f>'POM Portables Zn-based'!AQ42+'POM Portables Li-Rechargeab'!AQ42+'POM Portables Li-Primary'!AQ42+'POM Portables Lead-acid'!AQ42+'POM Portables NiMH'!AQ42+'POM Portables NiCd'!AQ42+'POM Portables Other'!AQ42</f>
        <v>95737.91674257323</v>
      </c>
      <c r="AR33" s="67">
        <f>'POM Portables Zn-based'!AR42+'POM Portables Li-Rechargeab'!AR42+'POM Portables Li-Primary'!AR42+'POM Portables Lead-acid'!AR42+'POM Portables NiMH'!AR42+'POM Portables NiCd'!AR42+'POM Portables Other'!AR42</f>
        <v>97256.593077397687</v>
      </c>
      <c r="AS33" s="67">
        <f>'POM Portables Zn-based'!AS42+'POM Portables Li-Rechargeab'!AS42+'POM Portables Li-Primary'!AS42+'POM Portables Lead-acid'!AS42+'POM Portables NiMH'!AS42+'POM Portables NiCd'!AS42+'POM Portables Other'!AS42</f>
        <v>98802.916785495545</v>
      </c>
      <c r="AT33" s="67">
        <f>'POM Portables Zn-based'!AT42+'POM Portables Li-Rechargeab'!AT42+'POM Portables Li-Primary'!AT42+'POM Portables Lead-acid'!AT42+'POM Portables NiMH'!AT42+'POM Portables NiCd'!AT42+'POM Portables Other'!AT42</f>
        <v>100377.42832759388</v>
      </c>
      <c r="AU33" s="67">
        <f>'POM Portables Zn-based'!AU42+'POM Portables Li-Rechargeab'!AU42+'POM Portables Li-Primary'!AU42+'POM Portables Lead-acid'!AU42+'POM Portables NiMH'!AU42+'POM Portables NiCd'!AU42+'POM Portables Other'!AU42</f>
        <v>101980.67951466283</v>
      </c>
      <c r="AV33" s="67">
        <f>'POM Portables Zn-based'!AV42+'POM Portables Li-Rechargeab'!AV42+'POM Portables Li-Primary'!AV42+'POM Portables Lead-acid'!AV42+'POM Portables NiMH'!AV42+'POM Portables NiCd'!AV42+'POM Portables Other'!AV42</f>
        <v>103548.43393315321</v>
      </c>
      <c r="AW33" s="67">
        <f>'POM Portables Zn-based'!AW42+'POM Portables Li-Rechargeab'!AW42+'POM Portables Li-Primary'!AW42+'POM Portables Lead-acid'!AW42+'POM Portables NiMH'!AW42+'POM Portables NiCd'!AW42+'POM Portables Other'!AW42</f>
        <v>105143.47468273818</v>
      </c>
      <c r="AX33" s="67">
        <f>'POM Portables Zn-based'!AX42+'POM Portables Li-Rechargeab'!AX42+'POM Portables Li-Primary'!AX42+'POM Portables Lead-acid'!AX42+'POM Portables NiMH'!AX42+'POM Portables NiCd'!AX42+'POM Portables Other'!AX42</f>
        <v>106766.30490963648</v>
      </c>
      <c r="AY33" s="67">
        <f>'POM Portables Zn-based'!AY42+'POM Portables Li-Rechargeab'!AY42+'POM Portables Li-Primary'!AY42+'POM Portables Lead-acid'!AY42+'POM Portables NiMH'!AY42+'POM Portables NiCd'!AY42+'POM Portables Other'!AY42</f>
        <v>108417.43755428091</v>
      </c>
      <c r="AZ33" s="67">
        <f>'POM Portables Zn-based'!AZ42+'POM Portables Li-Rechargeab'!AZ42+'POM Portables Li-Primary'!AZ42+'POM Portables Lead-acid'!AZ42+'POM Portables NiMH'!AZ42+'POM Portables NiCd'!AZ42+'POM Portables Other'!AZ42</f>
        <v>110097.39554708955</v>
      </c>
    </row>
    <row r="34" spans="1:52" x14ac:dyDescent="0.35">
      <c r="A34" s="52" t="s">
        <v>31</v>
      </c>
      <c r="B34" s="4">
        <f t="shared" ref="B34:L34" si="0">SUM(B3:B33)</f>
        <v>143458.72358778937</v>
      </c>
      <c r="C34" s="4">
        <f t="shared" si="0"/>
        <v>148636.15695157702</v>
      </c>
      <c r="D34" s="4">
        <f t="shared" si="0"/>
        <v>154377.07644436808</v>
      </c>
      <c r="E34" s="4">
        <f t="shared" si="0"/>
        <v>161711.51642179539</v>
      </c>
      <c r="F34" s="4">
        <f t="shared" si="0"/>
        <v>171740.40937850848</v>
      </c>
      <c r="G34" s="4">
        <f t="shared" si="0"/>
        <v>174932.31761308725</v>
      </c>
      <c r="H34" s="4">
        <f t="shared" si="0"/>
        <v>186616.76728701394</v>
      </c>
      <c r="I34" s="4">
        <f t="shared" si="0"/>
        <v>182581.61875167742</v>
      </c>
      <c r="J34" s="4">
        <f t="shared" si="0"/>
        <v>192374.03902368099</v>
      </c>
      <c r="K34" s="4">
        <f t="shared" si="0"/>
        <v>185023.85302381383</v>
      </c>
      <c r="L34" s="4">
        <f t="shared" si="0"/>
        <v>199535.9006382341</v>
      </c>
      <c r="M34" s="4">
        <f t="shared" ref="M34:V34" si="1">SUM(M3:M33)</f>
        <v>217921.77452000001</v>
      </c>
      <c r="N34" s="4">
        <f t="shared" si="1"/>
        <v>215083.40577000001</v>
      </c>
      <c r="O34" s="4">
        <f t="shared" si="1"/>
        <v>210778.94300000003</v>
      </c>
      <c r="P34" s="4">
        <f t="shared" si="1"/>
        <v>212349.09066666669</v>
      </c>
      <c r="Q34" s="4">
        <f t="shared" si="1"/>
        <v>217803.83584999997</v>
      </c>
      <c r="R34" s="4">
        <f t="shared" si="1"/>
        <v>220176.22467999998</v>
      </c>
      <c r="S34" s="4">
        <f t="shared" si="1"/>
        <v>235348.66691999999</v>
      </c>
      <c r="T34" s="4">
        <f t="shared" si="1"/>
        <v>236741.69426000002</v>
      </c>
      <c r="U34" s="4">
        <f t="shared" si="1"/>
        <v>254488.17055000004</v>
      </c>
      <c r="V34" s="4">
        <f t="shared" si="1"/>
        <v>279392.74111</v>
      </c>
      <c r="W34" s="4">
        <f>SUM(W3:W33)</f>
        <v>298588.52999999997</v>
      </c>
      <c r="X34" s="4">
        <f t="shared" ref="X34:AZ34" si="2">SUM(X3:X33)</f>
        <v>310623.72869183886</v>
      </c>
      <c r="Y34" s="4">
        <f t="shared" si="2"/>
        <v>323499.44329963881</v>
      </c>
      <c r="Z34" s="4">
        <f t="shared" si="2"/>
        <v>337535.15735232114</v>
      </c>
      <c r="AA34" s="4">
        <f t="shared" si="2"/>
        <v>352870.30954416911</v>
      </c>
      <c r="AB34" s="4">
        <f t="shared" si="2"/>
        <v>364840.13703132729</v>
      </c>
      <c r="AC34" s="4">
        <f t="shared" si="2"/>
        <v>379297.20864184276</v>
      </c>
      <c r="AD34" s="4">
        <f t="shared" si="2"/>
        <v>397522.95054789097</v>
      </c>
      <c r="AE34" s="4">
        <f t="shared" si="2"/>
        <v>418497.24150392361</v>
      </c>
      <c r="AF34" s="4">
        <f t="shared" si="2"/>
        <v>440977.56927527464</v>
      </c>
      <c r="AG34" s="4">
        <f t="shared" si="2"/>
        <v>457632.70842134883</v>
      </c>
      <c r="AH34" s="4">
        <f t="shared" si="2"/>
        <v>475092.88569381263</v>
      </c>
      <c r="AI34" s="4">
        <f t="shared" si="2"/>
        <v>493420.79959414277</v>
      </c>
      <c r="AJ34" s="4">
        <f t="shared" si="2"/>
        <v>512664.20113662357</v>
      </c>
      <c r="AK34" s="4">
        <f t="shared" si="2"/>
        <v>532873.61874332873</v>
      </c>
      <c r="AL34" s="4">
        <f t="shared" si="2"/>
        <v>554102.52237814059</v>
      </c>
      <c r="AM34" s="4">
        <f t="shared" si="2"/>
        <v>576407.49745449447</v>
      </c>
      <c r="AN34" s="4">
        <f t="shared" si="2"/>
        <v>599848.42910029669</v>
      </c>
      <c r="AO34" s="4">
        <f t="shared" si="2"/>
        <v>624122.84730761079</v>
      </c>
      <c r="AP34" s="4">
        <f t="shared" si="2"/>
        <v>646994.95338894508</v>
      </c>
      <c r="AQ34" s="4">
        <f t="shared" si="2"/>
        <v>657294.10361217102</v>
      </c>
      <c r="AR34" s="4">
        <f t="shared" si="2"/>
        <v>667720.52364052553</v>
      </c>
      <c r="AS34" s="4">
        <f t="shared" si="2"/>
        <v>678336.75337876682</v>
      </c>
      <c r="AT34" s="4">
        <f t="shared" si="2"/>
        <v>689146.50246753625</v>
      </c>
      <c r="AU34" s="4">
        <f t="shared" si="2"/>
        <v>700153.558430198</v>
      </c>
      <c r="AV34" s="4">
        <f t="shared" si="2"/>
        <v>710911.83892341959</v>
      </c>
      <c r="AW34" s="4">
        <f t="shared" si="2"/>
        <v>721857.24390992231</v>
      </c>
      <c r="AX34" s="4">
        <f t="shared" si="2"/>
        <v>732993.22008177615</v>
      </c>
      <c r="AY34" s="4">
        <f t="shared" si="2"/>
        <v>744323.28112121904</v>
      </c>
      <c r="AZ34" s="4">
        <f t="shared" si="2"/>
        <v>755851.00903669407</v>
      </c>
    </row>
    <row r="35" spans="1:52" x14ac:dyDescent="0.35"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7" spans="1:52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49"/>
    </row>
    <row r="38" spans="1:52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49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80FA-DE35-42CF-9B5B-1E7FF736A2A3}">
  <sheetPr>
    <tabColor theme="9"/>
  </sheetPr>
  <dimension ref="A1:AZ48"/>
  <sheetViews>
    <sheetView topLeftCell="N1" zoomScale="70" zoomScaleNormal="70" workbookViewId="0">
      <selection activeCell="X12" sqref="X12"/>
    </sheetView>
  </sheetViews>
  <sheetFormatPr baseColWidth="10" defaultRowHeight="14.5" x14ac:dyDescent="0.35"/>
  <cols>
    <col min="1" max="1" width="32.36328125" customWidth="1"/>
    <col min="2" max="2" width="12" customWidth="1"/>
    <col min="3" max="3" width="12.08984375" customWidth="1"/>
    <col min="4" max="4" width="12" customWidth="1"/>
    <col min="5" max="12" width="11" customWidth="1"/>
    <col min="13" max="22" width="11.26953125" bestFit="1" customWidth="1"/>
  </cols>
  <sheetData>
    <row r="1" spans="1:52" x14ac:dyDescent="0.35">
      <c r="A1" s="52" t="s">
        <v>82</v>
      </c>
      <c r="B1" s="52" t="s">
        <v>69</v>
      </c>
      <c r="C1" s="52" t="s">
        <v>83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52" x14ac:dyDescent="0.35">
      <c r="A2" s="52"/>
      <c r="B2" s="26"/>
      <c r="C2" s="26"/>
      <c r="D2" s="52"/>
      <c r="E2" s="52"/>
      <c r="F2" s="52"/>
      <c r="G2" s="52"/>
      <c r="H2" s="52"/>
      <c r="I2" s="52"/>
      <c r="J2" s="52"/>
      <c r="K2" s="52"/>
      <c r="L2" s="52"/>
      <c r="M2" s="107" t="s">
        <v>84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1:52" x14ac:dyDescent="0.35">
      <c r="A3" s="55" t="s">
        <v>39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1">
        <v>0.66290293207066109</v>
      </c>
      <c r="N4" s="11">
        <v>0.67298232829294957</v>
      </c>
      <c r="O4" s="11">
        <v>0.70613453412700855</v>
      </c>
      <c r="P4" s="11">
        <v>0.72031662269129293</v>
      </c>
      <c r="Q4" s="11">
        <v>0.71487043580683152</v>
      </c>
      <c r="R4" s="11">
        <v>0.69477740939102839</v>
      </c>
      <c r="S4" s="11">
        <v>0.66376006918595065</v>
      </c>
      <c r="T4" s="11">
        <v>0.67570454744141117</v>
      </c>
      <c r="U4" s="11">
        <v>0.63655376087406579</v>
      </c>
      <c r="V4" s="11">
        <v>0.62158134665439102</v>
      </c>
      <c r="W4" s="2">
        <v>0.63968589315908542</v>
      </c>
    </row>
    <row r="5" spans="1:52" x14ac:dyDescent="0.35">
      <c r="A5" s="8" t="s">
        <v>9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2">
        <v>0.72170403587443943</v>
      </c>
      <c r="N5" s="12">
        <v>0.72204913121629721</v>
      </c>
      <c r="O5" s="12">
        <v>0.67519096645632681</v>
      </c>
      <c r="P5" s="12">
        <v>0.66801671078228142</v>
      </c>
      <c r="Q5" s="12">
        <v>0.67786303288866245</v>
      </c>
      <c r="R5" s="11">
        <v>0.67490646712987712</v>
      </c>
      <c r="S5" s="11">
        <v>0.65221396353471828</v>
      </c>
      <c r="T5" s="11">
        <v>0.64301268092737285</v>
      </c>
      <c r="U5" s="11">
        <v>0.62650785914463258</v>
      </c>
      <c r="V5" s="11">
        <v>0.62215300202897728</v>
      </c>
      <c r="W5" s="2"/>
    </row>
    <row r="6" spans="1:52" x14ac:dyDescent="0.35">
      <c r="A6" s="8" t="s">
        <v>27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12">
        <v>0.71464914930200485</v>
      </c>
      <c r="N6" s="12">
        <v>0.71611758739175579</v>
      </c>
      <c r="O6" s="12">
        <v>0.73271920044383476</v>
      </c>
      <c r="P6" s="12">
        <v>0.71316006247063779</v>
      </c>
      <c r="Q6" s="12">
        <v>0.73591726948409486</v>
      </c>
      <c r="R6" s="11">
        <v>0.72641969168856757</v>
      </c>
      <c r="S6" s="11">
        <v>0.69008384852226312</v>
      </c>
      <c r="T6" s="11">
        <v>0.68583029134938833</v>
      </c>
      <c r="U6" s="11">
        <v>0.67911924885239616</v>
      </c>
      <c r="V6" s="11">
        <v>0.66368514832102321</v>
      </c>
      <c r="W6" s="2">
        <v>0.64157365059971128</v>
      </c>
    </row>
    <row r="7" spans="1:52" x14ac:dyDescent="0.35">
      <c r="A7" s="8" t="s">
        <v>28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12">
        <v>0.58884022424667104</v>
      </c>
      <c r="N7" s="12">
        <v>0.59771663593816482</v>
      </c>
      <c r="O7" s="12">
        <v>0.61461829607941154</v>
      </c>
      <c r="P7" s="12">
        <v>0.56840903072033899</v>
      </c>
      <c r="Q7" s="12">
        <v>0.60178254959651745</v>
      </c>
      <c r="R7" s="11">
        <v>0.56940703049652464</v>
      </c>
      <c r="S7" s="11">
        <v>0.57116164542294323</v>
      </c>
      <c r="T7" s="11">
        <v>0.54133313821614104</v>
      </c>
      <c r="U7" s="11">
        <v>0.53905666877188951</v>
      </c>
      <c r="V7" s="11">
        <v>0.57579686941794461</v>
      </c>
      <c r="W7" s="2">
        <v>0.56655986018060012</v>
      </c>
    </row>
    <row r="8" spans="1:52" x14ac:dyDescent="0.35">
      <c r="A8" s="14" t="s">
        <v>32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15">
        <v>0.69042603559860449</v>
      </c>
      <c r="N8" s="15">
        <v>0.69530138504820782</v>
      </c>
      <c r="O8" s="15">
        <v>0.69787144106988619</v>
      </c>
      <c r="P8" s="15">
        <v>0.69439815407950956</v>
      </c>
      <c r="Q8" s="15">
        <v>0.70218731163226866</v>
      </c>
      <c r="R8" s="15">
        <v>0.68942861456901805</v>
      </c>
      <c r="S8" s="15">
        <v>0.66144484438783224</v>
      </c>
      <c r="T8" s="15">
        <v>0.66078486613871279</v>
      </c>
      <c r="U8" s="15">
        <v>0.63812755053684944</v>
      </c>
      <c r="V8" s="16">
        <v>0.62905971826195195</v>
      </c>
      <c r="W8" s="43">
        <v>0.63491975500479836</v>
      </c>
    </row>
    <row r="9" spans="1:52" x14ac:dyDescent="0.3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45"/>
      <c r="N9" s="45"/>
      <c r="O9" s="45"/>
      <c r="P9" s="45"/>
      <c r="Q9" s="45"/>
      <c r="R9" s="45"/>
      <c r="S9" s="45"/>
      <c r="T9" s="45"/>
      <c r="U9" s="45"/>
      <c r="V9" s="56"/>
      <c r="W9" s="49"/>
      <c r="X9" s="6" t="s">
        <v>78</v>
      </c>
    </row>
    <row r="10" spans="1:52" x14ac:dyDescent="0.35">
      <c r="A10" s="52"/>
      <c r="B10" s="108" t="s">
        <v>85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9" t="s">
        <v>86</v>
      </c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5" t="s">
        <v>79</v>
      </c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</row>
    <row r="11" spans="1:52" x14ac:dyDescent="0.35">
      <c r="A11" s="52"/>
      <c r="B11" s="5">
        <v>2000</v>
      </c>
      <c r="C11" s="5">
        <v>2001</v>
      </c>
      <c r="D11" s="5">
        <v>2002</v>
      </c>
      <c r="E11" s="5">
        <v>2003</v>
      </c>
      <c r="F11" s="5">
        <v>2004</v>
      </c>
      <c r="G11" s="5">
        <v>2005</v>
      </c>
      <c r="H11" s="5">
        <v>2006</v>
      </c>
      <c r="I11" s="5">
        <v>2007</v>
      </c>
      <c r="J11" s="5">
        <v>2008</v>
      </c>
      <c r="K11" s="5">
        <v>2009</v>
      </c>
      <c r="L11" s="5">
        <v>2010</v>
      </c>
      <c r="M11" s="57">
        <v>2011</v>
      </c>
      <c r="N11" s="57">
        <v>2012</v>
      </c>
      <c r="O11" s="57">
        <v>2013</v>
      </c>
      <c r="P11" s="57">
        <v>2014</v>
      </c>
      <c r="Q11" s="57">
        <v>2015</v>
      </c>
      <c r="R11" s="57">
        <v>2016</v>
      </c>
      <c r="S11" s="57">
        <v>2017</v>
      </c>
      <c r="T11" s="57">
        <v>2018</v>
      </c>
      <c r="U11" s="57">
        <v>2019</v>
      </c>
      <c r="V11" s="57">
        <v>2020</v>
      </c>
      <c r="W11" s="57">
        <v>2021</v>
      </c>
      <c r="X11" s="47">
        <v>2022</v>
      </c>
      <c r="Y11" s="47">
        <v>2023</v>
      </c>
      <c r="Z11" s="47">
        <v>2024</v>
      </c>
      <c r="AA11" s="47">
        <v>2025</v>
      </c>
      <c r="AB11" s="47">
        <v>2026</v>
      </c>
      <c r="AC11" s="47">
        <v>2027</v>
      </c>
      <c r="AD11" s="47">
        <v>2028</v>
      </c>
      <c r="AE11" s="47">
        <v>2029</v>
      </c>
      <c r="AF11" s="47">
        <v>2030</v>
      </c>
      <c r="AG11" s="47">
        <v>2031</v>
      </c>
      <c r="AH11" s="47">
        <v>2032</v>
      </c>
      <c r="AI11" s="47">
        <v>2033</v>
      </c>
      <c r="AJ11" s="47">
        <v>2034</v>
      </c>
      <c r="AK11" s="47">
        <v>2035</v>
      </c>
      <c r="AL11" s="47">
        <v>2036</v>
      </c>
      <c r="AM11" s="47">
        <v>2037</v>
      </c>
      <c r="AN11" s="47">
        <v>2038</v>
      </c>
      <c r="AO11" s="47">
        <v>2039</v>
      </c>
      <c r="AP11" s="47">
        <v>2040</v>
      </c>
      <c r="AQ11" s="47">
        <v>2041</v>
      </c>
      <c r="AR11" s="47">
        <v>2042</v>
      </c>
      <c r="AS11" s="47">
        <v>2043</v>
      </c>
      <c r="AT11" s="47">
        <v>2044</v>
      </c>
      <c r="AU11" s="47">
        <v>2045</v>
      </c>
      <c r="AV11" s="47">
        <v>2046</v>
      </c>
      <c r="AW11" s="47">
        <v>2047</v>
      </c>
      <c r="AX11" s="47">
        <v>2048</v>
      </c>
      <c r="AY11" s="47">
        <v>2049</v>
      </c>
      <c r="AZ11" s="47">
        <v>2050</v>
      </c>
    </row>
    <row r="12" spans="1:52" x14ac:dyDescent="0.35">
      <c r="A12" s="52" t="s">
        <v>0</v>
      </c>
      <c r="B12" s="23">
        <f t="shared" ref="B12:L27" si="0">C12/1.02</f>
        <v>2006.7310978929265</v>
      </c>
      <c r="C12" s="23">
        <f t="shared" si="0"/>
        <v>2046.8657198507851</v>
      </c>
      <c r="D12" s="23">
        <f t="shared" si="0"/>
        <v>2087.803034247801</v>
      </c>
      <c r="E12" s="23">
        <f t="shared" si="0"/>
        <v>2129.559094932757</v>
      </c>
      <c r="F12" s="23">
        <f t="shared" si="0"/>
        <v>2172.1502768314122</v>
      </c>
      <c r="G12" s="23">
        <f t="shared" si="0"/>
        <v>2215.5932823680405</v>
      </c>
      <c r="H12" s="23">
        <f t="shared" si="0"/>
        <v>2259.9051480154012</v>
      </c>
      <c r="I12" s="23">
        <f t="shared" si="0"/>
        <v>2305.1032509757092</v>
      </c>
      <c r="J12" s="23">
        <f t="shared" si="0"/>
        <v>2351.2053159952234</v>
      </c>
      <c r="K12" s="23">
        <f t="shared" si="0"/>
        <v>2398.229422315128</v>
      </c>
      <c r="L12" s="23">
        <f>M12/1.02</f>
        <v>2446.1940107614305</v>
      </c>
      <c r="M12" s="4">
        <f>$M$8*'[2]Eurostat POM Portables GU'!M3</f>
        <v>2495.1178909766591</v>
      </c>
      <c r="N12" s="4">
        <f>$N$8*'[2]Eurostat POM Portables GU'!N3</f>
        <v>2584.5601730240401</v>
      </c>
      <c r="O12" s="4">
        <f>$O$8*'[2]Eurostat POM Portables GU'!O3</f>
        <v>2715.8002107526331</v>
      </c>
      <c r="P12" s="4">
        <f>$P$8*'[2]Eurostat POM Portables GU'!P3</f>
        <v>2837.7497172022545</v>
      </c>
      <c r="Q12" s="4">
        <f>$Q$8*'[2]Eurostat POM Portables GU'!Q3</f>
        <v>3193.0499371715136</v>
      </c>
      <c r="R12" s="4">
        <f>$R$8*'[2]Eurostat POM Portables GU'!R3</f>
        <v>3245.864168204509</v>
      </c>
      <c r="S12" s="4">
        <f>$S$8*'[2]Eurostat POM Portables GU'!S3</f>
        <v>3138.969136732419</v>
      </c>
      <c r="T12" s="4">
        <f>$T$8*'[2]Eurostat POM Portables GU'!T3</f>
        <v>3600.908313519878</v>
      </c>
      <c r="U12" s="4">
        <f>$U$8*'[2]Eurostat POM Portables GU'!U3</f>
        <v>3675.8990088223941</v>
      </c>
      <c r="V12" s="4">
        <f>$V$8*'[2]Eurostat POM Portables GU'!V3</f>
        <v>3992.6320360496861</v>
      </c>
      <c r="W12" s="4">
        <f>$W$8*'[2]Eurostat POM Portables GU'!W3</f>
        <v>3897.7723759744572</v>
      </c>
      <c r="X12" s="48">
        <f>'[3]others portable_Zn-based'!AC12</f>
        <v>3975.7278234939463</v>
      </c>
      <c r="Y12" s="48">
        <f>'[3]others portable_Zn-based'!AD12</f>
        <v>4055.2423799638254</v>
      </c>
      <c r="Z12" s="48">
        <f>'[3]others portable_Zn-based'!AE12</f>
        <v>4136.347227563102</v>
      </c>
      <c r="AA12" s="48">
        <f>'[3]others portable_Zn-based'!AF12</f>
        <v>4219.074172114364</v>
      </c>
      <c r="AB12" s="48">
        <f>'[3]others portable_Zn-based'!AG12</f>
        <v>4303.4556555566514</v>
      </c>
      <c r="AC12" s="48">
        <f>'[3]others portable_Zn-based'!AH12</f>
        <v>4389.5247686677849</v>
      </c>
      <c r="AD12" s="48">
        <f>'[3]others portable_Zn-based'!AI12</f>
        <v>4477.3152640411408</v>
      </c>
      <c r="AE12" s="48">
        <f>'[3]others portable_Zn-based'!AJ12</f>
        <v>4566.8615693219635</v>
      </c>
      <c r="AF12" s="48">
        <f>'[3]others portable_Zn-based'!AK12</f>
        <v>4658.1988007084028</v>
      </c>
      <c r="AG12" s="48">
        <f>'[3]others portable_Zn-based'!AL12</f>
        <v>4751.3627767225707</v>
      </c>
      <c r="AH12" s="48">
        <f>'[3]others portable_Zn-based'!AM12</f>
        <v>4846.3900322570225</v>
      </c>
      <c r="AI12" s="48">
        <f>'[3]others portable_Zn-based'!AN12</f>
        <v>4943.317832902163</v>
      </c>
      <c r="AJ12" s="48">
        <f>'[3]others portable_Zn-based'!AO12</f>
        <v>5042.1841895602065</v>
      </c>
      <c r="AK12" s="48">
        <f>'[3]others portable_Zn-based'!AP12</f>
        <v>5143.0278733514106</v>
      </c>
      <c r="AL12" s="48">
        <f>'[3]others portable_Zn-based'!AQ12</f>
        <v>5245.8884308184388</v>
      </c>
      <c r="AM12" s="48">
        <f>'[3]others portable_Zn-based'!AR12</f>
        <v>5350.8061994348072</v>
      </c>
      <c r="AN12" s="48">
        <f>'[3]others portable_Zn-based'!AS12</f>
        <v>5457.8223234235038</v>
      </c>
      <c r="AO12" s="48">
        <f>'[3]others portable_Zn-based'!AT12</f>
        <v>5566.9787698919736</v>
      </c>
      <c r="AP12" s="48">
        <f>'[3]others portable_Zn-based'!AU12</f>
        <v>5622.6485575908937</v>
      </c>
      <c r="AQ12" s="48">
        <f>'[3]others portable_Zn-based'!AV12</f>
        <v>5678.8750431668022</v>
      </c>
      <c r="AR12" s="48">
        <f>'[3]others portable_Zn-based'!AW12</f>
        <v>5735.66379359847</v>
      </c>
      <c r="AS12" s="48">
        <f>'[3]others portable_Zn-based'!AX12</f>
        <v>5793.0204315344545</v>
      </c>
      <c r="AT12" s="48">
        <f>'[3]others portable_Zn-based'!AY12</f>
        <v>5850.9506358497993</v>
      </c>
      <c r="AU12" s="48">
        <f>'[3]others portable_Zn-based'!AZ12</f>
        <v>5909.4601422082969</v>
      </c>
      <c r="AV12" s="48">
        <f>'[3]others portable_Zn-based'!BA12</f>
        <v>5968.5547436303796</v>
      </c>
      <c r="AW12" s="48">
        <f>'[3]others portable_Zn-based'!BB12</f>
        <v>6028.2402910666833</v>
      </c>
      <c r="AX12" s="48">
        <f>'[3]others portable_Zn-based'!BC12</f>
        <v>6088.5226939773502</v>
      </c>
      <c r="AY12" s="48">
        <f>'[3]others portable_Zn-based'!BD12</f>
        <v>6149.4079209171241</v>
      </c>
      <c r="AZ12" s="48">
        <f>'[3]others portable_Zn-based'!BE12</f>
        <v>6210.9020001262952</v>
      </c>
    </row>
    <row r="13" spans="1:52" x14ac:dyDescent="0.35">
      <c r="A13" s="52" t="s">
        <v>1</v>
      </c>
      <c r="B13" s="23">
        <f t="shared" si="0"/>
        <v>2443.8055074441863</v>
      </c>
      <c r="C13" s="23">
        <f t="shared" si="0"/>
        <v>2492.6816175930703</v>
      </c>
      <c r="D13" s="23">
        <f t="shared" si="0"/>
        <v>2542.5352499449318</v>
      </c>
      <c r="E13" s="23">
        <f t="shared" si="0"/>
        <v>2593.3859549438307</v>
      </c>
      <c r="F13" s="23">
        <f t="shared" si="0"/>
        <v>2645.2536740427072</v>
      </c>
      <c r="G13" s="23">
        <f t="shared" si="0"/>
        <v>2698.1587475235615</v>
      </c>
      <c r="H13" s="23">
        <f t="shared" si="0"/>
        <v>2752.1219224740325</v>
      </c>
      <c r="I13" s="23">
        <f t="shared" si="0"/>
        <v>2807.1643609235134</v>
      </c>
      <c r="J13" s="23">
        <f t="shared" si="0"/>
        <v>2863.3076481419839</v>
      </c>
      <c r="K13" s="23">
        <f t="shared" si="0"/>
        <v>2920.5738011048238</v>
      </c>
      <c r="L13" s="23">
        <f t="shared" si="0"/>
        <v>2978.9852771269202</v>
      </c>
      <c r="M13" s="4">
        <f>$M$8*'[2]Eurostat POM Portables GU'!M4</f>
        <v>3038.5649826694585</v>
      </c>
      <c r="N13" s="4">
        <f>$N$8*'[2]Eurostat POM Portables GU'!N4</f>
        <v>2961.2885989203173</v>
      </c>
      <c r="O13" s="4">
        <f>$O$8*'[2]Eurostat POM Portables GU'!O4</f>
        <v>3069.2385978253596</v>
      </c>
      <c r="P13" s="4">
        <f>$P$8*'[2]Eurostat POM Portables GU'!P4</f>
        <v>2931.7490065236893</v>
      </c>
      <c r="Q13" s="4">
        <f>$Q$8*'[2]Eurostat POM Portables GU'!Q4</f>
        <v>3206.1872649129386</v>
      </c>
      <c r="R13" s="4">
        <f>$R$8*'[2]Eurostat POM Portables GU'!R4</f>
        <v>3161.0301977989479</v>
      </c>
      <c r="S13" s="4">
        <f>$S$8*'[2]Eurostat POM Portables GU'!S4</f>
        <v>3165.6750252401653</v>
      </c>
      <c r="T13" s="4">
        <f>$T$8*'[2]Eurostat POM Portables GU'!T4</f>
        <v>3251.0615414024669</v>
      </c>
      <c r="U13" s="4">
        <f>$U$8*'[2]Eurostat POM Portables GU'!U4</f>
        <v>3454.1844310559659</v>
      </c>
      <c r="V13" s="4">
        <f>$V$8*'[2]Eurostat POM Portables GU'!V4</f>
        <v>3529.6540791678126</v>
      </c>
      <c r="W13" s="4">
        <f>$W$8*'[2]Eurostat POM Portables GU'!W4</f>
        <v>3961.264351474937</v>
      </c>
      <c r="X13" s="48">
        <f>'[3]others portable_Zn-based'!AC13</f>
        <v>4040.4896385044358</v>
      </c>
      <c r="Y13" s="48">
        <f>'[3]others portable_Zn-based'!AD13</f>
        <v>4121.2994312745241</v>
      </c>
      <c r="Z13" s="48">
        <f>'[3]others portable_Zn-based'!AE13</f>
        <v>4203.7254199000145</v>
      </c>
      <c r="AA13" s="48">
        <f>'[3]others portable_Zn-based'!AF13</f>
        <v>4287.7999282980145</v>
      </c>
      <c r="AB13" s="48">
        <f>'[3]others portable_Zn-based'!AG13</f>
        <v>4373.5559268639745</v>
      </c>
      <c r="AC13" s="48">
        <f>'[3]others portable_Zn-based'!AH13</f>
        <v>4461.0270454012543</v>
      </c>
      <c r="AD13" s="48">
        <f>'[3]others portable_Zn-based'!AI13</f>
        <v>4550.2475863092795</v>
      </c>
      <c r="AE13" s="48">
        <f>'[3]others portable_Zn-based'!AJ13</f>
        <v>4641.2525380354655</v>
      </c>
      <c r="AF13" s="48">
        <f>'[3]others portable_Zn-based'!AK13</f>
        <v>4734.0775887961745</v>
      </c>
      <c r="AG13" s="48">
        <f>'[3]others portable_Zn-based'!AL13</f>
        <v>4828.7591405720977</v>
      </c>
      <c r="AH13" s="48">
        <f>'[3]others portable_Zn-based'!AM13</f>
        <v>4925.3343233835394</v>
      </c>
      <c r="AI13" s="48">
        <f>'[3]others portable_Zn-based'!AN13</f>
        <v>5023.8410098512104</v>
      </c>
      <c r="AJ13" s="48">
        <f>'[3]others portable_Zn-based'!AO13</f>
        <v>5124.317830048235</v>
      </c>
      <c r="AK13" s="48">
        <f>'[3]others portable_Zn-based'!AP13</f>
        <v>5226.8041866491994</v>
      </c>
      <c r="AL13" s="48">
        <f>'[3]others portable_Zn-based'!AQ13</f>
        <v>5331.340270382183</v>
      </c>
      <c r="AM13" s="48">
        <f>'[3]others portable_Zn-based'!AR13</f>
        <v>5437.9670757898266</v>
      </c>
      <c r="AN13" s="48">
        <f>'[3]others portable_Zn-based'!AS13</f>
        <v>5546.7264173056228</v>
      </c>
      <c r="AO13" s="48">
        <f>'[3]others portable_Zn-based'!AT13</f>
        <v>5657.6609456517353</v>
      </c>
      <c r="AP13" s="48">
        <f>'[3]others portable_Zn-based'!AU13</f>
        <v>5714.2375551082523</v>
      </c>
      <c r="AQ13" s="48">
        <f>'[3]others portable_Zn-based'!AV13</f>
        <v>5771.3799306593346</v>
      </c>
      <c r="AR13" s="48">
        <f>'[3]others portable_Zn-based'!AW13</f>
        <v>5829.0937299659281</v>
      </c>
      <c r="AS13" s="48">
        <f>'[3]others portable_Zn-based'!AX13</f>
        <v>5887.3846672655873</v>
      </c>
      <c r="AT13" s="48">
        <f>'[3]others portable_Zn-based'!AY13</f>
        <v>5946.2585139382427</v>
      </c>
      <c r="AU13" s="48">
        <f>'[3]others portable_Zn-based'!AZ13</f>
        <v>6005.7210990776248</v>
      </c>
      <c r="AV13" s="48">
        <f>'[3]others portable_Zn-based'!BA13</f>
        <v>6065.778310068401</v>
      </c>
      <c r="AW13" s="48">
        <f>'[3]others portable_Zn-based'!BB13</f>
        <v>6126.4360931690853</v>
      </c>
      <c r="AX13" s="48">
        <f>'[3]others portable_Zn-based'!BC13</f>
        <v>6187.7004541007764</v>
      </c>
      <c r="AY13" s="48">
        <f>'[3]others portable_Zn-based'!BD13</f>
        <v>6249.5774586417838</v>
      </c>
      <c r="AZ13" s="48">
        <f>'[3]others portable_Zn-based'!BE13</f>
        <v>6312.0732332282014</v>
      </c>
    </row>
    <row r="14" spans="1:52" x14ac:dyDescent="0.35">
      <c r="A14" s="52" t="s">
        <v>2</v>
      </c>
      <c r="B14" s="23">
        <f t="shared" si="0"/>
        <v>346.49730439563103</v>
      </c>
      <c r="C14" s="23">
        <f t="shared" si="0"/>
        <v>353.42725048354367</v>
      </c>
      <c r="D14" s="23">
        <f t="shared" si="0"/>
        <v>360.49579549321453</v>
      </c>
      <c r="E14" s="23">
        <f t="shared" si="0"/>
        <v>367.70571140307885</v>
      </c>
      <c r="F14" s="23">
        <f t="shared" si="0"/>
        <v>375.05982563114043</v>
      </c>
      <c r="G14" s="23">
        <f t="shared" si="0"/>
        <v>382.56102214376324</v>
      </c>
      <c r="H14" s="23">
        <f t="shared" si="0"/>
        <v>390.21224258663852</v>
      </c>
      <c r="I14" s="23">
        <f t="shared" si="0"/>
        <v>398.01648743837131</v>
      </c>
      <c r="J14" s="23">
        <f t="shared" si="0"/>
        <v>405.97681718713875</v>
      </c>
      <c r="K14" s="23">
        <f t="shared" si="0"/>
        <v>414.09635353088152</v>
      </c>
      <c r="L14" s="23">
        <f t="shared" si="0"/>
        <v>422.37828060149917</v>
      </c>
      <c r="M14" s="4">
        <f>$M$8*'[2]Eurostat POM Portables GU'!M5</f>
        <v>430.82584621352919</v>
      </c>
      <c r="N14" s="4">
        <f>$N$8*'[2]Eurostat POM Portables GU'!N5</f>
        <v>418.83773422949457</v>
      </c>
      <c r="O14" s="4">
        <f>$O$8*'[2]Eurostat POM Portables GU'!O5</f>
        <v>472.45896560431294</v>
      </c>
      <c r="P14" s="4">
        <f>$P$8*'[2]Eurostat POM Portables GU'!P5</f>
        <v>506.91065247804198</v>
      </c>
      <c r="Q14" s="4">
        <f>$Q$8*'[2]Eurostat POM Portables GU'!Q5</f>
        <v>533.66235684052424</v>
      </c>
      <c r="R14" s="4">
        <f>$R$8*'[2]Eurostat POM Portables GU'!R5</f>
        <v>517.07146092676351</v>
      </c>
      <c r="S14" s="4">
        <f>$S$8*'[2]Eurostat POM Portables GU'!S5</f>
        <v>539.07754817608327</v>
      </c>
      <c r="T14" s="4">
        <f>$T$8*'[2]Eurostat POM Portables GU'!T5</f>
        <v>455.94155763571183</v>
      </c>
      <c r="U14" s="4">
        <f>$U$8*'[2]Eurostat POM Portables GU'!U5</f>
        <v>601.11615260571216</v>
      </c>
      <c r="V14" s="4">
        <f>$V$8*'[2]Eurostat POM Portables GU'!V5</f>
        <v>591.31613516623486</v>
      </c>
      <c r="W14" s="4">
        <f>$W$8*'[2]Eurostat POM Portables GU'!W5</f>
        <v>636.18959451480794</v>
      </c>
      <c r="X14" s="48">
        <f>'[3]others portable_Zn-based'!AC14</f>
        <v>648.91338640510412</v>
      </c>
      <c r="Y14" s="48">
        <f>'[3]others portable_Zn-based'!AD14</f>
        <v>661.8916541332062</v>
      </c>
      <c r="Z14" s="48">
        <f>'[3]others portable_Zn-based'!AE14</f>
        <v>675.12948721587031</v>
      </c>
      <c r="AA14" s="48">
        <f>'[3]others portable_Zn-based'!AF14</f>
        <v>688.63207696018776</v>
      </c>
      <c r="AB14" s="48">
        <f>'[3]others portable_Zn-based'!AG14</f>
        <v>702.40471849939149</v>
      </c>
      <c r="AC14" s="48">
        <f>'[3]others portable_Zn-based'!AH14</f>
        <v>716.45281286937927</v>
      </c>
      <c r="AD14" s="48">
        <f>'[3]others portable_Zn-based'!AI14</f>
        <v>730.78186912676688</v>
      </c>
      <c r="AE14" s="48">
        <f>'[3]others portable_Zn-based'!AJ14</f>
        <v>745.39750650930216</v>
      </c>
      <c r="AF14" s="48">
        <f>'[3]others portable_Zn-based'!AK14</f>
        <v>760.30545663948817</v>
      </c>
      <c r="AG14" s="48">
        <f>'[3]others portable_Zn-based'!AL14</f>
        <v>775.51156577227789</v>
      </c>
      <c r="AH14" s="48">
        <f>'[3]others portable_Zn-based'!AM14</f>
        <v>791.02179708772348</v>
      </c>
      <c r="AI14" s="48">
        <f>'[3]others portable_Zn-based'!AN14</f>
        <v>806.84223302947794</v>
      </c>
      <c r="AJ14" s="48">
        <f>'[3]others portable_Zn-based'!AO14</f>
        <v>822.97907769006747</v>
      </c>
      <c r="AK14" s="48">
        <f>'[3]others portable_Zn-based'!AP14</f>
        <v>839.43865924386887</v>
      </c>
      <c r="AL14" s="48">
        <f>'[3]others portable_Zn-based'!AQ14</f>
        <v>856.22743242874628</v>
      </c>
      <c r="AM14" s="48">
        <f>'[3]others portable_Zn-based'!AR14</f>
        <v>873.35198107732117</v>
      </c>
      <c r="AN14" s="48">
        <f>'[3]others portable_Zn-based'!AS14</f>
        <v>890.81902069886758</v>
      </c>
      <c r="AO14" s="48">
        <f>'[3]others portable_Zn-based'!AT14</f>
        <v>908.63540111284487</v>
      </c>
      <c r="AP14" s="48">
        <f>'[3]others portable_Zn-based'!AU14</f>
        <v>917.72175512397337</v>
      </c>
      <c r="AQ14" s="48">
        <f>'[3]others portable_Zn-based'!AV14</f>
        <v>926.89897267521314</v>
      </c>
      <c r="AR14" s="48">
        <f>'[3]others portable_Zn-based'!AW14</f>
        <v>936.16796240196527</v>
      </c>
      <c r="AS14" s="48">
        <f>'[3]others portable_Zn-based'!AX14</f>
        <v>945.52964202598491</v>
      </c>
      <c r="AT14" s="48">
        <f>'[3]others portable_Zn-based'!AY14</f>
        <v>954.98493844624477</v>
      </c>
      <c r="AU14" s="48">
        <f>'[3]others portable_Zn-based'!AZ14</f>
        <v>964.53478783070727</v>
      </c>
      <c r="AV14" s="48">
        <f>'[3]others portable_Zn-based'!BA14</f>
        <v>974.18013570901439</v>
      </c>
      <c r="AW14" s="48">
        <f>'[3]others portable_Zn-based'!BB14</f>
        <v>983.92193706610453</v>
      </c>
      <c r="AX14" s="48">
        <f>'[3]others portable_Zn-based'!BC14</f>
        <v>993.76115643676553</v>
      </c>
      <c r="AY14" s="48">
        <f>'[3]others portable_Zn-based'!BD14</f>
        <v>1003.6987680011332</v>
      </c>
      <c r="AZ14" s="48">
        <f>'[3]others portable_Zn-based'!BE14</f>
        <v>1013.7357556811445</v>
      </c>
    </row>
    <row r="15" spans="1:52" x14ac:dyDescent="0.35">
      <c r="A15" s="52" t="s">
        <v>3</v>
      </c>
      <c r="B15" s="23">
        <f t="shared" si="0"/>
        <v>184.20996115417736</v>
      </c>
      <c r="C15" s="23">
        <f t="shared" si="0"/>
        <v>187.8941603772609</v>
      </c>
      <c r="D15" s="23">
        <f t="shared" si="0"/>
        <v>191.65204358480614</v>
      </c>
      <c r="E15" s="23">
        <f t="shared" si="0"/>
        <v>195.48508445650225</v>
      </c>
      <c r="F15" s="23">
        <f t="shared" si="0"/>
        <v>199.39478614563231</v>
      </c>
      <c r="G15" s="23">
        <f t="shared" si="0"/>
        <v>203.38268186854495</v>
      </c>
      <c r="H15" s="23">
        <f t="shared" si="0"/>
        <v>207.45033550591586</v>
      </c>
      <c r="I15" s="23">
        <f t="shared" si="0"/>
        <v>211.59934221603419</v>
      </c>
      <c r="J15" s="23">
        <f t="shared" si="0"/>
        <v>215.83132906035488</v>
      </c>
      <c r="K15" s="23">
        <f t="shared" si="0"/>
        <v>220.14795564156196</v>
      </c>
      <c r="L15" s="23">
        <f t="shared" si="0"/>
        <v>224.5509147543932</v>
      </c>
      <c r="M15" s="4">
        <f>$M$8*'[2]Eurostat POM Portables GU'!M6</f>
        <v>229.04193304948106</v>
      </c>
      <c r="N15" s="4">
        <f>$N$8*'[2]Eurostat POM Portables GU'!N6</f>
        <v>282.84860343761096</v>
      </c>
      <c r="O15" s="4">
        <f>$O$8*'[2]Eurostat POM Portables GU'!O6</f>
        <v>274.66824177628581</v>
      </c>
      <c r="P15" s="4">
        <f>$P$8*'[2]Eurostat POM Portables GU'!P6</f>
        <v>240.95615946558982</v>
      </c>
      <c r="Q15" s="4">
        <f>$Q$8*'[2]Eurostat POM Portables GU'!Q6</f>
        <v>186.78182489418347</v>
      </c>
      <c r="R15" s="4">
        <f>$R$8*'[2]Eurostat POM Portables GU'!R6</f>
        <v>272.32430275476213</v>
      </c>
      <c r="S15" s="4">
        <f>$S$8*'[2]Eurostat POM Portables GU'!S6</f>
        <v>375.70067161228872</v>
      </c>
      <c r="T15" s="4">
        <f>$T$8*'[2]Eurostat POM Portables GU'!T6</f>
        <v>445.36899977749243</v>
      </c>
      <c r="U15" s="4">
        <f>$U$8*'[2]Eurostat POM Portables GU'!U6</f>
        <v>578.14356078638559</v>
      </c>
      <c r="V15" s="4">
        <f>$V$8*'[2]Eurostat POM Portables GU'!V6</f>
        <v>661.77082361157341</v>
      </c>
      <c r="W15" s="4">
        <f>$W$8*'[2]Eurostat POM Portables GU'!W6</f>
        <v>666.03082300003348</v>
      </c>
      <c r="X15" s="48">
        <f>'[3]others portable_Zn-based'!AC15</f>
        <v>679.35143946003416</v>
      </c>
      <c r="Y15" s="48">
        <f>'[3]others portable_Zn-based'!AD15</f>
        <v>692.9384682492348</v>
      </c>
      <c r="Z15" s="48">
        <f>'[3]others portable_Zn-based'!AE15</f>
        <v>706.79723761421951</v>
      </c>
      <c r="AA15" s="48">
        <f>'[3]others portable_Zn-based'!AF15</f>
        <v>720.93318236650396</v>
      </c>
      <c r="AB15" s="48">
        <f>'[3]others portable_Zn-based'!AG15</f>
        <v>735.35184601383401</v>
      </c>
      <c r="AC15" s="48">
        <f>'[3]others portable_Zn-based'!AH15</f>
        <v>750.05888293411067</v>
      </c>
      <c r="AD15" s="48">
        <f>'[3]others portable_Zn-based'!AI15</f>
        <v>765.06006059279287</v>
      </c>
      <c r="AE15" s="48">
        <f>'[3]others portable_Zn-based'!AJ15</f>
        <v>780.36126180464873</v>
      </c>
      <c r="AF15" s="48">
        <f>'[3]others portable_Zn-based'!AK15</f>
        <v>795.96848704074171</v>
      </c>
      <c r="AG15" s="48">
        <f>'[3]others portable_Zn-based'!AL15</f>
        <v>811.88785678155659</v>
      </c>
      <c r="AH15" s="48">
        <f>'[3]others portable_Zn-based'!AM15</f>
        <v>828.12561391718771</v>
      </c>
      <c r="AI15" s="48">
        <f>'[3]others portable_Zn-based'!AN15</f>
        <v>844.68812619553148</v>
      </c>
      <c r="AJ15" s="48">
        <f>'[3]others portable_Zn-based'!AO15</f>
        <v>861.58188871944208</v>
      </c>
      <c r="AK15" s="48">
        <f>'[3]others portable_Zn-based'!AP15</f>
        <v>878.81352649383086</v>
      </c>
      <c r="AL15" s="48">
        <f>'[3]others portable_Zn-based'!AQ15</f>
        <v>896.3897970237075</v>
      </c>
      <c r="AM15" s="48">
        <f>'[3]others portable_Zn-based'!AR15</f>
        <v>914.3175929641817</v>
      </c>
      <c r="AN15" s="48">
        <f>'[3]others portable_Zn-based'!AS15</f>
        <v>932.60394482346533</v>
      </c>
      <c r="AO15" s="48">
        <f>'[3]others portable_Zn-based'!AT15</f>
        <v>951.25602371993466</v>
      </c>
      <c r="AP15" s="48">
        <f>'[3]others portable_Zn-based'!AU15</f>
        <v>960.76858395713396</v>
      </c>
      <c r="AQ15" s="48">
        <f>'[3]others portable_Zn-based'!AV15</f>
        <v>970.37626979670529</v>
      </c>
      <c r="AR15" s="48">
        <f>'[3]others portable_Zn-based'!AW15</f>
        <v>980.08003249467231</v>
      </c>
      <c r="AS15" s="48">
        <f>'[3]others portable_Zn-based'!AX15</f>
        <v>989.88083281961906</v>
      </c>
      <c r="AT15" s="48">
        <f>'[3]others portable_Zn-based'!AY15</f>
        <v>999.77964114781525</v>
      </c>
      <c r="AU15" s="48">
        <f>'[3]others portable_Zn-based'!AZ15</f>
        <v>1009.7774375592934</v>
      </c>
      <c r="AV15" s="48">
        <f>'[3]others portable_Zn-based'!BA15</f>
        <v>1019.8752119348864</v>
      </c>
      <c r="AW15" s="48">
        <f>'[3]others portable_Zn-based'!BB15</f>
        <v>1030.0739640542351</v>
      </c>
      <c r="AX15" s="48">
        <f>'[3]others portable_Zn-based'!BC15</f>
        <v>1040.3747036947775</v>
      </c>
      <c r="AY15" s="48">
        <f>'[3]others portable_Zn-based'!BD15</f>
        <v>1050.7784507317253</v>
      </c>
      <c r="AZ15" s="48">
        <f>'[3]others portable_Zn-based'!BE15</f>
        <v>1061.2862352390425</v>
      </c>
    </row>
    <row r="16" spans="1:52" x14ac:dyDescent="0.35">
      <c r="A16" s="52" t="s">
        <v>4</v>
      </c>
      <c r="B16" s="23">
        <f t="shared" si="0"/>
        <v>153.03630944140374</v>
      </c>
      <c r="C16" s="23">
        <f t="shared" si="0"/>
        <v>156.09703563023183</v>
      </c>
      <c r="D16" s="23">
        <f t="shared" si="0"/>
        <v>159.21897634283647</v>
      </c>
      <c r="E16" s="23">
        <f t="shared" si="0"/>
        <v>162.4033558696932</v>
      </c>
      <c r="F16" s="23">
        <f t="shared" si="0"/>
        <v>165.65142298708707</v>
      </c>
      <c r="G16" s="23">
        <f t="shared" si="0"/>
        <v>168.9644514468288</v>
      </c>
      <c r="H16" s="23">
        <f t="shared" si="0"/>
        <v>172.34374047576537</v>
      </c>
      <c r="I16" s="23">
        <f t="shared" si="0"/>
        <v>175.79061528528069</v>
      </c>
      <c r="J16" s="23">
        <f t="shared" si="0"/>
        <v>179.30642759098632</v>
      </c>
      <c r="K16" s="23">
        <f t="shared" si="0"/>
        <v>182.89255614280606</v>
      </c>
      <c r="L16" s="23">
        <f t="shared" si="0"/>
        <v>186.55040726566219</v>
      </c>
      <c r="M16" s="4">
        <f>$M$8*'[2]Eurostat POM Portables GU'!M7</f>
        <v>190.28141541097543</v>
      </c>
      <c r="N16" s="4">
        <f>$N$8*'[2]Eurostat POM Portables GU'!N7</f>
        <v>179.38775734243762</v>
      </c>
      <c r="O16" s="4">
        <f>$O$8*'[2]Eurostat POM Portables GU'!O7</f>
        <v>139.7138625021912</v>
      </c>
      <c r="P16" s="4">
        <f>$P$8*'[2]Eurostat POM Portables GU'!P7</f>
        <v>131.93564927510681</v>
      </c>
      <c r="Q16" s="4">
        <f>$Q$8*'[2]Eurostat POM Portables GU'!Q7</f>
        <v>144.65058619624733</v>
      </c>
      <c r="R16" s="4">
        <f>$R$8*'[2]Eurostat POM Portables GU'!R7</f>
        <v>145.46943767406282</v>
      </c>
      <c r="S16" s="4">
        <f>$S$8*'[2]Eurostat POM Portables GU'!S7</f>
        <v>154.1166487423649</v>
      </c>
      <c r="T16" s="4">
        <f>$T$8*'[2]Eurostat POM Portables GU'!T7</f>
        <v>133.47854296001998</v>
      </c>
      <c r="U16" s="4">
        <f>$U$8*'[2]Eurostat POM Portables GU'!U7</f>
        <v>111.67232134394865</v>
      </c>
      <c r="V16" s="4">
        <f>$V$8*'[2]Eurostat POM Portables GU'!V7</f>
        <v>127.69912280717625</v>
      </c>
      <c r="W16" s="4">
        <f>$W$8*'[2]Eurostat POM Portables GU'!W7</f>
        <v>125.07919173594527</v>
      </c>
      <c r="X16" s="48">
        <f>'[3]others portable_Zn-based'!AC16</f>
        <v>127.58077557066417</v>
      </c>
      <c r="Y16" s="48">
        <f>'[3]others portable_Zn-based'!AD16</f>
        <v>130.13239108207745</v>
      </c>
      <c r="Z16" s="48">
        <f>'[3]others portable_Zn-based'!AE16</f>
        <v>132.73503890371899</v>
      </c>
      <c r="AA16" s="48">
        <f>'[3]others portable_Zn-based'!AF16</f>
        <v>135.38973968179337</v>
      </c>
      <c r="AB16" s="48">
        <f>'[3]others portable_Zn-based'!AG16</f>
        <v>138.09753447542923</v>
      </c>
      <c r="AC16" s="48">
        <f>'[3]others portable_Zn-based'!AH16</f>
        <v>140.85948516493781</v>
      </c>
      <c r="AD16" s="48">
        <f>'[3]others portable_Zn-based'!AI16</f>
        <v>143.67667486823657</v>
      </c>
      <c r="AE16" s="48">
        <f>'[3]others portable_Zn-based'!AJ16</f>
        <v>146.55020836560129</v>
      </c>
      <c r="AF16" s="48">
        <f>'[3]others portable_Zn-based'!AK16</f>
        <v>149.48121253291333</v>
      </c>
      <c r="AG16" s="48">
        <f>'[3]others portable_Zn-based'!AL16</f>
        <v>152.4708367835716</v>
      </c>
      <c r="AH16" s="48">
        <f>'[3]others portable_Zn-based'!AM16</f>
        <v>155.52025351924303</v>
      </c>
      <c r="AI16" s="48">
        <f>'[3]others portable_Zn-based'!AN16</f>
        <v>158.6306585896279</v>
      </c>
      <c r="AJ16" s="48">
        <f>'[3]others portable_Zn-based'!AO16</f>
        <v>161.80327176142046</v>
      </c>
      <c r="AK16" s="48">
        <f>'[3]others portable_Zn-based'!AP16</f>
        <v>165.03933719664886</v>
      </c>
      <c r="AL16" s="48">
        <f>'[3]others portable_Zn-based'!AQ16</f>
        <v>168.34012394058183</v>
      </c>
      <c r="AM16" s="48">
        <f>'[3]others portable_Zn-based'!AR16</f>
        <v>171.70692641939348</v>
      </c>
      <c r="AN16" s="48">
        <f>'[3]others portable_Zn-based'!AS16</f>
        <v>175.14106494778136</v>
      </c>
      <c r="AO16" s="48">
        <f>'[3]others portable_Zn-based'!AT16</f>
        <v>178.643886246737</v>
      </c>
      <c r="AP16" s="48">
        <f>'[3]others portable_Zn-based'!AU16</f>
        <v>180.43032510920438</v>
      </c>
      <c r="AQ16" s="48">
        <f>'[3]others portable_Zn-based'!AV16</f>
        <v>182.23462836029643</v>
      </c>
      <c r="AR16" s="48">
        <f>'[3]others portable_Zn-based'!AW16</f>
        <v>184.05697464389939</v>
      </c>
      <c r="AS16" s="48">
        <f>'[3]others portable_Zn-based'!AX16</f>
        <v>185.8975443903384</v>
      </c>
      <c r="AT16" s="48">
        <f>'[3]others portable_Zn-based'!AY16</f>
        <v>187.75651983424177</v>
      </c>
      <c r="AU16" s="48">
        <f>'[3]others portable_Zn-based'!AZ16</f>
        <v>189.63408503258418</v>
      </c>
      <c r="AV16" s="48">
        <f>'[3]others portable_Zn-based'!BA16</f>
        <v>191.53042588291001</v>
      </c>
      <c r="AW16" s="48">
        <f>'[3]others portable_Zn-based'!BB16</f>
        <v>193.44573014173912</v>
      </c>
      <c r="AX16" s="48">
        <f>'[3]others portable_Zn-based'!BC16</f>
        <v>195.3801874431565</v>
      </c>
      <c r="AY16" s="48">
        <f>'[3]others portable_Zn-based'!BD16</f>
        <v>197.33398931758808</v>
      </c>
      <c r="AZ16" s="48">
        <f>'[3]others portable_Zn-based'!BE16</f>
        <v>199.30732921076395</v>
      </c>
    </row>
    <row r="17" spans="1:52" x14ac:dyDescent="0.35">
      <c r="A17" s="52" t="s">
        <v>5</v>
      </c>
      <c r="B17" s="23">
        <f t="shared" si="0"/>
        <v>1880.0810468312945</v>
      </c>
      <c r="C17" s="23">
        <f t="shared" si="0"/>
        <v>1917.6826677679205</v>
      </c>
      <c r="D17" s="23">
        <f t="shared" si="0"/>
        <v>1956.0363211232789</v>
      </c>
      <c r="E17" s="23">
        <f t="shared" si="0"/>
        <v>1995.1570475457445</v>
      </c>
      <c r="F17" s="23">
        <f t="shared" si="0"/>
        <v>2035.0601884966595</v>
      </c>
      <c r="G17" s="23">
        <f t="shared" si="0"/>
        <v>2075.7613922665928</v>
      </c>
      <c r="H17" s="23">
        <f t="shared" si="0"/>
        <v>2117.2766201119248</v>
      </c>
      <c r="I17" s="23">
        <f t="shared" si="0"/>
        <v>2159.6221525141632</v>
      </c>
      <c r="J17" s="23">
        <f t="shared" si="0"/>
        <v>2202.8145955644463</v>
      </c>
      <c r="K17" s="23">
        <f t="shared" si="0"/>
        <v>2246.8708874757353</v>
      </c>
      <c r="L17" s="23">
        <f t="shared" si="0"/>
        <v>2291.80830522525</v>
      </c>
      <c r="M17" s="4">
        <f>$M$8*'[2]Eurostat POM Portables GU'!M8</f>
        <v>2337.6444713297551</v>
      </c>
      <c r="N17" s="4">
        <f>$N$8*'[2]Eurostat POM Portables GU'!N8</f>
        <v>2599.5407403444992</v>
      </c>
      <c r="O17" s="4">
        <f>$O$8*'[2]Eurostat POM Portables GU'!O8</f>
        <v>2561.8860601675524</v>
      </c>
      <c r="P17" s="4">
        <f>$P$8*'[2]Eurostat POM Portables GU'!P8</f>
        <v>2757.4550698497324</v>
      </c>
      <c r="Q17" s="4">
        <f>$Q$8*'[2]Eurostat POM Portables GU'!Q8</f>
        <v>2784.1726906219451</v>
      </c>
      <c r="R17" s="4">
        <f>$R$8*'[2]Eurostat POM Portables GU'!R8</f>
        <v>2790.1176031608161</v>
      </c>
      <c r="S17" s="4">
        <f>$S$8*'[2]Eurostat POM Portables GU'!S8</f>
        <v>2688.1118475921503</v>
      </c>
      <c r="T17" s="4">
        <f>$T$8*'[2]Eurostat POM Portables GU'!T8</f>
        <v>2674.8571381295092</v>
      </c>
      <c r="U17" s="4">
        <f>$U$8*'[2]Eurostat POM Portables GU'!U8</f>
        <v>2739.4815744546945</v>
      </c>
      <c r="V17" s="4">
        <f>$V$8*'[2]Eurostat POM Portables GU'!V8</f>
        <v>3122.0233817340677</v>
      </c>
      <c r="W17" s="4">
        <f>$W$8*'[2]Eurostat POM Portables GU'!W8</f>
        <v>3305.3922445549802</v>
      </c>
      <c r="X17" s="48">
        <f>'[3]others portable_Zn-based'!AC17</f>
        <v>3371.50008944608</v>
      </c>
      <c r="Y17" s="48">
        <f>'[3]others portable_Zn-based'!AD17</f>
        <v>3438.9300912350018</v>
      </c>
      <c r="Z17" s="48">
        <f>'[3]others portable_Zn-based'!AE17</f>
        <v>3507.708693059702</v>
      </c>
      <c r="AA17" s="48">
        <f>'[3]others portable_Zn-based'!AF17</f>
        <v>3577.8628669208961</v>
      </c>
      <c r="AB17" s="48">
        <f>'[3]others portable_Zn-based'!AG17</f>
        <v>3649.420124259314</v>
      </c>
      <c r="AC17" s="48">
        <f>'[3]others portable_Zn-based'!AH17</f>
        <v>3722.4085267445003</v>
      </c>
      <c r="AD17" s="48">
        <f>'[3]others portable_Zn-based'!AI17</f>
        <v>3796.8566972793901</v>
      </c>
      <c r="AE17" s="48">
        <f>'[3]others portable_Zn-based'!AJ17</f>
        <v>3872.793831224978</v>
      </c>
      <c r="AF17" s="48">
        <f>'[3]others portable_Zn-based'!AK17</f>
        <v>3950.2497078494775</v>
      </c>
      <c r="AG17" s="48">
        <f>'[3]others portable_Zn-based'!AL17</f>
        <v>4029.2547020064671</v>
      </c>
      <c r="AH17" s="48">
        <f>'[3]others portable_Zn-based'!AM17</f>
        <v>4109.8397960465963</v>
      </c>
      <c r="AI17" s="48">
        <f>'[3]others portable_Zn-based'!AN17</f>
        <v>4192.0365919675287</v>
      </c>
      <c r="AJ17" s="48">
        <f>'[3]others portable_Zn-based'!AO17</f>
        <v>4275.8773238068788</v>
      </c>
      <c r="AK17" s="48">
        <f>'[3]others portable_Zn-based'!AP17</f>
        <v>4361.3948702830166</v>
      </c>
      <c r="AL17" s="48">
        <f>'[3]others portable_Zn-based'!AQ17</f>
        <v>4448.6227676886774</v>
      </c>
      <c r="AM17" s="48">
        <f>'[3]others portable_Zn-based'!AR17</f>
        <v>4537.5952230424509</v>
      </c>
      <c r="AN17" s="48">
        <f>'[3]others portable_Zn-based'!AS17</f>
        <v>4628.3471275032998</v>
      </c>
      <c r="AO17" s="48">
        <f>'[3]others portable_Zn-based'!AT17</f>
        <v>4720.9140700533662</v>
      </c>
      <c r="AP17" s="48">
        <f>'[3]others portable_Zn-based'!AU17</f>
        <v>4768.1232107538999</v>
      </c>
      <c r="AQ17" s="48">
        <f>'[3]others portable_Zn-based'!AV17</f>
        <v>4815.8044428614385</v>
      </c>
      <c r="AR17" s="48">
        <f>'[3]others portable_Zn-based'!AW17</f>
        <v>4863.9624872900531</v>
      </c>
      <c r="AS17" s="48">
        <f>'[3]others portable_Zn-based'!AX17</f>
        <v>4912.6021121629537</v>
      </c>
      <c r="AT17" s="48">
        <f>'[3]others portable_Zn-based'!AY17</f>
        <v>4961.7281332845832</v>
      </c>
      <c r="AU17" s="48">
        <f>'[3]others portable_Zn-based'!AZ17</f>
        <v>5011.345414617429</v>
      </c>
      <c r="AV17" s="48">
        <f>'[3]others portable_Zn-based'!BA17</f>
        <v>5061.4588687636033</v>
      </c>
      <c r="AW17" s="48">
        <f>'[3]others portable_Zn-based'!BB17</f>
        <v>5112.0734574512389</v>
      </c>
      <c r="AX17" s="48">
        <f>'[3]others portable_Zn-based'!BC17</f>
        <v>5163.1941920257514</v>
      </c>
      <c r="AY17" s="48">
        <f>'[3]others portable_Zn-based'!BD17</f>
        <v>5214.8261339460087</v>
      </c>
      <c r="AZ17" s="48">
        <f>'[3]others portable_Zn-based'!BE17</f>
        <v>5266.9743952854687</v>
      </c>
    </row>
    <row r="18" spans="1:52" x14ac:dyDescent="0.35">
      <c r="A18" s="52" t="s">
        <v>6</v>
      </c>
      <c r="B18" s="23">
        <f t="shared" si="0"/>
        <v>1877.9709670929876</v>
      </c>
      <c r="C18" s="23">
        <f t="shared" si="0"/>
        <v>1915.5303864348475</v>
      </c>
      <c r="D18" s="23">
        <f t="shared" si="0"/>
        <v>1953.8409941635446</v>
      </c>
      <c r="E18" s="23">
        <f t="shared" si="0"/>
        <v>1992.9178140468155</v>
      </c>
      <c r="F18" s="23">
        <f t="shared" si="0"/>
        <v>2032.7761703277517</v>
      </c>
      <c r="G18" s="23">
        <f t="shared" si="0"/>
        <v>2073.4316937343069</v>
      </c>
      <c r="H18" s="23">
        <f t="shared" si="0"/>
        <v>2114.9003276089929</v>
      </c>
      <c r="I18" s="23">
        <f t="shared" si="0"/>
        <v>2157.1983341611726</v>
      </c>
      <c r="J18" s="23">
        <f t="shared" si="0"/>
        <v>2200.342300844396</v>
      </c>
      <c r="K18" s="23">
        <f t="shared" si="0"/>
        <v>2244.3491468612842</v>
      </c>
      <c r="L18" s="23">
        <f t="shared" si="0"/>
        <v>2289.2361297985099</v>
      </c>
      <c r="M18" s="4">
        <f>$M$8*'[2]Eurostat POM Portables GU'!M9</f>
        <v>2335.0208523944802</v>
      </c>
      <c r="N18" s="4">
        <f>$N$8*'[2]Eurostat POM Portables GU'!N9</f>
        <v>2575.3963302185616</v>
      </c>
      <c r="O18" s="4">
        <f>$O$8*'[2]Eurostat POM Portables GU'!O9</f>
        <v>2185.7333534308837</v>
      </c>
      <c r="P18" s="4">
        <f>$P$8*'[2]Eurostat POM Portables GU'!P9</f>
        <v>2442.198307897635</v>
      </c>
      <c r="Q18" s="4">
        <f>$Q$8*'[2]Eurostat POM Portables GU'!Q9</f>
        <v>2590.3689926114389</v>
      </c>
      <c r="R18" s="4">
        <f>$R$8*'[2]Eurostat POM Portables GU'!R9</f>
        <v>2714.9698841727932</v>
      </c>
      <c r="S18" s="4">
        <f>$S$8*'[2]Eurostat POM Portables GU'!S9</f>
        <v>2444.0387000130399</v>
      </c>
      <c r="T18" s="4">
        <f>$T$8*'[2]Eurostat POM Portables GU'!T9</f>
        <v>2957.0122759707397</v>
      </c>
      <c r="U18" s="4">
        <f>$U$8*'[2]Eurostat POM Portables GU'!U9</f>
        <v>2574.2065388656506</v>
      </c>
      <c r="V18" s="4">
        <f>$V$8*'[2]Eurostat POM Portables GU'!V9</f>
        <v>3102.522530467947</v>
      </c>
      <c r="W18" s="4">
        <f>$W$8*'[2]Eurostat POM Portables GU'!W9</f>
        <v>3246.979627094539</v>
      </c>
      <c r="X18" s="48">
        <f>'[3]others portable_Zn-based'!AC18</f>
        <v>3311.9192196364297</v>
      </c>
      <c r="Y18" s="48">
        <f>'[3]others portable_Zn-based'!AD18</f>
        <v>3378.1576040291584</v>
      </c>
      <c r="Z18" s="48">
        <f>'[3]others portable_Zn-based'!AE18</f>
        <v>3445.7207561097416</v>
      </c>
      <c r="AA18" s="48">
        <f>'[3]others portable_Zn-based'!AF18</f>
        <v>3514.6351712319365</v>
      </c>
      <c r="AB18" s="48">
        <f>'[3]others portable_Zn-based'!AG18</f>
        <v>3584.9278746565751</v>
      </c>
      <c r="AC18" s="48">
        <f>'[3]others portable_Zn-based'!AH18</f>
        <v>3656.6264321497065</v>
      </c>
      <c r="AD18" s="48">
        <f>'[3]others portable_Zn-based'!AI18</f>
        <v>3729.7589607927007</v>
      </c>
      <c r="AE18" s="48">
        <f>'[3]others portable_Zn-based'!AJ18</f>
        <v>3804.3541400085546</v>
      </c>
      <c r="AF18" s="48">
        <f>'[3]others portable_Zn-based'!AK18</f>
        <v>3880.4412228087258</v>
      </c>
      <c r="AG18" s="48">
        <f>'[3]others portable_Zn-based'!AL18</f>
        <v>3958.0500472649005</v>
      </c>
      <c r="AH18" s="48">
        <f>'[3]others portable_Zn-based'!AM18</f>
        <v>4037.2110482101984</v>
      </c>
      <c r="AI18" s="48">
        <f>'[3]others portable_Zn-based'!AN18</f>
        <v>4117.955269174402</v>
      </c>
      <c r="AJ18" s="48">
        <f>'[3]others portable_Zn-based'!AO18</f>
        <v>4200.31437455789</v>
      </c>
      <c r="AK18" s="48">
        <f>'[3]others portable_Zn-based'!AP18</f>
        <v>4284.3206620490482</v>
      </c>
      <c r="AL18" s="48">
        <f>'[3]others portable_Zn-based'!AQ18</f>
        <v>4370.0070752900292</v>
      </c>
      <c r="AM18" s="48">
        <f>'[3]others portable_Zn-based'!AR18</f>
        <v>4457.4072167958302</v>
      </c>
      <c r="AN18" s="48">
        <f>'[3]others portable_Zn-based'!AS18</f>
        <v>4546.5553611317464</v>
      </c>
      <c r="AO18" s="48">
        <f>'[3]others portable_Zn-based'!AT18</f>
        <v>4637.486468354381</v>
      </c>
      <c r="AP18" s="48">
        <f>'[3]others portable_Zn-based'!AU18</f>
        <v>4683.8613330379249</v>
      </c>
      <c r="AQ18" s="48">
        <f>'[3]others portable_Zn-based'!AV18</f>
        <v>4730.6999463683042</v>
      </c>
      <c r="AR18" s="48">
        <f>'[3]others portable_Zn-based'!AW18</f>
        <v>4778.0069458319867</v>
      </c>
      <c r="AS18" s="48">
        <f>'[3]others portable_Zn-based'!AX18</f>
        <v>4825.787015290307</v>
      </c>
      <c r="AT18" s="48">
        <f>'[3]others portable_Zn-based'!AY18</f>
        <v>4874.0448854432098</v>
      </c>
      <c r="AU18" s="48">
        <f>'[3]others portable_Zn-based'!AZ18</f>
        <v>4922.7853342976423</v>
      </c>
      <c r="AV18" s="48">
        <f>'[3]others portable_Zn-based'!BA18</f>
        <v>4972.0131876406185</v>
      </c>
      <c r="AW18" s="48">
        <f>'[3]others portable_Zn-based'!BB18</f>
        <v>5021.7333195170249</v>
      </c>
      <c r="AX18" s="48">
        <f>'[3]others portable_Zn-based'!BC18</f>
        <v>5071.9506527121948</v>
      </c>
      <c r="AY18" s="48">
        <f>'[3]others portable_Zn-based'!BD18</f>
        <v>5122.6701592393165</v>
      </c>
      <c r="AZ18" s="48">
        <f>'[3]others portable_Zn-based'!BE18</f>
        <v>5173.89686083171</v>
      </c>
    </row>
    <row r="19" spans="1:52" x14ac:dyDescent="0.35">
      <c r="A19" s="52" t="s">
        <v>7</v>
      </c>
      <c r="B19" s="23">
        <f t="shared" si="0"/>
        <v>264.93828023694283</v>
      </c>
      <c r="C19" s="23">
        <f t="shared" si="0"/>
        <v>270.23704584168166</v>
      </c>
      <c r="D19" s="23">
        <f t="shared" si="0"/>
        <v>275.64178675851531</v>
      </c>
      <c r="E19" s="23">
        <f t="shared" si="0"/>
        <v>281.15462249368562</v>
      </c>
      <c r="F19" s="23">
        <f t="shared" si="0"/>
        <v>286.77771494355932</v>
      </c>
      <c r="G19" s="23">
        <f t="shared" si="0"/>
        <v>292.51326924243051</v>
      </c>
      <c r="H19" s="23">
        <f t="shared" si="0"/>
        <v>298.36353462727914</v>
      </c>
      <c r="I19" s="23">
        <f t="shared" si="0"/>
        <v>304.33080531982472</v>
      </c>
      <c r="J19" s="23">
        <f t="shared" si="0"/>
        <v>310.41742142622121</v>
      </c>
      <c r="K19" s="23">
        <f t="shared" si="0"/>
        <v>316.62576985474561</v>
      </c>
      <c r="L19" s="23">
        <f t="shared" si="0"/>
        <v>322.95828525184055</v>
      </c>
      <c r="M19" s="4">
        <f>$M$8*'[2]Eurostat POM Portables GU'!M10</f>
        <v>329.41745095687736</v>
      </c>
      <c r="N19" s="4">
        <f>$N$8*'[2]Eurostat POM Portables GU'!N10</f>
        <v>362.02118155028029</v>
      </c>
      <c r="O19" s="4">
        <f>$O$8*'[2]Eurostat POM Portables GU'!O10</f>
        <v>325.24089149629725</v>
      </c>
      <c r="P19" s="4">
        <f>$P$8*'[2]Eurostat POM Portables GU'!P10</f>
        <v>311.4389609009682</v>
      </c>
      <c r="Q19" s="4">
        <f>$Q$8*'[2]Eurostat POM Portables GU'!Q10</f>
        <v>325.81491259737265</v>
      </c>
      <c r="R19" s="4">
        <f>$R$8*'[2]Eurostat POM Portables GU'!R10</f>
        <v>330.23630637855962</v>
      </c>
      <c r="S19" s="4">
        <f>$S$8*'[2]Eurostat POM Portables GU'!S10</f>
        <v>323.44652890564998</v>
      </c>
      <c r="T19" s="4">
        <f>$T$8*'[2]Eurostat POM Portables GU'!T10</f>
        <v>319.15909034499828</v>
      </c>
      <c r="U19" s="4">
        <f>$U$8*'[2]Eurostat POM Portables GU'!U10</f>
        <v>303.11058650500348</v>
      </c>
      <c r="V19" s="4">
        <f>$V$8*'[2]Eurostat POM Portables GU'!V10</f>
        <v>340.95036729797795</v>
      </c>
      <c r="W19" s="4">
        <f>$W$8*'[2]Eurostat POM Portables GU'!W10</f>
        <v>330.15827260249517</v>
      </c>
      <c r="X19" s="48">
        <f>'[3]others portable_Zn-based'!AC19</f>
        <v>336.76143805454507</v>
      </c>
      <c r="Y19" s="48">
        <f>'[3]others portable_Zn-based'!AD19</f>
        <v>343.49666681563599</v>
      </c>
      <c r="Z19" s="48">
        <f>'[3]others portable_Zn-based'!AE19</f>
        <v>350.36660015194872</v>
      </c>
      <c r="AA19" s="48">
        <f>'[3]others portable_Zn-based'!AF19</f>
        <v>357.3739321549877</v>
      </c>
      <c r="AB19" s="48">
        <f>'[3]others portable_Zn-based'!AG19</f>
        <v>364.52141079808746</v>
      </c>
      <c r="AC19" s="48">
        <f>'[3]others portable_Zn-based'!AH19</f>
        <v>371.81183901404921</v>
      </c>
      <c r="AD19" s="48">
        <f>'[3]others portable_Zn-based'!AI19</f>
        <v>379.24807579433019</v>
      </c>
      <c r="AE19" s="48">
        <f>'[3]others portable_Zn-based'!AJ19</f>
        <v>386.83303731021681</v>
      </c>
      <c r="AF19" s="48">
        <f>'[3]others portable_Zn-based'!AK19</f>
        <v>394.56969805642115</v>
      </c>
      <c r="AG19" s="48">
        <f>'[3]others portable_Zn-based'!AL19</f>
        <v>402.46109201754956</v>
      </c>
      <c r="AH19" s="48">
        <f>'[3]others portable_Zn-based'!AM19</f>
        <v>410.51031385790054</v>
      </c>
      <c r="AI19" s="48">
        <f>'[3]others portable_Zn-based'!AN19</f>
        <v>418.72052013505856</v>
      </c>
      <c r="AJ19" s="48">
        <f>'[3]others portable_Zn-based'!AO19</f>
        <v>427.09493053775975</v>
      </c>
      <c r="AK19" s="48">
        <f>'[3]others portable_Zn-based'!AP19</f>
        <v>435.63682914851495</v>
      </c>
      <c r="AL19" s="48">
        <f>'[3]others portable_Zn-based'!AQ19</f>
        <v>444.34956573148526</v>
      </c>
      <c r="AM19" s="48">
        <f>'[3]others portable_Zn-based'!AR19</f>
        <v>453.23655704611497</v>
      </c>
      <c r="AN19" s="48">
        <f>'[3]others portable_Zn-based'!AS19</f>
        <v>462.30128818703724</v>
      </c>
      <c r="AO19" s="48">
        <f>'[3]others portable_Zn-based'!AT19</f>
        <v>471.547313950778</v>
      </c>
      <c r="AP19" s="48">
        <f>'[3]others portable_Zn-based'!AU19</f>
        <v>476.26278709028577</v>
      </c>
      <c r="AQ19" s="48">
        <f>'[3]others portable_Zn-based'!AV19</f>
        <v>481.02541496118863</v>
      </c>
      <c r="AR19" s="48">
        <f>'[3]others portable_Zn-based'!AW19</f>
        <v>485.8356691108005</v>
      </c>
      <c r="AS19" s="48">
        <f>'[3]others portable_Zn-based'!AX19</f>
        <v>490.69402580190848</v>
      </c>
      <c r="AT19" s="48">
        <f>'[3]others portable_Zn-based'!AY19</f>
        <v>495.60096605992754</v>
      </c>
      <c r="AU19" s="48">
        <f>'[3]others portable_Zn-based'!AZ19</f>
        <v>500.55697572052679</v>
      </c>
      <c r="AV19" s="48">
        <f>'[3]others portable_Zn-based'!BA19</f>
        <v>505.56254547773204</v>
      </c>
      <c r="AW19" s="48">
        <f>'[3]others portable_Zn-based'!BB19</f>
        <v>510.61817093250937</v>
      </c>
      <c r="AX19" s="48">
        <f>'[3]others portable_Zn-based'!BC19</f>
        <v>515.72435264183446</v>
      </c>
      <c r="AY19" s="48">
        <f>'[3]others portable_Zn-based'!BD19</f>
        <v>520.88159616825283</v>
      </c>
      <c r="AZ19" s="48">
        <f>'[3]others portable_Zn-based'!BE19</f>
        <v>526.09041212993532</v>
      </c>
    </row>
    <row r="20" spans="1:52" x14ac:dyDescent="0.35">
      <c r="A20" s="52" t="s">
        <v>8</v>
      </c>
      <c r="B20" s="23">
        <f t="shared" si="0"/>
        <v>1534.2500834056548</v>
      </c>
      <c r="C20" s="23">
        <f t="shared" si="0"/>
        <v>1564.9350850737678</v>
      </c>
      <c r="D20" s="23">
        <f t="shared" si="0"/>
        <v>1596.2337867752433</v>
      </c>
      <c r="E20" s="23">
        <f t="shared" si="0"/>
        <v>1628.1584625107482</v>
      </c>
      <c r="F20" s="23">
        <f t="shared" si="0"/>
        <v>1660.7216317609632</v>
      </c>
      <c r="G20" s="23">
        <f t="shared" si="0"/>
        <v>1693.9360643961825</v>
      </c>
      <c r="H20" s="23">
        <f t="shared" si="0"/>
        <v>1727.8147856841063</v>
      </c>
      <c r="I20" s="23">
        <f t="shared" si="0"/>
        <v>1762.3710813977884</v>
      </c>
      <c r="J20" s="23">
        <f t="shared" si="0"/>
        <v>1797.6185030257443</v>
      </c>
      <c r="K20" s="23">
        <f t="shared" si="0"/>
        <v>1833.5708730862593</v>
      </c>
      <c r="L20" s="23">
        <f t="shared" si="0"/>
        <v>1870.2422905479846</v>
      </c>
      <c r="M20" s="4">
        <f>$M$8*'[2]Eurostat POM Portables GU'!M11</f>
        <v>1907.6471363589442</v>
      </c>
      <c r="N20" s="4">
        <f>$N$8*'[2]Eurostat POM Portables GU'!N11</f>
        <v>1913.469411652668</v>
      </c>
      <c r="O20" s="4">
        <f>$O$8*'[2]Eurostat POM Portables GU'!O11</f>
        <v>1886.3465052119025</v>
      </c>
      <c r="P20" s="4">
        <f>$P$8*'[2]Eurostat POM Portables GU'!P11</f>
        <v>1840.8495064647798</v>
      </c>
      <c r="Q20" s="4">
        <f>$Q$8*'[2]Eurostat POM Portables GU'!Q11</f>
        <v>2011.0644605148175</v>
      </c>
      <c r="R20" s="4">
        <f>$R$8*'[2]Eurostat POM Portables GU'!R11</f>
        <v>2086.2109876858485</v>
      </c>
      <c r="S20" s="4">
        <f>$S$8*'[2]Eurostat POM Portables GU'!S11</f>
        <v>2103.3946051533067</v>
      </c>
      <c r="T20" s="4">
        <f>$T$8*'[2]Eurostat POM Portables GU'!T11</f>
        <v>2286.3156368399464</v>
      </c>
      <c r="U20" s="4">
        <f>$U$8*'[2]Eurostat POM Portables GU'!U11</f>
        <v>2307.4692227412474</v>
      </c>
      <c r="V20" s="4">
        <f>$V$8*'[2]Eurostat POM Portables GU'!V11</f>
        <v>2280.9705384178378</v>
      </c>
      <c r="W20" s="4">
        <f>$W$8*'[2]Eurostat POM Portables GU'!W11</f>
        <v>2581.5837238495101</v>
      </c>
      <c r="X20" s="48">
        <f>'[3]others portable_Zn-based'!AC20</f>
        <v>2633.2153983265002</v>
      </c>
      <c r="Y20" s="48">
        <f>'[3]others portable_Zn-based'!AD20</f>
        <v>2685.8797062930303</v>
      </c>
      <c r="Z20" s="48">
        <f>'[3]others portable_Zn-based'!AE20</f>
        <v>2739.5973004188909</v>
      </c>
      <c r="AA20" s="48">
        <f>'[3]others portable_Zn-based'!AF20</f>
        <v>2794.3892464272685</v>
      </c>
      <c r="AB20" s="48">
        <f>'[3]others portable_Zn-based'!AG20</f>
        <v>2850.277031355814</v>
      </c>
      <c r="AC20" s="48">
        <f>'[3]others portable_Zn-based'!AH20</f>
        <v>2907.2825719829302</v>
      </c>
      <c r="AD20" s="48">
        <f>'[3]others portable_Zn-based'!AI20</f>
        <v>2965.4282234225889</v>
      </c>
      <c r="AE20" s="48">
        <f>'[3]others portable_Zn-based'!AJ20</f>
        <v>3024.7367878910409</v>
      </c>
      <c r="AF20" s="48">
        <f>'[3]others portable_Zn-based'!AK20</f>
        <v>3085.2315236488616</v>
      </c>
      <c r="AG20" s="48">
        <f>'[3]others portable_Zn-based'!AL20</f>
        <v>3146.9361541218391</v>
      </c>
      <c r="AH20" s="48">
        <f>'[3]others portable_Zn-based'!AM20</f>
        <v>3209.8748772042759</v>
      </c>
      <c r="AI20" s="48">
        <f>'[3]others portable_Zn-based'!AN20</f>
        <v>3274.0723747483612</v>
      </c>
      <c r="AJ20" s="48">
        <f>'[3]others portable_Zn-based'!AO20</f>
        <v>3339.5538222433283</v>
      </c>
      <c r="AK20" s="48">
        <f>'[3]others portable_Zn-based'!AP20</f>
        <v>3406.3448986881949</v>
      </c>
      <c r="AL20" s="48">
        <f>'[3]others portable_Zn-based'!AQ20</f>
        <v>3474.4717966619587</v>
      </c>
      <c r="AM20" s="48">
        <f>'[3]others portable_Zn-based'!AR20</f>
        <v>3543.961232595198</v>
      </c>
      <c r="AN20" s="48">
        <f>'[3]others portable_Zn-based'!AS20</f>
        <v>3614.8404572471018</v>
      </c>
      <c r="AO20" s="48">
        <f>'[3]others portable_Zn-based'!AT20</f>
        <v>3687.1372663920438</v>
      </c>
      <c r="AP20" s="48">
        <f>'[3]others portable_Zn-based'!AU20</f>
        <v>3724.0086390559641</v>
      </c>
      <c r="AQ20" s="48">
        <f>'[3]others portable_Zn-based'!AV20</f>
        <v>3761.2487254465236</v>
      </c>
      <c r="AR20" s="48">
        <f>'[3]others portable_Zn-based'!AW20</f>
        <v>3798.8612127009887</v>
      </c>
      <c r="AS20" s="48">
        <f>'[3]others portable_Zn-based'!AX20</f>
        <v>3836.8498248279984</v>
      </c>
      <c r="AT20" s="48">
        <f>'[3]others portable_Zn-based'!AY20</f>
        <v>3875.2183230762785</v>
      </c>
      <c r="AU20" s="48">
        <f>'[3]others portable_Zn-based'!AZ20</f>
        <v>3913.9705063070414</v>
      </c>
      <c r="AV20" s="48">
        <f>'[3]others portable_Zn-based'!BA20</f>
        <v>3953.1102113701118</v>
      </c>
      <c r="AW20" s="48">
        <f>'[3]others portable_Zn-based'!BB20</f>
        <v>3992.6413134838131</v>
      </c>
      <c r="AX20" s="48">
        <f>'[3]others portable_Zn-based'!BC20</f>
        <v>4032.5677266186512</v>
      </c>
      <c r="AY20" s="48">
        <f>'[3]others portable_Zn-based'!BD20</f>
        <v>4072.8934038848379</v>
      </c>
      <c r="AZ20" s="48">
        <f>'[3]others portable_Zn-based'!BE20</f>
        <v>4113.6223379236862</v>
      </c>
    </row>
    <row r="21" spans="1:52" x14ac:dyDescent="0.35">
      <c r="A21" s="52" t="s">
        <v>9</v>
      </c>
      <c r="B21" s="23">
        <f t="shared" si="0"/>
        <v>19420.357545800838</v>
      </c>
      <c r="C21" s="23">
        <f t="shared" si="0"/>
        <v>19808.764696716855</v>
      </c>
      <c r="D21" s="23">
        <f t="shared" si="0"/>
        <v>20204.939990651194</v>
      </c>
      <c r="E21" s="23">
        <f t="shared" si="0"/>
        <v>20609.038790464219</v>
      </c>
      <c r="F21" s="23">
        <f t="shared" si="0"/>
        <v>21021.219566273503</v>
      </c>
      <c r="G21" s="23">
        <f t="shared" si="0"/>
        <v>21441.643957598975</v>
      </c>
      <c r="H21" s="23">
        <f t="shared" si="0"/>
        <v>21870.476836750957</v>
      </c>
      <c r="I21" s="23">
        <f t="shared" si="0"/>
        <v>22307.886373485977</v>
      </c>
      <c r="J21" s="23">
        <f t="shared" si="0"/>
        <v>22754.044100955696</v>
      </c>
      <c r="K21" s="23">
        <f t="shared" si="0"/>
        <v>23209.124982974812</v>
      </c>
      <c r="L21" s="23">
        <f t="shared" si="0"/>
        <v>23673.307482634307</v>
      </c>
      <c r="M21" s="4">
        <f>M5*'[2]Eurostat POM Portables GU'!M12</f>
        <v>24146.773632286993</v>
      </c>
      <c r="N21" s="4">
        <f>N5*'[2]Eurostat POM Portables GU'!N12</f>
        <v>24082.504673457162</v>
      </c>
      <c r="O21" s="4">
        <f>O5*'[2]Eurostat POM Portables GU'!O12</f>
        <v>21759.379275988045</v>
      </c>
      <c r="P21" s="4">
        <f>P5*'[2]Eurostat POM Portables GU'!P12</f>
        <v>20282.991389482409</v>
      </c>
      <c r="Q21" s="4">
        <f>Q5*'[2]Eurostat POM Portables GU'!Q12</f>
        <v>21291</v>
      </c>
      <c r="R21" s="4">
        <f>R5*'[2]Eurostat POM Portables GU'!R12</f>
        <v>20204</v>
      </c>
      <c r="S21" s="4">
        <f>S5*'[2]Eurostat POM Portables GU'!S12</f>
        <v>20533</v>
      </c>
      <c r="T21" s="4">
        <f>T5*'[2]Eurostat POM Portables GU'!T12</f>
        <v>20144.944280773663</v>
      </c>
      <c r="U21" s="4">
        <f>U5*'[2]Eurostat POM Portables GU'!U12</f>
        <v>20676.638875350309</v>
      </c>
      <c r="V21" s="4">
        <f>V5*'[2]Eurostat POM Portables GU'!V12</f>
        <v>21942.092075557972</v>
      </c>
      <c r="W21" s="4">
        <f>$W$8*'[2]Eurostat POM Portables GU'!W12</f>
        <v>23932.665245150871</v>
      </c>
      <c r="X21" s="48">
        <f>'[3]others portable_Zn-based'!AC21</f>
        <v>24411.318550053889</v>
      </c>
      <c r="Y21" s="48">
        <f>'[3]others portable_Zn-based'!AD21</f>
        <v>24899.544921054967</v>
      </c>
      <c r="Z21" s="48">
        <f>'[3]others portable_Zn-based'!AE21</f>
        <v>25397.535819476067</v>
      </c>
      <c r="AA21" s="48">
        <f>'[3]others portable_Zn-based'!AF21</f>
        <v>25905.486535865588</v>
      </c>
      <c r="AB21" s="48">
        <f>'[3]others portable_Zn-based'!AG21</f>
        <v>26423.596266582899</v>
      </c>
      <c r="AC21" s="48">
        <f>'[3]others portable_Zn-based'!AH21</f>
        <v>26952.068191914557</v>
      </c>
      <c r="AD21" s="48">
        <f>'[3]others portable_Zn-based'!AI21</f>
        <v>27491.10955575285</v>
      </c>
      <c r="AE21" s="48">
        <f>'[3]others portable_Zn-based'!AJ21</f>
        <v>28040.931746867907</v>
      </c>
      <c r="AF21" s="48">
        <f>'[3]others portable_Zn-based'!AK21</f>
        <v>28601.750381805265</v>
      </c>
      <c r="AG21" s="48">
        <f>'[3]others portable_Zn-based'!AL21</f>
        <v>29173.785389441371</v>
      </c>
      <c r="AH21" s="48">
        <f>'[3]others portable_Zn-based'!AM21</f>
        <v>29757.261097230199</v>
      </c>
      <c r="AI21" s="48">
        <f>'[3]others portable_Zn-based'!AN21</f>
        <v>30352.406319174803</v>
      </c>
      <c r="AJ21" s="48">
        <f>'[3]others portable_Zn-based'!AO21</f>
        <v>30959.454445558298</v>
      </c>
      <c r="AK21" s="48">
        <f>'[3]others portable_Zn-based'!AP21</f>
        <v>31578.643534469466</v>
      </c>
      <c r="AL21" s="48">
        <f>'[3]others portable_Zn-based'!AQ21</f>
        <v>32210.216405158855</v>
      </c>
      <c r="AM21" s="48">
        <f>'[3]others portable_Zn-based'!AR21</f>
        <v>32854.420733262035</v>
      </c>
      <c r="AN21" s="48">
        <f>'[3]others portable_Zn-based'!AS21</f>
        <v>33511.509147927274</v>
      </c>
      <c r="AO21" s="48">
        <f>'[3]others portable_Zn-based'!AT21</f>
        <v>34181.739330885823</v>
      </c>
      <c r="AP21" s="48">
        <f>'[3]others portable_Zn-based'!AU21</f>
        <v>34523.556724194677</v>
      </c>
      <c r="AQ21" s="48">
        <f>'[3]others portable_Zn-based'!AV21</f>
        <v>34868.792291436621</v>
      </c>
      <c r="AR21" s="48">
        <f>'[3]others portable_Zn-based'!AW21</f>
        <v>35217.480214350988</v>
      </c>
      <c r="AS21" s="48">
        <f>'[3]others portable_Zn-based'!AX21</f>
        <v>35569.6550164945</v>
      </c>
      <c r="AT21" s="48">
        <f>'[3]others portable_Zn-based'!AY21</f>
        <v>35925.351566659447</v>
      </c>
      <c r="AU21" s="48">
        <f>'[3]others portable_Zn-based'!AZ21</f>
        <v>36284.605082326045</v>
      </c>
      <c r="AV21" s="48">
        <f>'[3]others portable_Zn-based'!BA21</f>
        <v>36647.451133149305</v>
      </c>
      <c r="AW21" s="48">
        <f>'[3]others portable_Zn-based'!BB21</f>
        <v>37013.925644480798</v>
      </c>
      <c r="AX21" s="48">
        <f>'[3]others portable_Zn-based'!BC21</f>
        <v>37384.064900925609</v>
      </c>
      <c r="AY21" s="48">
        <f>'[3]others portable_Zn-based'!BD21</f>
        <v>37757.905549934861</v>
      </c>
      <c r="AZ21" s="48">
        <f>'[3]others portable_Zn-based'!BE21</f>
        <v>38135.484605434212</v>
      </c>
    </row>
    <row r="22" spans="1:52" x14ac:dyDescent="0.35">
      <c r="A22" s="52" t="s">
        <v>10</v>
      </c>
      <c r="B22" s="23">
        <f t="shared" si="0"/>
        <v>23105.154067495303</v>
      </c>
      <c r="C22" s="23">
        <f t="shared" si="0"/>
        <v>23567.257148845209</v>
      </c>
      <c r="D22" s="23">
        <f t="shared" si="0"/>
        <v>24038.602291822113</v>
      </c>
      <c r="E22" s="23">
        <f t="shared" si="0"/>
        <v>24519.374337658555</v>
      </c>
      <c r="F22" s="23">
        <f t="shared" si="0"/>
        <v>25009.761824411726</v>
      </c>
      <c r="G22" s="23">
        <f t="shared" si="0"/>
        <v>25509.95706089996</v>
      </c>
      <c r="H22" s="23">
        <f t="shared" si="0"/>
        <v>26020.15620211796</v>
      </c>
      <c r="I22" s="23">
        <f t="shared" si="0"/>
        <v>26540.559326160321</v>
      </c>
      <c r="J22" s="23">
        <f t="shared" si="0"/>
        <v>27071.370512683527</v>
      </c>
      <c r="K22" s="23">
        <f t="shared" si="0"/>
        <v>27612.797922937196</v>
      </c>
      <c r="L22" s="23">
        <f t="shared" si="0"/>
        <v>28165.053881395939</v>
      </c>
      <c r="M22" s="4">
        <f>M4*'[2]Eurostat POM Portables GU'!M13</f>
        <v>28728.354959023858</v>
      </c>
      <c r="N22" s="4">
        <f>N4*'[2]Eurostat POM Portables GU'!N13</f>
        <v>29307.340639460741</v>
      </c>
      <c r="O22" s="4">
        <f>O4*'[2]Eurostat POM Portables GU'!O13</f>
        <v>29969.007039601518</v>
      </c>
      <c r="P22" s="4">
        <f>P4*'[2]Eurostat POM Portables GU'!P13</f>
        <v>31689.735554089715</v>
      </c>
      <c r="Q22" s="4">
        <f>Q4*'[2]Eurostat POM Portables GU'!Q13</f>
        <v>31384.241872791517</v>
      </c>
      <c r="R22" s="4">
        <f>R4*'[2]Eurostat POM Portables GU'!R13</f>
        <v>31620.014678795094</v>
      </c>
      <c r="S22" s="4">
        <f>S4*'[2]Eurostat POM Portables GU'!S13</f>
        <v>33614.801183784097</v>
      </c>
      <c r="T22" s="4">
        <f>T4*'[2]Eurostat POM Portables GU'!T13</f>
        <v>35244.073489996568</v>
      </c>
      <c r="U22" s="4">
        <f>U4*'[2]Eurostat POM Portables GU'!U13</f>
        <v>35586.538001664645</v>
      </c>
      <c r="V22" s="4">
        <f>V4*'[2]Eurostat POM Portables GU'!V13</f>
        <v>40631.529468104229</v>
      </c>
      <c r="W22" s="4">
        <f>W4*'[2]Eurostat POM Portables GU'!W13</f>
        <v>40435.184992478949</v>
      </c>
      <c r="X22" s="48">
        <f>'[3]others portable_Zn-based'!AC22</f>
        <v>41243.888692328532</v>
      </c>
      <c r="Y22" s="48">
        <f>'[3]others portable_Zn-based'!AD22</f>
        <v>42068.766466175104</v>
      </c>
      <c r="Z22" s="48">
        <f>'[3]others portable_Zn-based'!AE22</f>
        <v>42910.141795498603</v>
      </c>
      <c r="AA22" s="48">
        <f>'[3]others portable_Zn-based'!AF22</f>
        <v>43768.344631408574</v>
      </c>
      <c r="AB22" s="48">
        <f>'[3]others portable_Zn-based'!AG22</f>
        <v>44643.711524036742</v>
      </c>
      <c r="AC22" s="48">
        <f>'[3]others portable_Zn-based'!AH22</f>
        <v>45536.58575451748</v>
      </c>
      <c r="AD22" s="48">
        <f>'[3]others portable_Zn-based'!AI22</f>
        <v>46447.317469607828</v>
      </c>
      <c r="AE22" s="48">
        <f>'[3]others portable_Zn-based'!AJ22</f>
        <v>47376.263818999985</v>
      </c>
      <c r="AF22" s="48">
        <f>'[3]others portable_Zn-based'!AK22</f>
        <v>48323.789095379987</v>
      </c>
      <c r="AG22" s="48">
        <f>'[3]others portable_Zn-based'!AL22</f>
        <v>49290.264877287584</v>
      </c>
      <c r="AH22" s="48">
        <f>'[3]others portable_Zn-based'!AM22</f>
        <v>50276.070174833338</v>
      </c>
      <c r="AI22" s="48">
        <f>'[3]others portable_Zn-based'!AN22</f>
        <v>51281.591578330008</v>
      </c>
      <c r="AJ22" s="48">
        <f>'[3]others portable_Zn-based'!AO22</f>
        <v>52307.223409896607</v>
      </c>
      <c r="AK22" s="48">
        <f>'[3]others portable_Zn-based'!AP22</f>
        <v>53353.367878094541</v>
      </c>
      <c r="AL22" s="48">
        <f>'[3]others portable_Zn-based'!AQ22</f>
        <v>54420.435235656434</v>
      </c>
      <c r="AM22" s="48">
        <f>'[3]others portable_Zn-based'!AR22</f>
        <v>55508.843940369559</v>
      </c>
      <c r="AN22" s="48">
        <f>'[3]others portable_Zn-based'!AS22</f>
        <v>56619.020819176949</v>
      </c>
      <c r="AO22" s="48">
        <f>'[3]others portable_Zn-based'!AT22</f>
        <v>57751.401235560486</v>
      </c>
      <c r="AP22" s="48">
        <f>'[3]others portable_Zn-based'!AU22</f>
        <v>58328.915247916091</v>
      </c>
      <c r="AQ22" s="48">
        <f>'[3]others portable_Zn-based'!AV22</f>
        <v>58912.204400395254</v>
      </c>
      <c r="AR22" s="48">
        <f>'[3]others portable_Zn-based'!AW22</f>
        <v>59501.326444399208</v>
      </c>
      <c r="AS22" s="48">
        <f>'[3]others portable_Zn-based'!AX22</f>
        <v>60096.339708843203</v>
      </c>
      <c r="AT22" s="48">
        <f>'[3]others portable_Zn-based'!AY22</f>
        <v>60697.303105931634</v>
      </c>
      <c r="AU22" s="48">
        <f>'[3]others portable_Zn-based'!AZ22</f>
        <v>61304.276136990949</v>
      </c>
      <c r="AV22" s="48">
        <f>'[3]others portable_Zn-based'!BA22</f>
        <v>61917.318898360856</v>
      </c>
      <c r="AW22" s="48">
        <f>'[3]others portable_Zn-based'!BB22</f>
        <v>62536.492087344464</v>
      </c>
      <c r="AX22" s="48">
        <f>'[3]others portable_Zn-based'!BC22</f>
        <v>63161.857008217907</v>
      </c>
      <c r="AY22" s="48">
        <f>'[3]others portable_Zn-based'!BD22</f>
        <v>63793.475578300087</v>
      </c>
      <c r="AZ22" s="48">
        <f>'[3]others portable_Zn-based'!BE22</f>
        <v>64431.410334083092</v>
      </c>
    </row>
    <row r="23" spans="1:52" x14ac:dyDescent="0.35">
      <c r="A23" s="52" t="s">
        <v>11</v>
      </c>
      <c r="B23" s="23">
        <f t="shared" si="0"/>
        <v>1027.2756620703806</v>
      </c>
      <c r="C23" s="23">
        <f t="shared" si="0"/>
        <v>1047.8211753117882</v>
      </c>
      <c r="D23" s="23">
        <f t="shared" si="0"/>
        <v>1068.777598818024</v>
      </c>
      <c r="E23" s="23">
        <f t="shared" si="0"/>
        <v>1090.1531507943844</v>
      </c>
      <c r="F23" s="23">
        <f t="shared" si="0"/>
        <v>1111.9562138102722</v>
      </c>
      <c r="G23" s="23">
        <f t="shared" si="0"/>
        <v>1134.1953380864777</v>
      </c>
      <c r="H23" s="23">
        <f t="shared" si="0"/>
        <v>1156.8792448482072</v>
      </c>
      <c r="I23" s="23">
        <f t="shared" si="0"/>
        <v>1180.0168297451714</v>
      </c>
      <c r="J23" s="23">
        <f t="shared" si="0"/>
        <v>1203.6171663400748</v>
      </c>
      <c r="K23" s="23">
        <f t="shared" si="0"/>
        <v>1227.6895096668763</v>
      </c>
      <c r="L23" s="23">
        <f t="shared" si="0"/>
        <v>1252.2432998602139</v>
      </c>
      <c r="M23" s="4">
        <f>$M$8*'[2]Eurostat POM Portables GU'!M14</f>
        <v>1277.2881658574183</v>
      </c>
      <c r="N23" s="4">
        <f>$N$8*'[2]Eurostat POM Portables GU'!N14</f>
        <v>1104.8339008416021</v>
      </c>
      <c r="O23" s="4">
        <f>$O$8*'[2]Eurostat POM Portables GU'!O14</f>
        <v>1107.5219769779094</v>
      </c>
      <c r="P23" s="4">
        <f>$P$8*'[2]Eurostat POM Portables GU'!P14</f>
        <v>1065.9011665120472</v>
      </c>
      <c r="Q23" s="4">
        <f>$Q$8*'[2]Eurostat POM Portables GU'!Q14</f>
        <v>1176.16374698405</v>
      </c>
      <c r="R23" s="4">
        <f>$R$8*'[2]Eurostat POM Portables GU'!R14</f>
        <v>1102.3963546958598</v>
      </c>
      <c r="S23" s="4">
        <f>$S$8*'[2]Eurostat POM Portables GU'!S14</f>
        <v>1119.1646767042121</v>
      </c>
      <c r="T23" s="4">
        <f>$T$8*'[2]Eurostat POM Portables GU'!T14</f>
        <v>1087.6518896643213</v>
      </c>
      <c r="U23" s="4">
        <f>$U$8*'[2]Eurostat POM Portables GU'!U14</f>
        <v>1147.3533358652553</v>
      </c>
      <c r="V23" s="4">
        <f>$V$8*'[2]Eurostat POM Portables GU'!V14</f>
        <v>1163.760478784611</v>
      </c>
      <c r="W23" s="4">
        <f>$W$8*'[2]Eurostat POM Portables GU'!W14</f>
        <v>1823.489536373781</v>
      </c>
      <c r="X23" s="48">
        <f>'[3]others portable_Zn-based'!AC23</f>
        <v>1859.9593271012566</v>
      </c>
      <c r="Y23" s="48">
        <f>'[3]others portable_Zn-based'!AD23</f>
        <v>1897.1585136432818</v>
      </c>
      <c r="Z23" s="48">
        <f>'[3]others portable_Zn-based'!AE23</f>
        <v>1935.1016839161475</v>
      </c>
      <c r="AA23" s="48">
        <f>'[3]others portable_Zn-based'!AF23</f>
        <v>1973.8037175944705</v>
      </c>
      <c r="AB23" s="48">
        <f>'[3]others portable_Zn-based'!AG23</f>
        <v>2013.2797919463599</v>
      </c>
      <c r="AC23" s="48">
        <f>'[3]others portable_Zn-based'!AH23</f>
        <v>2053.5453877852869</v>
      </c>
      <c r="AD23" s="48">
        <f>'[3]others portable_Zn-based'!AI23</f>
        <v>2094.6162955409927</v>
      </c>
      <c r="AE23" s="48">
        <f>'[3]others portable_Zn-based'!AJ23</f>
        <v>2136.5086214518124</v>
      </c>
      <c r="AF23" s="48">
        <f>'[3]others portable_Zn-based'!AK23</f>
        <v>2179.2387938808488</v>
      </c>
      <c r="AG23" s="48">
        <f>'[3]others portable_Zn-based'!AL23</f>
        <v>2222.823569758466</v>
      </c>
      <c r="AH23" s="48">
        <f>'[3]others portable_Zn-based'!AM23</f>
        <v>2267.2800411536355</v>
      </c>
      <c r="AI23" s="48">
        <f>'[3]others portable_Zn-based'!AN23</f>
        <v>2312.6256419767083</v>
      </c>
      <c r="AJ23" s="48">
        <f>'[3]others portable_Zn-based'!AO23</f>
        <v>2358.8781548162424</v>
      </c>
      <c r="AK23" s="48">
        <f>'[3]others portable_Zn-based'!AP23</f>
        <v>2406.0557179125672</v>
      </c>
      <c r="AL23" s="48">
        <f>'[3]others portable_Zn-based'!AQ23</f>
        <v>2454.1768322708185</v>
      </c>
      <c r="AM23" s="48">
        <f>'[3]others portable_Zn-based'!AR23</f>
        <v>2503.2603689162347</v>
      </c>
      <c r="AN23" s="48">
        <f>'[3]others portable_Zn-based'!AS23</f>
        <v>2553.3255762945596</v>
      </c>
      <c r="AO23" s="48">
        <f>'[3]others portable_Zn-based'!AT23</f>
        <v>2604.3920878204508</v>
      </c>
      <c r="AP23" s="48">
        <f>'[3]others portable_Zn-based'!AU23</f>
        <v>2630.4360086986553</v>
      </c>
      <c r="AQ23" s="48">
        <f>'[3]others portable_Zn-based'!AV23</f>
        <v>2656.7403687856417</v>
      </c>
      <c r="AR23" s="48">
        <f>'[3]others portable_Zn-based'!AW23</f>
        <v>2683.3077724734981</v>
      </c>
      <c r="AS23" s="48">
        <f>'[3]others portable_Zn-based'!AX23</f>
        <v>2710.1408501982332</v>
      </c>
      <c r="AT23" s="48">
        <f>'[3]others portable_Zn-based'!AY23</f>
        <v>2737.2422587002156</v>
      </c>
      <c r="AU23" s="48">
        <f>'[3]others portable_Zn-based'!AZ23</f>
        <v>2764.614681287218</v>
      </c>
      <c r="AV23" s="48">
        <f>'[3]others portable_Zn-based'!BA23</f>
        <v>2792.2608281000903</v>
      </c>
      <c r="AW23" s="48">
        <f>'[3]others portable_Zn-based'!BB23</f>
        <v>2820.1834363810913</v>
      </c>
      <c r="AX23" s="48">
        <f>'[3]others portable_Zn-based'!BC23</f>
        <v>2848.3852707449023</v>
      </c>
      <c r="AY23" s="48">
        <f>'[3]others portable_Zn-based'!BD23</f>
        <v>2876.8691234523512</v>
      </c>
      <c r="AZ23" s="48">
        <f>'[3]others portable_Zn-based'!BE23</f>
        <v>2905.6378146868747</v>
      </c>
    </row>
    <row r="24" spans="1:52" x14ac:dyDescent="0.35">
      <c r="A24" s="52" t="s">
        <v>12</v>
      </c>
      <c r="B24" s="23">
        <f t="shared" si="0"/>
        <v>1134.4455014106959</v>
      </c>
      <c r="C24" s="23">
        <f t="shared" si="0"/>
        <v>1157.1344114389099</v>
      </c>
      <c r="D24" s="23">
        <f t="shared" si="0"/>
        <v>1180.2770996676882</v>
      </c>
      <c r="E24" s="23">
        <f t="shared" si="0"/>
        <v>1203.882641661042</v>
      </c>
      <c r="F24" s="23">
        <f t="shared" si="0"/>
        <v>1227.9602944942628</v>
      </c>
      <c r="G24" s="23">
        <f t="shared" si="0"/>
        <v>1252.5195003841482</v>
      </c>
      <c r="H24" s="23">
        <f t="shared" si="0"/>
        <v>1277.5698903918312</v>
      </c>
      <c r="I24" s="23">
        <f t="shared" si="0"/>
        <v>1303.1212881996678</v>
      </c>
      <c r="J24" s="23">
        <f t="shared" si="0"/>
        <v>1329.1837139636611</v>
      </c>
      <c r="K24" s="23">
        <f t="shared" si="0"/>
        <v>1355.7673882429344</v>
      </c>
      <c r="L24" s="23">
        <f t="shared" si="0"/>
        <v>1382.882736007793</v>
      </c>
      <c r="M24" s="4">
        <f>$M$8*'[2]Eurostat POM Portables GU'!M15</f>
        <v>1410.540390727949</v>
      </c>
      <c r="N24" s="4">
        <f>$N$8*'[2]Eurostat POM Portables GU'!N15</f>
        <v>1091.2059936946573</v>
      </c>
      <c r="O24" s="4">
        <f>$O$8*'[2]Eurostat POM Portables GU'!O15</f>
        <v>1080.0956293438628</v>
      </c>
      <c r="P24" s="4">
        <f>$P$8*'[2]Eurostat POM Portables GU'!P15</f>
        <v>1103.8254902310482</v>
      </c>
      <c r="Q24" s="4">
        <f>$Q$8*'[2]Eurostat POM Portables GU'!Q15</f>
        <v>1266.7459101846127</v>
      </c>
      <c r="R24" s="4">
        <f>$R$8*'[2]Eurostat POM Portables GU'!R15</f>
        <v>1160.9977869342265</v>
      </c>
      <c r="S24" s="4">
        <f>$S$8*'[2]Eurostat POM Portables GU'!S15</f>
        <v>1559.0254982221206</v>
      </c>
      <c r="T24" s="4">
        <f>$T$8*'[2]Eurostat POM Portables GU'!T15</f>
        <v>1877.9505895662217</v>
      </c>
      <c r="U24" s="4">
        <f>$U$8*'[2]Eurostat POM Portables GU'!U15</f>
        <v>1863.3324475676004</v>
      </c>
      <c r="V24" s="4">
        <f>$V$8*'[2]Eurostat POM Portables GU'!V15</f>
        <v>1577.0527136827136</v>
      </c>
      <c r="W24" s="4">
        <f>$W$8*'[2]Eurostat POM Portables GU'!W15</f>
        <v>2014.6003826302251</v>
      </c>
      <c r="X24" s="48">
        <f>'[3]others portable_Zn-based'!AC24</f>
        <v>2054.8923902828296</v>
      </c>
      <c r="Y24" s="48">
        <f>'[3]others portable_Zn-based'!AD24</f>
        <v>2095.9902380884864</v>
      </c>
      <c r="Z24" s="48">
        <f>'[3]others portable_Zn-based'!AE24</f>
        <v>2137.9100428502561</v>
      </c>
      <c r="AA24" s="48">
        <f>'[3]others portable_Zn-based'!AF24</f>
        <v>2180.6682437072614</v>
      </c>
      <c r="AB24" s="48">
        <f>'[3]others portable_Zn-based'!AG24</f>
        <v>2224.2816085814065</v>
      </c>
      <c r="AC24" s="48">
        <f>'[3]others portable_Zn-based'!AH24</f>
        <v>2268.7672407530345</v>
      </c>
      <c r="AD24" s="48">
        <f>'[3]others portable_Zn-based'!AI24</f>
        <v>2314.142585568095</v>
      </c>
      <c r="AE24" s="48">
        <f>'[3]others portable_Zn-based'!AJ24</f>
        <v>2360.4254372794567</v>
      </c>
      <c r="AF24" s="48">
        <f>'[3]others portable_Zn-based'!AK24</f>
        <v>2407.6339460250456</v>
      </c>
      <c r="AG24" s="48">
        <f>'[3]others portable_Zn-based'!AL24</f>
        <v>2455.7866249455465</v>
      </c>
      <c r="AH24" s="48">
        <f>'[3]others portable_Zn-based'!AM24</f>
        <v>2504.9023574444573</v>
      </c>
      <c r="AI24" s="48">
        <f>'[3]others portable_Zn-based'!AN24</f>
        <v>2555.0004045933465</v>
      </c>
      <c r="AJ24" s="48">
        <f>'[3]others portable_Zn-based'!AO24</f>
        <v>2606.1004126852135</v>
      </c>
      <c r="AK24" s="48">
        <f>'[3]others portable_Zn-based'!AP24</f>
        <v>2658.2224209389178</v>
      </c>
      <c r="AL24" s="48">
        <f>'[3]others portable_Zn-based'!AQ24</f>
        <v>2711.386869357696</v>
      </c>
      <c r="AM24" s="48">
        <f>'[3]others portable_Zn-based'!AR24</f>
        <v>2765.6146067448499</v>
      </c>
      <c r="AN24" s="48">
        <f>'[3]others portable_Zn-based'!AS24</f>
        <v>2820.9268988797467</v>
      </c>
      <c r="AO24" s="48">
        <f>'[3]others portable_Zn-based'!AT24</f>
        <v>2877.3454368573416</v>
      </c>
      <c r="AP24" s="48">
        <f>'[3]others portable_Zn-based'!AU24</f>
        <v>2906.1188912259149</v>
      </c>
      <c r="AQ24" s="48">
        <f>'[3]others portable_Zn-based'!AV24</f>
        <v>2935.1800801381742</v>
      </c>
      <c r="AR24" s="48">
        <f>'[3]others portable_Zn-based'!AW24</f>
        <v>2964.5318809395558</v>
      </c>
      <c r="AS24" s="48">
        <f>'[3]others portable_Zn-based'!AX24</f>
        <v>2994.1771997489514</v>
      </c>
      <c r="AT24" s="48">
        <f>'[3]others portable_Zn-based'!AY24</f>
        <v>3024.1189717464408</v>
      </c>
      <c r="AU24" s="48">
        <f>'[3]others portable_Zn-based'!AZ24</f>
        <v>3054.3601614639051</v>
      </c>
      <c r="AV24" s="48">
        <f>'[3]others portable_Zn-based'!BA24</f>
        <v>3084.9037630785442</v>
      </c>
      <c r="AW24" s="48">
        <f>'[3]others portable_Zn-based'!BB24</f>
        <v>3115.7528007093297</v>
      </c>
      <c r="AX24" s="48">
        <f>'[3]others portable_Zn-based'!BC24</f>
        <v>3146.910328716423</v>
      </c>
      <c r="AY24" s="48">
        <f>'[3]others portable_Zn-based'!BD24</f>
        <v>3178.3794320035872</v>
      </c>
      <c r="AZ24" s="48">
        <f>'[3]others portable_Zn-based'!BE24</f>
        <v>3210.1632263236229</v>
      </c>
    </row>
    <row r="25" spans="1:52" x14ac:dyDescent="0.35">
      <c r="A25" s="52" t="s">
        <v>13</v>
      </c>
      <c r="B25" s="23">
        <f t="shared" si="0"/>
        <v>104.00471973285529</v>
      </c>
      <c r="C25" s="23">
        <f t="shared" si="0"/>
        <v>106.0848141275124</v>
      </c>
      <c r="D25" s="23">
        <f t="shared" si="0"/>
        <v>108.20651041006265</v>
      </c>
      <c r="E25" s="23">
        <f t="shared" si="0"/>
        <v>110.37064061826391</v>
      </c>
      <c r="F25" s="23">
        <f t="shared" si="0"/>
        <v>112.57805343062918</v>
      </c>
      <c r="G25" s="23">
        <f t="shared" si="0"/>
        <v>114.82961449924177</v>
      </c>
      <c r="H25" s="23">
        <f t="shared" si="0"/>
        <v>117.12620678922661</v>
      </c>
      <c r="I25" s="23">
        <f t="shared" si="0"/>
        <v>119.46873092501114</v>
      </c>
      <c r="J25" s="23">
        <f t="shared" si="0"/>
        <v>121.85810554351137</v>
      </c>
      <c r="K25" s="23">
        <f t="shared" si="0"/>
        <v>124.2952676543816</v>
      </c>
      <c r="L25" s="23">
        <f t="shared" si="0"/>
        <v>126.78117300746923</v>
      </c>
      <c r="M25" s="4">
        <f>$M$8*'[2]Eurostat POM Portables GU'!M16</f>
        <v>129.31679646761862</v>
      </c>
      <c r="N25" s="4">
        <f>$N$8*'[2]Eurostat POM Portables GU'!N16</f>
        <v>115.0723792254784</v>
      </c>
      <c r="O25" s="4">
        <f>$O$8*'[2]Eurostat POM Portables GU'!O16</f>
        <v>143.76151686039657</v>
      </c>
      <c r="P25" s="4">
        <f>$P$8*'[2]Eurostat POM Portables GU'!P16</f>
        <v>128.11645942766953</v>
      </c>
      <c r="Q25" s="4">
        <f>$Q$8*'[2]Eurostat POM Portables GU'!Q16</f>
        <v>119.02074932166954</v>
      </c>
      <c r="R25" s="4">
        <f>$R$8*'[2]Eurostat POM Portables GU'!R16</f>
        <v>152.63949526558059</v>
      </c>
      <c r="S25" s="4">
        <f>$S$8*'[2]Eurostat POM Portables GU'!S16</f>
        <v>174.42300546507136</v>
      </c>
      <c r="T25" s="4">
        <f>$T$8*'[2]Eurostat POM Portables GU'!T16</f>
        <v>168.36798389214403</v>
      </c>
      <c r="U25" s="4">
        <f>$U$8*'[2]Eurostat POM Portables GU'!U16</f>
        <v>107.84355604072755</v>
      </c>
      <c r="V25" s="4">
        <f>$V$8*'[2]Eurostat POM Portables GU'!V16</f>
        <v>196.14082015407664</v>
      </c>
      <c r="W25" s="4">
        <f>$W$8*'[2]Eurostat POM Portables GU'!W16</f>
        <v>215.80922472613094</v>
      </c>
      <c r="X25" s="48">
        <f>'[3]others portable_Zn-based'!AC25</f>
        <v>220.12540922065355</v>
      </c>
      <c r="Y25" s="48">
        <f>'[3]others portable_Zn-based'!AD25</f>
        <v>224.52791740506663</v>
      </c>
      <c r="Z25" s="48">
        <f>'[3]others portable_Zn-based'!AE25</f>
        <v>229.01847575316796</v>
      </c>
      <c r="AA25" s="48">
        <f>'[3]others portable_Zn-based'!AF25</f>
        <v>233.59884526823132</v>
      </c>
      <c r="AB25" s="48">
        <f>'[3]others portable_Zn-based'!AG25</f>
        <v>238.27082217359595</v>
      </c>
      <c r="AC25" s="48">
        <f>'[3]others portable_Zn-based'!AH25</f>
        <v>243.03623861706785</v>
      </c>
      <c r="AD25" s="48">
        <f>'[3]others portable_Zn-based'!AI25</f>
        <v>247.89696338940922</v>
      </c>
      <c r="AE25" s="48">
        <f>'[3]others portable_Zn-based'!AJ25</f>
        <v>252.85490265719741</v>
      </c>
      <c r="AF25" s="48">
        <f>'[3]others portable_Zn-based'!AK25</f>
        <v>257.91200071034137</v>
      </c>
      <c r="AG25" s="48">
        <f>'[3]others portable_Zn-based'!AL25</f>
        <v>263.07024072454823</v>
      </c>
      <c r="AH25" s="48">
        <f>'[3]others portable_Zn-based'!AM25</f>
        <v>268.33164553903919</v>
      </c>
      <c r="AI25" s="48">
        <f>'[3]others portable_Zn-based'!AN25</f>
        <v>273.69827844981995</v>
      </c>
      <c r="AJ25" s="48">
        <f>'[3]others portable_Zn-based'!AO25</f>
        <v>279.17224401881634</v>
      </c>
      <c r="AK25" s="48">
        <f>'[3]others portable_Zn-based'!AP25</f>
        <v>284.75568889919265</v>
      </c>
      <c r="AL25" s="48">
        <f>'[3]others portable_Zn-based'!AQ25</f>
        <v>290.45080267717651</v>
      </c>
      <c r="AM25" s="48">
        <f>'[3]others portable_Zn-based'!AR25</f>
        <v>296.25981873072004</v>
      </c>
      <c r="AN25" s="48">
        <f>'[3]others portable_Zn-based'!AS25</f>
        <v>302.18501510533446</v>
      </c>
      <c r="AO25" s="48">
        <f>'[3]others portable_Zn-based'!AT25</f>
        <v>308.22871540744114</v>
      </c>
      <c r="AP25" s="48">
        <f>'[3]others portable_Zn-based'!AU25</f>
        <v>311.31100256151558</v>
      </c>
      <c r="AQ25" s="48">
        <f>'[3]others portable_Zn-based'!AV25</f>
        <v>314.42411258713071</v>
      </c>
      <c r="AR25" s="48">
        <f>'[3]others portable_Zn-based'!AW25</f>
        <v>317.56835371300201</v>
      </c>
      <c r="AS25" s="48">
        <f>'[3]others portable_Zn-based'!AX25</f>
        <v>320.74403725013201</v>
      </c>
      <c r="AT25" s="48">
        <f>'[3]others portable_Zn-based'!AY25</f>
        <v>323.95147762263332</v>
      </c>
      <c r="AU25" s="48">
        <f>'[3]others portable_Zn-based'!AZ25</f>
        <v>327.19099239885963</v>
      </c>
      <c r="AV25" s="48">
        <f>'[3]others portable_Zn-based'!BA25</f>
        <v>330.46290232284821</v>
      </c>
      <c r="AW25" s="48">
        <f>'[3]others portable_Zn-based'!BB25</f>
        <v>333.76753134607668</v>
      </c>
      <c r="AX25" s="48">
        <f>'[3]others portable_Zn-based'!BC25</f>
        <v>337.10520665953743</v>
      </c>
      <c r="AY25" s="48">
        <f>'[3]others portable_Zn-based'!BD25</f>
        <v>340.47625872613281</v>
      </c>
      <c r="AZ25" s="48">
        <f>'[3]others portable_Zn-based'!BE25</f>
        <v>343.88102131339411</v>
      </c>
    </row>
    <row r="26" spans="1:52" x14ac:dyDescent="0.35">
      <c r="A26" s="52" t="s">
        <v>14</v>
      </c>
      <c r="B26" s="23">
        <f t="shared" si="0"/>
        <v>1163.8755609186583</v>
      </c>
      <c r="C26" s="23">
        <f t="shared" si="0"/>
        <v>1187.1530721370314</v>
      </c>
      <c r="D26" s="23">
        <f t="shared" si="0"/>
        <v>1210.8961335797719</v>
      </c>
      <c r="E26" s="23">
        <f t="shared" si="0"/>
        <v>1235.1140562513674</v>
      </c>
      <c r="F26" s="23">
        <f t="shared" si="0"/>
        <v>1259.8163373763948</v>
      </c>
      <c r="G26" s="23">
        <f t="shared" si="0"/>
        <v>1285.0126641239228</v>
      </c>
      <c r="H26" s="23">
        <f t="shared" si="0"/>
        <v>1310.7129174064014</v>
      </c>
      <c r="I26" s="23">
        <f t="shared" si="0"/>
        <v>1336.9271757545293</v>
      </c>
      <c r="J26" s="23">
        <f t="shared" si="0"/>
        <v>1363.66571926962</v>
      </c>
      <c r="K26" s="23">
        <f t="shared" si="0"/>
        <v>1390.9390336550125</v>
      </c>
      <c r="L26" s="23">
        <f t="shared" si="0"/>
        <v>1418.7578143281128</v>
      </c>
      <c r="M26" s="4">
        <f>$M$8*'[2]Eurostat POM Portables GU'!M17</f>
        <v>1447.1329706146751</v>
      </c>
      <c r="N26" s="4">
        <f>$N$8*'[2]Eurostat POM Portables GU'!N17</f>
        <v>1356.5330022290534</v>
      </c>
      <c r="O26" s="4">
        <f>$O$8*'[2]Eurostat POM Portables GU'!O17</f>
        <v>1335.0280667666923</v>
      </c>
      <c r="P26" s="4">
        <f>$P$8*'[2]Eurostat POM Portables GU'!P17</f>
        <v>1651.2788104010738</v>
      </c>
      <c r="Q26" s="4">
        <f>$Q$8*'[2]Eurostat POM Portables GU'!Q17</f>
        <v>1898.0123033420223</v>
      </c>
      <c r="R26" s="4">
        <f>$R$8*'[2]Eurostat POM Portables GU'!R17</f>
        <v>1356.7955134718275</v>
      </c>
      <c r="S26" s="4">
        <f>$S$8*'[2]Eurostat POM Portables GU'!S17</f>
        <v>1978.3815295640063</v>
      </c>
      <c r="T26" s="4">
        <f>$T$8*'[2]Eurostat POM Portables GU'!T17</f>
        <v>1543.5934473000332</v>
      </c>
      <c r="U26" s="4">
        <f>$U$8*'[2]Eurostat POM Portables GU'!U17</f>
        <v>1701.2480497312406</v>
      </c>
      <c r="V26" s="4">
        <f>$V$8*'[2]Eurostat POM Portables GU'!V17</f>
        <v>2228.7585818020957</v>
      </c>
      <c r="W26" s="4">
        <f>$W$8*'[2]Eurostat POM Portables GU'!W17</f>
        <v>2344.1237354777154</v>
      </c>
      <c r="X26" s="48">
        <f>'[3]others portable_Zn-based'!AC26</f>
        <v>2391.0062101872695</v>
      </c>
      <c r="Y26" s="48">
        <f>'[3]others portable_Zn-based'!AD26</f>
        <v>2438.8263343910148</v>
      </c>
      <c r="Z26" s="48">
        <f>'[3]others portable_Zn-based'!AE26</f>
        <v>2487.6028610788353</v>
      </c>
      <c r="AA26" s="48">
        <f>'[3]others portable_Zn-based'!AF26</f>
        <v>2537.354918300412</v>
      </c>
      <c r="AB26" s="48">
        <f>'[3]others portable_Zn-based'!AG26</f>
        <v>2588.1020166664202</v>
      </c>
      <c r="AC26" s="48">
        <f>'[3]others portable_Zn-based'!AH26</f>
        <v>2639.8640569997488</v>
      </c>
      <c r="AD26" s="48">
        <f>'[3]others portable_Zn-based'!AI26</f>
        <v>2692.6613381397437</v>
      </c>
      <c r="AE26" s="48">
        <f>'[3]others portable_Zn-based'!AJ26</f>
        <v>2746.5145649025385</v>
      </c>
      <c r="AF26" s="48">
        <f>'[3]others portable_Zn-based'!AK26</f>
        <v>2801.4448562005891</v>
      </c>
      <c r="AG26" s="48">
        <f>'[3]others portable_Zn-based'!AL26</f>
        <v>2857.4737533246007</v>
      </c>
      <c r="AH26" s="48">
        <f>'[3]others portable_Zn-based'!AM26</f>
        <v>2914.6232283910927</v>
      </c>
      <c r="AI26" s="48">
        <f>'[3]others portable_Zn-based'!AN26</f>
        <v>2972.9156929589144</v>
      </c>
      <c r="AJ26" s="48">
        <f>'[3]others portable_Zn-based'!AO26</f>
        <v>3032.3740068180928</v>
      </c>
      <c r="AK26" s="48">
        <f>'[3]others portable_Zn-based'!AP26</f>
        <v>3093.0214869544548</v>
      </c>
      <c r="AL26" s="48">
        <f>'[3]others portable_Zn-based'!AQ26</f>
        <v>3154.8819166935436</v>
      </c>
      <c r="AM26" s="48">
        <f>'[3]others portable_Zn-based'!AR26</f>
        <v>3217.9795550274143</v>
      </c>
      <c r="AN26" s="48">
        <f>'[3]others portable_Zn-based'!AS26</f>
        <v>3282.3391461279625</v>
      </c>
      <c r="AO26" s="48">
        <f>'[3]others portable_Zn-based'!AT26</f>
        <v>3347.9859290505219</v>
      </c>
      <c r="AP26" s="48">
        <f>'[3]others portable_Zn-based'!AU26</f>
        <v>3381.4657883410273</v>
      </c>
      <c r="AQ26" s="48">
        <f>'[3]others portable_Zn-based'!AV26</f>
        <v>3415.2804462244376</v>
      </c>
      <c r="AR26" s="48">
        <f>'[3]others portable_Zn-based'!AW26</f>
        <v>3449.4332506866822</v>
      </c>
      <c r="AS26" s="48">
        <f>'[3]others portable_Zn-based'!AX26</f>
        <v>3483.9275831935488</v>
      </c>
      <c r="AT26" s="48">
        <f>'[3]others portable_Zn-based'!AY26</f>
        <v>3518.7668590254843</v>
      </c>
      <c r="AU26" s="48">
        <f>'[3]others portable_Zn-based'!AZ26</f>
        <v>3553.9545276157392</v>
      </c>
      <c r="AV26" s="48">
        <f>'[3]others portable_Zn-based'!BA26</f>
        <v>3589.4940728918964</v>
      </c>
      <c r="AW26" s="48">
        <f>'[3]others portable_Zn-based'!BB26</f>
        <v>3625.3890136208151</v>
      </c>
      <c r="AX26" s="48">
        <f>'[3]others portable_Zn-based'!BC26</f>
        <v>3661.6429037570233</v>
      </c>
      <c r="AY26" s="48">
        <f>'[3]others portable_Zn-based'!BD26</f>
        <v>3698.2593327945933</v>
      </c>
      <c r="AZ26" s="48">
        <f>'[3]others portable_Zn-based'!BE26</f>
        <v>3735.2419261225391</v>
      </c>
    </row>
    <row r="27" spans="1:52" x14ac:dyDescent="0.35">
      <c r="A27" s="52" t="s">
        <v>15</v>
      </c>
      <c r="B27" s="23">
        <f t="shared" si="0"/>
        <v>16384.795266306399</v>
      </c>
      <c r="C27" s="23">
        <f t="shared" si="0"/>
        <v>16712.491171632526</v>
      </c>
      <c r="D27" s="23">
        <f t="shared" si="0"/>
        <v>17046.740995065178</v>
      </c>
      <c r="E27" s="23">
        <f t="shared" si="0"/>
        <v>17387.675814966482</v>
      </c>
      <c r="F27" s="23">
        <f t="shared" si="0"/>
        <v>17735.429331265812</v>
      </c>
      <c r="G27" s="23">
        <f t="shared" si="0"/>
        <v>18090.13791789113</v>
      </c>
      <c r="H27" s="23">
        <f t="shared" si="0"/>
        <v>18451.940676248953</v>
      </c>
      <c r="I27" s="23">
        <f t="shared" si="0"/>
        <v>18820.97948977393</v>
      </c>
      <c r="J27" s="23">
        <f t="shared" si="0"/>
        <v>19197.399079569408</v>
      </c>
      <c r="K27" s="23">
        <f t="shared" si="0"/>
        <v>19581.347061160795</v>
      </c>
      <c r="L27" s="23">
        <f t="shared" si="0"/>
        <v>19972.974002384013</v>
      </c>
      <c r="M27" s="4">
        <f>$M$8*'[2]Eurostat POM Portables GU'!M18</f>
        <v>20372.433482431694</v>
      </c>
      <c r="N27" s="4">
        <f>$N$8*'[2]Eurostat POM Portables GU'!N18</f>
        <v>20464.797322507282</v>
      </c>
      <c r="O27" s="4">
        <f>$O$8*'[2]Eurostat POM Portables GU'!O18</f>
        <v>18517.345242848798</v>
      </c>
      <c r="P27" s="4">
        <f>$P$8*'[2]Eurostat POM Portables GU'!P18</f>
        <v>17059.725254886231</v>
      </c>
      <c r="Q27" s="4">
        <f>$Q$8*'[2]Eurostat POM Portables GU'!Q18</f>
        <v>17220.522382010597</v>
      </c>
      <c r="R27" s="4">
        <f>$R$8*'[2]Eurostat POM Portables GU'!R18</f>
        <v>16995.819715214173</v>
      </c>
      <c r="S27" s="4">
        <f>$S$8*'[2]Eurostat POM Portables GU'!S18</f>
        <v>16937.992508021143</v>
      </c>
      <c r="T27" s="4">
        <f>$T$8*'[2]Eurostat POM Portables GU'!T18</f>
        <v>16012.724992449552</v>
      </c>
      <c r="U27" s="4">
        <f>$U$8*'[2]Eurostat POM Portables GU'!U18</f>
        <v>16429.291900111475</v>
      </c>
      <c r="V27" s="4">
        <f>$V$8*'[2]Eurostat POM Portables GU'!V18</f>
        <v>17717.122869181989</v>
      </c>
      <c r="W27" s="4">
        <f>$W$8*'[2]Eurostat POM Portables GU'!W18</f>
        <v>20543.463592935255</v>
      </c>
      <c r="X27" s="48">
        <f>'[3]others portable_Zn-based'!AC27</f>
        <v>20954.33286479396</v>
      </c>
      <c r="Y27" s="48">
        <f>'[3]others portable_Zn-based'!AD27</f>
        <v>21373.41952208984</v>
      </c>
      <c r="Z27" s="48">
        <f>'[3]others portable_Zn-based'!AE27</f>
        <v>21800.887912531638</v>
      </c>
      <c r="AA27" s="48">
        <f>'[3]others portable_Zn-based'!AF27</f>
        <v>22236.905670782271</v>
      </c>
      <c r="AB27" s="48">
        <f>'[3]others portable_Zn-based'!AG27</f>
        <v>22681.643784197917</v>
      </c>
      <c r="AC27" s="48">
        <f>'[3]others portable_Zn-based'!AH27</f>
        <v>23135.276659881874</v>
      </c>
      <c r="AD27" s="48">
        <f>'[3]others portable_Zn-based'!AI27</f>
        <v>23597.982193079511</v>
      </c>
      <c r="AE27" s="48">
        <f>'[3]others portable_Zn-based'!AJ27</f>
        <v>24069.941836941103</v>
      </c>
      <c r="AF27" s="48">
        <f>'[3]others portable_Zn-based'!AK27</f>
        <v>24551.340673679926</v>
      </c>
      <c r="AG27" s="48">
        <f>'[3]others portable_Zn-based'!AL27</f>
        <v>25042.367487153526</v>
      </c>
      <c r="AH27" s="48">
        <f>'[3]others portable_Zn-based'!AM27</f>
        <v>25543.214836896597</v>
      </c>
      <c r="AI27" s="48">
        <f>'[3]others portable_Zn-based'!AN27</f>
        <v>26054.079133634528</v>
      </c>
      <c r="AJ27" s="48">
        <f>'[3]others portable_Zn-based'!AO27</f>
        <v>26575.160716307219</v>
      </c>
      <c r="AK27" s="48">
        <f>'[3]others portable_Zn-based'!AP27</f>
        <v>27106.663930633364</v>
      </c>
      <c r="AL27" s="48">
        <f>'[3]others portable_Zn-based'!AQ27</f>
        <v>27648.79720924603</v>
      </c>
      <c r="AM27" s="48">
        <f>'[3]others portable_Zn-based'!AR27</f>
        <v>28201.77315343095</v>
      </c>
      <c r="AN27" s="48">
        <f>'[3]others portable_Zn-based'!AS27</f>
        <v>28765.808616499569</v>
      </c>
      <c r="AO27" s="48">
        <f>'[3]others portable_Zn-based'!AT27</f>
        <v>29341.124788829562</v>
      </c>
      <c r="AP27" s="48">
        <f>'[3]others portable_Zn-based'!AU27</f>
        <v>29634.536036717858</v>
      </c>
      <c r="AQ27" s="48">
        <f>'[3]others portable_Zn-based'!AV27</f>
        <v>29930.881397085035</v>
      </c>
      <c r="AR27" s="48">
        <f>'[3]others portable_Zn-based'!AW27</f>
        <v>30230.190211055884</v>
      </c>
      <c r="AS27" s="48">
        <f>'[3]others portable_Zn-based'!AX27</f>
        <v>30532.492113166441</v>
      </c>
      <c r="AT27" s="48">
        <f>'[3]others portable_Zn-based'!AY27</f>
        <v>30837.817034298107</v>
      </c>
      <c r="AU27" s="48">
        <f>'[3]others portable_Zn-based'!AZ27</f>
        <v>31146.195204641088</v>
      </c>
      <c r="AV27" s="48">
        <f>'[3]others portable_Zn-based'!BA27</f>
        <v>31457.657156687499</v>
      </c>
      <c r="AW27" s="48">
        <f>'[3]others portable_Zn-based'!BB27</f>
        <v>31772.233728254374</v>
      </c>
      <c r="AX27" s="48">
        <f>'[3]others portable_Zn-based'!BC27</f>
        <v>32089.956065536917</v>
      </c>
      <c r="AY27" s="48">
        <f>'[3]others portable_Zn-based'!BD27</f>
        <v>32410.855626192286</v>
      </c>
      <c r="AZ27" s="48">
        <f>'[3]others portable_Zn-based'!BE27</f>
        <v>32734.964182454209</v>
      </c>
    </row>
    <row r="28" spans="1:52" x14ac:dyDescent="0.35">
      <c r="A28" s="52" t="s">
        <v>16</v>
      </c>
      <c r="B28" s="23">
        <f t="shared" ref="B28:L43" si="1">C28/1.02</f>
        <v>639.18035677059879</v>
      </c>
      <c r="C28" s="23">
        <f t="shared" si="1"/>
        <v>651.9639639060108</v>
      </c>
      <c r="D28" s="23">
        <f t="shared" si="1"/>
        <v>665.00324318413107</v>
      </c>
      <c r="E28" s="23">
        <f t="shared" si="1"/>
        <v>678.30330804781374</v>
      </c>
      <c r="F28" s="23">
        <f t="shared" si="1"/>
        <v>691.86937420877007</v>
      </c>
      <c r="G28" s="23">
        <f t="shared" si="1"/>
        <v>705.70676169294552</v>
      </c>
      <c r="H28" s="23">
        <f t="shared" si="1"/>
        <v>719.82089692680449</v>
      </c>
      <c r="I28" s="23">
        <f t="shared" si="1"/>
        <v>734.21731486534065</v>
      </c>
      <c r="J28" s="23">
        <f t="shared" si="1"/>
        <v>748.90166116264743</v>
      </c>
      <c r="K28" s="23">
        <f t="shared" si="1"/>
        <v>763.87969438590039</v>
      </c>
      <c r="L28" s="23">
        <f t="shared" si="1"/>
        <v>779.15728827361841</v>
      </c>
      <c r="M28" s="4">
        <f>$M$8*'[2]Eurostat POM Portables GU'!M19</f>
        <v>794.74043403909081</v>
      </c>
      <c r="N28" s="4">
        <f>$N$8*'[2]Eurostat POM Portables GU'!N19</f>
        <v>335.51420684808744</v>
      </c>
      <c r="O28" s="4">
        <f>$O$8*'[2]Eurostat POM Portables GU'!O19</f>
        <v>359.78901718646199</v>
      </c>
      <c r="P28" s="4">
        <f>$P$8*'[2]Eurostat POM Portables GU'!P19</f>
        <v>384.00079040966068</v>
      </c>
      <c r="Q28" s="4">
        <f>$Q$8*'[2]Eurostat POM Portables GU'!Q19</f>
        <v>357.40491537308515</v>
      </c>
      <c r="R28" s="4">
        <f>$R$8*'[2]Eurostat POM Portables GU'!R19</f>
        <v>293.26293920783775</v>
      </c>
      <c r="S28" s="4">
        <f>$S$8*'[2]Eurostat POM Portables GU'!S19</f>
        <v>324.52997556075724</v>
      </c>
      <c r="T28" s="4">
        <f>$T$8*'[2]Eurostat POM Portables GU'!T19</f>
        <v>344.79291765711736</v>
      </c>
      <c r="U28" s="4">
        <f>$U$8*'[2]Eurostat POM Portables GU'!U19</f>
        <v>360.66267216037136</v>
      </c>
      <c r="V28" s="4">
        <f>$V$8*'[2]Eurostat POM Portables GU'!V19</f>
        <v>419.34001502947285</v>
      </c>
      <c r="W28" s="4">
        <f>$W$8*'[2]Eurostat POM Portables GU'!W19</f>
        <v>434.92003217828687</v>
      </c>
      <c r="X28" s="48">
        <f>'[3]others portable_Zn-based'!AC28</f>
        <v>443.61843282185259</v>
      </c>
      <c r="Y28" s="48">
        <f>'[3]others portable_Zn-based'!AD28</f>
        <v>452.49080147828965</v>
      </c>
      <c r="Z28" s="48">
        <f>'[3]others portable_Zn-based'!AE28</f>
        <v>461.54061750785547</v>
      </c>
      <c r="AA28" s="48">
        <f>'[3]others portable_Zn-based'!AF28</f>
        <v>470.7714298580126</v>
      </c>
      <c r="AB28" s="48">
        <f>'[3]others portable_Zn-based'!AG28</f>
        <v>480.18685845517285</v>
      </c>
      <c r="AC28" s="48">
        <f>'[3]others portable_Zn-based'!AH28</f>
        <v>489.79059562427631</v>
      </c>
      <c r="AD28" s="48">
        <f>'[3]others portable_Zn-based'!AI28</f>
        <v>499.58640753676184</v>
      </c>
      <c r="AE28" s="48">
        <f>'[3]others portable_Zn-based'!AJ28</f>
        <v>509.57813568749708</v>
      </c>
      <c r="AF28" s="48">
        <f>'[3]others portable_Zn-based'!AK28</f>
        <v>519.76969840124707</v>
      </c>
      <c r="AG28" s="48">
        <f>'[3]others portable_Zn-based'!AL28</f>
        <v>530.16509236927197</v>
      </c>
      <c r="AH28" s="48">
        <f>'[3]others portable_Zn-based'!AM28</f>
        <v>540.76839421665738</v>
      </c>
      <c r="AI28" s="48">
        <f>'[3]others portable_Zn-based'!AN28</f>
        <v>551.5837621009905</v>
      </c>
      <c r="AJ28" s="48">
        <f>'[3]others portable_Zn-based'!AO28</f>
        <v>562.61543734301029</v>
      </c>
      <c r="AK28" s="48">
        <f>'[3]others portable_Zn-based'!AP28</f>
        <v>573.86774608987048</v>
      </c>
      <c r="AL28" s="48">
        <f>'[3]others portable_Zn-based'!AQ28</f>
        <v>585.34510101166791</v>
      </c>
      <c r="AM28" s="48">
        <f>'[3]others portable_Zn-based'!AR28</f>
        <v>597.05200303190122</v>
      </c>
      <c r="AN28" s="48">
        <f>'[3]others portable_Zn-based'!AS28</f>
        <v>608.99304309253921</v>
      </c>
      <c r="AO28" s="48">
        <f>'[3]others portable_Zn-based'!AT28</f>
        <v>621.17290395438999</v>
      </c>
      <c r="AP28" s="48">
        <f>'[3]others portable_Zn-based'!AU28</f>
        <v>627.38463299393391</v>
      </c>
      <c r="AQ28" s="48">
        <f>'[3]others portable_Zn-based'!AV28</f>
        <v>633.65847932387328</v>
      </c>
      <c r="AR28" s="48">
        <f>'[3]others portable_Zn-based'!AW28</f>
        <v>639.99506411711207</v>
      </c>
      <c r="AS28" s="48">
        <f>'[3]others portable_Zn-based'!AX28</f>
        <v>646.3950147582832</v>
      </c>
      <c r="AT28" s="48">
        <f>'[3]others portable_Zn-based'!AY28</f>
        <v>652.85896490586606</v>
      </c>
      <c r="AU28" s="48">
        <f>'[3]others portable_Zn-based'!AZ28</f>
        <v>659.38755455492469</v>
      </c>
      <c r="AV28" s="48">
        <f>'[3]others portable_Zn-based'!BA28</f>
        <v>665.98143010047397</v>
      </c>
      <c r="AW28" s="48">
        <f>'[3]others portable_Zn-based'!BB28</f>
        <v>672.64124440147873</v>
      </c>
      <c r="AX28" s="48">
        <f>'[3]others portable_Zn-based'!BC28</f>
        <v>679.36765684549357</v>
      </c>
      <c r="AY28" s="48">
        <f>'[3]others portable_Zn-based'!BD28</f>
        <v>686.16133341394846</v>
      </c>
      <c r="AZ28" s="48">
        <f>'[3]others portable_Zn-based'!BE28</f>
        <v>693.02294674808797</v>
      </c>
    </row>
    <row r="29" spans="1:52" x14ac:dyDescent="0.35">
      <c r="A29" s="52" t="s">
        <v>17</v>
      </c>
      <c r="B29" s="23">
        <f t="shared" si="1"/>
        <v>393.14117229504302</v>
      </c>
      <c r="C29" s="23">
        <f t="shared" si="1"/>
        <v>401.00399574094388</v>
      </c>
      <c r="D29" s="23">
        <f t="shared" si="1"/>
        <v>409.02407565576277</v>
      </c>
      <c r="E29" s="23">
        <f t="shared" si="1"/>
        <v>417.20455716887801</v>
      </c>
      <c r="F29" s="23">
        <f t="shared" si="1"/>
        <v>425.54864831225558</v>
      </c>
      <c r="G29" s="23">
        <f t="shared" si="1"/>
        <v>434.05962127850069</v>
      </c>
      <c r="H29" s="23">
        <f t="shared" si="1"/>
        <v>442.74081370407072</v>
      </c>
      <c r="I29" s="23">
        <f t="shared" si="1"/>
        <v>451.59562997815215</v>
      </c>
      <c r="J29" s="23">
        <f t="shared" si="1"/>
        <v>460.62754257771519</v>
      </c>
      <c r="K29" s="23">
        <f t="shared" si="1"/>
        <v>469.84009342926947</v>
      </c>
      <c r="L29" s="23">
        <f t="shared" si="1"/>
        <v>479.23689529785486</v>
      </c>
      <c r="M29" s="4">
        <f>$M$8*'[2]Eurostat POM Portables GU'!M20</f>
        <v>488.82163320381198</v>
      </c>
      <c r="N29" s="4">
        <f>$N$8*'[2]Eurostat POM Portables GU'!N20</f>
        <v>543.7256831076985</v>
      </c>
      <c r="O29" s="4">
        <f>$O$8*'[2]Eurostat POM Portables GU'!O20</f>
        <v>554.80779565055957</v>
      </c>
      <c r="P29" s="4">
        <f>$P$8*'[2]Eurostat POM Portables GU'!P20</f>
        <v>476.35713369854358</v>
      </c>
      <c r="Q29" s="4">
        <f>$Q$8*'[2]Eurostat POM Portables GU'!Q20</f>
        <v>491.53462907914621</v>
      </c>
      <c r="R29" s="4">
        <f>$R$8*'[2]Eurostat POM Portables GU'!R20</f>
        <v>515.4561296828283</v>
      </c>
      <c r="S29" s="4">
        <f>$S$8*'[2]Eurostat POM Portables GU'!S20</f>
        <v>549.9993254466151</v>
      </c>
      <c r="T29" s="4">
        <f>$T$8*'[2]Eurostat POM Portables GU'!T20</f>
        <v>503.54317782261245</v>
      </c>
      <c r="U29" s="4">
        <f>$U$8*'[2]Eurostat POM Portables GU'!U20</f>
        <v>478.60523481589513</v>
      </c>
      <c r="V29" s="4">
        <f>$V$8*'[2]Eurostat POM Portables GU'!V20</f>
        <v>513.94178982001472</v>
      </c>
      <c r="W29" s="4">
        <f>$W$8*'[2]Eurostat POM Portables GU'!W20</f>
        <v>589.84045239945772</v>
      </c>
      <c r="X29" s="48">
        <f>'[3]others portable_Zn-based'!AC29</f>
        <v>601.63726144744692</v>
      </c>
      <c r="Y29" s="48">
        <f>'[3]others portable_Zn-based'!AD29</f>
        <v>613.67000667639581</v>
      </c>
      <c r="Z29" s="48">
        <f>'[3]others portable_Zn-based'!AE29</f>
        <v>625.94340680992377</v>
      </c>
      <c r="AA29" s="48">
        <f>'[3]others portable_Zn-based'!AF29</f>
        <v>638.46227494612219</v>
      </c>
      <c r="AB29" s="48">
        <f>'[3]others portable_Zn-based'!AG29</f>
        <v>651.23152044504468</v>
      </c>
      <c r="AC29" s="48">
        <f>'[3]others portable_Zn-based'!AH29</f>
        <v>664.25615085394554</v>
      </c>
      <c r="AD29" s="48">
        <f>'[3]others portable_Zn-based'!AI29</f>
        <v>677.54127387102449</v>
      </c>
      <c r="AE29" s="48">
        <f>'[3]others portable_Zn-based'!AJ29</f>
        <v>691.092099348445</v>
      </c>
      <c r="AF29" s="48">
        <f>'[3]others portable_Zn-based'!AK29</f>
        <v>704.91394133541394</v>
      </c>
      <c r="AG29" s="48">
        <f>'[3]others portable_Zn-based'!AL29</f>
        <v>719.01222016212216</v>
      </c>
      <c r="AH29" s="48">
        <f>'[3]others portable_Zn-based'!AM29</f>
        <v>733.39246456536466</v>
      </c>
      <c r="AI29" s="48">
        <f>'[3]others portable_Zn-based'!AN29</f>
        <v>748.060313856672</v>
      </c>
      <c r="AJ29" s="48">
        <f>'[3]others portable_Zn-based'!AO29</f>
        <v>763.02152013380544</v>
      </c>
      <c r="AK29" s="48">
        <f>'[3]others portable_Zn-based'!AP29</f>
        <v>778.28195053648153</v>
      </c>
      <c r="AL29" s="48">
        <f>'[3]others portable_Zn-based'!AQ29</f>
        <v>793.84758954721121</v>
      </c>
      <c r="AM29" s="48">
        <f>'[3]others portable_Zn-based'!AR29</f>
        <v>809.7245413381554</v>
      </c>
      <c r="AN29" s="48">
        <f>'[3]others portable_Zn-based'!AS29</f>
        <v>825.91903216491846</v>
      </c>
      <c r="AO29" s="48">
        <f>'[3]others portable_Zn-based'!AT29</f>
        <v>842.43741280821678</v>
      </c>
      <c r="AP29" s="48">
        <f>'[3]others portable_Zn-based'!AU29</f>
        <v>850.86178693629893</v>
      </c>
      <c r="AQ29" s="48">
        <f>'[3]others portable_Zn-based'!AV29</f>
        <v>859.37040480566191</v>
      </c>
      <c r="AR29" s="48">
        <f>'[3]others portable_Zn-based'!AW29</f>
        <v>867.96410885371847</v>
      </c>
      <c r="AS29" s="48">
        <f>'[3]others portable_Zn-based'!AX29</f>
        <v>876.64374994225568</v>
      </c>
      <c r="AT29" s="48">
        <f>'[3]others portable_Zn-based'!AY29</f>
        <v>885.4101874416782</v>
      </c>
      <c r="AU29" s="48">
        <f>'[3]others portable_Zn-based'!AZ29</f>
        <v>894.26428931609496</v>
      </c>
      <c r="AV29" s="48">
        <f>'[3]others portable_Zn-based'!BA29</f>
        <v>903.20693220925591</v>
      </c>
      <c r="AW29" s="48">
        <f>'[3]others portable_Zn-based'!BB29</f>
        <v>912.23900153134844</v>
      </c>
      <c r="AX29" s="48">
        <f>'[3]others portable_Zn-based'!BC29</f>
        <v>921.36139154666193</v>
      </c>
      <c r="AY29" s="48">
        <f>'[3]others portable_Zn-based'!BD29</f>
        <v>930.5750054621285</v>
      </c>
      <c r="AZ29" s="48">
        <f>'[3]others portable_Zn-based'!BE29</f>
        <v>939.88075551674979</v>
      </c>
    </row>
    <row r="30" spans="1:52" x14ac:dyDescent="0.35">
      <c r="A30" s="52" t="s">
        <v>18</v>
      </c>
      <c r="B30" s="23">
        <f t="shared" si="1"/>
        <v>101.45041268122081</v>
      </c>
      <c r="C30" s="23">
        <f t="shared" si="1"/>
        <v>103.47942093484522</v>
      </c>
      <c r="D30" s="23">
        <f t="shared" si="1"/>
        <v>105.54900935354213</v>
      </c>
      <c r="E30" s="23">
        <f t="shared" si="1"/>
        <v>107.65998954061298</v>
      </c>
      <c r="F30" s="23">
        <f t="shared" si="1"/>
        <v>109.81318933142525</v>
      </c>
      <c r="G30" s="23">
        <f t="shared" si="1"/>
        <v>112.00945311805376</v>
      </c>
      <c r="H30" s="23">
        <f t="shared" si="1"/>
        <v>114.24964218041484</v>
      </c>
      <c r="I30" s="23">
        <f t="shared" si="1"/>
        <v>116.53463502402313</v>
      </c>
      <c r="J30" s="23">
        <f t="shared" si="1"/>
        <v>118.8653277245036</v>
      </c>
      <c r="K30" s="23">
        <f t="shared" si="1"/>
        <v>121.24263427899368</v>
      </c>
      <c r="L30" s="23">
        <f t="shared" si="1"/>
        <v>123.66748696457356</v>
      </c>
      <c r="M30" s="4">
        <f>$M$8*'[2]Eurostat POM Portables GU'!M21</f>
        <v>126.14083670386503</v>
      </c>
      <c r="N30" s="4">
        <f>$N$8*'[2]Eurostat POM Portables GU'!N21</f>
        <v>129.8127685885004</v>
      </c>
      <c r="O30" s="4">
        <f>$O$8*'[2]Eurostat POM Portables GU'!O21</f>
        <v>127.43132513936122</v>
      </c>
      <c r="P30" s="4">
        <f>$P$8*'[2]Eurostat POM Portables GU'!P21</f>
        <v>118.81152416300408</v>
      </c>
      <c r="Q30" s="4">
        <f>$Q$8*'[2]Eurostat POM Portables GU'!Q21</f>
        <v>120.77621760075021</v>
      </c>
      <c r="R30" s="4">
        <f>$R$8*'[2]Eurostat POM Portables GU'!R21</f>
        <v>135.12800845552755</v>
      </c>
      <c r="S30" s="4">
        <f>$S$8*'[2]Eurostat POM Portables GU'!S21</f>
        <v>132.95041372195428</v>
      </c>
      <c r="T30" s="4">
        <f>$T$8*'[2]Eurostat POM Portables GU'!T21</f>
        <v>138.10403702299098</v>
      </c>
      <c r="U30" s="4">
        <f>$U$8*'[2]Eurostat POM Portables GU'!U21</f>
        <v>154.42686722991758</v>
      </c>
      <c r="V30" s="4">
        <f>$V$8*'[2]Eurostat POM Portables GU'!V21</f>
        <v>164.18458646636947</v>
      </c>
      <c r="W30" s="4">
        <f>$W$8*'[2]Eurostat POM Portables GU'!W21</f>
        <v>180.95213017636752</v>
      </c>
      <c r="X30" s="48">
        <f>'[3]others portable_Zn-based'!AC30</f>
        <v>184.57117277989488</v>
      </c>
      <c r="Y30" s="48">
        <f>'[3]others portable_Zn-based'!AD30</f>
        <v>188.26259623549277</v>
      </c>
      <c r="Z30" s="48">
        <f>'[3]others portable_Zn-based'!AE30</f>
        <v>192.02784816020261</v>
      </c>
      <c r="AA30" s="48">
        <f>'[3]others portable_Zn-based'!AF30</f>
        <v>195.86840512340666</v>
      </c>
      <c r="AB30" s="48">
        <f>'[3]others portable_Zn-based'!AG30</f>
        <v>199.78577322587481</v>
      </c>
      <c r="AC30" s="48">
        <f>'[3]others portable_Zn-based'!AH30</f>
        <v>203.78148869039231</v>
      </c>
      <c r="AD30" s="48">
        <f>'[3]others portable_Zn-based'!AI30</f>
        <v>207.85711846420014</v>
      </c>
      <c r="AE30" s="48">
        <f>'[3]others portable_Zn-based'!AJ30</f>
        <v>212.01426083348414</v>
      </c>
      <c r="AF30" s="48">
        <f>'[3]others portable_Zn-based'!AK30</f>
        <v>216.25454605015383</v>
      </c>
      <c r="AG30" s="48">
        <f>'[3]others portable_Zn-based'!AL30</f>
        <v>220.5796369711569</v>
      </c>
      <c r="AH30" s="48">
        <f>'[3]others portable_Zn-based'!AM30</f>
        <v>224.99122971058003</v>
      </c>
      <c r="AI30" s="48">
        <f>'[3]others portable_Zn-based'!AN30</f>
        <v>229.49105430479162</v>
      </c>
      <c r="AJ30" s="48">
        <f>'[3]others portable_Zn-based'!AO30</f>
        <v>234.08087539088746</v>
      </c>
      <c r="AK30" s="48">
        <f>'[3]others portable_Zn-based'!AP30</f>
        <v>238.7624928987052</v>
      </c>
      <c r="AL30" s="48">
        <f>'[3]others portable_Zn-based'!AQ30</f>
        <v>243.53774275667931</v>
      </c>
      <c r="AM30" s="48">
        <f>'[3]others portable_Zn-based'!AR30</f>
        <v>248.40849761181289</v>
      </c>
      <c r="AN30" s="48">
        <f>'[3]others portable_Zn-based'!AS30</f>
        <v>253.37666756404914</v>
      </c>
      <c r="AO30" s="48">
        <f>'[3]others portable_Zn-based'!AT30</f>
        <v>258.4442009153301</v>
      </c>
      <c r="AP30" s="48">
        <f>'[3]others portable_Zn-based'!AU30</f>
        <v>261.02864292448339</v>
      </c>
      <c r="AQ30" s="48">
        <f>'[3]others portable_Zn-based'!AV30</f>
        <v>263.6389293537282</v>
      </c>
      <c r="AR30" s="48">
        <f>'[3]others portable_Zn-based'!AW30</f>
        <v>266.27531864726546</v>
      </c>
      <c r="AS30" s="48">
        <f>'[3]others portable_Zn-based'!AX30</f>
        <v>268.93807183373809</v>
      </c>
      <c r="AT30" s="48">
        <f>'[3]others portable_Zn-based'!AY30</f>
        <v>271.62745255207545</v>
      </c>
      <c r="AU30" s="48">
        <f>'[3]others portable_Zn-based'!AZ30</f>
        <v>274.34372707759621</v>
      </c>
      <c r="AV30" s="48">
        <f>'[3]others portable_Zn-based'!BA30</f>
        <v>277.0871643483722</v>
      </c>
      <c r="AW30" s="48">
        <f>'[3]others portable_Zn-based'!BB30</f>
        <v>279.8580359918559</v>
      </c>
      <c r="AX30" s="48">
        <f>'[3]others portable_Zn-based'!BC30</f>
        <v>282.65661635177446</v>
      </c>
      <c r="AY30" s="48">
        <f>'[3]others portable_Zn-based'!BD30</f>
        <v>285.48318251529219</v>
      </c>
      <c r="AZ30" s="48">
        <f>'[3]others portable_Zn-based'!BE30</f>
        <v>288.33801434044511</v>
      </c>
    </row>
    <row r="31" spans="1:52" x14ac:dyDescent="0.35">
      <c r="A31" s="52" t="s">
        <v>19</v>
      </c>
      <c r="B31" s="23">
        <f t="shared" si="1"/>
        <v>48.481858408305378</v>
      </c>
      <c r="C31" s="23">
        <f t="shared" si="1"/>
        <v>49.451495576471487</v>
      </c>
      <c r="D31" s="23">
        <f t="shared" si="1"/>
        <v>50.440525488000915</v>
      </c>
      <c r="E31" s="23">
        <f t="shared" si="1"/>
        <v>51.449335997760933</v>
      </c>
      <c r="F31" s="23">
        <f t="shared" si="1"/>
        <v>52.478322717716154</v>
      </c>
      <c r="G31" s="23">
        <f t="shared" si="1"/>
        <v>53.527889172070481</v>
      </c>
      <c r="H31" s="23">
        <f t="shared" si="1"/>
        <v>54.598446955511889</v>
      </c>
      <c r="I31" s="23">
        <f t="shared" si="1"/>
        <v>55.690415894622127</v>
      </c>
      <c r="J31" s="23">
        <f t="shared" si="1"/>
        <v>56.804224212514569</v>
      </c>
      <c r="K31" s="23">
        <f t="shared" si="1"/>
        <v>57.940308696764859</v>
      </c>
      <c r="L31" s="23">
        <f t="shared" si="1"/>
        <v>59.099114870700156</v>
      </c>
      <c r="M31" s="4">
        <f>$M$8*'[2]Eurostat POM Portables GU'!M22</f>
        <v>60.281097168114158</v>
      </c>
      <c r="N31" s="4">
        <f>$N$8*'[2]Eurostat POM Portables GU'!N22</f>
        <v>72.499075418976631</v>
      </c>
      <c r="O31" s="4">
        <f>$O$8*'[2]Eurostat POM Portables GU'!O22</f>
        <v>62.096600826398479</v>
      </c>
      <c r="P31" s="4">
        <f>$P$8*'[2]Eurostat POM Portables GU'!P22</f>
        <v>71.279970516261656</v>
      </c>
      <c r="Q31" s="4">
        <f>$Q$8*'[2]Eurostat POM Portables GU'!Q22</f>
        <v>51.891642329624659</v>
      </c>
      <c r="R31" s="4">
        <f>$R$8*'[2]Eurostat POM Portables GU'!R22</f>
        <v>51.982917538503962</v>
      </c>
      <c r="S31" s="4">
        <f>$S$8*'[2]Eurostat POM Portables GU'!S22</f>
        <v>45.044393902811372</v>
      </c>
      <c r="T31" s="4">
        <f>$T$8*'[2]Eurostat POM Portables GU'!T22</f>
        <v>53.193181724166379</v>
      </c>
      <c r="U31" s="4">
        <f>$U$8*'[2]Eurostat POM Portables GU'!U22</f>
        <v>109.50268767212336</v>
      </c>
      <c r="V31" s="4">
        <f>$V$8*'[2]Eurostat POM Portables GU'!V22</f>
        <v>90.018445683285321</v>
      </c>
      <c r="W31" s="4">
        <f>$W$8*'[2]Eurostat POM Portables GU'!W22</f>
        <v>104.12683982078693</v>
      </c>
      <c r="X31" s="48">
        <f>'[3]others portable_Zn-based'!AC31</f>
        <v>106.20937661720266</v>
      </c>
      <c r="Y31" s="48">
        <f>'[3]others portable_Zn-based'!AD31</f>
        <v>108.33356414954672</v>
      </c>
      <c r="Z31" s="48">
        <f>'[3]others portable_Zn-based'!AE31</f>
        <v>110.50023543253765</v>
      </c>
      <c r="AA31" s="48">
        <f>'[3]others portable_Zn-based'!AF31</f>
        <v>112.71024014118841</v>
      </c>
      <c r="AB31" s="48">
        <f>'[3]others portable_Zn-based'!AG31</f>
        <v>114.96444494401217</v>
      </c>
      <c r="AC31" s="48">
        <f>'[3]others portable_Zn-based'!AH31</f>
        <v>117.26373384289242</v>
      </c>
      <c r="AD31" s="48">
        <f>'[3]others portable_Zn-based'!AI31</f>
        <v>119.60900851975028</v>
      </c>
      <c r="AE31" s="48">
        <f>'[3]others portable_Zn-based'!AJ31</f>
        <v>122.00118869014528</v>
      </c>
      <c r="AF31" s="48">
        <f>'[3]others portable_Zn-based'!AK31</f>
        <v>124.44121246394819</v>
      </c>
      <c r="AG31" s="48">
        <f>'[3]others portable_Zn-based'!AL31</f>
        <v>126.93003671322715</v>
      </c>
      <c r="AH31" s="48">
        <f>'[3]others portable_Zn-based'!AM31</f>
        <v>129.46863744749169</v>
      </c>
      <c r="AI31" s="48">
        <f>'[3]others portable_Zn-based'!AN31</f>
        <v>132.05801019644153</v>
      </c>
      <c r="AJ31" s="48">
        <f>'[3]others portable_Zn-based'!AO31</f>
        <v>134.69917040037035</v>
      </c>
      <c r="AK31" s="48">
        <f>'[3]others portable_Zn-based'!AP31</f>
        <v>137.39315380837775</v>
      </c>
      <c r="AL31" s="48">
        <f>'[3]others portable_Zn-based'!AQ31</f>
        <v>140.14101688454531</v>
      </c>
      <c r="AM31" s="48">
        <f>'[3]others portable_Zn-based'!AR31</f>
        <v>142.94383722223623</v>
      </c>
      <c r="AN31" s="48">
        <f>'[3]others portable_Zn-based'!AS31</f>
        <v>145.80271396668095</v>
      </c>
      <c r="AO31" s="48">
        <f>'[3]others portable_Zn-based'!AT31</f>
        <v>148.71876824601458</v>
      </c>
      <c r="AP31" s="48">
        <f>'[3]others portable_Zn-based'!AU31</f>
        <v>150.20595592847474</v>
      </c>
      <c r="AQ31" s="48">
        <f>'[3]others portable_Zn-based'!AV31</f>
        <v>151.7080154877595</v>
      </c>
      <c r="AR31" s="48">
        <f>'[3]others portable_Zn-based'!AW31</f>
        <v>153.22509564263709</v>
      </c>
      <c r="AS31" s="48">
        <f>'[3]others portable_Zn-based'!AX31</f>
        <v>154.75734659906345</v>
      </c>
      <c r="AT31" s="48">
        <f>'[3]others portable_Zn-based'!AY31</f>
        <v>156.30492006505409</v>
      </c>
      <c r="AU31" s="48">
        <f>'[3]others portable_Zn-based'!AZ31</f>
        <v>157.86796926570463</v>
      </c>
      <c r="AV31" s="48">
        <f>'[3]others portable_Zn-based'!BA31</f>
        <v>159.44664895836166</v>
      </c>
      <c r="AW31" s="48">
        <f>'[3]others portable_Zn-based'!BB31</f>
        <v>161.04111544794529</v>
      </c>
      <c r="AX31" s="48">
        <f>'[3]others portable_Zn-based'!BC31</f>
        <v>162.65152660242475</v>
      </c>
      <c r="AY31" s="48">
        <f>'[3]others portable_Zn-based'!BD31</f>
        <v>164.27804186844901</v>
      </c>
      <c r="AZ31" s="48">
        <f>'[3]others portable_Zn-based'!BE31</f>
        <v>165.92082228713349</v>
      </c>
    </row>
    <row r="32" spans="1:52" x14ac:dyDescent="0.35">
      <c r="A32" s="52" t="s">
        <v>20</v>
      </c>
      <c r="B32" s="23">
        <f t="shared" si="1"/>
        <v>4318.4447696872157</v>
      </c>
      <c r="C32" s="23">
        <f t="shared" si="1"/>
        <v>4404.8136650809602</v>
      </c>
      <c r="D32" s="23">
        <f t="shared" si="1"/>
        <v>4492.9099383825796</v>
      </c>
      <c r="E32" s="23">
        <f t="shared" si="1"/>
        <v>4582.7681371502313</v>
      </c>
      <c r="F32" s="23">
        <f t="shared" si="1"/>
        <v>4674.4234998932361</v>
      </c>
      <c r="G32" s="23">
        <f t="shared" si="1"/>
        <v>4767.9119698911009</v>
      </c>
      <c r="H32" s="23">
        <f t="shared" si="1"/>
        <v>4863.2702092889231</v>
      </c>
      <c r="I32" s="23">
        <f t="shared" si="1"/>
        <v>4960.5356134747017</v>
      </c>
      <c r="J32" s="23">
        <f t="shared" si="1"/>
        <v>5059.7463257441959</v>
      </c>
      <c r="K32" s="23">
        <f t="shared" si="1"/>
        <v>5160.9412522590801</v>
      </c>
      <c r="L32" s="23">
        <f t="shared" si="1"/>
        <v>5264.1600773042619</v>
      </c>
      <c r="M32" s="4">
        <f>$M$8*'[2]Eurostat POM Portables GU'!M23</f>
        <v>5369.4432788503473</v>
      </c>
      <c r="N32" s="4">
        <f>$N$8*'[2]Eurostat POM Portables GU'!N23</f>
        <v>5161.9174825978953</v>
      </c>
      <c r="O32" s="4">
        <f>$O$8*'[2]Eurostat POM Portables GU'!O23</f>
        <v>4737.8492134234575</v>
      </c>
      <c r="P32" s="4">
        <f>$P$8*'[2]Eurostat POM Portables GU'!P23</f>
        <v>5344.7825919499846</v>
      </c>
      <c r="Q32" s="4">
        <f>$Q$8*'[2]Eurostat POM Portables GU'!Q23</f>
        <v>5828.1546865478304</v>
      </c>
      <c r="R32" s="4">
        <f>$R$8*'[2]Eurostat POM Portables GU'!R23</f>
        <v>6053.1832359159789</v>
      </c>
      <c r="S32" s="4">
        <f>$S$8*'[2]Eurostat POM Portables GU'!S23</f>
        <v>5880.2446666078285</v>
      </c>
      <c r="T32" s="4">
        <f>$T$8*'[2]Eurostat POM Portables GU'!T23</f>
        <v>6330.3190176088683</v>
      </c>
      <c r="U32" s="4">
        <f>$U$8*'[2]Eurostat POM Portables GU'!U23</f>
        <v>5589.9973427028008</v>
      </c>
      <c r="V32" s="4">
        <f>$V$8*'[2]Eurostat POM Portables GU'!V23</f>
        <v>6850.4603318726568</v>
      </c>
      <c r="W32" s="4">
        <f>$W$8*'[2]Eurostat POM Portables GU'!W23</f>
        <v>7537.1324116619617</v>
      </c>
      <c r="X32" s="48">
        <f>'[3]others portable_Zn-based'!AC32</f>
        <v>7687.875059895201</v>
      </c>
      <c r="Y32" s="48">
        <f>'[3]others portable_Zn-based'!AD32</f>
        <v>7841.6325610931053</v>
      </c>
      <c r="Z32" s="48">
        <f>'[3]others portable_Zn-based'!AE32</f>
        <v>7998.4652123149672</v>
      </c>
      <c r="AA32" s="48">
        <f>'[3]others portable_Zn-based'!AF32</f>
        <v>8158.4345165612667</v>
      </c>
      <c r="AB32" s="48">
        <f>'[3]others portable_Zn-based'!AG32</f>
        <v>8321.6032068924924</v>
      </c>
      <c r="AC32" s="48">
        <f>'[3]others portable_Zn-based'!AH32</f>
        <v>8488.0352710303414</v>
      </c>
      <c r="AD32" s="48">
        <f>'[3]others portable_Zn-based'!AI32</f>
        <v>8657.7959764509487</v>
      </c>
      <c r="AE32" s="48">
        <f>'[3]others portable_Zn-based'!AJ32</f>
        <v>8830.951895979968</v>
      </c>
      <c r="AF32" s="48">
        <f>'[3]others portable_Zn-based'!AK32</f>
        <v>9007.5709338995675</v>
      </c>
      <c r="AG32" s="48">
        <f>'[3]others portable_Zn-based'!AL32</f>
        <v>9187.7223525775589</v>
      </c>
      <c r="AH32" s="48">
        <f>'[3]others portable_Zn-based'!AM32</f>
        <v>9371.4767996291102</v>
      </c>
      <c r="AI32" s="48">
        <f>'[3]others portable_Zn-based'!AN32</f>
        <v>9558.9063356216921</v>
      </c>
      <c r="AJ32" s="48">
        <f>'[3]others portable_Zn-based'!AO32</f>
        <v>9750.0844623341254</v>
      </c>
      <c r="AK32" s="48">
        <f>'[3]others portable_Zn-based'!AP32</f>
        <v>9945.0861515808083</v>
      </c>
      <c r="AL32" s="48">
        <f>'[3]others portable_Zn-based'!AQ32</f>
        <v>10143.987874612425</v>
      </c>
      <c r="AM32" s="48">
        <f>'[3]others portable_Zn-based'!AR32</f>
        <v>10346.867632104673</v>
      </c>
      <c r="AN32" s="48">
        <f>'[3]others portable_Zn-based'!AS32</f>
        <v>10553.804984746766</v>
      </c>
      <c r="AO32" s="48">
        <f>'[3]others portable_Zn-based'!AT32</f>
        <v>10764.881084441702</v>
      </c>
      <c r="AP32" s="48">
        <f>'[3]others portable_Zn-based'!AU32</f>
        <v>10872.529895286119</v>
      </c>
      <c r="AQ32" s="48">
        <f>'[3]others portable_Zn-based'!AV32</f>
        <v>10981.25519423898</v>
      </c>
      <c r="AR32" s="48">
        <f>'[3]others portable_Zn-based'!AW32</f>
        <v>11091.06774618137</v>
      </c>
      <c r="AS32" s="48">
        <f>'[3]others portable_Zn-based'!AX32</f>
        <v>11201.978423643184</v>
      </c>
      <c r="AT32" s="48">
        <f>'[3]others portable_Zn-based'!AY32</f>
        <v>11313.998207879617</v>
      </c>
      <c r="AU32" s="48">
        <f>'[3]others portable_Zn-based'!AZ32</f>
        <v>11427.138189958412</v>
      </c>
      <c r="AV32" s="48">
        <f>'[3]others portable_Zn-based'!BA32</f>
        <v>11541.409571857996</v>
      </c>
      <c r="AW32" s="48">
        <f>'[3]others portable_Zn-based'!BB32</f>
        <v>11656.823667576575</v>
      </c>
      <c r="AX32" s="48">
        <f>'[3]others portable_Zn-based'!BC32</f>
        <v>11773.391904252341</v>
      </c>
      <c r="AY32" s="48">
        <f>'[3]others portable_Zn-based'!BD32</f>
        <v>11891.125823294864</v>
      </c>
      <c r="AZ32" s="48">
        <f>'[3]others portable_Zn-based'!BE32</f>
        <v>12010.037081527813</v>
      </c>
    </row>
    <row r="33" spans="1:52" x14ac:dyDescent="0.35">
      <c r="A33" s="52" t="s">
        <v>21</v>
      </c>
      <c r="B33" s="23">
        <f t="shared" si="1"/>
        <v>1527.464511194574</v>
      </c>
      <c r="C33" s="23">
        <f t="shared" si="1"/>
        <v>1558.0138014184656</v>
      </c>
      <c r="D33" s="23">
        <f t="shared" si="1"/>
        <v>1589.1740774468349</v>
      </c>
      <c r="E33" s="23">
        <f t="shared" si="1"/>
        <v>1620.9575589957717</v>
      </c>
      <c r="F33" s="23">
        <f t="shared" si="1"/>
        <v>1653.3767101756871</v>
      </c>
      <c r="G33" s="23">
        <f t="shared" si="1"/>
        <v>1686.4442443792009</v>
      </c>
      <c r="H33" s="23">
        <f t="shared" si="1"/>
        <v>1720.1731292667848</v>
      </c>
      <c r="I33" s="23">
        <f t="shared" si="1"/>
        <v>1754.5765918521206</v>
      </c>
      <c r="J33" s="23">
        <f t="shared" si="1"/>
        <v>1789.6681236891629</v>
      </c>
      <c r="K33" s="23">
        <f t="shared" si="1"/>
        <v>1825.4614861629461</v>
      </c>
      <c r="L33" s="23">
        <f t="shared" si="1"/>
        <v>1861.970715886205</v>
      </c>
      <c r="M33" s="4">
        <f>$M$8*'[2]Eurostat POM Portables GU'!M24</f>
        <v>1899.2101302039291</v>
      </c>
      <c r="N33" s="4">
        <f>$N$8*'[2]Eurostat POM Portables GU'!N24</f>
        <v>1867.5795202394861</v>
      </c>
      <c r="O33" s="4">
        <f>$O$8*'[2]Eurostat POM Portables GU'!O24</f>
        <v>2039.8782222472773</v>
      </c>
      <c r="P33" s="4">
        <f>$P$8*'[2]Eurostat POM Portables GU'!P24</f>
        <v>2155.897948970653</v>
      </c>
      <c r="Q33" s="4">
        <f>$Q$8*'[2]Eurostat POM Portables GU'!Q24</f>
        <v>1379.7980673574079</v>
      </c>
      <c r="R33" s="4">
        <f>$R$8*'[2]Eurostat POM Portables GU'!R24</f>
        <v>1537.4258104889102</v>
      </c>
      <c r="S33" s="4">
        <f>$S$8*'[2]Eurostat POM Portables GU'!S24</f>
        <v>2380.5399949518082</v>
      </c>
      <c r="T33" s="4">
        <f>$T$8*'[2]Eurostat POM Portables GU'!T24</f>
        <v>2062.9703520850612</v>
      </c>
      <c r="U33" s="4">
        <f>$U$8*'[2]Eurostat POM Portables GU'!U24</f>
        <v>2786.7030131944216</v>
      </c>
      <c r="V33" s="4">
        <f>$V$8*'[2]Eurostat POM Portables GU'!V24</f>
        <v>2218.0645665916427</v>
      </c>
      <c r="W33" s="4">
        <f>$W$8*'[2]Eurostat POM Portables GU'!W24</f>
        <v>2241.2667351669384</v>
      </c>
      <c r="X33" s="48">
        <f>'[3]others portable_Zn-based'!AC33</f>
        <v>2286.0920698702771</v>
      </c>
      <c r="Y33" s="48">
        <f>'[3]others portable_Zn-based'!AD33</f>
        <v>2331.8139112676827</v>
      </c>
      <c r="Z33" s="48">
        <f>'[3]others portable_Zn-based'!AE33</f>
        <v>2378.4501894930363</v>
      </c>
      <c r="AA33" s="48">
        <f>'[3]others portable_Zn-based'!AF33</f>
        <v>2426.019193282897</v>
      </c>
      <c r="AB33" s="48">
        <f>'[3]others portable_Zn-based'!AG33</f>
        <v>2474.5395771485551</v>
      </c>
      <c r="AC33" s="48">
        <f>'[3]others portable_Zn-based'!AH33</f>
        <v>2524.0303686915263</v>
      </c>
      <c r="AD33" s="48">
        <f>'[3]others portable_Zn-based'!AI33</f>
        <v>2574.5109760653568</v>
      </c>
      <c r="AE33" s="48">
        <f>'[3]others portable_Zn-based'!AJ33</f>
        <v>2626.0011955866639</v>
      </c>
      <c r="AF33" s="48">
        <f>'[3]others portable_Zn-based'!AK33</f>
        <v>2678.5212194983974</v>
      </c>
      <c r="AG33" s="48">
        <f>'[3]others portable_Zn-based'!AL33</f>
        <v>2732.0916438883655</v>
      </c>
      <c r="AH33" s="48">
        <f>'[3]others portable_Zn-based'!AM33</f>
        <v>2786.7334767661328</v>
      </c>
      <c r="AI33" s="48">
        <f>'[3]others portable_Zn-based'!AN33</f>
        <v>2842.4681463014554</v>
      </c>
      <c r="AJ33" s="48">
        <f>'[3]others portable_Zn-based'!AO33</f>
        <v>2899.3175092274846</v>
      </c>
      <c r="AK33" s="48">
        <f>'[3]others portable_Zn-based'!AP33</f>
        <v>2957.3038594120344</v>
      </c>
      <c r="AL33" s="48">
        <f>'[3]others portable_Zn-based'!AQ33</f>
        <v>3016.4499366002751</v>
      </c>
      <c r="AM33" s="48">
        <f>'[3]others portable_Zn-based'!AR33</f>
        <v>3076.7789353322805</v>
      </c>
      <c r="AN33" s="48">
        <f>'[3]others portable_Zn-based'!AS33</f>
        <v>3138.3145140389261</v>
      </c>
      <c r="AO33" s="48">
        <f>'[3]others portable_Zn-based'!AT33</f>
        <v>3201.0808043197044</v>
      </c>
      <c r="AP33" s="48">
        <f>'[3]others portable_Zn-based'!AU33</f>
        <v>3233.0916123629013</v>
      </c>
      <c r="AQ33" s="48">
        <f>'[3]others portable_Zn-based'!AV33</f>
        <v>3265.4225284865302</v>
      </c>
      <c r="AR33" s="48">
        <f>'[3]others portable_Zn-based'!AW33</f>
        <v>3298.0767537713955</v>
      </c>
      <c r="AS33" s="48">
        <f>'[3]others portable_Zn-based'!AX33</f>
        <v>3331.0575213091092</v>
      </c>
      <c r="AT33" s="48">
        <f>'[3]others portable_Zn-based'!AY33</f>
        <v>3364.3680965222002</v>
      </c>
      <c r="AU33" s="48">
        <f>'[3]others portable_Zn-based'!AZ33</f>
        <v>3398.011777487422</v>
      </c>
      <c r="AV33" s="48">
        <f>'[3]others portable_Zn-based'!BA33</f>
        <v>3431.9918952622961</v>
      </c>
      <c r="AW33" s="48">
        <f>'[3]others portable_Zn-based'!BB33</f>
        <v>3466.3118142149192</v>
      </c>
      <c r="AX33" s="48">
        <f>'[3]others portable_Zn-based'!BC33</f>
        <v>3500.9749323570686</v>
      </c>
      <c r="AY33" s="48">
        <f>'[3]others portable_Zn-based'!BD33</f>
        <v>3535.9846816806394</v>
      </c>
      <c r="AZ33" s="48">
        <f>'[3]others portable_Zn-based'!BE33</f>
        <v>3571.3445284974459</v>
      </c>
    </row>
    <row r="34" spans="1:52" x14ac:dyDescent="0.35">
      <c r="A34" s="52" t="s">
        <v>22</v>
      </c>
      <c r="B34" s="23">
        <f t="shared" si="1"/>
        <v>5551.7308483133338</v>
      </c>
      <c r="C34" s="23">
        <f t="shared" si="1"/>
        <v>5662.7654652796009</v>
      </c>
      <c r="D34" s="23">
        <f t="shared" si="1"/>
        <v>5776.0207745851931</v>
      </c>
      <c r="E34" s="23">
        <f t="shared" si="1"/>
        <v>5891.5411900768968</v>
      </c>
      <c r="F34" s="23">
        <f t="shared" si="1"/>
        <v>6009.3720138784347</v>
      </c>
      <c r="G34" s="23">
        <f t="shared" si="1"/>
        <v>6129.5594541560031</v>
      </c>
      <c r="H34" s="23">
        <f t="shared" si="1"/>
        <v>6252.1506432391234</v>
      </c>
      <c r="I34" s="23">
        <f t="shared" si="1"/>
        <v>6377.1936561039056</v>
      </c>
      <c r="J34" s="23">
        <f t="shared" si="1"/>
        <v>6504.737529225984</v>
      </c>
      <c r="K34" s="23">
        <f t="shared" si="1"/>
        <v>6634.8322798105037</v>
      </c>
      <c r="L34" s="23">
        <f t="shared" si="1"/>
        <v>6767.5289254067138</v>
      </c>
      <c r="M34" s="4">
        <f>$M$8*'[2]Eurostat POM Portables GU'!M25</f>
        <v>6902.8795039148481</v>
      </c>
      <c r="N34" s="4">
        <f>$N$8*'[2]Eurostat POM Portables GU'!N25</f>
        <v>7369.4993801259543</v>
      </c>
      <c r="O34" s="4">
        <f>$O$8*'[2]Eurostat POM Portables GU'!O25</f>
        <v>7860.8239122111981</v>
      </c>
      <c r="P34" s="4">
        <f>$P$8*'[2]Eurostat POM Portables GU'!P25</f>
        <v>8193.2038199841336</v>
      </c>
      <c r="Q34" s="4">
        <f>$Q$8*'[2]Eurostat POM Portables GU'!Q25</f>
        <v>8639.7126823234339</v>
      </c>
      <c r="R34" s="4">
        <f>$R$8*'[2]Eurostat POM Portables GU'!R25</f>
        <v>8833.6488384728291</v>
      </c>
      <c r="S34" s="4">
        <f>$S$8*'[2]Eurostat POM Portables GU'!S25</f>
        <v>8880.5584807510349</v>
      </c>
      <c r="T34" s="4">
        <f>$T$8*'[2]Eurostat POM Portables GU'!T25</f>
        <v>8813.5485445581508</v>
      </c>
      <c r="U34" s="4">
        <f>$U$8*'[2]Eurostat POM Portables GU'!U25</f>
        <v>12379.674480414878</v>
      </c>
      <c r="V34" s="4">
        <f>$V$8*'[2]Eurostat POM Portables GU'!V25</f>
        <v>12302.520910048994</v>
      </c>
      <c r="W34" s="4">
        <f>$W$8*'[2]Eurostat POM Portables GU'!W25</f>
        <v>13235.537212830026</v>
      </c>
      <c r="X34" s="48">
        <f>'[3]others portable_Zn-based'!AC34</f>
        <v>13500.247957086627</v>
      </c>
      <c r="Y34" s="48">
        <f>'[3]others portable_Zn-based'!AD34</f>
        <v>13770.252916228359</v>
      </c>
      <c r="Z34" s="48">
        <f>'[3]others portable_Zn-based'!AE34</f>
        <v>14045.657974552927</v>
      </c>
      <c r="AA34" s="48">
        <f>'[3]others portable_Zn-based'!AF34</f>
        <v>14326.571134043985</v>
      </c>
      <c r="AB34" s="48">
        <f>'[3]others portable_Zn-based'!AG34</f>
        <v>14613.102556724865</v>
      </c>
      <c r="AC34" s="48">
        <f>'[3]others portable_Zn-based'!AH34</f>
        <v>14905.364607859363</v>
      </c>
      <c r="AD34" s="48">
        <f>'[3]others portable_Zn-based'!AI34</f>
        <v>15203.47190001655</v>
      </c>
      <c r="AE34" s="48">
        <f>'[3]others portable_Zn-based'!AJ34</f>
        <v>15507.541338016881</v>
      </c>
      <c r="AF34" s="48">
        <f>'[3]others portable_Zn-based'!AK34</f>
        <v>15817.692164777218</v>
      </c>
      <c r="AG34" s="48">
        <f>'[3]others portable_Zn-based'!AL34</f>
        <v>16134.046008072763</v>
      </c>
      <c r="AH34" s="48">
        <f>'[3]others portable_Zn-based'!AM34</f>
        <v>16456.726928234217</v>
      </c>
      <c r="AI34" s="48">
        <f>'[3]others portable_Zn-based'!AN34</f>
        <v>16785.861466798902</v>
      </c>
      <c r="AJ34" s="48">
        <f>'[3]others portable_Zn-based'!AO34</f>
        <v>17121.578696134879</v>
      </c>
      <c r="AK34" s="48">
        <f>'[3]others portable_Zn-based'!AP34</f>
        <v>17464.010270057577</v>
      </c>
      <c r="AL34" s="48">
        <f>'[3]others portable_Zn-based'!AQ34</f>
        <v>17813.290475458729</v>
      </c>
      <c r="AM34" s="48">
        <f>'[3]others portable_Zn-based'!AR34</f>
        <v>18169.556284967905</v>
      </c>
      <c r="AN34" s="48">
        <f>'[3]others portable_Zn-based'!AS34</f>
        <v>18532.947410667264</v>
      </c>
      <c r="AO34" s="48">
        <f>'[3]others portable_Zn-based'!AT34</f>
        <v>18903.60635888061</v>
      </c>
      <c r="AP34" s="48">
        <f>'[3]others portable_Zn-based'!AU34</f>
        <v>19092.642422469416</v>
      </c>
      <c r="AQ34" s="48">
        <f>'[3]others portable_Zn-based'!AV34</f>
        <v>19283.56884669411</v>
      </c>
      <c r="AR34" s="48">
        <f>'[3]others portable_Zn-based'!AW34</f>
        <v>19476.404535161051</v>
      </c>
      <c r="AS34" s="48">
        <f>'[3]others portable_Zn-based'!AX34</f>
        <v>19671.168580512662</v>
      </c>
      <c r="AT34" s="48">
        <f>'[3]others portable_Zn-based'!AY34</f>
        <v>19867.880266317788</v>
      </c>
      <c r="AU34" s="48">
        <f>'[3]others portable_Zn-based'!AZ34</f>
        <v>20066.559068980965</v>
      </c>
      <c r="AV34" s="48">
        <f>'[3]others portable_Zn-based'!BA34</f>
        <v>20267.224659670774</v>
      </c>
      <c r="AW34" s="48">
        <f>'[3]others portable_Zn-based'!BB34</f>
        <v>20469.896906267481</v>
      </c>
      <c r="AX34" s="48">
        <f>'[3]others portable_Zn-based'!BC34</f>
        <v>20674.595875330157</v>
      </c>
      <c r="AY34" s="48">
        <f>'[3]others portable_Zn-based'!BD34</f>
        <v>20881.341834083458</v>
      </c>
      <c r="AZ34" s="48">
        <f>'[3]others portable_Zn-based'!BE34</f>
        <v>21090.155252424291</v>
      </c>
    </row>
    <row r="35" spans="1:52" x14ac:dyDescent="0.35">
      <c r="A35" s="52" t="s">
        <v>23</v>
      </c>
      <c r="B35" s="23">
        <f t="shared" si="1"/>
        <v>943.98304082143102</v>
      </c>
      <c r="C35" s="23">
        <f t="shared" si="1"/>
        <v>962.86270163785969</v>
      </c>
      <c r="D35" s="23">
        <f t="shared" si="1"/>
        <v>982.11995567061695</v>
      </c>
      <c r="E35" s="23">
        <f t="shared" si="1"/>
        <v>1001.7623547840293</v>
      </c>
      <c r="F35" s="23">
        <f t="shared" si="1"/>
        <v>1021.7976018797099</v>
      </c>
      <c r="G35" s="23">
        <f t="shared" si="1"/>
        <v>1042.2335539173041</v>
      </c>
      <c r="H35" s="23">
        <f t="shared" si="1"/>
        <v>1063.0782249956503</v>
      </c>
      <c r="I35" s="23">
        <f t="shared" si="1"/>
        <v>1084.3397894955633</v>
      </c>
      <c r="J35" s="23">
        <f t="shared" si="1"/>
        <v>1106.0265852854745</v>
      </c>
      <c r="K35" s="23">
        <f t="shared" si="1"/>
        <v>1128.147116991184</v>
      </c>
      <c r="L35" s="23">
        <f t="shared" si="1"/>
        <v>1150.7100593310076</v>
      </c>
      <c r="M35" s="4">
        <f>$M$8*'[2]Eurostat POM Portables GU'!M26</f>
        <v>1173.7242605176277</v>
      </c>
      <c r="N35" s="4">
        <f>$N$8*'[2]Eurostat POM Portables GU'!N26</f>
        <v>1203.1286576458672</v>
      </c>
      <c r="O35" s="4">
        <f>$O$8*'[2]Eurostat POM Portables GU'!O26</f>
        <v>1205.070447010658</v>
      </c>
      <c r="P35" s="4">
        <f>$P$8*'[2]Eurostat POM Portables GU'!P26</f>
        <v>1263.8046404247075</v>
      </c>
      <c r="Q35" s="4">
        <f>$Q$8*'[2]Eurostat POM Portables GU'!Q26</f>
        <v>1086.2837710951196</v>
      </c>
      <c r="R35" s="4">
        <f>$R$8*'[2]Eurostat POM Portables GU'!R26</f>
        <v>1225.8040767037141</v>
      </c>
      <c r="S35" s="4">
        <f>$S$8*'[2]Eurostat POM Portables GU'!S26</f>
        <v>1482.297896273132</v>
      </c>
      <c r="T35" s="4">
        <f>$T$8*'[2]Eurostat POM Portables GU'!T26</f>
        <v>1622.8876312366785</v>
      </c>
      <c r="U35" s="4">
        <f>$U$8*'[2]Eurostat POM Portables GU'!U26</f>
        <v>1650.1978456882925</v>
      </c>
      <c r="V35" s="4">
        <f>$V$8*'[2]Eurostat POM Portables GU'!V26</f>
        <v>1529.873234813067</v>
      </c>
      <c r="W35" s="4">
        <f>$W$8*'[2]Eurostat POM Portables GU'!W26</f>
        <v>1822.2196968637713</v>
      </c>
      <c r="X35" s="48">
        <f>'[3]others portable_Zn-based'!AC35</f>
        <v>1858.6640908010468</v>
      </c>
      <c r="Y35" s="48">
        <f>'[3]others portable_Zn-based'!AD35</f>
        <v>1895.8373726170678</v>
      </c>
      <c r="Z35" s="48">
        <f>'[3]others portable_Zn-based'!AE35</f>
        <v>1933.7541200694091</v>
      </c>
      <c r="AA35" s="48">
        <f>'[3]others portable_Zn-based'!AF35</f>
        <v>1972.4292024707972</v>
      </c>
      <c r="AB35" s="48">
        <f>'[3]others portable_Zn-based'!AG35</f>
        <v>2011.8777865202132</v>
      </c>
      <c r="AC35" s="48">
        <f>'[3]others portable_Zn-based'!AH35</f>
        <v>2052.1153422506177</v>
      </c>
      <c r="AD35" s="48">
        <f>'[3]others portable_Zn-based'!AI35</f>
        <v>2093.1576490956299</v>
      </c>
      <c r="AE35" s="48">
        <f>'[3]others portable_Zn-based'!AJ35</f>
        <v>2135.0208020775426</v>
      </c>
      <c r="AF35" s="48">
        <f>'[3]others portable_Zn-based'!AK35</f>
        <v>2177.7212181190935</v>
      </c>
      <c r="AG35" s="48">
        <f>'[3]others portable_Zn-based'!AL35</f>
        <v>2221.2756424814752</v>
      </c>
      <c r="AH35" s="48">
        <f>'[3]others portable_Zn-based'!AM35</f>
        <v>2265.7011553311045</v>
      </c>
      <c r="AI35" s="48">
        <f>'[3]others portable_Zn-based'!AN35</f>
        <v>2311.0151784377267</v>
      </c>
      <c r="AJ35" s="48">
        <f>'[3]others portable_Zn-based'!AO35</f>
        <v>2357.2354820064811</v>
      </c>
      <c r="AK35" s="48">
        <f>'[3]others portable_Zn-based'!AP35</f>
        <v>2404.3801916466109</v>
      </c>
      <c r="AL35" s="48">
        <f>'[3]others portable_Zn-based'!AQ35</f>
        <v>2452.4677954795429</v>
      </c>
      <c r="AM35" s="48">
        <f>'[3]others portable_Zn-based'!AR35</f>
        <v>2501.5171513891337</v>
      </c>
      <c r="AN35" s="48">
        <f>'[3]others portable_Zn-based'!AS35</f>
        <v>2551.5474944169164</v>
      </c>
      <c r="AO35" s="48">
        <f>'[3]others portable_Zn-based'!AT35</f>
        <v>2602.5784443052548</v>
      </c>
      <c r="AP35" s="48">
        <f>'[3]others portable_Zn-based'!AU35</f>
        <v>2628.6042287483074</v>
      </c>
      <c r="AQ35" s="48">
        <f>'[3]others portable_Zn-based'!AV35</f>
        <v>2654.8902710357906</v>
      </c>
      <c r="AR35" s="48">
        <f>'[3]others portable_Zn-based'!AW35</f>
        <v>2681.4391737461488</v>
      </c>
      <c r="AS35" s="48">
        <f>'[3]others portable_Zn-based'!AX35</f>
        <v>2708.2535654836101</v>
      </c>
      <c r="AT35" s="48">
        <f>'[3]others portable_Zn-based'!AY35</f>
        <v>2735.3361011384463</v>
      </c>
      <c r="AU35" s="48">
        <f>'[3]others portable_Zn-based'!AZ35</f>
        <v>2762.6894621498309</v>
      </c>
      <c r="AV35" s="48">
        <f>'[3]others portable_Zn-based'!BA35</f>
        <v>2790.3163567713291</v>
      </c>
      <c r="AW35" s="48">
        <f>'[3]others portable_Zn-based'!BB35</f>
        <v>2818.2195203390424</v>
      </c>
      <c r="AX35" s="48">
        <f>'[3]others portable_Zn-based'!BC35</f>
        <v>2846.4017155424331</v>
      </c>
      <c r="AY35" s="48">
        <f>'[3]others portable_Zn-based'!BD35</f>
        <v>2874.8657326978573</v>
      </c>
      <c r="AZ35" s="48">
        <f>'[3]others portable_Zn-based'!BE35</f>
        <v>2903.6143900248358</v>
      </c>
    </row>
    <row r="36" spans="1:52" x14ac:dyDescent="0.35">
      <c r="A36" s="52" t="s">
        <v>24</v>
      </c>
      <c r="B36" s="23">
        <f t="shared" si="1"/>
        <v>1497.2737124125376</v>
      </c>
      <c r="C36" s="23">
        <f t="shared" si="1"/>
        <v>1527.2191866607884</v>
      </c>
      <c r="D36" s="23">
        <f t="shared" si="1"/>
        <v>1557.7635703940041</v>
      </c>
      <c r="E36" s="23">
        <f t="shared" si="1"/>
        <v>1588.9188418018841</v>
      </c>
      <c r="F36" s="23">
        <f t="shared" si="1"/>
        <v>1620.6972186379219</v>
      </c>
      <c r="G36" s="23">
        <f t="shared" si="1"/>
        <v>1653.1111630106805</v>
      </c>
      <c r="H36" s="23">
        <f t="shared" si="1"/>
        <v>1686.1733862708941</v>
      </c>
      <c r="I36" s="23">
        <f t="shared" si="1"/>
        <v>1719.8968539963121</v>
      </c>
      <c r="J36" s="23">
        <f t="shared" si="1"/>
        <v>1754.2947910762384</v>
      </c>
      <c r="K36" s="23">
        <f t="shared" si="1"/>
        <v>1789.3806868977633</v>
      </c>
      <c r="L36" s="23">
        <f t="shared" si="1"/>
        <v>1825.1683006357187</v>
      </c>
      <c r="M36" s="4">
        <f>$M$8*'[2]Eurostat POM Portables GU'!M27</f>
        <v>1861.6716666484331</v>
      </c>
      <c r="N36" s="4">
        <f>$N$8*'[2]Eurostat POM Portables GU'!N27</f>
        <v>1904.8198624226682</v>
      </c>
      <c r="O36" s="4">
        <f>$O$8*'[2]Eurostat POM Portables GU'!O27</f>
        <v>1212.2026931383923</v>
      </c>
      <c r="P36" s="4">
        <f>$P$8*'[2]Eurostat POM Portables GU'!P27</f>
        <v>1206.1695936361082</v>
      </c>
      <c r="Q36" s="4">
        <f>$Q$8*'[2]Eurostat POM Portables GU'!Q27</f>
        <v>1857.9876265789828</v>
      </c>
      <c r="R36" s="4">
        <f>$R$8*'[2]Eurostat POM Portables GU'!R27</f>
        <v>1613.2629580915022</v>
      </c>
      <c r="S36" s="4">
        <f>$S$8*'[2]Eurostat POM Portables GU'!S27</f>
        <v>2397.7375609058918</v>
      </c>
      <c r="T36" s="4">
        <f>$T$8*'[2]Eurostat POM Portables GU'!T27</f>
        <v>1851.5191949206733</v>
      </c>
      <c r="U36" s="4">
        <f>$U$8*'[2]Eurostat POM Portables GU'!U27</f>
        <v>2728.6334060955683</v>
      </c>
      <c r="V36" s="4">
        <f>$V$8*'[2]Eurostat POM Portables GU'!V27</f>
        <v>3122.6524414523296</v>
      </c>
      <c r="W36" s="4">
        <f>$W$8*'[2]Eurostat POM Portables GU'!W27</f>
        <v>4364.4383959029838</v>
      </c>
      <c r="X36" s="48">
        <f>'[3]others portable_Zn-based'!AC36</f>
        <v>4451.7271638210432</v>
      </c>
      <c r="Y36" s="48">
        <f>'[3]others portable_Zn-based'!AD36</f>
        <v>4540.7617070974638</v>
      </c>
      <c r="Z36" s="48">
        <f>'[3]others portable_Zn-based'!AE36</f>
        <v>4631.5769412394129</v>
      </c>
      <c r="AA36" s="48">
        <f>'[3]others portable_Zn-based'!AF36</f>
        <v>4724.2084800642015</v>
      </c>
      <c r="AB36" s="48">
        <f>'[3]others portable_Zn-based'!AG36</f>
        <v>4818.6926496654851</v>
      </c>
      <c r="AC36" s="48">
        <f>'[3]others portable_Zn-based'!AH36</f>
        <v>4915.0665026587949</v>
      </c>
      <c r="AD36" s="48">
        <f>'[3]others portable_Zn-based'!AI36</f>
        <v>5013.3678327119706</v>
      </c>
      <c r="AE36" s="48">
        <f>'[3]others portable_Zn-based'!AJ36</f>
        <v>5113.6351893662104</v>
      </c>
      <c r="AF36" s="48">
        <f>'[3]others portable_Zn-based'!AK36</f>
        <v>5215.907893153535</v>
      </c>
      <c r="AG36" s="48">
        <f>'[3]others portable_Zn-based'!AL36</f>
        <v>5320.2260510166061</v>
      </c>
      <c r="AH36" s="48">
        <f>'[3]others portable_Zn-based'!AM36</f>
        <v>5426.6305720369382</v>
      </c>
      <c r="AI36" s="48">
        <f>'[3]others portable_Zn-based'!AN36</f>
        <v>5535.1631834776772</v>
      </c>
      <c r="AJ36" s="48">
        <f>'[3]others portable_Zn-based'!AO36</f>
        <v>5645.8664471472312</v>
      </c>
      <c r="AK36" s="48">
        <f>'[3]others portable_Zn-based'!AP36</f>
        <v>5758.7837760901757</v>
      </c>
      <c r="AL36" s="48">
        <f>'[3]others portable_Zn-based'!AQ36</f>
        <v>5873.9594516119796</v>
      </c>
      <c r="AM36" s="48">
        <f>'[3]others portable_Zn-based'!AR36</f>
        <v>5991.438640644219</v>
      </c>
      <c r="AN36" s="48">
        <f>'[3]others portable_Zn-based'!AS36</f>
        <v>6111.2674134571034</v>
      </c>
      <c r="AO36" s="48">
        <f>'[3]others portable_Zn-based'!AT36</f>
        <v>6233.4927617262456</v>
      </c>
      <c r="AP36" s="48">
        <f>'[3]others portable_Zn-based'!AU36</f>
        <v>6295.8276893435077</v>
      </c>
      <c r="AQ36" s="48">
        <f>'[3]others portable_Zn-based'!AV36</f>
        <v>6358.7859662369428</v>
      </c>
      <c r="AR36" s="48">
        <f>'[3]others portable_Zn-based'!AW36</f>
        <v>6422.3738258993126</v>
      </c>
      <c r="AS36" s="48">
        <f>'[3]others portable_Zn-based'!AX36</f>
        <v>6486.5975641583054</v>
      </c>
      <c r="AT36" s="48">
        <f>'[3]others portable_Zn-based'!AY36</f>
        <v>6551.4635397998882</v>
      </c>
      <c r="AU36" s="48">
        <f>'[3]others portable_Zn-based'!AZ36</f>
        <v>6616.9781751978871</v>
      </c>
      <c r="AV36" s="48">
        <f>'[3]others portable_Zn-based'!BA36</f>
        <v>6683.1479569498661</v>
      </c>
      <c r="AW36" s="48">
        <f>'[3]others portable_Zn-based'!BB36</f>
        <v>6749.9794365193648</v>
      </c>
      <c r="AX36" s="48">
        <f>'[3]others portable_Zn-based'!BC36</f>
        <v>6817.4792308845581</v>
      </c>
      <c r="AY36" s="48">
        <f>'[3]others portable_Zn-based'!BD36</f>
        <v>6885.6540231934041</v>
      </c>
      <c r="AZ36" s="48">
        <f>'[3]others portable_Zn-based'!BE36</f>
        <v>6954.5105634253378</v>
      </c>
    </row>
    <row r="37" spans="1:52" x14ac:dyDescent="0.35">
      <c r="A37" s="52" t="s">
        <v>25</v>
      </c>
      <c r="B37" s="23">
        <f t="shared" si="1"/>
        <v>544.17845882647191</v>
      </c>
      <c r="C37" s="23">
        <f t="shared" si="1"/>
        <v>555.06202800300139</v>
      </c>
      <c r="D37" s="23">
        <f t="shared" si="1"/>
        <v>566.16326856306148</v>
      </c>
      <c r="E37" s="23">
        <f t="shared" si="1"/>
        <v>577.48653393432267</v>
      </c>
      <c r="F37" s="23">
        <f t="shared" si="1"/>
        <v>589.03626461300917</v>
      </c>
      <c r="G37" s="23">
        <f t="shared" si="1"/>
        <v>600.81698990526934</v>
      </c>
      <c r="H37" s="23">
        <f t="shared" si="1"/>
        <v>612.83332970337472</v>
      </c>
      <c r="I37" s="23">
        <f t="shared" si="1"/>
        <v>625.08999629744221</v>
      </c>
      <c r="J37" s="23">
        <f t="shared" si="1"/>
        <v>637.59179622339104</v>
      </c>
      <c r="K37" s="23">
        <f t="shared" si="1"/>
        <v>650.3436321478589</v>
      </c>
      <c r="L37" s="23">
        <f t="shared" si="1"/>
        <v>663.3505047908161</v>
      </c>
      <c r="M37" s="4">
        <f>$M$8*'[2]Eurostat POM Portables GU'!M28</f>
        <v>676.61751488663242</v>
      </c>
      <c r="N37" s="4">
        <f>$N$8*'[2]Eurostat POM Portables GU'!N28</f>
        <v>695.30138504820786</v>
      </c>
      <c r="O37" s="4">
        <f>$O$8*'[2]Eurostat POM Portables GU'!O28</f>
        <v>662.97786901639188</v>
      </c>
      <c r="P37" s="4">
        <f>$P$8*'[2]Eurostat POM Portables GU'!P28</f>
        <v>584.68324573494704</v>
      </c>
      <c r="Q37" s="4">
        <f>$Q$8*'[2]Eurostat POM Portables GU'!Q28</f>
        <v>659.35388562270032</v>
      </c>
      <c r="R37" s="4">
        <f>$R$8*'[2]Eurostat POM Portables GU'!R28</f>
        <v>852.13376760730625</v>
      </c>
      <c r="S37" s="4">
        <f>$S$8*'[2]Eurostat POM Portables GU'!S28</f>
        <v>965.70947280623511</v>
      </c>
      <c r="T37" s="4">
        <f>$T$8*'[2]Eurostat POM Portables GU'!T28</f>
        <v>1013.6439846567854</v>
      </c>
      <c r="U37" s="4">
        <f>$U$8*'[2]Eurostat POM Portables GU'!U28</f>
        <v>1115.4469583384127</v>
      </c>
      <c r="V37" s="4">
        <f>$V$8*'[2]Eurostat POM Portables GU'!V28</f>
        <v>1276.9912280717624</v>
      </c>
      <c r="W37" s="4">
        <f>$W$8*'[2]Eurostat POM Portables GU'!W28</f>
        <v>1441.2678438608923</v>
      </c>
      <c r="X37" s="48">
        <f>'[3]others portable_Zn-based'!AC37</f>
        <v>1470.0932007381102</v>
      </c>
      <c r="Y37" s="48">
        <f>'[3]others portable_Zn-based'!AD37</f>
        <v>1499.4950647528724</v>
      </c>
      <c r="Z37" s="48">
        <f>'[3]others portable_Zn-based'!AE37</f>
        <v>1529.4849660479299</v>
      </c>
      <c r="AA37" s="48">
        <f>'[3]others portable_Zn-based'!AF37</f>
        <v>1560.0746653688884</v>
      </c>
      <c r="AB37" s="48">
        <f>'[3]others portable_Zn-based'!AG37</f>
        <v>1591.2761586762663</v>
      </c>
      <c r="AC37" s="48">
        <f>'[3]others portable_Zn-based'!AH37</f>
        <v>1623.1016818497917</v>
      </c>
      <c r="AD37" s="48">
        <f>'[3]others portable_Zn-based'!AI37</f>
        <v>1655.5637154867875</v>
      </c>
      <c r="AE37" s="48">
        <f>'[3]others portable_Zn-based'!AJ37</f>
        <v>1688.6749897965233</v>
      </c>
      <c r="AF37" s="48">
        <f>'[3]others portable_Zn-based'!AK37</f>
        <v>1722.4484895924538</v>
      </c>
      <c r="AG37" s="48">
        <f>'[3]others portable_Zn-based'!AL37</f>
        <v>1756.8974593843029</v>
      </c>
      <c r="AH37" s="48">
        <f>'[3]others portable_Zn-based'!AM37</f>
        <v>1792.0354085719889</v>
      </c>
      <c r="AI37" s="48">
        <f>'[3]others portable_Zn-based'!AN37</f>
        <v>1827.8761167434286</v>
      </c>
      <c r="AJ37" s="48">
        <f>'[3]others portable_Zn-based'!AO37</f>
        <v>1864.4336390782971</v>
      </c>
      <c r="AK37" s="48">
        <f>'[3]others portable_Zn-based'!AP37</f>
        <v>1901.7223118598631</v>
      </c>
      <c r="AL37" s="48">
        <f>'[3]others portable_Zn-based'!AQ37</f>
        <v>1939.7567580970604</v>
      </c>
      <c r="AM37" s="48">
        <f>'[3]others portable_Zn-based'!AR37</f>
        <v>1978.5518932590016</v>
      </c>
      <c r="AN37" s="48">
        <f>'[3]others portable_Zn-based'!AS37</f>
        <v>2018.1229311241816</v>
      </c>
      <c r="AO37" s="48">
        <f>'[3]others portable_Zn-based'!AT37</f>
        <v>2058.4853897466651</v>
      </c>
      <c r="AP37" s="48">
        <f>'[3]others portable_Zn-based'!AU37</f>
        <v>2079.0702436441316</v>
      </c>
      <c r="AQ37" s="48">
        <f>'[3]others portable_Zn-based'!AV37</f>
        <v>2099.8609460805728</v>
      </c>
      <c r="AR37" s="48">
        <f>'[3]others portable_Zn-based'!AW37</f>
        <v>2120.8595555413785</v>
      </c>
      <c r="AS37" s="48">
        <f>'[3]others portable_Zn-based'!AX37</f>
        <v>2142.0681510967925</v>
      </c>
      <c r="AT37" s="48">
        <f>'[3]others portable_Zn-based'!AY37</f>
        <v>2163.4888326077603</v>
      </c>
      <c r="AU37" s="48">
        <f>'[3]others portable_Zn-based'!AZ37</f>
        <v>2185.1237209338378</v>
      </c>
      <c r="AV37" s="48">
        <f>'[3]others portable_Zn-based'!BA37</f>
        <v>2206.9749581431761</v>
      </c>
      <c r="AW37" s="48">
        <f>'[3]others portable_Zn-based'!BB37</f>
        <v>2229.0447077246076</v>
      </c>
      <c r="AX37" s="48">
        <f>'[3]others portable_Zn-based'!BC37</f>
        <v>2251.3351548018536</v>
      </c>
      <c r="AY37" s="48">
        <f>'[3]others portable_Zn-based'!BD37</f>
        <v>2273.848506349872</v>
      </c>
      <c r="AZ37" s="48">
        <f>'[3]others portable_Zn-based'!BE37</f>
        <v>2296.5869914133705</v>
      </c>
    </row>
    <row r="38" spans="1:52" x14ac:dyDescent="0.35">
      <c r="A38" s="52" t="s">
        <v>26</v>
      </c>
      <c r="B38" s="23">
        <f t="shared" si="1"/>
        <v>372.04037491197568</v>
      </c>
      <c r="C38" s="23">
        <f t="shared" si="1"/>
        <v>379.48118241021518</v>
      </c>
      <c r="D38" s="23">
        <f t="shared" si="1"/>
        <v>387.07080605841952</v>
      </c>
      <c r="E38" s="23">
        <f t="shared" si="1"/>
        <v>394.81222217958793</v>
      </c>
      <c r="F38" s="23">
        <f t="shared" si="1"/>
        <v>402.70846662317967</v>
      </c>
      <c r="G38" s="23">
        <f t="shared" si="1"/>
        <v>410.76263595564325</v>
      </c>
      <c r="H38" s="23">
        <f t="shared" si="1"/>
        <v>418.97788867475612</v>
      </c>
      <c r="I38" s="23">
        <f t="shared" si="1"/>
        <v>427.35744644825127</v>
      </c>
      <c r="J38" s="23">
        <f t="shared" si="1"/>
        <v>435.90459537721631</v>
      </c>
      <c r="K38" s="23">
        <f t="shared" si="1"/>
        <v>444.62268728476067</v>
      </c>
      <c r="L38" s="23">
        <f t="shared" si="1"/>
        <v>453.51514103045588</v>
      </c>
      <c r="M38" s="4">
        <f>$M$8*'[2]Eurostat POM Portables GU'!M29</f>
        <v>462.58544385106501</v>
      </c>
      <c r="N38" s="4">
        <f>$N$8*'[2]Eurostat POM Portables GU'!N29</f>
        <v>502.00760000480602</v>
      </c>
      <c r="O38" s="4">
        <f>$O$8*'[2]Eurostat POM Portables GU'!O29</f>
        <v>502.46743757031805</v>
      </c>
      <c r="P38" s="4">
        <f>$P$8*'[2]Eurostat POM Portables GU'!P29</f>
        <v>499.27227278316735</v>
      </c>
      <c r="Q38" s="4">
        <f>$Q$8*'[2]Eurostat POM Portables GU'!Q29</f>
        <v>465.55018761219412</v>
      </c>
      <c r="R38" s="4">
        <f>$R$8*'[2]Eurostat POM Portables GU'!R29</f>
        <v>601.18175190418378</v>
      </c>
      <c r="S38" s="4">
        <f>$S$8*'[2]Eurostat POM Portables GU'!S29</f>
        <v>522.54142706638743</v>
      </c>
      <c r="T38" s="4">
        <f>$T$8*'[2]Eurostat POM Portables GU'!T29</f>
        <v>543.82594483216064</v>
      </c>
      <c r="U38" s="4">
        <f>$U$8*'[2]Eurostat POM Portables GU'!U29</f>
        <v>531.56024959719559</v>
      </c>
      <c r="V38" s="4">
        <f>$V$8*'[2]Eurostat POM Portables GU'!V29</f>
        <v>519.60332728437231</v>
      </c>
      <c r="W38" s="4">
        <f>$W$8*'[2]Eurostat POM Portables GU'!W29</f>
        <v>561.26906342424172</v>
      </c>
      <c r="X38" s="48">
        <f>'[3]others portable_Zn-based'!AC38</f>
        <v>572.49444469272657</v>
      </c>
      <c r="Y38" s="48">
        <f>'[3]others portable_Zn-based'!AD38</f>
        <v>583.94433358658114</v>
      </c>
      <c r="Z38" s="48">
        <f>'[3]others portable_Zn-based'!AE38</f>
        <v>595.62322025831281</v>
      </c>
      <c r="AA38" s="48">
        <f>'[3]others portable_Zn-based'!AF38</f>
        <v>607.53568466347906</v>
      </c>
      <c r="AB38" s="48">
        <f>'[3]others portable_Zn-based'!AG38</f>
        <v>619.68639835674867</v>
      </c>
      <c r="AC38" s="48">
        <f>'[3]others portable_Zn-based'!AH38</f>
        <v>632.08012632388363</v>
      </c>
      <c r="AD38" s="48">
        <f>'[3]others portable_Zn-based'!AI38</f>
        <v>644.72172885036127</v>
      </c>
      <c r="AE38" s="48">
        <f>'[3]others portable_Zn-based'!AJ38</f>
        <v>657.61616342736852</v>
      </c>
      <c r="AF38" s="48">
        <f>'[3]others portable_Zn-based'!AK38</f>
        <v>670.76848669591584</v>
      </c>
      <c r="AG38" s="48">
        <f>'[3]others portable_Zn-based'!AL38</f>
        <v>684.18385642983412</v>
      </c>
      <c r="AH38" s="48">
        <f>'[3]others portable_Zn-based'!AM38</f>
        <v>697.86753355843075</v>
      </c>
      <c r="AI38" s="48">
        <f>'[3]others portable_Zn-based'!AN38</f>
        <v>711.82488422959932</v>
      </c>
      <c r="AJ38" s="48">
        <f>'[3]others portable_Zn-based'!AO38</f>
        <v>726.06138191419132</v>
      </c>
      <c r="AK38" s="48">
        <f>'[3]others portable_Zn-based'!AP38</f>
        <v>740.58260955247511</v>
      </c>
      <c r="AL38" s="48">
        <f>'[3]others portable_Zn-based'!AQ38</f>
        <v>755.39426174352457</v>
      </c>
      <c r="AM38" s="48">
        <f>'[3]others portable_Zn-based'!AR38</f>
        <v>770.5021469783951</v>
      </c>
      <c r="AN38" s="48">
        <f>'[3]others portable_Zn-based'!AS38</f>
        <v>785.91218991796302</v>
      </c>
      <c r="AO38" s="48">
        <f>'[3]others portable_Zn-based'!AT38</f>
        <v>801.63043371632227</v>
      </c>
      <c r="AP38" s="48">
        <f>'[3]others portable_Zn-based'!AU38</f>
        <v>809.64673805348548</v>
      </c>
      <c r="AQ38" s="48">
        <f>'[3]others portable_Zn-based'!AV38</f>
        <v>817.7432054340203</v>
      </c>
      <c r="AR38" s="48">
        <f>'[3]others portable_Zn-based'!AW38</f>
        <v>825.92063748836051</v>
      </c>
      <c r="AS38" s="48">
        <f>'[3]others portable_Zn-based'!AX38</f>
        <v>834.17984386324417</v>
      </c>
      <c r="AT38" s="48">
        <f>'[3]others portable_Zn-based'!AY38</f>
        <v>842.52164230187657</v>
      </c>
      <c r="AU38" s="48">
        <f>'[3]others portable_Zn-based'!AZ38</f>
        <v>850.94685872489538</v>
      </c>
      <c r="AV38" s="48">
        <f>'[3]others portable_Zn-based'!BA38</f>
        <v>859.45632731214437</v>
      </c>
      <c r="AW38" s="48">
        <f>'[3]others portable_Zn-based'!BB38</f>
        <v>868.05089058526585</v>
      </c>
      <c r="AX38" s="48">
        <f>'[3]others portable_Zn-based'!BC38</f>
        <v>876.73139949111851</v>
      </c>
      <c r="AY38" s="48">
        <f>'[3]others portable_Zn-based'!BD38</f>
        <v>885.49871348602971</v>
      </c>
      <c r="AZ38" s="48">
        <f>'[3]others portable_Zn-based'!BE38</f>
        <v>894.35370062088998</v>
      </c>
    </row>
    <row r="39" spans="1:52" x14ac:dyDescent="0.35">
      <c r="A39" s="52" t="s">
        <v>27</v>
      </c>
      <c r="B39" s="23">
        <f t="shared" si="1"/>
        <v>6358.7684609140351</v>
      </c>
      <c r="C39" s="23">
        <f t="shared" si="1"/>
        <v>6485.9438301323162</v>
      </c>
      <c r="D39" s="23">
        <f t="shared" si="1"/>
        <v>6615.6627067349627</v>
      </c>
      <c r="E39" s="23">
        <f t="shared" si="1"/>
        <v>6747.9759608696622</v>
      </c>
      <c r="F39" s="23">
        <f t="shared" si="1"/>
        <v>6882.935480087056</v>
      </c>
      <c r="G39" s="23">
        <f t="shared" si="1"/>
        <v>7020.5941896887971</v>
      </c>
      <c r="H39" s="23">
        <f t="shared" si="1"/>
        <v>7161.0060734825729</v>
      </c>
      <c r="I39" s="23">
        <f t="shared" si="1"/>
        <v>7304.2261949522244</v>
      </c>
      <c r="J39" s="23">
        <f t="shared" si="1"/>
        <v>7450.3107188512695</v>
      </c>
      <c r="K39" s="23">
        <f t="shared" si="1"/>
        <v>7599.3169332282951</v>
      </c>
      <c r="L39" s="23">
        <f t="shared" si="1"/>
        <v>7751.3032718928607</v>
      </c>
      <c r="M39" s="4">
        <f>M6*'[2]Eurostat POM Portables GU'!M30</f>
        <v>7906.3293373307179</v>
      </c>
      <c r="N39" s="4">
        <f>N6*'[2]Eurostat POM Portables GU'!N30</f>
        <v>7529.2603138369204</v>
      </c>
      <c r="O39" s="4">
        <f>O6*'[2]Eurostat POM Portables GU'!O30</f>
        <v>7782.943347114413</v>
      </c>
      <c r="P39" s="4">
        <f>P6*'[2]Eurostat POM Portables GU'!P30</f>
        <v>7712.8260756199479</v>
      </c>
      <c r="Q39" s="4">
        <f>Q6*'[2]Eurostat POM Portables GU'!Q30</f>
        <v>9323.3358870939974</v>
      </c>
      <c r="R39" s="4">
        <f>R6*'[2]Eurostat POM Portables GU'!R30</f>
        <v>8655.2906264692829</v>
      </c>
      <c r="S39" s="4">
        <f>S6*'[2]Eurostat POM Portables GU'!S30</f>
        <v>8292.7376076920355</v>
      </c>
      <c r="T39" s="4">
        <f>T6*'[2]Eurostat POM Portables GU'!T30</f>
        <v>8760.7961416970866</v>
      </c>
      <c r="U39" s="4">
        <f>U6*'[2]Eurostat POM Portables GU'!U30</f>
        <v>8793.2360341408257</v>
      </c>
      <c r="V39" s="4">
        <f>V6*'[2]Eurostat POM Portables GU'!V30</f>
        <v>9533.1734704831779</v>
      </c>
      <c r="W39" s="4">
        <f>W6*'[2]Eurostat POM Portables GU'!W30</f>
        <v>9974.5455458737106</v>
      </c>
      <c r="X39" s="48">
        <f>'[3]others portable_Zn-based'!AC39</f>
        <v>10174.036456791186</v>
      </c>
      <c r="Y39" s="48">
        <f>'[3]others portable_Zn-based'!AD39</f>
        <v>10377.517185927009</v>
      </c>
      <c r="Z39" s="48">
        <f>'[3]others portable_Zn-based'!AE39</f>
        <v>10585.067529645548</v>
      </c>
      <c r="AA39" s="48">
        <f>'[3]others portable_Zn-based'!AF39</f>
        <v>10796.76888023846</v>
      </c>
      <c r="AB39" s="48">
        <f>'[3]others portable_Zn-based'!AG39</f>
        <v>11012.70425784323</v>
      </c>
      <c r="AC39" s="48">
        <f>'[3]others portable_Zn-based'!AH39</f>
        <v>11232.958343000095</v>
      </c>
      <c r="AD39" s="48">
        <f>'[3]others portable_Zn-based'!AI39</f>
        <v>11457.617509860096</v>
      </c>
      <c r="AE39" s="48">
        <f>'[3]others portable_Zn-based'!AJ39</f>
        <v>11686.769860057299</v>
      </c>
      <c r="AF39" s="48">
        <f>'[3]others portable_Zn-based'!AK39</f>
        <v>11920.505257258445</v>
      </c>
      <c r="AG39" s="48">
        <f>'[3]others portable_Zn-based'!AL39</f>
        <v>12158.915362403613</v>
      </c>
      <c r="AH39" s="48">
        <f>'[3]others portable_Zn-based'!AM39</f>
        <v>12402.093669651686</v>
      </c>
      <c r="AI39" s="48">
        <f>'[3]others portable_Zn-based'!AN39</f>
        <v>12650.135543044718</v>
      </c>
      <c r="AJ39" s="48">
        <f>'[3]others portable_Zn-based'!AO39</f>
        <v>12903.138253905612</v>
      </c>
      <c r="AK39" s="48">
        <f>'[3]others portable_Zn-based'!AP39</f>
        <v>13161.201018983724</v>
      </c>
      <c r="AL39" s="48">
        <f>'[3]others portable_Zn-based'!AQ39</f>
        <v>13424.425039363397</v>
      </c>
      <c r="AM39" s="48">
        <f>'[3]others portable_Zn-based'!AR39</f>
        <v>13692.913540150665</v>
      </c>
      <c r="AN39" s="48">
        <f>'[3]others portable_Zn-based'!AS39</f>
        <v>13966.771810953678</v>
      </c>
      <c r="AO39" s="48">
        <f>'[3]others portable_Zn-based'!AT39</f>
        <v>14246.107247172751</v>
      </c>
      <c r="AP39" s="48">
        <f>'[3]others portable_Zn-based'!AU39</f>
        <v>14388.568319644479</v>
      </c>
      <c r="AQ39" s="48">
        <f>'[3]others portable_Zn-based'!AV39</f>
        <v>14532.454002840923</v>
      </c>
      <c r="AR39" s="48">
        <f>'[3]others portable_Zn-based'!AW39</f>
        <v>14677.778542869331</v>
      </c>
      <c r="AS39" s="48">
        <f>'[3]others portable_Zn-based'!AX39</f>
        <v>14824.556328298026</v>
      </c>
      <c r="AT39" s="48">
        <f>'[3]others portable_Zn-based'!AY39</f>
        <v>14972.801891581006</v>
      </c>
      <c r="AU39" s="48">
        <f>'[3]others portable_Zn-based'!AZ39</f>
        <v>15122.529910496816</v>
      </c>
      <c r="AV39" s="48">
        <f>'[3]others portable_Zn-based'!BA39</f>
        <v>15273.755209601784</v>
      </c>
      <c r="AW39" s="48">
        <f>'[3]others portable_Zn-based'!BB39</f>
        <v>15426.492761697802</v>
      </c>
      <c r="AX39" s="48">
        <f>'[3]others portable_Zn-based'!BC39</f>
        <v>15580.75768931478</v>
      </c>
      <c r="AY39" s="48">
        <f>'[3]others portable_Zn-based'!BD39</f>
        <v>15736.565266207928</v>
      </c>
      <c r="AZ39" s="48">
        <f>'[3]others portable_Zn-based'!BE39</f>
        <v>15893.930918870008</v>
      </c>
    </row>
    <row r="40" spans="1:52" x14ac:dyDescent="0.35">
      <c r="A40" s="52" t="s">
        <v>28</v>
      </c>
      <c r="B40" s="23">
        <f t="shared" si="1"/>
        <v>2703.2085006964535</v>
      </c>
      <c r="C40" s="23">
        <f t="shared" si="1"/>
        <v>2757.2726707103825</v>
      </c>
      <c r="D40" s="23">
        <f t="shared" si="1"/>
        <v>2812.4181241245901</v>
      </c>
      <c r="E40" s="23">
        <f t="shared" si="1"/>
        <v>2868.6664866070819</v>
      </c>
      <c r="F40" s="23">
        <f t="shared" si="1"/>
        <v>2926.0398163392238</v>
      </c>
      <c r="G40" s="23">
        <f t="shared" si="1"/>
        <v>2984.5606126660082</v>
      </c>
      <c r="H40" s="23">
        <f t="shared" si="1"/>
        <v>3044.2518249193286</v>
      </c>
      <c r="I40" s="23">
        <f t="shared" si="1"/>
        <v>3105.136861417715</v>
      </c>
      <c r="J40" s="23">
        <f t="shared" si="1"/>
        <v>3167.2395986460692</v>
      </c>
      <c r="K40" s="23">
        <f t="shared" si="1"/>
        <v>3230.5843906189907</v>
      </c>
      <c r="L40" s="23">
        <f t="shared" si="1"/>
        <v>3295.1960784313706</v>
      </c>
      <c r="M40" s="4">
        <f>M7*'[2]Eurostat POM Portables GU'!M31</f>
        <v>3361.0999999999981</v>
      </c>
      <c r="N40" s="4">
        <f>N7*'[2]Eurostat POM Portables GU'!N31</f>
        <v>3371.5999999999995</v>
      </c>
      <c r="O40" s="4">
        <f>O7*'[2]Eurostat POM Portables GU'!O31</f>
        <v>3442.6</v>
      </c>
      <c r="P40" s="4">
        <f>P7*'[2]Eurostat POM Portables GU'!P31</f>
        <v>3434.1000000000004</v>
      </c>
      <c r="Q40" s="4">
        <f>Q7*'[2]Eurostat POM Portables GU'!Q31</f>
        <v>3497.5</v>
      </c>
      <c r="R40" s="4">
        <f>R7*'[2]Eurostat POM Portables GU'!R31</f>
        <v>3424.3000000000006</v>
      </c>
      <c r="S40" s="4">
        <f>S7*'[2]Eurostat POM Portables GU'!S31</f>
        <v>3943.3</v>
      </c>
      <c r="T40" s="4">
        <f>T7*'[2]Eurostat POM Portables GU'!T31</f>
        <v>3699.2</v>
      </c>
      <c r="U40" s="4">
        <f>U7*'[2]Eurostat POM Portables GU'!U31</f>
        <v>3981.4725555491759</v>
      </c>
      <c r="V40" s="4">
        <f>V7*'[2]Eurostat POM Portables GU'!V31</f>
        <v>4351.8727390608256</v>
      </c>
      <c r="W40" s="4">
        <f>W7*'[2]Eurostat POM Portables GU'!W31</f>
        <v>5028.218759102826</v>
      </c>
      <c r="X40" s="48">
        <f>'[3]others portable_Zn-based'!AC40</f>
        <v>5128.7831342848822</v>
      </c>
      <c r="Y40" s="48">
        <f>'[3]others portable_Zn-based'!AD40</f>
        <v>5231.3587969705795</v>
      </c>
      <c r="Z40" s="48">
        <f>'[3]others portable_Zn-based'!AE40</f>
        <v>5335.9859729099908</v>
      </c>
      <c r="AA40" s="48">
        <f>'[3]others portable_Zn-based'!AF40</f>
        <v>5442.7056923681903</v>
      </c>
      <c r="AB40" s="48">
        <f>'[3]others portable_Zn-based'!AG40</f>
        <v>5551.5598062155541</v>
      </c>
      <c r="AC40" s="48">
        <f>'[3]others portable_Zn-based'!AH40</f>
        <v>5662.5910023398656</v>
      </c>
      <c r="AD40" s="48">
        <f>'[3]others portable_Zn-based'!AI40</f>
        <v>5775.8428223866631</v>
      </c>
      <c r="AE40" s="48">
        <f>'[3]others portable_Zn-based'!AJ40</f>
        <v>5891.3596788343966</v>
      </c>
      <c r="AF40" s="48">
        <f>'[3]others portable_Zn-based'!AK40</f>
        <v>6009.1868724110846</v>
      </c>
      <c r="AG40" s="48">
        <f>'[3]others portable_Zn-based'!AL40</f>
        <v>6129.3706098593066</v>
      </c>
      <c r="AH40" s="48">
        <f>'[3]others portable_Zn-based'!AM40</f>
        <v>6251.9580220564931</v>
      </c>
      <c r="AI40" s="48">
        <f>'[3]others portable_Zn-based'!AN40</f>
        <v>6376.9971824976228</v>
      </c>
      <c r="AJ40" s="48">
        <f>'[3]others portable_Zn-based'!AO40</f>
        <v>6504.5371261475757</v>
      </c>
      <c r="AK40" s="48">
        <f>'[3]others portable_Zn-based'!AP40</f>
        <v>6634.6278686705273</v>
      </c>
      <c r="AL40" s="48">
        <f>'[3]others portable_Zn-based'!AQ40</f>
        <v>6767.3204260439379</v>
      </c>
      <c r="AM40" s="48">
        <f>'[3]others portable_Zn-based'!AR40</f>
        <v>6902.6668345648168</v>
      </c>
      <c r="AN40" s="48">
        <f>'[3]others portable_Zn-based'!AS40</f>
        <v>7040.7201712561127</v>
      </c>
      <c r="AO40" s="48">
        <f>'[3]others portable_Zn-based'!AT40</f>
        <v>7181.5345746812354</v>
      </c>
      <c r="AP40" s="48">
        <f>'[3]others portable_Zn-based'!AU40</f>
        <v>7253.3499204280479</v>
      </c>
      <c r="AQ40" s="48">
        <f>'[3]others portable_Zn-based'!AV40</f>
        <v>7325.8834196323287</v>
      </c>
      <c r="AR40" s="48">
        <f>'[3]others portable_Zn-based'!AW40</f>
        <v>7399.1422538286524</v>
      </c>
      <c r="AS40" s="48">
        <f>'[3]others portable_Zn-based'!AX40</f>
        <v>7473.1336763669387</v>
      </c>
      <c r="AT40" s="48">
        <f>'[3]others portable_Zn-based'!AY40</f>
        <v>7547.8650131306085</v>
      </c>
      <c r="AU40" s="48">
        <f>'[3]others portable_Zn-based'!AZ40</f>
        <v>7623.343663261915</v>
      </c>
      <c r="AV40" s="48">
        <f>'[3]others portable_Zn-based'!BA40</f>
        <v>7699.5770998945345</v>
      </c>
      <c r="AW40" s="48">
        <f>'[3]others portable_Zn-based'!BB40</f>
        <v>7776.5728708934803</v>
      </c>
      <c r="AX40" s="48">
        <f>'[3]others portable_Zn-based'!BC40</f>
        <v>7854.3385996024153</v>
      </c>
      <c r="AY40" s="48">
        <f>'[3]others portable_Zn-based'!BD40</f>
        <v>7932.8819855984393</v>
      </c>
      <c r="AZ40" s="48">
        <f>'[3]others portable_Zn-based'!BE40</f>
        <v>8012.2108054544233</v>
      </c>
    </row>
    <row r="41" spans="1:52" x14ac:dyDescent="0.35">
      <c r="A41" s="52" t="s">
        <v>29</v>
      </c>
      <c r="B41" s="23">
        <f t="shared" si="1"/>
        <v>1962.9294407669167</v>
      </c>
      <c r="C41" s="23">
        <f t="shared" si="1"/>
        <v>2002.188029582255</v>
      </c>
      <c r="D41" s="23">
        <f t="shared" si="1"/>
        <v>2042.2317901739002</v>
      </c>
      <c r="E41" s="23">
        <f t="shared" si="1"/>
        <v>2083.0764259773782</v>
      </c>
      <c r="F41" s="23">
        <f t="shared" si="1"/>
        <v>2124.7379544969258</v>
      </c>
      <c r="G41" s="23">
        <f t="shared" si="1"/>
        <v>2167.2327135868645</v>
      </c>
      <c r="H41" s="23">
        <f t="shared" si="1"/>
        <v>2210.577367858602</v>
      </c>
      <c r="I41" s="23">
        <f t="shared" si="1"/>
        <v>2254.7889152157741</v>
      </c>
      <c r="J41" s="23">
        <f t="shared" si="1"/>
        <v>2299.8846935200895</v>
      </c>
      <c r="K41" s="23">
        <f t="shared" si="1"/>
        <v>2345.8823873904912</v>
      </c>
      <c r="L41" s="23">
        <f t="shared" si="1"/>
        <v>2392.8000351383012</v>
      </c>
      <c r="M41" s="4">
        <f>$M$8*'[2]Eurostat POM Portables GU'!M32</f>
        <v>2440.656035841067</v>
      </c>
      <c r="N41" s="4">
        <f>$N$8*'[2]Eurostat POM Portables GU'!N32</f>
        <v>2452.3279850650288</v>
      </c>
      <c r="O41" s="4">
        <f>$O$8*'[2]Eurostat POM Portables GU'!O32</f>
        <v>2511.6393164105202</v>
      </c>
      <c r="P41" s="4">
        <f>$P$8*'[2]Eurostat POM Portables GU'!P32</f>
        <v>2658.1561338163624</v>
      </c>
      <c r="Q41" s="4">
        <f>$Q$8*'[2]Eurostat POM Portables GU'!Q32</f>
        <v>2836.8367389943655</v>
      </c>
      <c r="R41" s="4">
        <f>$R$8*'[2]Eurostat POM Portables GU'!R32</f>
        <v>2843.8930350971996</v>
      </c>
      <c r="S41" s="4">
        <f>$S$8*'[2]Eurostat POM Portables GU'!S32</f>
        <v>2764.8394495411389</v>
      </c>
      <c r="T41" s="4">
        <f>$T$8*'[2]Eurostat POM Portables GU'!T32</f>
        <v>2999.3025074036173</v>
      </c>
      <c r="U41" s="4">
        <f>$U$8*'[2]Eurostat POM Portables GU'!U32</f>
        <v>3117.2530843725094</v>
      </c>
      <c r="V41" s="4">
        <f>$V$8*'[2]Eurostat POM Portables GU'!V32</f>
        <v>3624.6420966253672</v>
      </c>
      <c r="W41" s="4">
        <f>$W$8*'[2]Eurostat POM Portables GU'!W32</f>
        <v>4199.9941793567414</v>
      </c>
      <c r="X41" s="48">
        <f>'[3]others portable_Zn-based'!AC41</f>
        <v>4283.9940629438761</v>
      </c>
      <c r="Y41" s="48">
        <f>'[3]others portable_Zn-based'!AD41</f>
        <v>4369.6739442027538</v>
      </c>
      <c r="Z41" s="48">
        <f>'[3]others portable_Zn-based'!AE41</f>
        <v>4457.067423086809</v>
      </c>
      <c r="AA41" s="48">
        <f>'[3]others portable_Zn-based'!AF41</f>
        <v>4546.208771548545</v>
      </c>
      <c r="AB41" s="48">
        <f>'[3]others portable_Zn-based'!AG41</f>
        <v>4637.1329469795155</v>
      </c>
      <c r="AC41" s="48">
        <f>'[3]others portable_Zn-based'!AH41</f>
        <v>4729.8756059191055</v>
      </c>
      <c r="AD41" s="48">
        <f>'[3]others portable_Zn-based'!AI41</f>
        <v>4824.4731180374874</v>
      </c>
      <c r="AE41" s="48">
        <f>'[3]others portable_Zn-based'!AJ41</f>
        <v>4920.9625803982372</v>
      </c>
      <c r="AF41" s="48">
        <f>'[3]others portable_Zn-based'!AK41</f>
        <v>5019.3818320062019</v>
      </c>
      <c r="AG41" s="48">
        <f>'[3]others portable_Zn-based'!AL41</f>
        <v>5119.7694686463255</v>
      </c>
      <c r="AH41" s="48">
        <f>'[3]others portable_Zn-based'!AM41</f>
        <v>5222.1648580192523</v>
      </c>
      <c r="AI41" s="48">
        <f>'[3]others portable_Zn-based'!AN41</f>
        <v>5326.6081551796369</v>
      </c>
      <c r="AJ41" s="48">
        <f>'[3]others portable_Zn-based'!AO41</f>
        <v>5433.14031828323</v>
      </c>
      <c r="AK41" s="48">
        <f>'[3]others portable_Zn-based'!AP41</f>
        <v>5541.8031246488945</v>
      </c>
      <c r="AL41" s="48">
        <f>'[3]others portable_Zn-based'!AQ41</f>
        <v>5652.6391871418728</v>
      </c>
      <c r="AM41" s="48">
        <f>'[3]others portable_Zn-based'!AR41</f>
        <v>5765.6919708847099</v>
      </c>
      <c r="AN41" s="48">
        <f>'[3]others portable_Zn-based'!AS41</f>
        <v>5881.0058103024039</v>
      </c>
      <c r="AO41" s="48">
        <f>'[3]others portable_Zn-based'!AT41</f>
        <v>5998.6259265084518</v>
      </c>
      <c r="AP41" s="48">
        <f>'[3]others portable_Zn-based'!AU41</f>
        <v>6058.6121857735361</v>
      </c>
      <c r="AQ41" s="48">
        <f>'[3]others portable_Zn-based'!AV41</f>
        <v>6119.1983076312717</v>
      </c>
      <c r="AR41" s="48">
        <f>'[3]others portable_Zn-based'!AW41</f>
        <v>6180.3902907075844</v>
      </c>
      <c r="AS41" s="48">
        <f>'[3]others portable_Zn-based'!AX41</f>
        <v>6242.1941936146604</v>
      </c>
      <c r="AT41" s="48">
        <f>'[3]others portable_Zn-based'!AY41</f>
        <v>6304.6161355508075</v>
      </c>
      <c r="AU41" s="48">
        <f>'[3]others portable_Zn-based'!AZ41</f>
        <v>6367.6622969063155</v>
      </c>
      <c r="AV41" s="48">
        <f>'[3]others portable_Zn-based'!BA41</f>
        <v>6431.3389198753785</v>
      </c>
      <c r="AW41" s="48">
        <f>'[3]others portable_Zn-based'!BB41</f>
        <v>6495.6523090741321</v>
      </c>
      <c r="AX41" s="48">
        <f>'[3]others portable_Zn-based'!BC41</f>
        <v>6560.6088321648731</v>
      </c>
      <c r="AY41" s="48">
        <f>'[3]others portable_Zn-based'!BD41</f>
        <v>6626.2149204865218</v>
      </c>
      <c r="AZ41" s="48">
        <f>'[3]others portable_Zn-based'!BE41</f>
        <v>6692.4770696913874</v>
      </c>
    </row>
    <row r="42" spans="1:52" x14ac:dyDescent="0.35">
      <c r="A42" s="52" t="s">
        <v>30</v>
      </c>
      <c r="B42" s="23">
        <f t="shared" si="1"/>
        <v>20646.335072440474</v>
      </c>
      <c r="C42" s="23">
        <f t="shared" si="1"/>
        <v>21059.261773889284</v>
      </c>
      <c r="D42" s="23">
        <f t="shared" si="1"/>
        <v>21480.447009367072</v>
      </c>
      <c r="E42" s="23">
        <f t="shared" si="1"/>
        <v>21910.055949554415</v>
      </c>
      <c r="F42" s="23">
        <f t="shared" si="1"/>
        <v>22348.257068545503</v>
      </c>
      <c r="G42" s="23">
        <f t="shared" si="1"/>
        <v>22795.222209916414</v>
      </c>
      <c r="H42" s="23">
        <f t="shared" si="1"/>
        <v>23251.126654114742</v>
      </c>
      <c r="I42" s="23">
        <f t="shared" si="1"/>
        <v>23716.149187197036</v>
      </c>
      <c r="J42" s="23">
        <f t="shared" si="1"/>
        <v>24190.472170940975</v>
      </c>
      <c r="K42" s="23">
        <f t="shared" si="1"/>
        <v>24674.281614359796</v>
      </c>
      <c r="L42" s="23">
        <f t="shared" si="1"/>
        <v>25167.767246646992</v>
      </c>
      <c r="M42" s="4">
        <f>$M$8*'[2]Eurostat POM Portables GU'!M33</f>
        <v>25671.122591579933</v>
      </c>
      <c r="N42" s="4">
        <f>$N$8*'[2]Eurostat POM Portables GU'!N33</f>
        <v>24597.72020753632</v>
      </c>
      <c r="O42" s="4">
        <f>$O$8*'[2]Eurostat POM Portables GU'!O33</f>
        <v>26014.407155759523</v>
      </c>
      <c r="P42" s="4">
        <f>$P$8*'[2]Eurostat POM Portables GU'!P33</f>
        <v>26149.629715168627</v>
      </c>
      <c r="Q42" s="4">
        <f>$Q$8*'[2]Eurostat POM Portables GU'!Q33</f>
        <v>26648.10467610629</v>
      </c>
      <c r="R42" s="4">
        <f>$R$8*'[2]Eurostat POM Portables GU'!R33</f>
        <v>26831.534430390475</v>
      </c>
      <c r="S42" s="4">
        <f>$S$8*'[2]Eurostat POM Portables GU'!S33</f>
        <v>25805.295634090646</v>
      </c>
      <c r="T42" s="4">
        <f>$T$8*'[2]Eurostat POM Portables GU'!T33</f>
        <v>25219.340093060586</v>
      </c>
      <c r="U42" s="4">
        <f>$U$8*'[2]Eurostat POM Portables GU'!U33</f>
        <v>24088.566509149285</v>
      </c>
      <c r="V42" s="4">
        <f>$V$8*'[2]Eurostat POM Portables GU'!V33</f>
        <v>25393.750604257642</v>
      </c>
      <c r="W42" s="4">
        <f>$W$8*'[2]Eurostat POM Portables GU'!W33</f>
        <v>27602.266508769251</v>
      </c>
      <c r="X42" s="48">
        <f>'[3]others portable_Zn-based'!AC42</f>
        <v>28154.311838944635</v>
      </c>
      <c r="Y42" s="48">
        <f>'[3]others portable_Zn-based'!AD42</f>
        <v>28717.398075723529</v>
      </c>
      <c r="Z42" s="48">
        <f>'[3]others portable_Zn-based'!AE42</f>
        <v>29291.746037238001</v>
      </c>
      <c r="AA42" s="48">
        <f>'[3]others portable_Zn-based'!AF42</f>
        <v>29877.580957982762</v>
      </c>
      <c r="AB42" s="48">
        <f>'[3]others portable_Zn-based'!AG42</f>
        <v>30475.132577142416</v>
      </c>
      <c r="AC42" s="48">
        <f>'[3]others portable_Zn-based'!AH42</f>
        <v>31084.635228685263</v>
      </c>
      <c r="AD42" s="48">
        <f>'[3]others portable_Zn-based'!AI42</f>
        <v>31706.32793325897</v>
      </c>
      <c r="AE42" s="48">
        <f>'[3]others portable_Zn-based'!AJ42</f>
        <v>32340.454491924149</v>
      </c>
      <c r="AF42" s="48">
        <f>'[3]others portable_Zn-based'!AK42</f>
        <v>32987.263581762629</v>
      </c>
      <c r="AG42" s="48">
        <f>'[3]others portable_Zn-based'!AL42</f>
        <v>33647.008853397878</v>
      </c>
      <c r="AH42" s="48">
        <f>'[3]others portable_Zn-based'!AM42</f>
        <v>34319.949030465832</v>
      </c>
      <c r="AI42" s="48">
        <f>'[3]others portable_Zn-based'!AN42</f>
        <v>35006.348011075148</v>
      </c>
      <c r="AJ42" s="48">
        <f>'[3]others portable_Zn-based'!AO42</f>
        <v>35706.474971296651</v>
      </c>
      <c r="AK42" s="48">
        <f>'[3]others portable_Zn-based'!AP42</f>
        <v>36420.604470722581</v>
      </c>
      <c r="AL42" s="48">
        <f>'[3]others portable_Zn-based'!AQ42</f>
        <v>37149.016560137032</v>
      </c>
      <c r="AM42" s="48">
        <f>'[3]others portable_Zn-based'!AR42</f>
        <v>37891.996891339775</v>
      </c>
      <c r="AN42" s="48">
        <f>'[3]others portable_Zn-based'!AS42</f>
        <v>38649.836829166568</v>
      </c>
      <c r="AO42" s="48">
        <f>'[3]others portable_Zn-based'!AT42</f>
        <v>39422.833565749897</v>
      </c>
      <c r="AP42" s="48">
        <f>'[3]others portable_Zn-based'!AU42</f>
        <v>39817.061901407396</v>
      </c>
      <c r="AQ42" s="48">
        <f>'[3]others portable_Zn-based'!AV42</f>
        <v>40215.232520421472</v>
      </c>
      <c r="AR42" s="48">
        <f>'[3]others portable_Zn-based'!AW42</f>
        <v>40617.384845625689</v>
      </c>
      <c r="AS42" s="48">
        <f>'[3]others portable_Zn-based'!AX42</f>
        <v>41023.558694081948</v>
      </c>
      <c r="AT42" s="48">
        <f>'[3]others portable_Zn-based'!AY42</f>
        <v>41433.794281022769</v>
      </c>
      <c r="AU42" s="48">
        <f>'[3]others portable_Zn-based'!AZ42</f>
        <v>41848.132223832996</v>
      </c>
      <c r="AV42" s="48">
        <f>'[3]others portable_Zn-based'!BA42</f>
        <v>42266.613546071327</v>
      </c>
      <c r="AW42" s="48">
        <f>'[3]others portable_Zn-based'!BB42</f>
        <v>42689.27968153204</v>
      </c>
      <c r="AX42" s="48">
        <f>'[3]others portable_Zn-based'!BC42</f>
        <v>43116.172478347362</v>
      </c>
      <c r="AY42" s="48">
        <f>'[3]others portable_Zn-based'!BD42</f>
        <v>43547.334203130835</v>
      </c>
      <c r="AZ42" s="48">
        <f>'[3]others portable_Zn-based'!BE42</f>
        <v>43982.807545162141</v>
      </c>
    </row>
    <row r="43" spans="1:52" x14ac:dyDescent="0.35">
      <c r="A43" s="52" t="s">
        <v>31</v>
      </c>
      <c r="B43" s="23">
        <f t="shared" si="1"/>
        <v>120640.03987277093</v>
      </c>
      <c r="C43" s="23">
        <f t="shared" si="1"/>
        <v>123052.84067022635</v>
      </c>
      <c r="D43" s="23">
        <f t="shared" si="1"/>
        <v>125513.89748363088</v>
      </c>
      <c r="E43" s="23">
        <f t="shared" si="1"/>
        <v>128024.17543330349</v>
      </c>
      <c r="F43" s="23">
        <f t="shared" si="1"/>
        <v>130584.65894196957</v>
      </c>
      <c r="G43" s="23">
        <f t="shared" si="1"/>
        <v>133196.35212080897</v>
      </c>
      <c r="H43" s="23">
        <f t="shared" si="1"/>
        <v>135860.27916322515</v>
      </c>
      <c r="I43" s="23">
        <f t="shared" si="1"/>
        <v>138577.48474648964</v>
      </c>
      <c r="J43" s="23">
        <f t="shared" si="1"/>
        <v>141349.03444141944</v>
      </c>
      <c r="K43" s="23">
        <f t="shared" si="1"/>
        <v>144176.01513024783</v>
      </c>
      <c r="L43" s="23">
        <f t="shared" si="1"/>
        <v>147059.5354328528</v>
      </c>
      <c r="M43" s="4">
        <f t="shared" ref="M43:AZ43" si="2">SUM(M12:M42)</f>
        <v>150000.72614150986</v>
      </c>
      <c r="N43" s="4">
        <f t="shared" si="2"/>
        <v>149136.35257062232</v>
      </c>
      <c r="O43" s="4">
        <f t="shared" si="2"/>
        <v>146620.20978985957</v>
      </c>
      <c r="P43" s="4">
        <f t="shared" si="2"/>
        <v>147235.79261196411</v>
      </c>
      <c r="Q43" s="4">
        <f t="shared" si="2"/>
        <v>152575.68560471036</v>
      </c>
      <c r="R43" s="4">
        <f t="shared" si="2"/>
        <v>151323.44641915991</v>
      </c>
      <c r="S43" s="4">
        <f t="shared" si="2"/>
        <v>155217.64541324636</v>
      </c>
      <c r="T43" s="4">
        <f t="shared" si="2"/>
        <v>156160.39649650978</v>
      </c>
      <c r="U43" s="4">
        <f t="shared" si="2"/>
        <v>161723.46850463393</v>
      </c>
      <c r="V43" s="4">
        <f t="shared" si="2"/>
        <v>175117.08580954897</v>
      </c>
      <c r="W43" s="4">
        <f t="shared" si="2"/>
        <v>189377.78272196284</v>
      </c>
      <c r="X43" s="4">
        <f t="shared" si="2"/>
        <v>193165.33837640219</v>
      </c>
      <c r="Y43" s="4">
        <f t="shared" si="2"/>
        <v>197028.64514393019</v>
      </c>
      <c r="Z43" s="4">
        <f t="shared" si="2"/>
        <v>200969.21804680873</v>
      </c>
      <c r="AA43" s="4">
        <f t="shared" si="2"/>
        <v>204988.60240774491</v>
      </c>
      <c r="AB43" s="4">
        <f t="shared" si="2"/>
        <v>209088.37445589984</v>
      </c>
      <c r="AC43" s="4">
        <f t="shared" si="2"/>
        <v>213270.14194501791</v>
      </c>
      <c r="AD43" s="4">
        <f t="shared" si="2"/>
        <v>217535.54478391822</v>
      </c>
      <c r="AE43" s="4">
        <f t="shared" si="2"/>
        <v>221886.25567959659</v>
      </c>
      <c r="AF43" s="4">
        <f t="shared" si="2"/>
        <v>226323.98079318856</v>
      </c>
      <c r="AG43" s="4">
        <f t="shared" si="2"/>
        <v>230850.46040905223</v>
      </c>
      <c r="AH43" s="4">
        <f t="shared" si="2"/>
        <v>235467.46961723329</v>
      </c>
      <c r="AI43" s="4">
        <f t="shared" si="2"/>
        <v>240176.81900957791</v>
      </c>
      <c r="AJ43" s="4">
        <f t="shared" si="2"/>
        <v>244980.35538976954</v>
      </c>
      <c r="AK43" s="4">
        <f t="shared" si="2"/>
        <v>249879.96249756496</v>
      </c>
      <c r="AL43" s="4">
        <f t="shared" si="2"/>
        <v>254877.56174751624</v>
      </c>
      <c r="AM43" s="4">
        <f t="shared" si="2"/>
        <v>259975.11298246655</v>
      </c>
      <c r="AN43" s="4">
        <f t="shared" si="2"/>
        <v>265174.6152421158</v>
      </c>
      <c r="AO43" s="4">
        <f t="shared" si="2"/>
        <v>270478.10754695826</v>
      </c>
      <c r="AP43" s="4">
        <f t="shared" si="2"/>
        <v>273182.88862242777</v>
      </c>
      <c r="AQ43" s="4">
        <f t="shared" si="2"/>
        <v>275914.71750865201</v>
      </c>
      <c r="AR43" s="4">
        <f t="shared" si="2"/>
        <v>278673.86468373856</v>
      </c>
      <c r="AS43" s="4">
        <f t="shared" si="2"/>
        <v>281460.60333057598</v>
      </c>
      <c r="AT43" s="4">
        <f t="shared" si="2"/>
        <v>284275.20936388173</v>
      </c>
      <c r="AU43" s="4">
        <f t="shared" si="2"/>
        <v>287117.96145752055</v>
      </c>
      <c r="AV43" s="4">
        <f t="shared" si="2"/>
        <v>289989.14107209572</v>
      </c>
      <c r="AW43" s="4">
        <f t="shared" si="2"/>
        <v>292889.03248281672</v>
      </c>
      <c r="AX43" s="4">
        <f t="shared" si="2"/>
        <v>295817.92280764482</v>
      </c>
      <c r="AY43" s="4">
        <f t="shared" si="2"/>
        <v>298776.10203572136</v>
      </c>
      <c r="AZ43" s="4">
        <f t="shared" si="2"/>
        <v>301763.86305607855</v>
      </c>
    </row>
    <row r="44" spans="1:52" x14ac:dyDescent="0.35">
      <c r="A44" s="58" t="s">
        <v>68</v>
      </c>
      <c r="B44" s="39">
        <f t="shared" ref="B44:K44" si="3">_xlfn.RRI(1,B43,C43)</f>
        <v>2.0000000000000018E-2</v>
      </c>
      <c r="C44" s="39">
        <f t="shared" si="3"/>
        <v>2.0000000000000018E-2</v>
      </c>
      <c r="D44" s="39">
        <f>_xlfn.RRI(1,D43,E43)</f>
        <v>2.0000000000000018E-2</v>
      </c>
      <c r="E44" s="39">
        <f t="shared" si="3"/>
        <v>2.0000000000000018E-2</v>
      </c>
      <c r="F44" s="39">
        <f t="shared" si="3"/>
        <v>2.0000000000000018E-2</v>
      </c>
      <c r="G44" s="39">
        <f t="shared" si="3"/>
        <v>2.0000000000000018E-2</v>
      </c>
      <c r="H44" s="39">
        <f t="shared" si="3"/>
        <v>2.0000000000000018E-2</v>
      </c>
      <c r="I44" s="39">
        <f t="shared" si="3"/>
        <v>2.0000000000000018E-2</v>
      </c>
      <c r="J44" s="39">
        <f t="shared" si="3"/>
        <v>2.0000000000000018E-2</v>
      </c>
      <c r="K44" s="39">
        <f t="shared" si="3"/>
        <v>2.0000000000000018E-2</v>
      </c>
      <c r="L44" s="39">
        <f>_xlfn.RRI(1,L43,M43)</f>
        <v>2.0000000000000018E-2</v>
      </c>
      <c r="M44" s="39">
        <f>_xlfn.RRI(1,M43,N43)</f>
        <v>-5.7624625768284421E-3</v>
      </c>
      <c r="N44" s="39">
        <f t="shared" ref="N44:AZ44" si="4">_xlfn.RRI(1,N43,O43)</f>
        <v>-1.6871424957045633E-2</v>
      </c>
      <c r="O44" s="39">
        <f t="shared" si="4"/>
        <v>4.1984854815499961E-3</v>
      </c>
      <c r="P44" s="39">
        <f t="shared" si="4"/>
        <v>3.626762825815999E-2</v>
      </c>
      <c r="Q44" s="39">
        <f t="shared" si="4"/>
        <v>-8.2073312047551417E-3</v>
      </c>
      <c r="R44" s="39">
        <f t="shared" si="4"/>
        <v>2.5734273744332237E-2</v>
      </c>
      <c r="S44" s="39">
        <f t="shared" si="4"/>
        <v>6.0737365313943137E-3</v>
      </c>
      <c r="T44" s="39">
        <f t="shared" si="4"/>
        <v>3.562408992889865E-2</v>
      </c>
      <c r="U44" s="39">
        <f t="shared" si="4"/>
        <v>8.2818019108533258E-2</v>
      </c>
      <c r="V44" s="39">
        <f t="shared" si="4"/>
        <v>8.1435211455741729E-2</v>
      </c>
      <c r="W44" s="39">
        <f t="shared" si="4"/>
        <v>2.0000000000000462E-2</v>
      </c>
      <c r="X44" s="39">
        <f t="shared" si="4"/>
        <v>1.9999999999999796E-2</v>
      </c>
      <c r="Y44" s="39">
        <f t="shared" si="4"/>
        <v>1.9999999999999796E-2</v>
      </c>
      <c r="Z44" s="39">
        <f t="shared" si="4"/>
        <v>2.0000000000000018E-2</v>
      </c>
      <c r="AA44" s="39">
        <f t="shared" si="4"/>
        <v>2.000000000000024E-2</v>
      </c>
      <c r="AB44" s="39">
        <f t="shared" si="4"/>
        <v>2.000000000000024E-2</v>
      </c>
      <c r="AC44" s="39">
        <f t="shared" si="4"/>
        <v>1.9999999999999796E-2</v>
      </c>
      <c r="AD44" s="39">
        <f t="shared" si="4"/>
        <v>2.0000000000000018E-2</v>
      </c>
      <c r="AE44" s="39">
        <f t="shared" si="4"/>
        <v>2.000000000000024E-2</v>
      </c>
      <c r="AF44" s="39">
        <f t="shared" si="4"/>
        <v>1.9999999999999574E-2</v>
      </c>
      <c r="AG44" s="39">
        <f t="shared" si="4"/>
        <v>2.0000000000000018E-2</v>
      </c>
      <c r="AH44" s="39">
        <f t="shared" si="4"/>
        <v>1.9999999999999796E-2</v>
      </c>
      <c r="AI44" s="39">
        <f t="shared" si="4"/>
        <v>2.000000000000024E-2</v>
      </c>
      <c r="AJ44" s="39">
        <f t="shared" si="4"/>
        <v>2.000000000000024E-2</v>
      </c>
      <c r="AK44" s="39">
        <f t="shared" si="4"/>
        <v>2.0000000000000018E-2</v>
      </c>
      <c r="AL44" s="39">
        <f t="shared" si="4"/>
        <v>2.0000000000000018E-2</v>
      </c>
      <c r="AM44" s="39">
        <f t="shared" si="4"/>
        <v>1.9999999999999574E-2</v>
      </c>
      <c r="AN44" s="39">
        <f t="shared" si="4"/>
        <v>2.0000000000000462E-2</v>
      </c>
      <c r="AO44" s="39">
        <f t="shared" si="4"/>
        <v>9.9999999999997868E-3</v>
      </c>
      <c r="AP44" s="39">
        <f t="shared" si="4"/>
        <v>9.9999999999997868E-3</v>
      </c>
      <c r="AQ44" s="39">
        <f t="shared" si="4"/>
        <v>1.0000000000000009E-2</v>
      </c>
      <c r="AR44" s="39">
        <f t="shared" si="4"/>
        <v>1.0000000000000009E-2</v>
      </c>
      <c r="AS44" s="39">
        <f t="shared" si="4"/>
        <v>1.0000000000000009E-2</v>
      </c>
      <c r="AT44" s="39">
        <f t="shared" si="4"/>
        <v>1.0000000000000009E-2</v>
      </c>
      <c r="AU44" s="39">
        <f t="shared" si="4"/>
        <v>9.9999999999997868E-3</v>
      </c>
      <c r="AV44" s="39">
        <f t="shared" si="4"/>
        <v>1.0000000000000231E-2</v>
      </c>
      <c r="AW44" s="39">
        <f t="shared" si="4"/>
        <v>9.9999999999997868E-3</v>
      </c>
      <c r="AX44" s="39">
        <f t="shared" si="4"/>
        <v>1.0000000000000231E-2</v>
      </c>
      <c r="AY44" s="39">
        <f t="shared" si="4"/>
        <v>1.0000000000000009E-2</v>
      </c>
      <c r="AZ44" s="39">
        <f t="shared" si="4"/>
        <v>-1</v>
      </c>
    </row>
    <row r="45" spans="1:52" x14ac:dyDescent="0.35">
      <c r="M45" s="2"/>
      <c r="N45" s="2"/>
      <c r="O45" s="2"/>
      <c r="P45" s="2"/>
      <c r="Q45" s="2"/>
      <c r="S45" s="2"/>
      <c r="T45" s="2"/>
      <c r="U45" s="2"/>
      <c r="V45" s="2"/>
    </row>
    <row r="46" spans="1:52" x14ac:dyDescent="0.35">
      <c r="A46" s="24" t="s">
        <v>44</v>
      </c>
      <c r="B46" s="24"/>
      <c r="C46" s="24"/>
      <c r="D46" s="6"/>
      <c r="E46" s="6"/>
      <c r="F46" s="6"/>
      <c r="G46" s="6"/>
      <c r="H46" s="6"/>
      <c r="I46" s="6"/>
      <c r="J46" s="6"/>
      <c r="K46" s="6"/>
      <c r="L46" s="6"/>
      <c r="M46" s="2"/>
      <c r="P46" s="6"/>
      <c r="Q46" s="6"/>
      <c r="R46" s="49"/>
      <c r="S46" s="6"/>
    </row>
    <row r="47" spans="1:52" x14ac:dyDescent="0.35">
      <c r="A47" s="48" t="s">
        <v>87</v>
      </c>
      <c r="B47" s="48"/>
      <c r="C47" s="48"/>
      <c r="D47" s="6"/>
      <c r="E47" s="6"/>
      <c r="F47" s="6"/>
    </row>
    <row r="48" spans="1:52" x14ac:dyDescent="0.35">
      <c r="A48" s="38" t="s">
        <v>88</v>
      </c>
      <c r="B48" s="39">
        <f>_xlfn.RRI(5,Q43,V43)</f>
        <v>2.7942064544905776E-2</v>
      </c>
    </row>
  </sheetData>
  <mergeCells count="4">
    <mergeCell ref="M2:W2"/>
    <mergeCell ref="B10:L10"/>
    <mergeCell ref="M10:W10"/>
    <mergeCell ref="X10:AZ10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74D0C-2F59-4C49-A56B-1C8673C3A602}">
  <sheetPr>
    <tabColor theme="9"/>
  </sheetPr>
  <dimension ref="A1:AZ95"/>
  <sheetViews>
    <sheetView zoomScale="70" zoomScaleNormal="70" workbookViewId="0"/>
  </sheetViews>
  <sheetFormatPr baseColWidth="10" defaultRowHeight="14.5" x14ac:dyDescent="0.35"/>
  <cols>
    <col min="1" max="1" width="27.26953125" customWidth="1"/>
    <col min="2" max="3" width="12.36328125" customWidth="1"/>
    <col min="4" max="4" width="12" customWidth="1"/>
    <col min="5" max="12" width="11" customWidth="1"/>
    <col min="13" max="22" width="11.26953125" bestFit="1" customWidth="1"/>
    <col min="44" max="52" width="12.1796875" customWidth="1"/>
  </cols>
  <sheetData>
    <row r="1" spans="1:52" x14ac:dyDescent="0.35">
      <c r="A1" s="61" t="s">
        <v>82</v>
      </c>
      <c r="B1" s="61" t="s">
        <v>69</v>
      </c>
      <c r="C1" s="106" t="s">
        <v>76</v>
      </c>
      <c r="D1" s="106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52" x14ac:dyDescent="0.3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107" t="s">
        <v>84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1:52" x14ac:dyDescent="0.35">
      <c r="A3" s="55" t="s">
        <v>37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2">
        <v>0.18481758028288714</v>
      </c>
      <c r="N4" s="12">
        <v>0.19384222991437419</v>
      </c>
      <c r="O4" s="12">
        <v>0.16037997717669555</v>
      </c>
      <c r="P4" s="12">
        <v>0.15326883611844033</v>
      </c>
      <c r="Q4" s="12">
        <v>0.1622497055359246</v>
      </c>
      <c r="R4" s="12">
        <v>0.19586840091813312</v>
      </c>
      <c r="S4" s="12">
        <v>0.22318019106377857</v>
      </c>
      <c r="T4" s="12">
        <v>0.21457006454309163</v>
      </c>
      <c r="U4" s="12">
        <v>0.25059255472417163</v>
      </c>
      <c r="V4" s="12">
        <v>0.26727809221428211</v>
      </c>
      <c r="W4" s="2">
        <v>0.26254479902564287</v>
      </c>
    </row>
    <row r="5" spans="1:52" x14ac:dyDescent="0.35">
      <c r="A5" s="8" t="s">
        <v>9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2">
        <v>0.14669656203288489</v>
      </c>
      <c r="N5" s="12">
        <v>0.15329538645895746</v>
      </c>
      <c r="O5" s="12">
        <v>0.16602759578515142</v>
      </c>
      <c r="P5" s="12">
        <v>0.1799279267787097</v>
      </c>
      <c r="Q5" s="12">
        <v>0.18367346938775511</v>
      </c>
      <c r="R5" s="12">
        <v>0.21285408872260822</v>
      </c>
      <c r="S5" s="12">
        <v>0.23083031573597612</v>
      </c>
      <c r="T5" s="12">
        <v>0.24779044447290893</v>
      </c>
      <c r="U5" s="12">
        <v>0.26529182405263801</v>
      </c>
      <c r="V5" s="12">
        <v>0.26659617637813277</v>
      </c>
      <c r="W5" s="2"/>
    </row>
    <row r="6" spans="1:52" x14ac:dyDescent="0.35">
      <c r="A6" s="8" t="s">
        <v>27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12">
        <v>0.17109546333046627</v>
      </c>
      <c r="N6" s="12">
        <v>0.17038965380650445</v>
      </c>
      <c r="O6" s="12">
        <v>0.16818091354850148</v>
      </c>
      <c r="P6" s="12">
        <v>0.19317225998192747</v>
      </c>
      <c r="Q6" s="12">
        <v>0.18573549264486389</v>
      </c>
      <c r="R6" s="12">
        <v>0.18285432407124627</v>
      </c>
      <c r="S6" s="12">
        <v>0.21098165241979366</v>
      </c>
      <c r="T6" s="12">
        <v>0.21692365983743556</v>
      </c>
      <c r="U6" s="12">
        <v>0.2293612804972229</v>
      </c>
      <c r="V6" s="12">
        <v>0.25424814150553404</v>
      </c>
      <c r="W6" s="2">
        <v>0.27575322657019724</v>
      </c>
    </row>
    <row r="7" spans="1:52" x14ac:dyDescent="0.35">
      <c r="A7" s="8" t="s">
        <v>28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12">
        <v>0.25437981779957952</v>
      </c>
      <c r="N7" s="12">
        <v>0.24209332009644025</v>
      </c>
      <c r="O7" s="12">
        <v>0.24153752767264161</v>
      </c>
      <c r="P7" s="12">
        <v>0.28992319915254233</v>
      </c>
      <c r="Q7" s="12">
        <v>0.27397236704003852</v>
      </c>
      <c r="R7" s="12">
        <v>0.32082876051747644</v>
      </c>
      <c r="S7" s="12">
        <v>0.2796349942062572</v>
      </c>
      <c r="T7" s="12">
        <v>0.30467549571961661</v>
      </c>
      <c r="U7" s="12">
        <v>0.30520468507779758</v>
      </c>
      <c r="V7" s="12">
        <v>0.33060322584913399</v>
      </c>
      <c r="W7" s="2">
        <v>0.35018709807524256</v>
      </c>
    </row>
    <row r="8" spans="1:52" x14ac:dyDescent="0.35">
      <c r="A8" s="14" t="s">
        <v>32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15">
        <v>0.17258094985619027</v>
      </c>
      <c r="N8" s="15">
        <v>0.1775629956349162</v>
      </c>
      <c r="O8" s="15">
        <v>0.16785280785896275</v>
      </c>
      <c r="P8" s="15">
        <v>0.17758467417606377</v>
      </c>
      <c r="Q8" s="15">
        <v>0.17991069169914584</v>
      </c>
      <c r="R8" s="15">
        <v>0.2044745942361407</v>
      </c>
      <c r="S8" s="15">
        <v>0.22565983609245185</v>
      </c>
      <c r="T8" s="15">
        <v>0.23030642718474034</v>
      </c>
      <c r="U8" s="15">
        <v>0.25324377035120027</v>
      </c>
      <c r="V8" s="16">
        <v>0.26724155193912968</v>
      </c>
      <c r="W8" s="43">
        <v>0.27345863997715752</v>
      </c>
    </row>
    <row r="9" spans="1:52" x14ac:dyDescent="0.35">
      <c r="A9" s="61"/>
      <c r="B9" s="61"/>
      <c r="C9" s="61"/>
      <c r="D9" s="25"/>
      <c r="E9" s="25"/>
      <c r="F9" s="25"/>
      <c r="G9" s="25"/>
      <c r="H9" s="25"/>
      <c r="I9" s="25"/>
      <c r="J9" s="25"/>
      <c r="K9" s="25"/>
      <c r="L9" s="25"/>
      <c r="M9" s="61"/>
      <c r="N9" s="61"/>
      <c r="O9" s="61"/>
      <c r="P9" s="61"/>
      <c r="Q9" s="61"/>
      <c r="R9" s="61"/>
      <c r="S9" s="61"/>
      <c r="T9" s="61"/>
      <c r="U9" s="61"/>
      <c r="V9" s="7"/>
      <c r="X9" s="6" t="s">
        <v>78</v>
      </c>
    </row>
    <row r="10" spans="1:52" x14ac:dyDescent="0.35">
      <c r="A10" s="61"/>
      <c r="B10" s="108" t="s">
        <v>85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9" t="s">
        <v>86</v>
      </c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5" t="s">
        <v>79</v>
      </c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</row>
    <row r="11" spans="1:52" x14ac:dyDescent="0.35">
      <c r="A11" s="61"/>
      <c r="B11" s="5">
        <v>2000</v>
      </c>
      <c r="C11" s="5">
        <v>2001</v>
      </c>
      <c r="D11" s="5">
        <v>2002</v>
      </c>
      <c r="E11" s="5">
        <v>2003</v>
      </c>
      <c r="F11" s="5">
        <v>2004</v>
      </c>
      <c r="G11" s="5">
        <v>2005</v>
      </c>
      <c r="H11" s="5">
        <v>2006</v>
      </c>
      <c r="I11" s="5">
        <v>2007</v>
      </c>
      <c r="J11" s="5">
        <v>2008</v>
      </c>
      <c r="K11" s="5">
        <v>2009</v>
      </c>
      <c r="L11" s="5">
        <v>2010</v>
      </c>
      <c r="M11" s="57">
        <v>2011</v>
      </c>
      <c r="N11" s="57">
        <v>2012</v>
      </c>
      <c r="O11" s="57">
        <v>2013</v>
      </c>
      <c r="P11" s="57">
        <v>2014</v>
      </c>
      <c r="Q11" s="57">
        <v>2015</v>
      </c>
      <c r="R11" s="57">
        <v>2016</v>
      </c>
      <c r="S11" s="57">
        <v>2017</v>
      </c>
      <c r="T11" s="57">
        <v>2018</v>
      </c>
      <c r="U11" s="57">
        <v>2019</v>
      </c>
      <c r="V11" s="57">
        <v>2020</v>
      </c>
      <c r="W11" s="57">
        <v>2021</v>
      </c>
      <c r="X11" s="47">
        <v>2022</v>
      </c>
      <c r="Y11" s="47">
        <v>2023</v>
      </c>
      <c r="Z11" s="47">
        <v>2024</v>
      </c>
      <c r="AA11" s="47">
        <v>2025</v>
      </c>
      <c r="AB11" s="47">
        <v>2026</v>
      </c>
      <c r="AC11" s="47">
        <v>2027</v>
      </c>
      <c r="AD11" s="47">
        <v>2028</v>
      </c>
      <c r="AE11" s="47">
        <v>2029</v>
      </c>
      <c r="AF11" s="47">
        <v>2030</v>
      </c>
      <c r="AG11" s="47">
        <v>2031</v>
      </c>
      <c r="AH11" s="47">
        <v>2032</v>
      </c>
      <c r="AI11" s="47">
        <v>2033</v>
      </c>
      <c r="AJ11" s="47">
        <v>2034</v>
      </c>
      <c r="AK11" s="47">
        <v>2035</v>
      </c>
      <c r="AL11" s="47">
        <v>2036</v>
      </c>
      <c r="AM11" s="47">
        <v>2037</v>
      </c>
      <c r="AN11" s="47">
        <v>2038</v>
      </c>
      <c r="AO11" s="47">
        <v>2039</v>
      </c>
      <c r="AP11" s="47">
        <v>2040</v>
      </c>
      <c r="AQ11" s="47">
        <v>2041</v>
      </c>
      <c r="AR11" s="47">
        <v>2042</v>
      </c>
      <c r="AS11" s="47">
        <v>2043</v>
      </c>
      <c r="AT11" s="47">
        <v>2044</v>
      </c>
      <c r="AU11" s="47">
        <v>2045</v>
      </c>
      <c r="AV11" s="47">
        <v>2046</v>
      </c>
      <c r="AW11" s="47">
        <v>2047</v>
      </c>
      <c r="AX11" s="47">
        <v>2048</v>
      </c>
      <c r="AY11" s="47">
        <v>2049</v>
      </c>
      <c r="AZ11" s="47">
        <v>2050</v>
      </c>
    </row>
    <row r="12" spans="1:52" x14ac:dyDescent="0.35">
      <c r="A12" s="61" t="s">
        <v>0</v>
      </c>
      <c r="B12" s="23">
        <f>C12/1.34</f>
        <v>40.986401057268715</v>
      </c>
      <c r="C12" s="23">
        <f>D12/1.34</f>
        <v>54.921777416740085</v>
      </c>
      <c r="D12" s="23">
        <f>E12/1.5</f>
        <v>73.59518173843172</v>
      </c>
      <c r="E12" s="23">
        <f>F12/1.5</f>
        <v>110.39277260764759</v>
      </c>
      <c r="F12" s="23">
        <f>G12/1.22</f>
        <v>165.58915891147137</v>
      </c>
      <c r="G12" s="23">
        <f>H12/1.18</f>
        <v>202.01877387199508</v>
      </c>
      <c r="H12" s="23">
        <f>I12/1.19</f>
        <v>238.38215316895418</v>
      </c>
      <c r="I12" s="23">
        <f>J12/1.35</f>
        <v>283.67476227105544</v>
      </c>
      <c r="J12" s="23">
        <f>K12/(1-0.26)</f>
        <v>382.96092906592486</v>
      </c>
      <c r="K12" s="23">
        <f>L12/1.68</f>
        <v>283.39108750878438</v>
      </c>
      <c r="L12" s="23">
        <f>M12/1.31</f>
        <v>476.09702701475771</v>
      </c>
      <c r="M12" s="4">
        <f>$M$8*'[2]Eurostat POM Portables GU'!M3</f>
        <v>623.6871053893326</v>
      </c>
      <c r="N12" s="4">
        <f>$N$8*'[2]Eurostat POM Portables GU'!N3</f>
        <v>660.03355751840922</v>
      </c>
      <c r="O12" s="4">
        <f>$O$8*'[2]Eurostat POM Portables GU'!O3</f>
        <v>653.2072587179307</v>
      </c>
      <c r="P12" s="4">
        <f>$P$8*'[2]Eurostat POM Portables GU'!P3</f>
        <v>725.72321219747585</v>
      </c>
      <c r="Q12" s="4">
        <f>$Q$8*'[2]Eurostat POM Portables GU'!Q3</f>
        <v>818.10624218069665</v>
      </c>
      <c r="R12" s="4">
        <f>$R$8*'[2]Eurostat POM Portables GU'!R3</f>
        <v>962.67654796159206</v>
      </c>
      <c r="S12" s="4">
        <f>$S$8*'[2]Eurostat POM Portables GU'!S3</f>
        <v>1070.8969416034549</v>
      </c>
      <c r="T12" s="4">
        <f>$T$8*'[2]Eurostat POM Portables GU'!T3</f>
        <v>1255.0413467437095</v>
      </c>
      <c r="U12" s="4">
        <f>$U$8*'[2]Eurostat POM Portables GU'!U3</f>
        <v>1458.7969499847934</v>
      </c>
      <c r="V12" s="4">
        <f>$V$8*'[2]Eurostat POM Portables GU'!V3</f>
        <v>1696.1778836893959</v>
      </c>
      <c r="W12" s="4">
        <f>$W$8*'[2]Eurostat POM Portables GU'!W3</f>
        <v>1678.7625908197701</v>
      </c>
      <c r="X12" s="48">
        <f>'[3]POM Portables Li-Rechargeable'!Y12</f>
        <v>1846.6388499017471</v>
      </c>
      <c r="Y12" s="48">
        <f>'[3]POM Portables Li-Rechargeable'!Z12</f>
        <v>2031.3027348919218</v>
      </c>
      <c r="Z12" s="48">
        <f>'[3]POM Portables Li-Rechargeable'!AA12</f>
        <v>2234.4330083811137</v>
      </c>
      <c r="AA12" s="48">
        <f>'[3]POM Portables Li-Rechargeable'!AB12</f>
        <v>2457.8763092192253</v>
      </c>
      <c r="AB12" s="48">
        <f>'[3]POM Portables Li-Rechargeable'!AC12</f>
        <v>2703.6639401411476</v>
      </c>
      <c r="AC12" s="48">
        <f>'[3]POM Portables Li-Rechargeable'!AD12</f>
        <v>2974.0303341552622</v>
      </c>
      <c r="AD12" s="48">
        <f>'[3]POM Portables Li-Rechargeable'!AE12</f>
        <v>3271.4333675707885</v>
      </c>
      <c r="AE12" s="48">
        <f>'[3]POM Portables Li-Rechargeable'!AF12</f>
        <v>3598.5767043278674</v>
      </c>
      <c r="AF12" s="48">
        <f>'[3]POM Portables Li-Rechargeable'!AG12</f>
        <v>3958.4343747606545</v>
      </c>
      <c r="AG12" s="48">
        <f>'[3]POM Portables Li-Rechargeable'!AH12</f>
        <v>4195.9404372462941</v>
      </c>
      <c r="AH12" s="48">
        <f>'[3]POM Portables Li-Rechargeable'!AI12</f>
        <v>4447.6968634810719</v>
      </c>
      <c r="AI12" s="48">
        <f>'[3]POM Portables Li-Rechargeable'!AJ12</f>
        <v>4714.5586752899362</v>
      </c>
      <c r="AJ12" s="48">
        <f>'[3]POM Portables Li-Rechargeable'!AK12</f>
        <v>4997.4321958073324</v>
      </c>
      <c r="AK12" s="48">
        <f>'[3]POM Portables Li-Rechargeable'!AL12</f>
        <v>5297.2781275557727</v>
      </c>
      <c r="AL12" s="48">
        <f>'[3]POM Portables Li-Rechargeable'!AM12</f>
        <v>5615.1148152091191</v>
      </c>
      <c r="AM12" s="48">
        <f>'[3]POM Portables Li-Rechargeable'!AN12</f>
        <v>5952.0217041216665</v>
      </c>
      <c r="AN12" s="48">
        <f>'[3]POM Portables Li-Rechargeable'!AO12</f>
        <v>6309.1430063689668</v>
      </c>
      <c r="AO12" s="48">
        <f>'[3]POM Portables Li-Rechargeable'!AP12</f>
        <v>6687.6915867511052</v>
      </c>
      <c r="AP12" s="48">
        <f>'[3]POM Portables Li-Rechargeable'!AQ12</f>
        <v>7088.9530819561714</v>
      </c>
      <c r="AQ12" s="48">
        <f>'[3]POM Portables Li-Rechargeable'!AR12</f>
        <v>7230.7321435952945</v>
      </c>
      <c r="AR12" s="48">
        <f>'[3]POM Portables Li-Rechargeable'!AS12</f>
        <v>7375.3467864672002</v>
      </c>
      <c r="AS12" s="48">
        <f>'[3]POM Portables Li-Rechargeable'!AT12</f>
        <v>7522.8537221965444</v>
      </c>
      <c r="AT12" s="48">
        <f>'[3]POM Portables Li-Rechargeable'!AU12</f>
        <v>7673.310796640475</v>
      </c>
      <c r="AU12" s="48">
        <f>'[3]POM Portables Li-Rechargeable'!AV12</f>
        <v>7826.7770125732841</v>
      </c>
      <c r="AV12" s="48">
        <f>'[3]POM Portables Li-Rechargeable'!AW12</f>
        <v>7983.3125528247501</v>
      </c>
      <c r="AW12" s="48">
        <f>'[3]POM Portables Li-Rechargeable'!AX12</f>
        <v>8142.9788038812449</v>
      </c>
      <c r="AX12" s="48">
        <f>'[3]POM Portables Li-Rechargeable'!AY12</f>
        <v>8305.8383799588701</v>
      </c>
      <c r="AY12" s="48">
        <f>'[3]POM Portables Li-Rechargeable'!AZ12</f>
        <v>8471.9551475580483</v>
      </c>
      <c r="AZ12" s="48">
        <f>'[3]POM Portables Li-Rechargeable'!BA12</f>
        <v>8641.3942505092091</v>
      </c>
    </row>
    <row r="13" spans="1:52" x14ac:dyDescent="0.35">
      <c r="A13" s="61" t="s">
        <v>1</v>
      </c>
      <c r="B13" s="23">
        <f>C13/1.34</f>
        <v>49.913410291613438</v>
      </c>
      <c r="C13" s="23">
        <f t="shared" ref="C13" si="0">D13/1.34</f>
        <v>66.883969790762009</v>
      </c>
      <c r="D13" s="23">
        <f t="shared" ref="D13:E28" si="1">E13/1.5</f>
        <v>89.624519519621103</v>
      </c>
      <c r="E13" s="23">
        <f t="shared" si="1"/>
        <v>134.43677927943165</v>
      </c>
      <c r="F13" s="23">
        <f t="shared" ref="F13:F42" si="2">G13/1.22</f>
        <v>201.65516891914748</v>
      </c>
      <c r="G13" s="23">
        <f t="shared" ref="G13:G42" si="3">H13/1.18</f>
        <v>246.01930608135993</v>
      </c>
      <c r="H13" s="23">
        <f t="shared" ref="H13:H42" si="4">I13/1.19</f>
        <v>290.30278117600471</v>
      </c>
      <c r="I13" s="23">
        <f t="shared" ref="I13:I42" si="5">J13/1.35</f>
        <v>345.46030959944557</v>
      </c>
      <c r="J13" s="23">
        <f t="shared" ref="J13:J42" si="6">K13/(1-0.26)</f>
        <v>466.37141795925152</v>
      </c>
      <c r="K13" s="23">
        <f t="shared" ref="K13:K42" si="7">L13/1.68</f>
        <v>345.11484928984612</v>
      </c>
      <c r="L13" s="23">
        <f t="shared" ref="L13:L42" si="8">M13/1.31</f>
        <v>579.79294680694147</v>
      </c>
      <c r="M13" s="4">
        <f>$M$8*'[2]Eurostat POM Portables GU'!M4</f>
        <v>759.52876031709343</v>
      </c>
      <c r="N13" s="4">
        <f>$N$8*'[2]Eurostat POM Portables GU'!N4</f>
        <v>756.24079840910815</v>
      </c>
      <c r="O13" s="4">
        <f>$O$8*'[2]Eurostat POM Portables GU'!O4</f>
        <v>738.21664896371817</v>
      </c>
      <c r="P13" s="4">
        <f>$P$8*'[2]Eurostat POM Portables GU'!P4</f>
        <v>749.76249437134129</v>
      </c>
      <c r="Q13" s="4">
        <f>$Q$8*'[2]Eurostat POM Portables GU'!Q4</f>
        <v>821.47221829829994</v>
      </c>
      <c r="R13" s="4">
        <f>$R$8*'[2]Eurostat POM Portables GU'!R4</f>
        <v>937.5160145727051</v>
      </c>
      <c r="S13" s="4">
        <f>$S$8*'[2]Eurostat POM Portables GU'!S4</f>
        <v>1080.0079755384745</v>
      </c>
      <c r="T13" s="4">
        <f>$T$8*'[2]Eurostat POM Portables GU'!T4</f>
        <v>1133.1076217489224</v>
      </c>
      <c r="U13" s="4">
        <f>$U$8*'[2]Eurostat POM Portables GU'!U4</f>
        <v>1370.808528911047</v>
      </c>
      <c r="V13" s="4">
        <f>$V$8*'[2]Eurostat POM Portables GU'!V4</f>
        <v>1499.4923479304566</v>
      </c>
      <c r="W13" s="4">
        <f>$W$8*'[2]Eurostat POM Portables GU'!W4</f>
        <v>1706.1084548174858</v>
      </c>
      <c r="X13" s="48">
        <f>'[3]POM Portables Li-Rechargeable'!Y13</f>
        <v>1876.7193002992344</v>
      </c>
      <c r="Y13" s="48">
        <f>'[3]POM Portables Li-Rechargeable'!Z13</f>
        <v>2064.3912303291577</v>
      </c>
      <c r="Z13" s="48">
        <f>'[3]POM Portables Li-Rechargeable'!AA13</f>
        <v>2270.8303533620733</v>
      </c>
      <c r="AA13" s="48">
        <f>'[3]POM Portables Li-Rechargeable'!AB13</f>
        <v>2497.9133886982809</v>
      </c>
      <c r="AB13" s="48">
        <f>'[3]POM Portables Li-Rechargeable'!AC13</f>
        <v>2747.7047275681089</v>
      </c>
      <c r="AC13" s="48">
        <f>'[3]POM Portables Li-Rechargeable'!AD13</f>
        <v>3022.4752003249196</v>
      </c>
      <c r="AD13" s="48">
        <f>'[3]POM Portables Li-Rechargeable'!AE13</f>
        <v>3324.7227203574116</v>
      </c>
      <c r="AE13" s="48">
        <f>'[3]POM Portables Li-Rechargeable'!AF13</f>
        <v>3657.1949923931529</v>
      </c>
      <c r="AF13" s="48">
        <f>'[3]POM Portables Li-Rechargeable'!AG13</f>
        <v>4022.9144916324681</v>
      </c>
      <c r="AG13" s="48">
        <f>'[3]POM Portables Li-Rechargeable'!AH13</f>
        <v>4264.2893611304162</v>
      </c>
      <c r="AH13" s="48">
        <f>'[3]POM Portables Li-Rechargeable'!AI13</f>
        <v>4520.1467227982412</v>
      </c>
      <c r="AI13" s="48">
        <f>'[3]POM Portables Li-Rechargeable'!AJ13</f>
        <v>4791.3555261661359</v>
      </c>
      <c r="AJ13" s="48">
        <f>'[3]POM Portables Li-Rechargeable'!AK13</f>
        <v>5078.8368577361043</v>
      </c>
      <c r="AK13" s="48">
        <f>'[3]POM Portables Li-Rechargeable'!AL13</f>
        <v>5383.5670692002705</v>
      </c>
      <c r="AL13" s="48">
        <f>'[3]POM Portables Li-Rechargeable'!AM13</f>
        <v>5706.5810933522862</v>
      </c>
      <c r="AM13" s="48">
        <f>'[3]POM Portables Li-Rechargeable'!AN13</f>
        <v>6048.9759589534233</v>
      </c>
      <c r="AN13" s="48">
        <f>'[3]POM Portables Li-Rechargeable'!AO13</f>
        <v>6411.9145164906286</v>
      </c>
      <c r="AO13" s="48">
        <f>'[3]POM Portables Li-Rechargeable'!AP13</f>
        <v>6796.6293874800667</v>
      </c>
      <c r="AP13" s="48">
        <f>'[3]POM Portables Li-Rechargeable'!AQ13</f>
        <v>7204.4271507288704</v>
      </c>
      <c r="AQ13" s="48">
        <f>'[3]POM Portables Li-Rechargeable'!AR13</f>
        <v>7348.5156937434476</v>
      </c>
      <c r="AR13" s="48">
        <f>'[3]POM Portables Li-Rechargeable'!AS13</f>
        <v>7495.4860076183168</v>
      </c>
      <c r="AS13" s="48">
        <f>'[3]POM Portables Li-Rechargeable'!AT13</f>
        <v>7645.3957277706832</v>
      </c>
      <c r="AT13" s="48">
        <f>'[3]POM Portables Li-Rechargeable'!AU13</f>
        <v>7798.3036423260965</v>
      </c>
      <c r="AU13" s="48">
        <f>'[3]POM Portables Li-Rechargeable'!AV13</f>
        <v>7954.2697151726188</v>
      </c>
      <c r="AV13" s="48">
        <f>'[3]POM Portables Li-Rechargeable'!AW13</f>
        <v>8113.3551094760714</v>
      </c>
      <c r="AW13" s="48">
        <f>'[3]POM Portables Li-Rechargeable'!AX13</f>
        <v>8275.6222116655936</v>
      </c>
      <c r="AX13" s="48">
        <f>'[3]POM Portables Li-Rechargeable'!AY13</f>
        <v>8441.1346558989062</v>
      </c>
      <c r="AY13" s="48">
        <f>'[3]POM Portables Li-Rechargeable'!AZ13</f>
        <v>8609.9573490168841</v>
      </c>
      <c r="AZ13" s="48">
        <f>'[3]POM Portables Li-Rechargeable'!BA13</f>
        <v>8782.156495997222</v>
      </c>
    </row>
    <row r="14" spans="1:52" x14ac:dyDescent="0.35">
      <c r="A14" s="61" t="s">
        <v>2</v>
      </c>
      <c r="B14" s="23">
        <f t="shared" ref="B14:C29" si="9">C14/1.34</f>
        <v>7.0770206821101542</v>
      </c>
      <c r="C14" s="23">
        <f t="shared" si="9"/>
        <v>9.483207714027607</v>
      </c>
      <c r="D14" s="23">
        <f t="shared" si="1"/>
        <v>12.707498336796995</v>
      </c>
      <c r="E14" s="23">
        <f t="shared" si="1"/>
        <v>19.061247505195492</v>
      </c>
      <c r="F14" s="23">
        <f t="shared" si="2"/>
        <v>28.591871257793237</v>
      </c>
      <c r="G14" s="23">
        <f t="shared" si="3"/>
        <v>34.88208293450775</v>
      </c>
      <c r="H14" s="23">
        <f t="shared" si="4"/>
        <v>41.160857862719141</v>
      </c>
      <c r="I14" s="23">
        <f t="shared" si="5"/>
        <v>48.981420856635772</v>
      </c>
      <c r="J14" s="23">
        <f t="shared" si="6"/>
        <v>66.124918156458293</v>
      </c>
      <c r="K14" s="23">
        <f t="shared" si="7"/>
        <v>48.932439435779138</v>
      </c>
      <c r="L14" s="23">
        <f t="shared" si="8"/>
        <v>82.206498252108943</v>
      </c>
      <c r="M14" s="4">
        <f>$M$8*'[2]Eurostat POM Portables GU'!M5</f>
        <v>107.69051271026272</v>
      </c>
      <c r="N14" s="4">
        <f>$N$8*'[2]Eurostat POM Portables GU'!N5</f>
        <v>106.96092999954773</v>
      </c>
      <c r="O14" s="4">
        <f>$O$8*'[2]Eurostat POM Portables GU'!O5</f>
        <v>113.63635092051778</v>
      </c>
      <c r="P14" s="4">
        <f>$P$8*'[2]Eurostat POM Portables GU'!P5</f>
        <v>129.63681214852656</v>
      </c>
      <c r="Q14" s="4">
        <f>$Q$8*'[2]Eurostat POM Portables GU'!Q5</f>
        <v>136.73212569135083</v>
      </c>
      <c r="R14" s="4">
        <f>$R$8*'[2]Eurostat POM Portables GU'!R5</f>
        <v>153.35594567710552</v>
      </c>
      <c r="S14" s="4">
        <f>$S$8*'[2]Eurostat POM Portables GU'!S5</f>
        <v>183.91276641534827</v>
      </c>
      <c r="T14" s="4">
        <f>$T$8*'[2]Eurostat POM Portables GU'!T5</f>
        <v>158.91143475747083</v>
      </c>
      <c r="U14" s="4">
        <f>$U$8*'[2]Eurostat POM Portables GU'!U5</f>
        <v>238.55563167083065</v>
      </c>
      <c r="V14" s="4">
        <f>$V$8*'[2]Eurostat POM Portables GU'!V5</f>
        <v>251.2070588227819</v>
      </c>
      <c r="W14" s="4">
        <f>$W$8*'[2]Eurostat POM Portables GU'!W5</f>
        <v>274.00555725711183</v>
      </c>
      <c r="X14" s="48">
        <f>'[3]POM Portables Li-Rechargeable'!Y14</f>
        <v>301.406112982823</v>
      </c>
      <c r="Y14" s="48">
        <f>'[3]POM Portables Li-Rechargeable'!Z14</f>
        <v>331.5467242811053</v>
      </c>
      <c r="Z14" s="48">
        <f>'[3]POM Portables Li-Rechargeable'!AA14</f>
        <v>364.70139670921583</v>
      </c>
      <c r="AA14" s="48">
        <f>'[3]POM Portables Li-Rechargeable'!AB14</f>
        <v>401.17153638013741</v>
      </c>
      <c r="AB14" s="48">
        <f>'[3]POM Portables Li-Rechargeable'!AC14</f>
        <v>441.28869001815116</v>
      </c>
      <c r="AC14" s="48">
        <f>'[3]POM Portables Li-Rechargeable'!AD14</f>
        <v>485.41755901996629</v>
      </c>
      <c r="AD14" s="48">
        <f>'[3]POM Portables Li-Rechargeable'!AE14</f>
        <v>533.95931492196291</v>
      </c>
      <c r="AE14" s="48">
        <f>'[3]POM Portables Li-Rechargeable'!AF14</f>
        <v>587.35524641415918</v>
      </c>
      <c r="AF14" s="48">
        <f>'[3]POM Portables Li-Rechargeable'!AG14</f>
        <v>646.09077105557515</v>
      </c>
      <c r="AG14" s="48">
        <f>'[3]POM Portables Li-Rechargeable'!AH14</f>
        <v>684.85621731890967</v>
      </c>
      <c r="AH14" s="48">
        <f>'[3]POM Portables Li-Rechargeable'!AI14</f>
        <v>725.94759035804429</v>
      </c>
      <c r="AI14" s="48">
        <f>'[3]POM Portables Li-Rechargeable'!AJ14</f>
        <v>769.50444577952692</v>
      </c>
      <c r="AJ14" s="48">
        <f>'[3]POM Portables Li-Rechargeable'!AK14</f>
        <v>815.67471252629855</v>
      </c>
      <c r="AK14" s="48">
        <f>'[3]POM Portables Li-Rechargeable'!AL14</f>
        <v>864.61519527787641</v>
      </c>
      <c r="AL14" s="48">
        <f>'[3]POM Portables Li-Rechargeable'!AM14</f>
        <v>916.49210699454898</v>
      </c>
      <c r="AM14" s="48">
        <f>'[3]POM Portables Li-Rechargeable'!AN14</f>
        <v>971.48163341422196</v>
      </c>
      <c r="AN14" s="48">
        <f>'[3]POM Portables Li-Rechargeable'!AO14</f>
        <v>1029.7705314190753</v>
      </c>
      <c r="AO14" s="48">
        <f>'[3]POM Portables Li-Rechargeable'!AP14</f>
        <v>1091.5567633042199</v>
      </c>
      <c r="AP14" s="48">
        <f>'[3]POM Portables Li-Rechargeable'!AQ14</f>
        <v>1157.0501691024731</v>
      </c>
      <c r="AQ14" s="48">
        <f>'[3]POM Portables Li-Rechargeable'!AR14</f>
        <v>1180.1911724845227</v>
      </c>
      <c r="AR14" s="48">
        <f>'[3]POM Portables Li-Rechargeable'!AS14</f>
        <v>1203.7949959342131</v>
      </c>
      <c r="AS14" s="48">
        <f>'[3]POM Portables Li-Rechargeable'!AT14</f>
        <v>1227.8708958528973</v>
      </c>
      <c r="AT14" s="48">
        <f>'[3]POM Portables Li-Rechargeable'!AU14</f>
        <v>1252.4283137699554</v>
      </c>
      <c r="AU14" s="48">
        <f>'[3]POM Portables Li-Rechargeable'!AV14</f>
        <v>1277.4768800453544</v>
      </c>
      <c r="AV14" s="48">
        <f>'[3]POM Portables Li-Rechargeable'!AW14</f>
        <v>1303.0264176462615</v>
      </c>
      <c r="AW14" s="48">
        <f>'[3]POM Portables Li-Rechargeable'!AX14</f>
        <v>1329.0869459991868</v>
      </c>
      <c r="AX14" s="48">
        <f>'[3]POM Portables Li-Rechargeable'!AY14</f>
        <v>1355.6686849191706</v>
      </c>
      <c r="AY14" s="48">
        <f>'[3]POM Portables Li-Rechargeable'!AZ14</f>
        <v>1382.782058617554</v>
      </c>
      <c r="AZ14" s="48">
        <f>'[3]POM Portables Li-Rechargeable'!BA14</f>
        <v>1410.4376997899051</v>
      </c>
    </row>
    <row r="15" spans="1:52" x14ac:dyDescent="0.35">
      <c r="A15" s="61" t="s">
        <v>3</v>
      </c>
      <c r="B15" s="23">
        <f t="shared" si="9"/>
        <v>3.7623891684026001</v>
      </c>
      <c r="C15" s="23">
        <f t="shared" si="9"/>
        <v>5.0416014856594842</v>
      </c>
      <c r="D15" s="23">
        <f t="shared" si="1"/>
        <v>6.7557459907837094</v>
      </c>
      <c r="E15" s="23">
        <f t="shared" si="1"/>
        <v>10.133618986175565</v>
      </c>
      <c r="F15" s="23">
        <f t="shared" si="2"/>
        <v>15.200428479263346</v>
      </c>
      <c r="G15" s="23">
        <f t="shared" si="3"/>
        <v>18.544522744701283</v>
      </c>
      <c r="H15" s="23">
        <f t="shared" si="4"/>
        <v>21.882536838747512</v>
      </c>
      <c r="I15" s="23">
        <f t="shared" si="5"/>
        <v>26.040218838109539</v>
      </c>
      <c r="J15" s="23">
        <f t="shared" si="6"/>
        <v>35.154295431447878</v>
      </c>
      <c r="K15" s="23">
        <f t="shared" si="7"/>
        <v>26.01417861927143</v>
      </c>
      <c r="L15" s="23">
        <f t="shared" si="8"/>
        <v>43.703820080375998</v>
      </c>
      <c r="M15" s="4">
        <f>$M$8*'[2]Eurostat POM Portables GU'!M6</f>
        <v>57.252004305292559</v>
      </c>
      <c r="N15" s="4">
        <f>$N$8*'[2]Eurostat POM Portables GU'!N6</f>
        <v>72.23262662428391</v>
      </c>
      <c r="O15" s="4">
        <f>$O$8*'[2]Eurostat POM Portables GU'!O6</f>
        <v>66.063508117130553</v>
      </c>
      <c r="P15" s="4">
        <f>$P$8*'[2]Eurostat POM Portables GU'!P6</f>
        <v>61.621881939094131</v>
      </c>
      <c r="Q15" s="4">
        <f>$Q$8*'[2]Eurostat POM Portables GU'!Q6</f>
        <v>47.856243991972789</v>
      </c>
      <c r="R15" s="4">
        <f>$R$8*'[2]Eurostat POM Portables GU'!R6</f>
        <v>80.76746472327558</v>
      </c>
      <c r="S15" s="4">
        <f>$S$8*'[2]Eurostat POM Portables GU'!S6</f>
        <v>128.17478690051266</v>
      </c>
      <c r="T15" s="4">
        <f>$T$8*'[2]Eurostat POM Portables GU'!T6</f>
        <v>155.22653192251499</v>
      </c>
      <c r="U15" s="4">
        <f>$U$8*'[2]Eurostat POM Portables GU'!U6</f>
        <v>229.43885593818746</v>
      </c>
      <c r="V15" s="4">
        <f>$V$8*'[2]Eurostat POM Portables GU'!V6</f>
        <v>281.13811263996445</v>
      </c>
      <c r="W15" s="4">
        <f>$W$8*'[2]Eurostat POM Portables GU'!W6</f>
        <v>286.85811333603823</v>
      </c>
      <c r="X15" s="48">
        <f>'[3]POM Portables Li-Rechargeable'!Y15</f>
        <v>315.54392466964202</v>
      </c>
      <c r="Y15" s="48">
        <f>'[3]POM Portables Li-Rechargeable'!Z15</f>
        <v>347.09831713660623</v>
      </c>
      <c r="Z15" s="48">
        <f>'[3]POM Portables Li-Rechargeable'!AA15</f>
        <v>381.80814885026683</v>
      </c>
      <c r="AA15" s="48">
        <f>'[3]POM Portables Li-Rechargeable'!AB15</f>
        <v>419.98896373529351</v>
      </c>
      <c r="AB15" s="48">
        <f>'[3]POM Portables Li-Rechargeable'!AC15</f>
        <v>461.98786010882287</v>
      </c>
      <c r="AC15" s="48">
        <f>'[3]POM Portables Li-Rechargeable'!AD15</f>
        <v>508.18664611970519</v>
      </c>
      <c r="AD15" s="48">
        <f>'[3]POM Portables Li-Rechargeable'!AE15</f>
        <v>559.00531073167576</v>
      </c>
      <c r="AE15" s="48">
        <f>'[3]POM Portables Li-Rechargeable'!AF15</f>
        <v>614.90584180484336</v>
      </c>
      <c r="AF15" s="48">
        <f>'[3]POM Portables Li-Rechargeable'!AG15</f>
        <v>676.39642598532771</v>
      </c>
      <c r="AG15" s="48">
        <f>'[3]POM Portables Li-Rechargeable'!AH15</f>
        <v>716.98021154444734</v>
      </c>
      <c r="AH15" s="48">
        <f>'[3]POM Portables Li-Rechargeable'!AI15</f>
        <v>759.99902423711421</v>
      </c>
      <c r="AI15" s="48">
        <f>'[3]POM Portables Li-Rechargeable'!AJ15</f>
        <v>805.59896569134105</v>
      </c>
      <c r="AJ15" s="48">
        <f>'[3]POM Portables Li-Rechargeable'!AK15</f>
        <v>853.93490363282149</v>
      </c>
      <c r="AK15" s="48">
        <f>'[3]POM Portables Li-Rechargeable'!AL15</f>
        <v>905.17099785079074</v>
      </c>
      <c r="AL15" s="48">
        <f>'[3]POM Portables Li-Rechargeable'!AM15</f>
        <v>959.48125772183823</v>
      </c>
      <c r="AM15" s="48">
        <f>'[3]POM Portables Li-Rechargeable'!AN15</f>
        <v>1017.0501331851485</v>
      </c>
      <c r="AN15" s="48">
        <f>'[3]POM Portables Li-Rechargeable'!AO15</f>
        <v>1078.0731411762574</v>
      </c>
      <c r="AO15" s="48">
        <f>'[3]POM Portables Li-Rechargeable'!AP15</f>
        <v>1142.7575296468328</v>
      </c>
      <c r="AP15" s="48">
        <f>'[3]POM Portables Li-Rechargeable'!AQ15</f>
        <v>1211.3229814256429</v>
      </c>
      <c r="AQ15" s="48">
        <f>'[3]POM Portables Li-Rechargeable'!AR15</f>
        <v>1235.5494410541557</v>
      </c>
      <c r="AR15" s="48">
        <f>'[3]POM Portables Li-Rechargeable'!AS15</f>
        <v>1260.260429875239</v>
      </c>
      <c r="AS15" s="48">
        <f>'[3]POM Portables Li-Rechargeable'!AT15</f>
        <v>1285.4656384727436</v>
      </c>
      <c r="AT15" s="48">
        <f>'[3]POM Portables Li-Rechargeable'!AU15</f>
        <v>1311.1749512421986</v>
      </c>
      <c r="AU15" s="48">
        <f>'[3]POM Portables Li-Rechargeable'!AV15</f>
        <v>1337.3984502670426</v>
      </c>
      <c r="AV15" s="48">
        <f>'[3]POM Portables Li-Rechargeable'!AW15</f>
        <v>1364.1464192723834</v>
      </c>
      <c r="AW15" s="48">
        <f>'[3]POM Portables Li-Rechargeable'!AX15</f>
        <v>1391.4293476578309</v>
      </c>
      <c r="AX15" s="48">
        <f>'[3]POM Portables Li-Rechargeable'!AY15</f>
        <v>1419.2579346109876</v>
      </c>
      <c r="AY15" s="48">
        <f>'[3]POM Portables Li-Rechargeable'!AZ15</f>
        <v>1447.6430933032073</v>
      </c>
      <c r="AZ15" s="48">
        <f>'[3]POM Portables Li-Rechargeable'!BA15</f>
        <v>1476.5959551692713</v>
      </c>
    </row>
    <row r="16" spans="1:52" x14ac:dyDescent="0.35">
      <c r="A16" s="61" t="s">
        <v>4</v>
      </c>
      <c r="B16" s="23">
        <f t="shared" si="9"/>
        <v>3.1256841345986515</v>
      </c>
      <c r="C16" s="23">
        <f t="shared" si="9"/>
        <v>4.188416740362193</v>
      </c>
      <c r="D16" s="23">
        <f t="shared" si="1"/>
        <v>5.6124784320853385</v>
      </c>
      <c r="E16" s="23">
        <f t="shared" si="1"/>
        <v>8.4187176481280073</v>
      </c>
      <c r="F16" s="23">
        <f t="shared" si="2"/>
        <v>12.62807647219201</v>
      </c>
      <c r="G16" s="23">
        <f t="shared" si="3"/>
        <v>15.406253296074251</v>
      </c>
      <c r="H16" s="23">
        <f t="shared" si="4"/>
        <v>18.179378889367616</v>
      </c>
      <c r="I16" s="23">
        <f t="shared" si="5"/>
        <v>21.633460878347464</v>
      </c>
      <c r="J16" s="23">
        <f t="shared" si="6"/>
        <v>29.205172185769079</v>
      </c>
      <c r="K16" s="23">
        <f t="shared" si="7"/>
        <v>21.611827417469119</v>
      </c>
      <c r="L16" s="23">
        <f t="shared" si="8"/>
        <v>36.307870061348119</v>
      </c>
      <c r="M16" s="4">
        <f>$M$8*'[2]Eurostat POM Portables GU'!M7</f>
        <v>47.563309780366041</v>
      </c>
      <c r="N16" s="4">
        <f>$N$8*'[2]Eurostat POM Portables GU'!N7</f>
        <v>45.811252873808378</v>
      </c>
      <c r="O16" s="4">
        <f>$O$8*'[2]Eurostat POM Portables GU'!O7</f>
        <v>33.604132133364338</v>
      </c>
      <c r="P16" s="4">
        <f>$P$8*'[2]Eurostat POM Portables GU'!P7</f>
        <v>33.74108809345212</v>
      </c>
      <c r="Q16" s="4">
        <f>$Q$8*'[2]Eurostat POM Portables GU'!Q7</f>
        <v>37.061602490024043</v>
      </c>
      <c r="R16" s="4">
        <f>$R$8*'[2]Eurostat POM Portables GU'!R7</f>
        <v>43.144139383825689</v>
      </c>
      <c r="S16" s="4">
        <f>$S$8*'[2]Eurostat POM Portables GU'!S7</f>
        <v>52.578741809541285</v>
      </c>
      <c r="T16" s="4">
        <f>$T$8*'[2]Eurostat POM Portables GU'!T7</f>
        <v>46.521898291317548</v>
      </c>
      <c r="U16" s="4">
        <f>$U$8*'[2]Eurostat POM Portables GU'!U7</f>
        <v>44.317659811460047</v>
      </c>
      <c r="V16" s="4">
        <f>$V$8*'[2]Eurostat POM Portables GU'!V7</f>
        <v>54.250035043643329</v>
      </c>
      <c r="W16" s="4">
        <f>$W$8*'[2]Eurostat POM Portables GU'!W7</f>
        <v>53.871352075500035</v>
      </c>
      <c r="X16" s="48">
        <f>'[3]POM Portables Li-Rechargeable'!Y16</f>
        <v>59.258487283050037</v>
      </c>
      <c r="Y16" s="48">
        <f>'[3]POM Portables Li-Rechargeable'!Z16</f>
        <v>65.184336011355043</v>
      </c>
      <c r="Z16" s="48">
        <f>'[3]POM Portables Li-Rechargeable'!AA16</f>
        <v>71.702769612490542</v>
      </c>
      <c r="AA16" s="48">
        <f>'[3]POM Portables Li-Rechargeable'!AB16</f>
        <v>78.8730465737396</v>
      </c>
      <c r="AB16" s="48">
        <f>'[3]POM Portables Li-Rechargeable'!AC16</f>
        <v>86.76035123111356</v>
      </c>
      <c r="AC16" s="48">
        <f>'[3]POM Portables Li-Rechargeable'!AD16</f>
        <v>95.436386354224922</v>
      </c>
      <c r="AD16" s="48">
        <f>'[3]POM Portables Li-Rechargeable'!AE16</f>
        <v>104.98002498964742</v>
      </c>
      <c r="AE16" s="48">
        <f>'[3]POM Portables Li-Rechargeable'!AF16</f>
        <v>115.47802748861216</v>
      </c>
      <c r="AF16" s="48">
        <f>'[3]POM Portables Li-Rechargeable'!AG16</f>
        <v>127.02583023747337</v>
      </c>
      <c r="AG16" s="48">
        <f>'[3]POM Portables Li-Rechargeable'!AH16</f>
        <v>134.64738005172177</v>
      </c>
      <c r="AH16" s="48">
        <f>'[3]POM Portables Li-Rechargeable'!AI16</f>
        <v>142.72622285482507</v>
      </c>
      <c r="AI16" s="48">
        <f>'[3]POM Portables Li-Rechargeable'!AJ16</f>
        <v>151.28979622611456</v>
      </c>
      <c r="AJ16" s="48">
        <f>'[3]POM Portables Li-Rechargeable'!AK16</f>
        <v>160.36718399968143</v>
      </c>
      <c r="AK16" s="48">
        <f>'[3]POM Portables Li-Rechargeable'!AL16</f>
        <v>169.98921503966233</v>
      </c>
      <c r="AL16" s="48">
        <f>'[3]POM Portables Li-Rechargeable'!AM16</f>
        <v>180.18856794204206</v>
      </c>
      <c r="AM16" s="48">
        <f>'[3]POM Portables Li-Rechargeable'!AN16</f>
        <v>190.99988201856459</v>
      </c>
      <c r="AN16" s="48">
        <f>'[3]POM Portables Li-Rechargeable'!AO16</f>
        <v>202.45987493967846</v>
      </c>
      <c r="AO16" s="48">
        <f>'[3]POM Portables Li-Rechargeable'!AP16</f>
        <v>214.60746743605915</v>
      </c>
      <c r="AP16" s="48">
        <f>'[3]POM Portables Li-Rechargeable'!AQ16</f>
        <v>227.4839154822227</v>
      </c>
      <c r="AQ16" s="48">
        <f>'[3]POM Portables Li-Rechargeable'!AR16</f>
        <v>232.03359379186716</v>
      </c>
      <c r="AR16" s="48">
        <f>'[3]POM Portables Li-Rechargeable'!AS16</f>
        <v>236.6742656677045</v>
      </c>
      <c r="AS16" s="48">
        <f>'[3]POM Portables Li-Rechargeable'!AT16</f>
        <v>241.4077509810586</v>
      </c>
      <c r="AT16" s="48">
        <f>'[3]POM Portables Li-Rechargeable'!AU16</f>
        <v>246.23590600067976</v>
      </c>
      <c r="AU16" s="48">
        <f>'[3]POM Portables Li-Rechargeable'!AV16</f>
        <v>251.16062412069337</v>
      </c>
      <c r="AV16" s="48">
        <f>'[3]POM Portables Li-Rechargeable'!AW16</f>
        <v>256.18383660310724</v>
      </c>
      <c r="AW16" s="48">
        <f>'[3]POM Portables Li-Rechargeable'!AX16</f>
        <v>261.3075133351694</v>
      </c>
      <c r="AX16" s="48">
        <f>'[3]POM Portables Li-Rechargeable'!AY16</f>
        <v>266.53366360187277</v>
      </c>
      <c r="AY16" s="48">
        <f>'[3]POM Portables Li-Rechargeable'!AZ16</f>
        <v>271.86433687391025</v>
      </c>
      <c r="AZ16" s="48">
        <f>'[3]POM Portables Li-Rechargeable'!BA16</f>
        <v>277.30162361138844</v>
      </c>
    </row>
    <row r="17" spans="1:52" x14ac:dyDescent="0.35">
      <c r="A17" s="61" t="s">
        <v>5</v>
      </c>
      <c r="B17" s="23">
        <f t="shared" si="9"/>
        <v>38.399642028026541</v>
      </c>
      <c r="C17" s="23">
        <f t="shared" si="9"/>
        <v>51.455520317555568</v>
      </c>
      <c r="D17" s="23">
        <f t="shared" si="1"/>
        <v>68.950397225524469</v>
      </c>
      <c r="E17" s="23">
        <f t="shared" si="1"/>
        <v>103.4255958382867</v>
      </c>
      <c r="F17" s="23">
        <f t="shared" si="2"/>
        <v>155.13839375743004</v>
      </c>
      <c r="G17" s="23">
        <f t="shared" si="3"/>
        <v>189.26884038406465</v>
      </c>
      <c r="H17" s="23">
        <f t="shared" si="4"/>
        <v>223.33723165319626</v>
      </c>
      <c r="I17" s="23">
        <f t="shared" si="5"/>
        <v>265.77130566730352</v>
      </c>
      <c r="J17" s="23">
        <f t="shared" si="6"/>
        <v>358.79126265085978</v>
      </c>
      <c r="K17" s="23">
        <f t="shared" si="7"/>
        <v>265.50553436163625</v>
      </c>
      <c r="L17" s="23">
        <f t="shared" si="8"/>
        <v>446.04929772754889</v>
      </c>
      <c r="M17" s="4">
        <f>$M$8*'[2]Eurostat POM Portables GU'!M8</f>
        <v>584.32458002308908</v>
      </c>
      <c r="N17" s="4">
        <f>$N$8*'[2]Eurostat POM Portables GU'!N8</f>
        <v>663.85922861145161</v>
      </c>
      <c r="O17" s="4">
        <f>$O$8*'[2]Eurostat POM Portables GU'!O8</f>
        <v>616.18765765025228</v>
      </c>
      <c r="P17" s="4">
        <f>$P$8*'[2]Eurostat POM Portables GU'!P8</f>
        <v>705.18874115314929</v>
      </c>
      <c r="Q17" s="4">
        <f>$Q$8*'[2]Eurostat POM Portables GU'!Q8</f>
        <v>713.34589258711321</v>
      </c>
      <c r="R17" s="4">
        <f>$R$8*'[2]Eurostat POM Portables GU'!R8</f>
        <v>827.50868287366143</v>
      </c>
      <c r="S17" s="4">
        <f>$S$8*'[2]Eurostat POM Portables GU'!S8</f>
        <v>917.08157387972437</v>
      </c>
      <c r="T17" s="4">
        <f>$T$8*'[2]Eurostat POM Portables GU'!T8</f>
        <v>932.28041724382888</v>
      </c>
      <c r="U17" s="4">
        <f>$U$8*'[2]Eurostat POM Portables GU'!U8</f>
        <v>1087.1755061177028</v>
      </c>
      <c r="V17" s="4">
        <f>$V$8*'[2]Eurostat POM Portables GU'!V8</f>
        <v>1326.3198222739006</v>
      </c>
      <c r="W17" s="4">
        <f>$W$8*'[2]Eurostat POM Portables GU'!W8</f>
        <v>1423.6256797210822</v>
      </c>
      <c r="X17" s="48">
        <f>'[3]POM Portables Li-Rechargeable'!Y17</f>
        <v>1565.9882476931905</v>
      </c>
      <c r="Y17" s="48">
        <f>'[3]POM Portables Li-Rechargeable'!Z17</f>
        <v>1722.5870724625095</v>
      </c>
      <c r="Z17" s="48">
        <f>'[3]POM Portables Li-Rechargeable'!AA17</f>
        <v>1894.8457797087603</v>
      </c>
      <c r="AA17" s="48">
        <f>'[3]POM Portables Li-Rechargeable'!AB17</f>
        <v>2084.3303576796366</v>
      </c>
      <c r="AB17" s="48">
        <f>'[3]POM Portables Li-Rechargeable'!AC17</f>
        <v>2292.7633934476003</v>
      </c>
      <c r="AC17" s="48">
        <f>'[3]POM Portables Li-Rechargeable'!AD17</f>
        <v>2522.0397327923602</v>
      </c>
      <c r="AD17" s="48">
        <f>'[3]POM Portables Li-Rechargeable'!AE17</f>
        <v>2774.2437060715961</v>
      </c>
      <c r="AE17" s="48">
        <f>'[3]POM Portables Li-Rechargeable'!AF17</f>
        <v>3051.6680766787558</v>
      </c>
      <c r="AF17" s="48">
        <f>'[3]POM Portables Li-Rechargeable'!AG17</f>
        <v>3356.8348843466315</v>
      </c>
      <c r="AG17" s="48">
        <f>'[3]POM Portables Li-Rechargeable'!AH17</f>
        <v>3558.2449774074294</v>
      </c>
      <c r="AH17" s="48">
        <f>'[3]POM Portables Li-Rechargeable'!AI17</f>
        <v>3771.739676051875</v>
      </c>
      <c r="AI17" s="48">
        <f>'[3]POM Portables Li-Rechargeable'!AJ17</f>
        <v>3998.0440566149873</v>
      </c>
      <c r="AJ17" s="48">
        <f>'[3]POM Portables Li-Rechargeable'!AK17</f>
        <v>4237.9267000118862</v>
      </c>
      <c r="AK17" s="48">
        <f>'[3]POM Portables Li-Rechargeable'!AL17</f>
        <v>4492.2023020125989</v>
      </c>
      <c r="AL17" s="48">
        <f>'[3]POM Portables Li-Rechargeable'!AM17</f>
        <v>4761.7344401333548</v>
      </c>
      <c r="AM17" s="48">
        <f>'[3]POM Portables Li-Rechargeable'!AN17</f>
        <v>5047.4385065413562</v>
      </c>
      <c r="AN17" s="48">
        <f>'[3]POM Portables Li-Rechargeable'!AO17</f>
        <v>5350.2848169338376</v>
      </c>
      <c r="AO17" s="48">
        <f>'[3]POM Portables Li-Rechargeable'!AP17</f>
        <v>5671.3019059498674</v>
      </c>
      <c r="AP17" s="48">
        <f>'[3]POM Portables Li-Rechargeable'!AQ17</f>
        <v>6011.5800203068593</v>
      </c>
      <c r="AQ17" s="48">
        <f>'[3]POM Portables Li-Rechargeable'!AR17</f>
        <v>6131.811620712996</v>
      </c>
      <c r="AR17" s="48">
        <f>'[3]POM Portables Li-Rechargeable'!AS17</f>
        <v>6254.4478531272562</v>
      </c>
      <c r="AS17" s="48">
        <f>'[3]POM Portables Li-Rechargeable'!AT17</f>
        <v>6379.5368101898011</v>
      </c>
      <c r="AT17" s="48">
        <f>'[3]POM Portables Li-Rechargeable'!AU17</f>
        <v>6507.1275463935972</v>
      </c>
      <c r="AU17" s="48">
        <f>'[3]POM Portables Li-Rechargeable'!AV17</f>
        <v>6637.2700973214687</v>
      </c>
      <c r="AV17" s="48">
        <f>'[3]POM Portables Li-Rechargeable'!AW17</f>
        <v>6770.0154992678981</v>
      </c>
      <c r="AW17" s="48">
        <f>'[3]POM Portables Li-Rechargeable'!AX17</f>
        <v>6905.4158092532562</v>
      </c>
      <c r="AX17" s="48">
        <f>'[3]POM Portables Li-Rechargeable'!AY17</f>
        <v>7043.5241254383209</v>
      </c>
      <c r="AY17" s="48">
        <f>'[3]POM Portables Li-Rechargeable'!AZ17</f>
        <v>7184.394607947087</v>
      </c>
      <c r="AZ17" s="48">
        <f>'[3]POM Portables Li-Rechargeable'!BA17</f>
        <v>7328.0825001060284</v>
      </c>
    </row>
    <row r="18" spans="1:52" x14ac:dyDescent="0.35">
      <c r="A18" s="61" t="s">
        <v>6</v>
      </c>
      <c r="B18" s="23">
        <f t="shared" si="9"/>
        <v>38.356544786693163</v>
      </c>
      <c r="C18" s="23">
        <f t="shared" si="9"/>
        <v>51.397770014168842</v>
      </c>
      <c r="D18" s="23">
        <f t="shared" si="1"/>
        <v>68.873011818986257</v>
      </c>
      <c r="E18" s="23">
        <f t="shared" si="1"/>
        <v>103.30951772847938</v>
      </c>
      <c r="F18" s="23">
        <f t="shared" si="2"/>
        <v>154.96427659271907</v>
      </c>
      <c r="G18" s="23">
        <f t="shared" si="3"/>
        <v>189.05641744311725</v>
      </c>
      <c r="H18" s="23">
        <f t="shared" si="4"/>
        <v>223.08657258287835</v>
      </c>
      <c r="I18" s="23">
        <f t="shared" si="5"/>
        <v>265.47302137362522</v>
      </c>
      <c r="J18" s="23">
        <f t="shared" si="6"/>
        <v>358.3885788543941</v>
      </c>
      <c r="K18" s="23">
        <f t="shared" si="7"/>
        <v>265.20754835225165</v>
      </c>
      <c r="L18" s="23">
        <f t="shared" si="8"/>
        <v>445.54868123178278</v>
      </c>
      <c r="M18" s="4">
        <f>$M$8*'[2]Eurostat POM Portables GU'!M9</f>
        <v>583.66877241363545</v>
      </c>
      <c r="N18" s="4">
        <f>$N$8*'[2]Eurostat POM Portables GU'!N9</f>
        <v>657.69333583172966</v>
      </c>
      <c r="O18" s="4">
        <f>$O$8*'[2]Eurostat POM Portables GU'!O9</f>
        <v>525.71499421427131</v>
      </c>
      <c r="P18" s="4">
        <f>$P$8*'[2]Eurostat POM Portables GU'!P9</f>
        <v>624.56529907721631</v>
      </c>
      <c r="Q18" s="4">
        <f>$Q$8*'[2]Eurostat POM Portables GU'!Q9</f>
        <v>663.69054167814897</v>
      </c>
      <c r="R18" s="4">
        <f>$R$8*'[2]Eurostat POM Portables GU'!R9</f>
        <v>805.22095210192208</v>
      </c>
      <c r="S18" s="4">
        <f>$S$8*'[2]Eurostat POM Portables GU'!S9</f>
        <v>833.81309436160961</v>
      </c>
      <c r="T18" s="4">
        <f>$T$8*'[2]Eurostat POM Portables GU'!T9</f>
        <v>1030.621261651713</v>
      </c>
      <c r="U18" s="4">
        <f>$U$8*'[2]Eurostat POM Portables GU'!U9</f>
        <v>1021.5853695967419</v>
      </c>
      <c r="V18" s="4">
        <f>$V$8*'[2]Eurostat POM Portables GU'!V9</f>
        <v>1318.0353341637876</v>
      </c>
      <c r="W18" s="4">
        <f>$W$8*'[2]Eurostat POM Portables GU'!W9</f>
        <v>1398.4674848431837</v>
      </c>
      <c r="X18" s="48">
        <f>'[3]POM Portables Li-Rechargeable'!Y18</f>
        <v>1538.3142333275021</v>
      </c>
      <c r="Y18" s="48">
        <f>'[3]POM Portables Li-Rechargeable'!Z18</f>
        <v>1692.1456566602524</v>
      </c>
      <c r="Z18" s="48">
        <f>'[3]POM Portables Li-Rechargeable'!AA18</f>
        <v>1861.3602223262776</v>
      </c>
      <c r="AA18" s="48">
        <f>'[3]POM Portables Li-Rechargeable'!AB18</f>
        <v>2047.4962445589053</v>
      </c>
      <c r="AB18" s="48">
        <f>'[3]POM Portables Li-Rechargeable'!AC18</f>
        <v>2252.245869014796</v>
      </c>
      <c r="AC18" s="48">
        <f>'[3]POM Portables Li-Rechargeable'!AD18</f>
        <v>2477.4704559162756</v>
      </c>
      <c r="AD18" s="48">
        <f>'[3]POM Portables Li-Rechargeable'!AE18</f>
        <v>2725.2175015079033</v>
      </c>
      <c r="AE18" s="48">
        <f>'[3]POM Portables Li-Rechargeable'!AF18</f>
        <v>2997.7392516586938</v>
      </c>
      <c r="AF18" s="48">
        <f>'[3]POM Portables Li-Rechargeable'!AG18</f>
        <v>3297.5131768245633</v>
      </c>
      <c r="AG18" s="48">
        <f>'[3]POM Portables Li-Rechargeable'!AH18</f>
        <v>3495.363967434037</v>
      </c>
      <c r="AH18" s="48">
        <f>'[3]POM Portables Li-Rechargeable'!AI18</f>
        <v>3705.0858054800792</v>
      </c>
      <c r="AI18" s="48">
        <f>'[3]POM Portables Li-Rechargeable'!AJ18</f>
        <v>3927.3909538088838</v>
      </c>
      <c r="AJ18" s="48">
        <f>'[3]POM Portables Li-Rechargeable'!AK18</f>
        <v>4163.0344110374172</v>
      </c>
      <c r="AK18" s="48">
        <f>'[3]POM Portables Li-Rechargeable'!AL18</f>
        <v>4412.8164756996621</v>
      </c>
      <c r="AL18" s="48">
        <f>'[3]POM Portables Li-Rechargeable'!AM18</f>
        <v>4677.5854642416416</v>
      </c>
      <c r="AM18" s="48">
        <f>'[3]POM Portables Li-Rechargeable'!AN18</f>
        <v>4958.2405920961401</v>
      </c>
      <c r="AN18" s="48">
        <f>'[3]POM Portables Li-Rechargeable'!AO18</f>
        <v>5255.7350276219086</v>
      </c>
      <c r="AO18" s="48">
        <f>'[3]POM Portables Li-Rechargeable'!AP18</f>
        <v>5571.0791292792228</v>
      </c>
      <c r="AP18" s="48">
        <f>'[3]POM Portables Li-Rechargeable'!AQ18</f>
        <v>5905.3438770359762</v>
      </c>
      <c r="AQ18" s="48">
        <f>'[3]POM Portables Li-Rechargeable'!AR18</f>
        <v>6023.4507545766955</v>
      </c>
      <c r="AR18" s="48">
        <f>'[3]POM Portables Li-Rechargeable'!AS18</f>
        <v>6143.9197696682295</v>
      </c>
      <c r="AS18" s="48">
        <f>'[3]POM Portables Li-Rechargeable'!AT18</f>
        <v>6266.7981650615939</v>
      </c>
      <c r="AT18" s="48">
        <f>'[3]POM Portables Li-Rechargeable'!AU18</f>
        <v>6392.1341283628253</v>
      </c>
      <c r="AU18" s="48">
        <f>'[3]POM Portables Li-Rechargeable'!AV18</f>
        <v>6519.9768109300821</v>
      </c>
      <c r="AV18" s="48">
        <f>'[3]POM Portables Li-Rechargeable'!AW18</f>
        <v>6650.3763471486836</v>
      </c>
      <c r="AW18" s="48">
        <f>'[3]POM Portables Li-Rechargeable'!AX18</f>
        <v>6783.3838740916572</v>
      </c>
      <c r="AX18" s="48">
        <f>'[3]POM Portables Li-Rechargeable'!AY18</f>
        <v>6919.0515515734905</v>
      </c>
      <c r="AY18" s="48">
        <f>'[3]POM Portables Li-Rechargeable'!AZ18</f>
        <v>7057.4325826049608</v>
      </c>
      <c r="AZ18" s="48">
        <f>'[3]POM Portables Li-Rechargeable'!BA18</f>
        <v>7198.5812342570598</v>
      </c>
    </row>
    <row r="19" spans="1:52" x14ac:dyDescent="0.35">
      <c r="A19" s="61" t="s">
        <v>7</v>
      </c>
      <c r="B19" s="23">
        <f t="shared" si="9"/>
        <v>5.4112215735412832</v>
      </c>
      <c r="C19" s="23">
        <f t="shared" si="9"/>
        <v>7.2510369085453199</v>
      </c>
      <c r="D19" s="23">
        <f t="shared" si="1"/>
        <v>9.7163894574507292</v>
      </c>
      <c r="E19" s="23">
        <f t="shared" si="1"/>
        <v>14.574584186176095</v>
      </c>
      <c r="F19" s="23">
        <f t="shared" si="2"/>
        <v>21.861876279264141</v>
      </c>
      <c r="G19" s="23">
        <f t="shared" si="3"/>
        <v>26.67148906070225</v>
      </c>
      <c r="H19" s="23">
        <f t="shared" si="4"/>
        <v>31.472357091628652</v>
      </c>
      <c r="I19" s="23">
        <f t="shared" si="5"/>
        <v>37.452104939038094</v>
      </c>
      <c r="J19" s="23">
        <f t="shared" si="6"/>
        <v>50.560341667701429</v>
      </c>
      <c r="K19" s="23">
        <f t="shared" si="7"/>
        <v>37.414652834099059</v>
      </c>
      <c r="L19" s="23">
        <f t="shared" si="8"/>
        <v>62.856616761286418</v>
      </c>
      <c r="M19" s="4">
        <f>$M$8*'[2]Eurostat POM Portables GU'!M10</f>
        <v>82.342167957285213</v>
      </c>
      <c r="N19" s="4">
        <f>$N$8*'[2]Eurostat POM Portables GU'!N10</f>
        <v>92.451369811240554</v>
      </c>
      <c r="O19" s="4">
        <f>$O$8*'[2]Eurostat POM Portables GU'!O10</f>
        <v>78.227297544246014</v>
      </c>
      <c r="P19" s="4">
        <f>$P$8*'[2]Eurostat POM Portables GU'!P10</f>
        <v>79.647081537312957</v>
      </c>
      <c r="Q19" s="4">
        <f>$Q$8*'[2]Eurostat POM Portables GU'!Q10</f>
        <v>83.478560948403668</v>
      </c>
      <c r="R19" s="4">
        <f>$R$8*'[2]Eurostat POM Portables GU'!R10</f>
        <v>97.943330639111394</v>
      </c>
      <c r="S19" s="4">
        <f>$S$8*'[2]Eurostat POM Portables GU'!S10</f>
        <v>110.34765984920895</v>
      </c>
      <c r="T19" s="4">
        <f>$T$8*'[2]Eurostat POM Portables GU'!T10</f>
        <v>111.23800433022959</v>
      </c>
      <c r="U19" s="4">
        <f>$U$8*'[2]Eurostat POM Portables GU'!U10</f>
        <v>120.29079091682013</v>
      </c>
      <c r="V19" s="4">
        <f>$V$8*'[2]Eurostat POM Portables GU'!V10</f>
        <v>144.84492115100829</v>
      </c>
      <c r="W19" s="4">
        <f>$W$8*'[2]Eurostat POM Portables GU'!W10</f>
        <v>142.19849278812191</v>
      </c>
      <c r="X19" s="48">
        <f>'[3]POM Portables Li-Rechargeable'!Y19</f>
        <v>156.41834206693409</v>
      </c>
      <c r="Y19" s="48">
        <f>'[3]POM Portables Li-Rechargeable'!Z19</f>
        <v>172.06017627362749</v>
      </c>
      <c r="Z19" s="48">
        <f>'[3]POM Portables Li-Rechargeable'!AA19</f>
        <v>189.26619390099023</v>
      </c>
      <c r="AA19" s="48">
        <f>'[3]POM Portables Li-Rechargeable'!AB19</f>
        <v>208.19281329108927</v>
      </c>
      <c r="AB19" s="48">
        <f>'[3]POM Portables Li-Rechargeable'!AC19</f>
        <v>229.01209462019818</v>
      </c>
      <c r="AC19" s="48">
        <f>'[3]POM Portables Li-Rechargeable'!AD19</f>
        <v>251.91330408221802</v>
      </c>
      <c r="AD19" s="48">
        <f>'[3]POM Portables Li-Rechargeable'!AE19</f>
        <v>277.10463449043982</v>
      </c>
      <c r="AE19" s="48">
        <f>'[3]POM Portables Li-Rechargeable'!AF19</f>
        <v>304.81509793948379</v>
      </c>
      <c r="AF19" s="48">
        <f>'[3]POM Portables Li-Rechargeable'!AG19</f>
        <v>335.29660773343215</v>
      </c>
      <c r="AG19" s="48">
        <f>'[3]POM Portables Li-Rechargeable'!AH19</f>
        <v>355.4144041974381</v>
      </c>
      <c r="AH19" s="48">
        <f>'[3]POM Portables Li-Rechargeable'!AI19</f>
        <v>376.7392684492844</v>
      </c>
      <c r="AI19" s="48">
        <f>'[3]POM Portables Li-Rechargeable'!AJ19</f>
        <v>399.34362455624148</v>
      </c>
      <c r="AJ19" s="48">
        <f>'[3]POM Portables Li-Rechargeable'!AK19</f>
        <v>423.30424202961598</v>
      </c>
      <c r="AK19" s="48">
        <f>'[3]POM Portables Li-Rechargeable'!AL19</f>
        <v>448.70249655139293</v>
      </c>
      <c r="AL19" s="48">
        <f>'[3]POM Portables Li-Rechargeable'!AM19</f>
        <v>475.6246463444765</v>
      </c>
      <c r="AM19" s="48">
        <f>'[3]POM Portables Li-Rechargeable'!AN19</f>
        <v>504.16212512514511</v>
      </c>
      <c r="AN19" s="48">
        <f>'[3]POM Portables Li-Rechargeable'!AO19</f>
        <v>534.41185263265379</v>
      </c>
      <c r="AO19" s="48">
        <f>'[3]POM Portables Li-Rechargeable'!AP19</f>
        <v>566.476563790613</v>
      </c>
      <c r="AP19" s="48">
        <f>'[3]POM Portables Li-Rechargeable'!AQ19</f>
        <v>600.46515761804983</v>
      </c>
      <c r="AQ19" s="48">
        <f>'[3]POM Portables Li-Rechargeable'!AR19</f>
        <v>612.47446077041081</v>
      </c>
      <c r="AR19" s="48">
        <f>'[3]POM Portables Li-Rechargeable'!AS19</f>
        <v>624.72394998581899</v>
      </c>
      <c r="AS19" s="48">
        <f>'[3]POM Portables Li-Rechargeable'!AT19</f>
        <v>637.21842898553541</v>
      </c>
      <c r="AT19" s="48">
        <f>'[3]POM Portables Li-Rechargeable'!AU19</f>
        <v>649.96279756524609</v>
      </c>
      <c r="AU19" s="48">
        <f>'[3]POM Portables Li-Rechargeable'!AV19</f>
        <v>662.96205351655101</v>
      </c>
      <c r="AV19" s="48">
        <f>'[3]POM Portables Li-Rechargeable'!AW19</f>
        <v>676.22129458688198</v>
      </c>
      <c r="AW19" s="48">
        <f>'[3]POM Portables Li-Rechargeable'!AX19</f>
        <v>689.74572047861966</v>
      </c>
      <c r="AX19" s="48">
        <f>'[3]POM Portables Li-Rechargeable'!AY19</f>
        <v>703.54063488819202</v>
      </c>
      <c r="AY19" s="48">
        <f>'[3]POM Portables Li-Rechargeable'!AZ19</f>
        <v>717.61144758595583</v>
      </c>
      <c r="AZ19" s="48">
        <f>'[3]POM Portables Li-Rechargeable'!BA19</f>
        <v>731.96367653767493</v>
      </c>
    </row>
    <row r="20" spans="1:52" x14ac:dyDescent="0.35">
      <c r="A20" s="61" t="s">
        <v>8</v>
      </c>
      <c r="B20" s="23">
        <f t="shared" si="9"/>
        <v>31.336231001074289</v>
      </c>
      <c r="C20" s="23">
        <f t="shared" si="9"/>
        <v>41.990549541439549</v>
      </c>
      <c r="D20" s="23">
        <f t="shared" si="1"/>
        <v>56.267336385528999</v>
      </c>
      <c r="E20" s="23">
        <f t="shared" si="1"/>
        <v>84.401004578293495</v>
      </c>
      <c r="F20" s="23">
        <f t="shared" si="2"/>
        <v>126.60150686744024</v>
      </c>
      <c r="G20" s="23">
        <f t="shared" si="3"/>
        <v>154.45383837827708</v>
      </c>
      <c r="H20" s="23">
        <f t="shared" si="4"/>
        <v>182.25552928636694</v>
      </c>
      <c r="I20" s="23">
        <f t="shared" si="5"/>
        <v>216.88407985077666</v>
      </c>
      <c r="J20" s="23">
        <f t="shared" si="6"/>
        <v>292.79350779854849</v>
      </c>
      <c r="K20" s="23">
        <f t="shared" si="7"/>
        <v>216.66719577092587</v>
      </c>
      <c r="L20" s="23">
        <f t="shared" si="8"/>
        <v>364.00088889515547</v>
      </c>
      <c r="M20" s="4">
        <f>$M$8*'[2]Eurostat POM Portables GU'!M11</f>
        <v>476.84116445265369</v>
      </c>
      <c r="N20" s="4">
        <f>$N$8*'[2]Eurostat POM Portables GU'!N11</f>
        <v>488.65336398728937</v>
      </c>
      <c r="O20" s="4">
        <f>$O$8*'[2]Eurostat POM Portables GU'!O11</f>
        <v>453.70613964277635</v>
      </c>
      <c r="P20" s="4">
        <f>$P$8*'[2]Eurostat POM Portables GU'!P11</f>
        <v>470.77697124074507</v>
      </c>
      <c r="Q20" s="4">
        <f>$Q$8*'[2]Eurostat POM Portables GU'!Q11</f>
        <v>515.26422102635365</v>
      </c>
      <c r="R20" s="4">
        <f>$R$8*'[2]Eurostat POM Portables GU'!R11</f>
        <v>618.7401221585618</v>
      </c>
      <c r="S20" s="4">
        <f>$S$8*'[2]Eurostat POM Portables GU'!S11</f>
        <v>717.59827877399687</v>
      </c>
      <c r="T20" s="4">
        <f>$T$8*'[2]Eurostat POM Portables GU'!T11</f>
        <v>796.86023805920161</v>
      </c>
      <c r="U20" s="4">
        <f>$U$8*'[2]Eurostat POM Portables GU'!U11</f>
        <v>915.7294735899402</v>
      </c>
      <c r="V20" s="4">
        <f>$V$8*'[2]Eurostat POM Portables GU'!V11</f>
        <v>969.01786733128426</v>
      </c>
      <c r="W20" s="4">
        <f>$W$8*'[2]Eurostat POM Portables GU'!W11</f>
        <v>1111.8828301471226</v>
      </c>
      <c r="X20" s="48">
        <f>'[3]POM Portables Li-Rechargeable'!Y20</f>
        <v>1223.0711131618348</v>
      </c>
      <c r="Y20" s="48">
        <f>'[3]POM Portables Li-Rechargeable'!Z20</f>
        <v>1345.3782244780182</v>
      </c>
      <c r="Z20" s="48">
        <f>'[3]POM Portables Li-Rechargeable'!AA20</f>
        <v>1479.91604692582</v>
      </c>
      <c r="AA20" s="48">
        <f>'[3]POM Portables Li-Rechargeable'!AB20</f>
        <v>1627.907651618402</v>
      </c>
      <c r="AB20" s="48">
        <f>'[3]POM Portables Li-Rechargeable'!AC20</f>
        <v>1790.6984167802423</v>
      </c>
      <c r="AC20" s="48">
        <f>'[3]POM Portables Li-Rechargeable'!AD20</f>
        <v>1969.7682584582665</v>
      </c>
      <c r="AD20" s="48">
        <f>'[3]POM Portables Li-Rechargeable'!AE20</f>
        <v>2166.7450843040933</v>
      </c>
      <c r="AE20" s="48">
        <f>'[3]POM Portables Li-Rechargeable'!AF20</f>
        <v>2383.4195927345027</v>
      </c>
      <c r="AF20" s="48">
        <f>'[3]POM Portables Li-Rechargeable'!AG20</f>
        <v>2621.761552007953</v>
      </c>
      <c r="AG20" s="48">
        <f>'[3]POM Portables Li-Rechargeable'!AH20</f>
        <v>2779.0672451284304</v>
      </c>
      <c r="AH20" s="48">
        <f>'[3]POM Portables Li-Rechargeable'!AI20</f>
        <v>2945.8112798361362</v>
      </c>
      <c r="AI20" s="48">
        <f>'[3]POM Portables Li-Rechargeable'!AJ20</f>
        <v>3122.5599566263045</v>
      </c>
      <c r="AJ20" s="48">
        <f>'[3]POM Portables Li-Rechargeable'!AK20</f>
        <v>3309.9135540238826</v>
      </c>
      <c r="AK20" s="48">
        <f>'[3]POM Portables Li-Rechargeable'!AL20</f>
        <v>3508.5083672653154</v>
      </c>
      <c r="AL20" s="48">
        <f>'[3]POM Portables Li-Rechargeable'!AM20</f>
        <v>3719.0188693012342</v>
      </c>
      <c r="AM20" s="48">
        <f>'[3]POM Portables Li-Rechargeable'!AN20</f>
        <v>3942.1600014593082</v>
      </c>
      <c r="AN20" s="48">
        <f>'[3]POM Portables Li-Rechargeable'!AO20</f>
        <v>4178.6896015468665</v>
      </c>
      <c r="AO20" s="48">
        <f>'[3]POM Portables Li-Rechargeable'!AP20</f>
        <v>4429.4109776396781</v>
      </c>
      <c r="AP20" s="48">
        <f>'[3]POM Portables Li-Rechargeable'!AQ20</f>
        <v>4695.1756362980586</v>
      </c>
      <c r="AQ20" s="48">
        <f>'[3]POM Portables Li-Rechargeable'!AR20</f>
        <v>4789.0791490240199</v>
      </c>
      <c r="AR20" s="48">
        <f>'[3]POM Portables Li-Rechargeable'!AS20</f>
        <v>4884.8607320045003</v>
      </c>
      <c r="AS20" s="48">
        <f>'[3]POM Portables Li-Rechargeable'!AT20</f>
        <v>4982.5579466445906</v>
      </c>
      <c r="AT20" s="48">
        <f>'[3]POM Portables Li-Rechargeable'!AU20</f>
        <v>5082.2091055774827</v>
      </c>
      <c r="AU20" s="48">
        <f>'[3]POM Portables Li-Rechargeable'!AV20</f>
        <v>5183.8532876890322</v>
      </c>
      <c r="AV20" s="48">
        <f>'[3]POM Portables Li-Rechargeable'!AW20</f>
        <v>5287.5303534428131</v>
      </c>
      <c r="AW20" s="48">
        <f>'[3]POM Portables Li-Rechargeable'!AX20</f>
        <v>5393.280960511669</v>
      </c>
      <c r="AX20" s="48">
        <f>'[3]POM Portables Li-Rechargeable'!AY20</f>
        <v>5501.1465797219025</v>
      </c>
      <c r="AY20" s="48">
        <f>'[3]POM Portables Li-Rechargeable'!AZ20</f>
        <v>5611.1695113163405</v>
      </c>
      <c r="AZ20" s="48">
        <f>'[3]POM Portables Li-Rechargeable'!BA20</f>
        <v>5723.3929015426675</v>
      </c>
    </row>
    <row r="21" spans="1:52" x14ac:dyDescent="0.35">
      <c r="A21" s="61" t="s">
        <v>9</v>
      </c>
      <c r="B21" s="23">
        <f t="shared" si="9"/>
        <v>379.45986856096397</v>
      </c>
      <c r="C21" s="23">
        <f t="shared" si="9"/>
        <v>508.47622387169179</v>
      </c>
      <c r="D21" s="23">
        <f t="shared" si="1"/>
        <v>681.35813998806702</v>
      </c>
      <c r="E21" s="23">
        <f t="shared" si="1"/>
        <v>1022.0372099821005</v>
      </c>
      <c r="F21" s="23">
        <f t="shared" si="2"/>
        <v>1533.0558149731507</v>
      </c>
      <c r="G21" s="23">
        <f t="shared" si="3"/>
        <v>1870.3280942672438</v>
      </c>
      <c r="H21" s="23">
        <f t="shared" si="4"/>
        <v>2206.9871512353475</v>
      </c>
      <c r="I21" s="23">
        <f t="shared" si="5"/>
        <v>2626.3147099700636</v>
      </c>
      <c r="J21" s="23">
        <f t="shared" si="6"/>
        <v>3545.5248584595861</v>
      </c>
      <c r="K21" s="23">
        <f t="shared" si="7"/>
        <v>2623.6883952600938</v>
      </c>
      <c r="L21" s="23">
        <f t="shared" si="8"/>
        <v>4407.7965040369572</v>
      </c>
      <c r="M21" s="4">
        <f>$M$8*'[2]Eurostat POM Portables GU'!M12</f>
        <v>5774.2134202884145</v>
      </c>
      <c r="N21" s="4">
        <f>N5*'[2]Eurostat POM Portables GU'!N12</f>
        <v>5112.8610245656082</v>
      </c>
      <c r="O21" s="4">
        <f>O5*'[2]Eurostat POM Portables GU'!O12</f>
        <v>5350.5713293680747</v>
      </c>
      <c r="P21" s="4">
        <f>P5*'[2]Eurostat POM Portables GU'!P12</f>
        <v>5463.1516407819627</v>
      </c>
      <c r="Q21" s="4">
        <f>Q5*'[2]Eurostat POM Portables GU'!Q12</f>
        <v>5769</v>
      </c>
      <c r="R21" s="4">
        <f>R5*'[2]Eurostat POM Portables GU'!R12</f>
        <v>6372</v>
      </c>
      <c r="S21" s="4">
        <f>S5*'[2]Eurostat POM Portables GU'!S12</f>
        <v>7267</v>
      </c>
      <c r="T21" s="4">
        <f>T5*'[2]Eurostat POM Portables GU'!T12</f>
        <v>7763.0268348917643</v>
      </c>
      <c r="U21" s="4">
        <f>U5*'[2]Eurostat POM Portables GU'!U12</f>
        <v>8755.4260692092121</v>
      </c>
      <c r="V21" s="4">
        <f>V5*'[2]Eurostat POM Portables GU'!V12</f>
        <v>9402.3139485039865</v>
      </c>
      <c r="W21" s="4">
        <f>$W$8*'[2]Eurostat POM Portables GU'!W12</f>
        <v>10307.749975298975</v>
      </c>
      <c r="X21" s="48">
        <f>'[3]POM Portables Li-Rechargeable'!Y21</f>
        <v>11338.524972828873</v>
      </c>
      <c r="Y21" s="48">
        <f>'[3]POM Portables Li-Rechargeable'!Z21</f>
        <v>12472.37747011176</v>
      </c>
      <c r="Z21" s="48">
        <f>'[3]POM Portables Li-Rechargeable'!AA21</f>
        <v>13719.615217122937</v>
      </c>
      <c r="AA21" s="48">
        <f>'[3]POM Portables Li-Rechargeable'!AB21</f>
        <v>15091.576738835231</v>
      </c>
      <c r="AB21" s="48">
        <f>'[3]POM Portables Li-Rechargeable'!AC21</f>
        <v>16600.734412718753</v>
      </c>
      <c r="AC21" s="48">
        <f>'[3]POM Portables Li-Rechargeable'!AD21</f>
        <v>18260.807853990627</v>
      </c>
      <c r="AD21" s="48">
        <f>'[3]POM Portables Li-Rechargeable'!AE21</f>
        <v>20086.88863938969</v>
      </c>
      <c r="AE21" s="48">
        <f>'[3]POM Portables Li-Rechargeable'!AF21</f>
        <v>22095.577503328659</v>
      </c>
      <c r="AF21" s="48">
        <f>'[3]POM Portables Li-Rechargeable'!AG21</f>
        <v>24305.135253661523</v>
      </c>
      <c r="AG21" s="48">
        <f>'[3]POM Portables Li-Rechargeable'!AH21</f>
        <v>25763.443368881213</v>
      </c>
      <c r="AH21" s="48">
        <f>'[3]POM Portables Li-Rechargeable'!AI21</f>
        <v>27309.249971014087</v>
      </c>
      <c r="AI21" s="48">
        <f>'[3]POM Portables Li-Rechargeable'!AJ21</f>
        <v>28947.804969274934</v>
      </c>
      <c r="AJ21" s="48">
        <f>'[3]POM Portables Li-Rechargeable'!AK21</f>
        <v>30684.67326743143</v>
      </c>
      <c r="AK21" s="48">
        <f>'[3]POM Portables Li-Rechargeable'!AL21</f>
        <v>32525.753663477317</v>
      </c>
      <c r="AL21" s="48">
        <f>'[3]POM Portables Li-Rechargeable'!AM21</f>
        <v>34477.298883285956</v>
      </c>
      <c r="AM21" s="48">
        <f>'[3]POM Portables Li-Rechargeable'!AN21</f>
        <v>36545.936816283116</v>
      </c>
      <c r="AN21" s="48">
        <f>'[3]POM Portables Li-Rechargeable'!AO21</f>
        <v>38738.693025260101</v>
      </c>
      <c r="AO21" s="48">
        <f>'[3]POM Portables Li-Rechargeable'!AP21</f>
        <v>41063.014606775709</v>
      </c>
      <c r="AP21" s="48">
        <f>'[3]POM Portables Li-Rechargeable'!AQ21</f>
        <v>43526.79548318225</v>
      </c>
      <c r="AQ21" s="48">
        <f>'[3]POM Portables Li-Rechargeable'!AR21</f>
        <v>44397.331392845896</v>
      </c>
      <c r="AR21" s="48">
        <f>'[3]POM Portables Li-Rechargeable'!AS21</f>
        <v>45285.278020702812</v>
      </c>
      <c r="AS21" s="48">
        <f>'[3]POM Portables Li-Rechargeable'!AT21</f>
        <v>46190.983581116867</v>
      </c>
      <c r="AT21" s="48">
        <f>'[3]POM Portables Li-Rechargeable'!AU21</f>
        <v>47114.803252739206</v>
      </c>
      <c r="AU21" s="48">
        <f>'[3]POM Portables Li-Rechargeable'!AV21</f>
        <v>48057.099317793989</v>
      </c>
      <c r="AV21" s="48">
        <f>'[3]POM Portables Li-Rechargeable'!AW21</f>
        <v>49018.241304149866</v>
      </c>
      <c r="AW21" s="48">
        <f>'[3]POM Portables Li-Rechargeable'!AX21</f>
        <v>49998.60613023286</v>
      </c>
      <c r="AX21" s="48">
        <f>'[3]POM Portables Li-Rechargeable'!AY21</f>
        <v>50998.57825283752</v>
      </c>
      <c r="AY21" s="48">
        <f>'[3]POM Portables Li-Rechargeable'!AZ21</f>
        <v>52018.549817894273</v>
      </c>
      <c r="AZ21" s="48">
        <f>'[3]POM Portables Li-Rechargeable'!BA21</f>
        <v>53058.92081425216</v>
      </c>
    </row>
    <row r="22" spans="1:52" x14ac:dyDescent="0.35">
      <c r="A22" s="61" t="s">
        <v>10</v>
      </c>
      <c r="B22" s="23">
        <f t="shared" si="9"/>
        <v>491.5035889001316</v>
      </c>
      <c r="C22" s="23">
        <f t="shared" si="9"/>
        <v>658.6148091261764</v>
      </c>
      <c r="D22" s="23">
        <f t="shared" si="1"/>
        <v>882.5438442290764</v>
      </c>
      <c r="E22" s="23">
        <f t="shared" si="1"/>
        <v>1323.8157663436145</v>
      </c>
      <c r="F22" s="23">
        <f t="shared" si="2"/>
        <v>1985.7236495154218</v>
      </c>
      <c r="G22" s="23">
        <f t="shared" si="3"/>
        <v>2422.5828524088147</v>
      </c>
      <c r="H22" s="23">
        <f t="shared" si="4"/>
        <v>2858.647765842401</v>
      </c>
      <c r="I22" s="23">
        <f t="shared" si="5"/>
        <v>3401.7908413524569</v>
      </c>
      <c r="J22" s="23">
        <f t="shared" si="6"/>
        <v>4592.4176358258173</v>
      </c>
      <c r="K22" s="23">
        <f t="shared" si="7"/>
        <v>3398.3890505111049</v>
      </c>
      <c r="L22" s="23">
        <f t="shared" si="8"/>
        <v>5709.2936048586562</v>
      </c>
      <c r="M22" s="4">
        <f>$M$8*'[2]Eurostat POM Portables GU'!M13</f>
        <v>7479.1746223648397</v>
      </c>
      <c r="N22" s="4">
        <f>N4*'[2]Eurostat POM Portables GU'!N13</f>
        <v>8441.5296265257784</v>
      </c>
      <c r="O22" s="4">
        <f>O4*'[2]Eurostat POM Portables GU'!O13</f>
        <v>6806.6755451377112</v>
      </c>
      <c r="P22" s="4">
        <f>P4*'[2]Eurostat POM Portables GU'!P13</f>
        <v>6742.9359982409851</v>
      </c>
      <c r="Q22" s="4">
        <f>Q4*'[2]Eurostat POM Portables GU'!Q13</f>
        <v>7123.086572438162</v>
      </c>
      <c r="R22" s="4">
        <f>R4*'[2]Eurostat POM Portables GU'!R13</f>
        <v>8914.1667941851574</v>
      </c>
      <c r="S22" s="4">
        <f>S4*'[2]Eurostat POM Portables GU'!S13</f>
        <v>11302.514416042937</v>
      </c>
      <c r="T22" s="4">
        <f>T4*'[2]Eurostat POM Portables GU'!T13</f>
        <v>11191.759996503117</v>
      </c>
      <c r="U22" s="4">
        <f>U4*'[2]Eurostat POM Portables GU'!U13</f>
        <v>14009.376771854815</v>
      </c>
      <c r="V22" s="4">
        <f>V4*'[2]Eurostat POM Portables GU'!V13</f>
        <v>17471.434331863195</v>
      </c>
      <c r="W22" s="4">
        <f>W4*'[2]Eurostat POM Portables GU'!W13</f>
        <v>16595.719291209913</v>
      </c>
      <c r="X22" s="48">
        <f>'[3]POM Portables Li-Rechargeable'!Y22</f>
        <v>18255.291220330902</v>
      </c>
      <c r="Y22" s="48">
        <f>'[3]POM Portables Li-Rechargeable'!Z22</f>
        <v>20080.820342363993</v>
      </c>
      <c r="Z22" s="48">
        <f>'[3]POM Portables Li-Rechargeable'!AA22</f>
        <v>22088.902376600392</v>
      </c>
      <c r="AA22" s="48">
        <f>'[3]POM Portables Li-Rechargeable'!AB22</f>
        <v>24297.79261426043</v>
      </c>
      <c r="AB22" s="48">
        <f>'[3]POM Portables Li-Rechargeable'!AC22</f>
        <v>26727.571875686474</v>
      </c>
      <c r="AC22" s="48">
        <f>'[3]POM Portables Li-Rechargeable'!AD22</f>
        <v>29400.329063255122</v>
      </c>
      <c r="AD22" s="48">
        <f>'[3]POM Portables Li-Rechargeable'!AE22</f>
        <v>32340.361969580634</v>
      </c>
      <c r="AE22" s="48">
        <f>'[3]POM Portables Li-Rechargeable'!AF22</f>
        <v>35574.398166538696</v>
      </c>
      <c r="AF22" s="48">
        <f>'[3]POM Portables Li-Rechargeable'!AG22</f>
        <v>39131.837983192563</v>
      </c>
      <c r="AG22" s="48">
        <f>'[3]POM Portables Li-Rechargeable'!AH22</f>
        <v>41479.748262184119</v>
      </c>
      <c r="AH22" s="48">
        <f>'[3]POM Portables Li-Rechargeable'!AI22</f>
        <v>43968.533157915168</v>
      </c>
      <c r="AI22" s="48">
        <f>'[3]POM Portables Li-Rechargeable'!AJ22</f>
        <v>46606.645147390082</v>
      </c>
      <c r="AJ22" s="48">
        <f>'[3]POM Portables Li-Rechargeable'!AK22</f>
        <v>49403.043856233489</v>
      </c>
      <c r="AK22" s="48">
        <f>'[3]POM Portables Li-Rechargeable'!AL22</f>
        <v>52367.226487607499</v>
      </c>
      <c r="AL22" s="48">
        <f>'[3]POM Portables Li-Rechargeable'!AM22</f>
        <v>55509.260076863946</v>
      </c>
      <c r="AM22" s="48">
        <f>'[3]POM Portables Li-Rechargeable'!AN22</f>
        <v>58839.815681475782</v>
      </c>
      <c r="AN22" s="48">
        <f>'[3]POM Portables Li-Rechargeable'!AO22</f>
        <v>62370.204622364326</v>
      </c>
      <c r="AO22" s="48">
        <f>'[3]POM Portables Li-Rechargeable'!AP22</f>
        <v>66112.416899706179</v>
      </c>
      <c r="AP22" s="48">
        <f>'[3]POM Portables Li-Rechargeable'!AQ22</f>
        <v>70079.161913688557</v>
      </c>
      <c r="AQ22" s="48">
        <f>'[3]POM Portables Li-Rechargeable'!AR22</f>
        <v>71480.745151962328</v>
      </c>
      <c r="AR22" s="48">
        <f>'[3]POM Portables Li-Rechargeable'!AS22</f>
        <v>72910.360055001569</v>
      </c>
      <c r="AS22" s="48">
        <f>'[3]POM Portables Li-Rechargeable'!AT22</f>
        <v>74368.567256101596</v>
      </c>
      <c r="AT22" s="48">
        <f>'[3]POM Portables Li-Rechargeable'!AU22</f>
        <v>75855.938601223635</v>
      </c>
      <c r="AU22" s="48">
        <f>'[3]POM Portables Li-Rechargeable'!AV22</f>
        <v>77373.057373248113</v>
      </c>
      <c r="AV22" s="48">
        <f>'[3]POM Portables Li-Rechargeable'!AW22</f>
        <v>78920.518520713071</v>
      </c>
      <c r="AW22" s="48">
        <f>'[3]POM Portables Li-Rechargeable'!AX22</f>
        <v>80498.928891127332</v>
      </c>
      <c r="AX22" s="48">
        <f>'[3]POM Portables Li-Rechargeable'!AY22</f>
        <v>82108.907468949881</v>
      </c>
      <c r="AY22" s="48">
        <f>'[3]POM Portables Li-Rechargeable'!AZ22</f>
        <v>83751.085618328885</v>
      </c>
      <c r="AZ22" s="48">
        <f>'[3]POM Portables Li-Rechargeable'!BA22</f>
        <v>85426.107330695464</v>
      </c>
    </row>
    <row r="23" spans="1:52" x14ac:dyDescent="0.35">
      <c r="A23" s="61" t="s">
        <v>11</v>
      </c>
      <c r="B23" s="23">
        <f t="shared" si="9"/>
        <v>20.981551701768886</v>
      </c>
      <c r="C23" s="23">
        <f t="shared" si="9"/>
        <v>28.115279280370309</v>
      </c>
      <c r="D23" s="23">
        <f t="shared" si="1"/>
        <v>37.674474235696216</v>
      </c>
      <c r="E23" s="23">
        <f t="shared" si="1"/>
        <v>56.511711353544321</v>
      </c>
      <c r="F23" s="23">
        <f t="shared" si="2"/>
        <v>84.767567030316485</v>
      </c>
      <c r="G23" s="23">
        <f t="shared" si="3"/>
        <v>103.41643177698612</v>
      </c>
      <c r="H23" s="23">
        <f t="shared" si="4"/>
        <v>122.0313894968436</v>
      </c>
      <c r="I23" s="23">
        <f t="shared" si="5"/>
        <v>145.21735350124388</v>
      </c>
      <c r="J23" s="23">
        <f t="shared" si="6"/>
        <v>196.04342722667926</v>
      </c>
      <c r="K23" s="23">
        <f t="shared" si="7"/>
        <v>145.07213614774264</v>
      </c>
      <c r="L23" s="23">
        <f t="shared" si="8"/>
        <v>243.72118872820764</v>
      </c>
      <c r="M23" s="4">
        <f>$M$8*'[2]Eurostat POM Portables GU'!M14</f>
        <v>319.27475723395202</v>
      </c>
      <c r="N23" s="4">
        <f>$N$8*'[2]Eurostat POM Portables GU'!N14</f>
        <v>282.14760006388184</v>
      </c>
      <c r="O23" s="4">
        <f>$O$8*'[2]Eurostat POM Portables GU'!O14</f>
        <v>266.38240607217386</v>
      </c>
      <c r="P23" s="4">
        <f>$P$8*'[2]Eurostat POM Portables GU'!P14</f>
        <v>272.59247486025788</v>
      </c>
      <c r="Q23" s="4">
        <f>$Q$8*'[2]Eurostat POM Portables GU'!Q14</f>
        <v>301.35040859606926</v>
      </c>
      <c r="R23" s="4">
        <f>$R$8*'[2]Eurostat POM Portables GU'!R14</f>
        <v>326.95487618358896</v>
      </c>
      <c r="S23" s="4">
        <f>$S$8*'[2]Eurostat POM Portables GU'!S14</f>
        <v>381.81644266842852</v>
      </c>
      <c r="T23" s="4">
        <f>$T$8*'[2]Eurostat POM Portables GU'!T14</f>
        <v>379.0843791460826</v>
      </c>
      <c r="U23" s="4">
        <f>$U$8*'[2]Eurostat POM Portables GU'!U14</f>
        <v>455.33229909145808</v>
      </c>
      <c r="V23" s="4">
        <f>$V$8*'[2]Eurostat POM Portables GU'!V14</f>
        <v>494.39687108738991</v>
      </c>
      <c r="W23" s="4">
        <f>$W$8*'[2]Eurostat POM Portables GU'!W14</f>
        <v>785.37321401439647</v>
      </c>
      <c r="X23" s="48">
        <f>'[3]POM Portables Li-Rechargeable'!Y23</f>
        <v>863.91053541583608</v>
      </c>
      <c r="Y23" s="48">
        <f>'[3]POM Portables Li-Rechargeable'!Z23</f>
        <v>950.30158895741965</v>
      </c>
      <c r="Z23" s="48">
        <f>'[3]POM Portables Li-Rechargeable'!AA23</f>
        <v>1045.3317478531617</v>
      </c>
      <c r="AA23" s="48">
        <f>'[3]POM Portables Li-Rechargeable'!AB23</f>
        <v>1149.8649226384778</v>
      </c>
      <c r="AB23" s="48">
        <f>'[3]POM Portables Li-Rechargeable'!AC23</f>
        <v>1264.8514149023256</v>
      </c>
      <c r="AC23" s="48">
        <f>'[3]POM Portables Li-Rechargeable'!AD23</f>
        <v>1391.3365563925581</v>
      </c>
      <c r="AD23" s="48">
        <f>'[3]POM Portables Li-Rechargeable'!AE23</f>
        <v>1530.4702120318138</v>
      </c>
      <c r="AE23" s="48">
        <f>'[3]POM Portables Li-Rechargeable'!AF23</f>
        <v>1683.5172332349953</v>
      </c>
      <c r="AF23" s="48">
        <f>'[3]POM Portables Li-Rechargeable'!AG23</f>
        <v>1851.8689565584948</v>
      </c>
      <c r="AG23" s="48">
        <f>'[3]POM Portables Li-Rechargeable'!AH23</f>
        <v>1962.9810939520046</v>
      </c>
      <c r="AH23" s="48">
        <f>'[3]POM Portables Li-Rechargeable'!AI23</f>
        <v>2080.7599595891247</v>
      </c>
      <c r="AI23" s="48">
        <f>'[3]POM Portables Li-Rechargeable'!AJ23</f>
        <v>2205.605557164472</v>
      </c>
      <c r="AJ23" s="48">
        <f>'[3]POM Portables Li-Rechargeable'!AK23</f>
        <v>2337.9418905943403</v>
      </c>
      <c r="AK23" s="48">
        <f>'[3]POM Portables Li-Rechargeable'!AL23</f>
        <v>2478.2184040300008</v>
      </c>
      <c r="AL23" s="48">
        <f>'[3]POM Portables Li-Rechargeable'!AM23</f>
        <v>2626.9115082718008</v>
      </c>
      <c r="AM23" s="48">
        <f>'[3]POM Portables Li-Rechargeable'!AN23</f>
        <v>2784.5261987681088</v>
      </c>
      <c r="AN23" s="48">
        <f>'[3]POM Portables Li-Rechargeable'!AO23</f>
        <v>2951.5977706941953</v>
      </c>
      <c r="AO23" s="48">
        <f>'[3]POM Portables Li-Rechargeable'!AP23</f>
        <v>3128.6936369358473</v>
      </c>
      <c r="AP23" s="48">
        <f>'[3]POM Portables Li-Rechargeable'!AQ23</f>
        <v>3316.4152551519983</v>
      </c>
      <c r="AQ23" s="48">
        <f>'[3]POM Portables Li-Rechargeable'!AR23</f>
        <v>3382.7435602550381</v>
      </c>
      <c r="AR23" s="48">
        <f>'[3]POM Portables Li-Rechargeable'!AS23</f>
        <v>3450.3984314601389</v>
      </c>
      <c r="AS23" s="48">
        <f>'[3]POM Portables Li-Rechargeable'!AT23</f>
        <v>3519.4064000893418</v>
      </c>
      <c r="AT23" s="48">
        <f>'[3]POM Portables Li-Rechargeable'!AU23</f>
        <v>3589.7945280911285</v>
      </c>
      <c r="AU23" s="48">
        <f>'[3]POM Portables Li-Rechargeable'!AV23</f>
        <v>3661.590418652951</v>
      </c>
      <c r="AV23" s="48">
        <f>'[3]POM Portables Li-Rechargeable'!AW23</f>
        <v>3734.8222270260098</v>
      </c>
      <c r="AW23" s="48">
        <f>'[3]POM Portables Li-Rechargeable'!AX23</f>
        <v>3809.51867156653</v>
      </c>
      <c r="AX23" s="48">
        <f>'[3]POM Portables Li-Rechargeable'!AY23</f>
        <v>3885.7090449978605</v>
      </c>
      <c r="AY23" s="48">
        <f>'[3]POM Portables Li-Rechargeable'!AZ23</f>
        <v>3963.4232258978177</v>
      </c>
      <c r="AZ23" s="48">
        <f>'[3]POM Portables Li-Rechargeable'!BA23</f>
        <v>4042.6916904157742</v>
      </c>
    </row>
    <row r="24" spans="1:52" x14ac:dyDescent="0.35">
      <c r="A24" s="61" t="s">
        <v>12</v>
      </c>
      <c r="B24" s="23">
        <f t="shared" si="9"/>
        <v>23.170437906331799</v>
      </c>
      <c r="C24" s="23">
        <f t="shared" si="9"/>
        <v>31.04838679448461</v>
      </c>
      <c r="D24" s="23">
        <f t="shared" si="1"/>
        <v>41.60483830460938</v>
      </c>
      <c r="E24" s="23">
        <f t="shared" si="1"/>
        <v>62.407257456914074</v>
      </c>
      <c r="F24" s="23">
        <f t="shared" si="2"/>
        <v>93.610886185371115</v>
      </c>
      <c r="G24" s="23">
        <f t="shared" si="3"/>
        <v>114.20528114615276</v>
      </c>
      <c r="H24" s="23">
        <f t="shared" si="4"/>
        <v>134.76223175246025</v>
      </c>
      <c r="I24" s="23">
        <f t="shared" si="5"/>
        <v>160.36705578542768</v>
      </c>
      <c r="J24" s="23">
        <f t="shared" si="6"/>
        <v>216.49552531032739</v>
      </c>
      <c r="K24" s="23">
        <f t="shared" si="7"/>
        <v>160.20668872964228</v>
      </c>
      <c r="L24" s="23">
        <f t="shared" si="8"/>
        <v>269.147237065799</v>
      </c>
      <c r="M24" s="4">
        <f>$M$8*'[2]Eurostat POM Portables GU'!M15</f>
        <v>352.5828805561967</v>
      </c>
      <c r="N24" s="4">
        <f>$N$8*'[2]Eurostat POM Portables GU'!N15</f>
        <v>278.66736534943749</v>
      </c>
      <c r="O24" s="4">
        <f>$O$8*'[2]Eurostat POM Portables GU'!O15</f>
        <v>259.78579072331667</v>
      </c>
      <c r="P24" s="4">
        <f>$P$8*'[2]Eurostat POM Portables GU'!P15</f>
        <v>282.29120264549221</v>
      </c>
      <c r="Q24" s="4">
        <f>$Q$8*'[2]Eurostat POM Portables GU'!Q15</f>
        <v>324.55888782525909</v>
      </c>
      <c r="R24" s="4">
        <f>$R$8*'[2]Eurostat POM Portables GU'!R15</f>
        <v>344.33521669366093</v>
      </c>
      <c r="S24" s="4">
        <f>$S$8*'[2]Eurostat POM Portables GU'!S15</f>
        <v>531.88023366990899</v>
      </c>
      <c r="T24" s="4">
        <f>$T$8*'[2]Eurostat POM Portables GU'!T15</f>
        <v>654.53086605903206</v>
      </c>
      <c r="U24" s="4">
        <f>$U$8*'[2]Eurostat POM Portables GU'!U15</f>
        <v>739.47180942550483</v>
      </c>
      <c r="V24" s="4">
        <f>$V$8*'[2]Eurostat POM Portables GU'!V15</f>
        <v>669.97457071139809</v>
      </c>
      <c r="W24" s="4">
        <f>$W$8*'[2]Eurostat POM Portables GU'!W15</f>
        <v>867.68426464752088</v>
      </c>
      <c r="X24" s="48">
        <f>'[3]POM Portables Li-Rechargeable'!Y24</f>
        <v>954.45269111227299</v>
      </c>
      <c r="Y24" s="48">
        <f>'[3]POM Portables Li-Rechargeable'!Z24</f>
        <v>1049.8979602235004</v>
      </c>
      <c r="Z24" s="48">
        <f>'[3]POM Portables Li-Rechargeable'!AA24</f>
        <v>1154.8877562458504</v>
      </c>
      <c r="AA24" s="48">
        <f>'[3]POM Portables Li-Rechargeable'!AB24</f>
        <v>1270.3765318704354</v>
      </c>
      <c r="AB24" s="48">
        <f>'[3]POM Portables Li-Rechargeable'!AC24</f>
        <v>1397.414185057479</v>
      </c>
      <c r="AC24" s="48">
        <f>'[3]POM Portables Li-Rechargeable'!AD24</f>
        <v>1537.155603563227</v>
      </c>
      <c r="AD24" s="48">
        <f>'[3]POM Portables Li-Rechargeable'!AE24</f>
        <v>1690.8711639195499</v>
      </c>
      <c r="AE24" s="48">
        <f>'[3]POM Portables Li-Rechargeable'!AF24</f>
        <v>1859.958280311505</v>
      </c>
      <c r="AF24" s="48">
        <f>'[3]POM Portables Li-Rechargeable'!AG24</f>
        <v>2045.9541083426554</v>
      </c>
      <c r="AG24" s="48">
        <f>'[3]POM Portables Li-Rechargeable'!AH24</f>
        <v>2168.7113548432148</v>
      </c>
      <c r="AH24" s="48">
        <f>'[3]POM Portables Li-Rechargeable'!AI24</f>
        <v>2298.8340361338078</v>
      </c>
      <c r="AI24" s="48">
        <f>'[3]POM Portables Li-Rechargeable'!AJ24</f>
        <v>2436.7640783018364</v>
      </c>
      <c r="AJ24" s="48">
        <f>'[3]POM Portables Li-Rechargeable'!AK24</f>
        <v>2582.9699229999464</v>
      </c>
      <c r="AK24" s="48">
        <f>'[3]POM Portables Li-Rechargeable'!AL24</f>
        <v>2737.948118379943</v>
      </c>
      <c r="AL24" s="48">
        <f>'[3]POM Portables Li-Rechargeable'!AM24</f>
        <v>2902.2250054827396</v>
      </c>
      <c r="AM24" s="48">
        <f>'[3]POM Portables Li-Rechargeable'!AN24</f>
        <v>3076.3585058117042</v>
      </c>
      <c r="AN24" s="48">
        <f>'[3]POM Portables Li-Rechargeable'!AO24</f>
        <v>3260.9400161604062</v>
      </c>
      <c r="AO24" s="48">
        <f>'[3]POM Portables Li-Rechargeable'!AP24</f>
        <v>3456.5964171300307</v>
      </c>
      <c r="AP24" s="48">
        <f>'[3]POM Portables Li-Rechargeable'!AQ24</f>
        <v>3663.9922021578323</v>
      </c>
      <c r="AQ24" s="48">
        <f>'[3]POM Portables Li-Rechargeable'!AR24</f>
        <v>3737.2720462009888</v>
      </c>
      <c r="AR24" s="48">
        <f>'[3]POM Portables Li-Rechargeable'!AS24</f>
        <v>3812.0174871250088</v>
      </c>
      <c r="AS24" s="48">
        <f>'[3]POM Portables Li-Rechargeable'!AT24</f>
        <v>3888.257836867509</v>
      </c>
      <c r="AT24" s="48">
        <f>'[3]POM Portables Li-Rechargeable'!AU24</f>
        <v>3966.022993604859</v>
      </c>
      <c r="AU24" s="48">
        <f>'[3]POM Portables Li-Rechargeable'!AV24</f>
        <v>4045.3434534769563</v>
      </c>
      <c r="AV24" s="48">
        <f>'[3]POM Portables Li-Rechargeable'!AW24</f>
        <v>4126.2503225464952</v>
      </c>
      <c r="AW24" s="48">
        <f>'[3]POM Portables Li-Rechargeable'!AX24</f>
        <v>4208.7753289974253</v>
      </c>
      <c r="AX24" s="48">
        <f>'[3]POM Portables Li-Rechargeable'!AY24</f>
        <v>4292.9508355773742</v>
      </c>
      <c r="AY24" s="48">
        <f>'[3]POM Portables Li-Rechargeable'!AZ24</f>
        <v>4378.8098522889213</v>
      </c>
      <c r="AZ24" s="48">
        <f>'[3]POM Portables Li-Rechargeable'!BA24</f>
        <v>4466.3860493347001</v>
      </c>
    </row>
    <row r="25" spans="1:52" x14ac:dyDescent="0.35">
      <c r="A25" s="61" t="s">
        <v>13</v>
      </c>
      <c r="B25" s="23">
        <f t="shared" si="9"/>
        <v>2.1242403425628713</v>
      </c>
      <c r="C25" s="23">
        <f t="shared" si="9"/>
        <v>2.8464820590342477</v>
      </c>
      <c r="D25" s="23">
        <f t="shared" si="1"/>
        <v>3.814285959105892</v>
      </c>
      <c r="E25" s="23">
        <f t="shared" si="1"/>
        <v>5.7214289386588382</v>
      </c>
      <c r="F25" s="23">
        <f t="shared" si="2"/>
        <v>8.5821434079882568</v>
      </c>
      <c r="G25" s="23">
        <f t="shared" si="3"/>
        <v>10.470214957745673</v>
      </c>
      <c r="H25" s="23">
        <f t="shared" si="4"/>
        <v>12.354853650139894</v>
      </c>
      <c r="I25" s="23">
        <f t="shared" si="5"/>
        <v>14.702275843666474</v>
      </c>
      <c r="J25" s="23">
        <f t="shared" si="6"/>
        <v>19.848072388949742</v>
      </c>
      <c r="K25" s="23">
        <f t="shared" si="7"/>
        <v>14.68757356782281</v>
      </c>
      <c r="L25" s="23">
        <f t="shared" si="8"/>
        <v>24.67512359394232</v>
      </c>
      <c r="M25" s="4">
        <f>$M$8*'[2]Eurostat POM Portables GU'!M16</f>
        <v>32.324411908064441</v>
      </c>
      <c r="N25" s="4">
        <f>$N$8*'[2]Eurostat POM Portables GU'!N16</f>
        <v>29.386675777578631</v>
      </c>
      <c r="O25" s="4">
        <f>$O$8*'[2]Eurostat POM Portables GU'!O16</f>
        <v>34.577678418946327</v>
      </c>
      <c r="P25" s="4">
        <f>$P$8*'[2]Eurostat POM Portables GU'!P16</f>
        <v>32.764372385483767</v>
      </c>
      <c r="Q25" s="4">
        <f>$Q$8*'[2]Eurostat POM Portables GU'!Q16</f>
        <v>30.494862243005219</v>
      </c>
      <c r="R25" s="4">
        <f>$R$8*'[2]Eurostat POM Portables GU'!R16</f>
        <v>45.270675163881549</v>
      </c>
      <c r="S25" s="4">
        <f>$S$8*'[2]Eurostat POM Portables GU'!S16</f>
        <v>59.506498777579552</v>
      </c>
      <c r="T25" s="4">
        <f>$T$8*'[2]Eurostat POM Portables GU'!T16</f>
        <v>58.682077646671843</v>
      </c>
      <c r="U25" s="4">
        <f>$U$8*'[2]Eurostat POM Portables GU'!U16</f>
        <v>42.798197189352848</v>
      </c>
      <c r="V25" s="4">
        <f>$V$8*'[2]Eurostat POM Portables GU'!V16</f>
        <v>83.325915894620636</v>
      </c>
      <c r="W25" s="4">
        <f>$W$8*'[2]Eurostat POM Portables GU'!W16</f>
        <v>92.94859172823584</v>
      </c>
      <c r="X25" s="48">
        <f>'[3]POM Portables Li-Rechargeable'!Y25</f>
        <v>102.24345090105942</v>
      </c>
      <c r="Y25" s="48">
        <f>'[3]POM Portables Li-Rechargeable'!Z25</f>
        <v>112.46779599116536</v>
      </c>
      <c r="Z25" s="48">
        <f>'[3]POM Portables Li-Rechargeable'!AA25</f>
        <v>123.7145755902819</v>
      </c>
      <c r="AA25" s="48">
        <f>'[3]POM Portables Li-Rechargeable'!AB25</f>
        <v>136.08603314931008</v>
      </c>
      <c r="AB25" s="48">
        <f>'[3]POM Portables Li-Rechargeable'!AC25</f>
        <v>149.69463646424109</v>
      </c>
      <c r="AC25" s="48">
        <f>'[3]POM Portables Li-Rechargeable'!AD25</f>
        <v>164.6641001106652</v>
      </c>
      <c r="AD25" s="48">
        <f>'[3]POM Portables Li-Rechargeable'!AE25</f>
        <v>181.13051012173173</v>
      </c>
      <c r="AE25" s="48">
        <f>'[3]POM Portables Li-Rechargeable'!AF25</f>
        <v>199.2435611339049</v>
      </c>
      <c r="AF25" s="48">
        <f>'[3]POM Portables Li-Rechargeable'!AG25</f>
        <v>219.16791724729541</v>
      </c>
      <c r="AG25" s="48">
        <f>'[3]POM Portables Li-Rechargeable'!AH25</f>
        <v>232.31799228213313</v>
      </c>
      <c r="AH25" s="48">
        <f>'[3]POM Portables Li-Rechargeable'!AI25</f>
        <v>246.25707181906111</v>
      </c>
      <c r="AI25" s="48">
        <f>'[3]POM Portables Li-Rechargeable'!AJ25</f>
        <v>261.0324961282048</v>
      </c>
      <c r="AJ25" s="48">
        <f>'[3]POM Portables Li-Rechargeable'!AK25</f>
        <v>276.6944458958971</v>
      </c>
      <c r="AK25" s="48">
        <f>'[3]POM Portables Li-Rechargeable'!AL25</f>
        <v>293.29611264965092</v>
      </c>
      <c r="AL25" s="48">
        <f>'[3]POM Portables Li-Rechargeable'!AM25</f>
        <v>310.89387940862997</v>
      </c>
      <c r="AM25" s="48">
        <f>'[3]POM Portables Li-Rechargeable'!AN25</f>
        <v>329.54751217314777</v>
      </c>
      <c r="AN25" s="48">
        <f>'[3]POM Portables Li-Rechargeable'!AO25</f>
        <v>349.32036290353665</v>
      </c>
      <c r="AO25" s="48">
        <f>'[3]POM Portables Li-Rechargeable'!AP25</f>
        <v>370.27958467774886</v>
      </c>
      <c r="AP25" s="48">
        <f>'[3]POM Portables Li-Rechargeable'!AQ25</f>
        <v>392.4963597584138</v>
      </c>
      <c r="AQ25" s="48">
        <f>'[3]POM Portables Li-Rechargeable'!AR25</f>
        <v>400.34628695358208</v>
      </c>
      <c r="AR25" s="48">
        <f>'[3]POM Portables Li-Rechargeable'!AS25</f>
        <v>408.3532126926537</v>
      </c>
      <c r="AS25" s="48">
        <f>'[3]POM Portables Li-Rechargeable'!AT25</f>
        <v>416.52027694650678</v>
      </c>
      <c r="AT25" s="48">
        <f>'[3]POM Portables Li-Rechargeable'!AU25</f>
        <v>424.85068248543689</v>
      </c>
      <c r="AU25" s="48">
        <f>'[3]POM Portables Li-Rechargeable'!AV25</f>
        <v>433.34769613514561</v>
      </c>
      <c r="AV25" s="48">
        <f>'[3]POM Portables Li-Rechargeable'!AW25</f>
        <v>442.01465005784854</v>
      </c>
      <c r="AW25" s="48">
        <f>'[3]POM Portables Li-Rechargeable'!AX25</f>
        <v>450.85494305900551</v>
      </c>
      <c r="AX25" s="48">
        <f>'[3]POM Portables Li-Rechargeable'!AY25</f>
        <v>459.87204192018561</v>
      </c>
      <c r="AY25" s="48">
        <f>'[3]POM Portables Li-Rechargeable'!AZ25</f>
        <v>469.06948275858934</v>
      </c>
      <c r="AZ25" s="48">
        <f>'[3]POM Portables Li-Rechargeable'!BA25</f>
        <v>478.45087241376115</v>
      </c>
    </row>
    <row r="26" spans="1:52" x14ac:dyDescent="0.35">
      <c r="A26" s="61" t="s">
        <v>14</v>
      </c>
      <c r="B26" s="23">
        <f t="shared" si="9"/>
        <v>23.771531009139235</v>
      </c>
      <c r="C26" s="23">
        <f t="shared" si="9"/>
        <v>31.853851552246578</v>
      </c>
      <c r="D26" s="23">
        <f t="shared" si="1"/>
        <v>42.684161080010419</v>
      </c>
      <c r="E26" s="23">
        <f t="shared" si="1"/>
        <v>64.026241620015625</v>
      </c>
      <c r="F26" s="23">
        <f t="shared" si="2"/>
        <v>96.039362430023431</v>
      </c>
      <c r="G26" s="23">
        <f t="shared" si="3"/>
        <v>117.16802216462858</v>
      </c>
      <c r="H26" s="23">
        <f t="shared" si="4"/>
        <v>138.25826615426172</v>
      </c>
      <c r="I26" s="23">
        <f t="shared" si="5"/>
        <v>164.52733672357144</v>
      </c>
      <c r="J26" s="23">
        <f t="shared" si="6"/>
        <v>222.11190457682144</v>
      </c>
      <c r="K26" s="23">
        <f t="shared" si="7"/>
        <v>164.36280938684786</v>
      </c>
      <c r="L26" s="23">
        <f t="shared" si="8"/>
        <v>276.12951976990439</v>
      </c>
      <c r="M26" s="4">
        <f>$M$8*'[2]Eurostat POM Portables GU'!M17</f>
        <v>361.7296708985748</v>
      </c>
      <c r="N26" s="4">
        <f>$N$8*'[2]Eurostat POM Portables GU'!N17</f>
        <v>346.42540448372154</v>
      </c>
      <c r="O26" s="4">
        <f>$O$8*'[2]Eurostat POM Portables GU'!O17</f>
        <v>321.10242143419578</v>
      </c>
      <c r="P26" s="4">
        <f>$P$8*'[2]Eurostat POM Portables GU'!P17</f>
        <v>422.29635519067966</v>
      </c>
      <c r="Q26" s="4">
        <f>$Q$8*'[2]Eurostat POM Portables GU'!Q17</f>
        <v>486.29859966279122</v>
      </c>
      <c r="R26" s="4">
        <f>$R$8*'[2]Eurostat POM Portables GU'!R17</f>
        <v>402.40600145672488</v>
      </c>
      <c r="S26" s="4">
        <f>$S$8*'[2]Eurostat POM Portables GU'!S17</f>
        <v>674.94856975252344</v>
      </c>
      <c r="T26" s="4">
        <f>$T$8*'[2]Eurostat POM Portables GU'!T17</f>
        <v>537.99581390355343</v>
      </c>
      <c r="U26" s="4">
        <f>$U$8*'[2]Eurostat POM Portables GU'!U17</f>
        <v>675.14789175629994</v>
      </c>
      <c r="V26" s="4">
        <f>$V$8*'[2]Eurostat POM Portables GU'!V17</f>
        <v>946.83681852033646</v>
      </c>
      <c r="W26" s="4">
        <f>$W$8*'[2]Eurostat POM Portables GU'!W17</f>
        <v>1009.6092987956656</v>
      </c>
      <c r="X26" s="48">
        <f>'[3]POM Portables Li-Rechargeable'!Y26</f>
        <v>1110.5702286752321</v>
      </c>
      <c r="Y26" s="48">
        <f>'[3]POM Portables Li-Rechargeable'!Z26</f>
        <v>1221.6272515427554</v>
      </c>
      <c r="Z26" s="48">
        <f>'[3]POM Portables Li-Rechargeable'!AA26</f>
        <v>1343.7899766970309</v>
      </c>
      <c r="AA26" s="48">
        <f>'[3]POM Portables Li-Rechargeable'!AB26</f>
        <v>1478.1689743667339</v>
      </c>
      <c r="AB26" s="48">
        <f>'[3]POM Portables Li-Rechargeable'!AC26</f>
        <v>1625.9858718034072</v>
      </c>
      <c r="AC26" s="48">
        <f>'[3]POM Portables Li-Rechargeable'!AD26</f>
        <v>1788.5844589837479</v>
      </c>
      <c r="AD26" s="48">
        <f>'[3]POM Portables Li-Rechargeable'!AE26</f>
        <v>1967.4429048821228</v>
      </c>
      <c r="AE26" s="48">
        <f>'[3]POM Portables Li-Rechargeable'!AF26</f>
        <v>2164.1871953703348</v>
      </c>
      <c r="AF26" s="48">
        <f>'[3]POM Portables Li-Rechargeable'!AG26</f>
        <v>2380.6059149073685</v>
      </c>
      <c r="AG26" s="48">
        <f>'[3]POM Portables Li-Rechargeable'!AH26</f>
        <v>2523.4422698018107</v>
      </c>
      <c r="AH26" s="48">
        <f>'[3]POM Portables Li-Rechargeable'!AI26</f>
        <v>2674.8488059899191</v>
      </c>
      <c r="AI26" s="48">
        <f>'[3]POM Portables Li-Rechargeable'!AJ26</f>
        <v>2835.3397343493143</v>
      </c>
      <c r="AJ26" s="48">
        <f>'[3]POM Portables Li-Rechargeable'!AK26</f>
        <v>3005.460118410273</v>
      </c>
      <c r="AK26" s="48">
        <f>'[3]POM Portables Li-Rechargeable'!AL26</f>
        <v>3185.7877255148892</v>
      </c>
      <c r="AL26" s="48">
        <f>'[3]POM Portables Li-Rechargeable'!AM26</f>
        <v>3376.9349890457825</v>
      </c>
      <c r="AM26" s="48">
        <f>'[3]POM Portables Li-Rechargeable'!AN26</f>
        <v>3579.5510883885295</v>
      </c>
      <c r="AN26" s="48">
        <f>'[3]POM Portables Li-Rechargeable'!AO26</f>
        <v>3794.3241536918413</v>
      </c>
      <c r="AO26" s="48">
        <f>'[3]POM Portables Li-Rechargeable'!AP26</f>
        <v>4021.9836029133517</v>
      </c>
      <c r="AP26" s="48">
        <f>'[3]POM Portables Li-Rechargeable'!AQ26</f>
        <v>4263.3026190881528</v>
      </c>
      <c r="AQ26" s="48">
        <f>'[3]POM Portables Li-Rechargeable'!AR26</f>
        <v>4348.5686714699159</v>
      </c>
      <c r="AR26" s="48">
        <f>'[3]POM Portables Li-Rechargeable'!AS26</f>
        <v>4435.5400448993141</v>
      </c>
      <c r="AS26" s="48">
        <f>'[3]POM Portables Li-Rechargeable'!AT26</f>
        <v>4524.2508457973008</v>
      </c>
      <c r="AT26" s="48">
        <f>'[3]POM Portables Li-Rechargeable'!AU26</f>
        <v>4614.7358627132471</v>
      </c>
      <c r="AU26" s="48">
        <f>'[3]POM Portables Li-Rechargeable'!AV26</f>
        <v>4707.0305799675125</v>
      </c>
      <c r="AV26" s="48">
        <f>'[3]POM Portables Li-Rechargeable'!AW26</f>
        <v>4801.1711915668629</v>
      </c>
      <c r="AW26" s="48">
        <f>'[3]POM Portables Li-Rechargeable'!AX26</f>
        <v>4897.1946153981999</v>
      </c>
      <c r="AX26" s="48">
        <f>'[3]POM Portables Li-Rechargeable'!AY26</f>
        <v>4995.1385077061641</v>
      </c>
      <c r="AY26" s="48">
        <f>'[3]POM Portables Li-Rechargeable'!AZ26</f>
        <v>5095.0412778602877</v>
      </c>
      <c r="AZ26" s="48">
        <f>'[3]POM Portables Li-Rechargeable'!BA26</f>
        <v>5196.9421034174939</v>
      </c>
    </row>
    <row r="27" spans="1:52" x14ac:dyDescent="0.35">
      <c r="A27" s="61" t="s">
        <v>15</v>
      </c>
      <c r="B27" s="23">
        <f t="shared" si="9"/>
        <v>334.65061199839164</v>
      </c>
      <c r="C27" s="23">
        <f t="shared" si="9"/>
        <v>448.4318200778448</v>
      </c>
      <c r="D27" s="23">
        <f t="shared" si="1"/>
        <v>600.89863890431207</v>
      </c>
      <c r="E27" s="23">
        <f t="shared" si="1"/>
        <v>901.3479583564681</v>
      </c>
      <c r="F27" s="23">
        <f t="shared" si="2"/>
        <v>1352.0219375347021</v>
      </c>
      <c r="G27" s="23">
        <f t="shared" si="3"/>
        <v>1649.4667637923365</v>
      </c>
      <c r="H27" s="23">
        <f t="shared" si="4"/>
        <v>1946.3707812749569</v>
      </c>
      <c r="I27" s="23">
        <f t="shared" si="5"/>
        <v>2316.1812297171987</v>
      </c>
      <c r="J27" s="23">
        <f t="shared" si="6"/>
        <v>3126.8446601182181</v>
      </c>
      <c r="K27" s="23">
        <f t="shared" si="7"/>
        <v>2313.8650484874815</v>
      </c>
      <c r="L27" s="23">
        <f t="shared" si="8"/>
        <v>3887.293281458969</v>
      </c>
      <c r="M27" s="4">
        <f>$M$8*'[2]Eurostat POM Portables GU'!M18</f>
        <v>5092.3541987112494</v>
      </c>
      <c r="N27" s="4">
        <f>$N$8*'[2]Eurostat POM Portables GU'!N18</f>
        <v>5226.2095197665412</v>
      </c>
      <c r="O27" s="4">
        <f>$O$8*'[2]Eurostat POM Portables GU'!O18</f>
        <v>4453.8122785779924</v>
      </c>
      <c r="P27" s="4">
        <f>$P$8*'[2]Eurostat POM Portables GU'!P18</f>
        <v>4362.8366998441797</v>
      </c>
      <c r="Q27" s="4">
        <f>$Q$8*'[2]Eurostat POM Portables GU'!Q18</f>
        <v>4412.1504929593984</v>
      </c>
      <c r="R27" s="4">
        <f>$R$8*'[2]Eurostat POM Portables GU'!R18</f>
        <v>5040.7152626693269</v>
      </c>
      <c r="S27" s="4">
        <f>$S$8*'[2]Eurostat POM Portables GU'!S18</f>
        <v>5778.5991462866423</v>
      </c>
      <c r="T27" s="4">
        <f>$T$8*'[2]Eurostat POM Portables GU'!T18</f>
        <v>5580.9896253415409</v>
      </c>
      <c r="U27" s="4">
        <f>$U$8*'[2]Eurostat POM Portables GU'!U18</f>
        <v>6520.0379163764155</v>
      </c>
      <c r="V27" s="4">
        <f>$V$8*'[2]Eurostat POM Portables GU'!V18</f>
        <v>7526.7121292366774</v>
      </c>
      <c r="W27" s="4">
        <f>$W$8*'[2]Eurostat POM Portables GU'!W18</f>
        <v>8848.0277551009094</v>
      </c>
      <c r="X27" s="48">
        <f>'[3]POM Portables Li-Rechargeable'!Y27</f>
        <v>9732.8305306109996</v>
      </c>
      <c r="Y27" s="48">
        <f>'[3]POM Portables Li-Rechargeable'!Z27</f>
        <v>10706.113583672101</v>
      </c>
      <c r="Z27" s="48">
        <f>'[3]POM Portables Li-Rechargeable'!AA27</f>
        <v>11776.724942039311</v>
      </c>
      <c r="AA27" s="48">
        <f>'[3]POM Portables Li-Rechargeable'!AB27</f>
        <v>12954.397436243242</v>
      </c>
      <c r="AB27" s="48">
        <f>'[3]POM Portables Li-Rechargeable'!AC27</f>
        <v>14249.837179867565</v>
      </c>
      <c r="AC27" s="48">
        <f>'[3]POM Portables Li-Rechargeable'!AD27</f>
        <v>15674.820897854323</v>
      </c>
      <c r="AD27" s="48">
        <f>'[3]POM Portables Li-Rechargeable'!AE27</f>
        <v>17242.302987639756</v>
      </c>
      <c r="AE27" s="48">
        <f>'[3]POM Portables Li-Rechargeable'!AF27</f>
        <v>18966.53328640373</v>
      </c>
      <c r="AF27" s="48">
        <f>'[3]POM Portables Li-Rechargeable'!AG27</f>
        <v>20863.186615044102</v>
      </c>
      <c r="AG27" s="48">
        <f>'[3]POM Portables Li-Rechargeable'!AH27</f>
        <v>22114.977811946748</v>
      </c>
      <c r="AH27" s="48">
        <f>'[3]POM Portables Li-Rechargeable'!AI27</f>
        <v>23441.876480663552</v>
      </c>
      <c r="AI27" s="48">
        <f>'[3]POM Portables Li-Rechargeable'!AJ27</f>
        <v>24848.389069503366</v>
      </c>
      <c r="AJ27" s="48">
        <f>'[3]POM Portables Li-Rechargeable'!AK27</f>
        <v>26339.292413673567</v>
      </c>
      <c r="AK27" s="48">
        <f>'[3]POM Portables Li-Rechargeable'!AL27</f>
        <v>27919.649958493981</v>
      </c>
      <c r="AL27" s="48">
        <f>'[3]POM Portables Li-Rechargeable'!AM27</f>
        <v>29594.828956003621</v>
      </c>
      <c r="AM27" s="48">
        <f>'[3]POM Portables Li-Rechargeable'!AN27</f>
        <v>31370.51869336384</v>
      </c>
      <c r="AN27" s="48">
        <f>'[3]POM Portables Li-Rechargeable'!AO27</f>
        <v>33252.749814965668</v>
      </c>
      <c r="AO27" s="48">
        <f>'[3]POM Portables Li-Rechargeable'!AP27</f>
        <v>35247.914803863605</v>
      </c>
      <c r="AP27" s="48">
        <f>'[3]POM Portables Li-Rechargeable'!AQ27</f>
        <v>37362.789692095423</v>
      </c>
      <c r="AQ27" s="48">
        <f>'[3]POM Portables Li-Rechargeable'!AR27</f>
        <v>38110.045485937328</v>
      </c>
      <c r="AR27" s="48">
        <f>'[3]POM Portables Li-Rechargeable'!AS27</f>
        <v>38872.246395656075</v>
      </c>
      <c r="AS27" s="48">
        <f>'[3]POM Portables Li-Rechargeable'!AT27</f>
        <v>39649.691323569197</v>
      </c>
      <c r="AT27" s="48">
        <f>'[3]POM Portables Li-Rechargeable'!AU27</f>
        <v>40442.685150040583</v>
      </c>
      <c r="AU27" s="48">
        <f>'[3]POM Portables Li-Rechargeable'!AV27</f>
        <v>41251.538853041391</v>
      </c>
      <c r="AV27" s="48">
        <f>'[3]POM Portables Li-Rechargeable'!AW27</f>
        <v>42076.569630102218</v>
      </c>
      <c r="AW27" s="48">
        <f>'[3]POM Portables Li-Rechargeable'!AX27</f>
        <v>42918.101022704264</v>
      </c>
      <c r="AX27" s="48">
        <f>'[3]POM Portables Li-Rechargeable'!AY27</f>
        <v>43776.46304315835</v>
      </c>
      <c r="AY27" s="48">
        <f>'[3]POM Portables Li-Rechargeable'!AZ27</f>
        <v>44651.992304021514</v>
      </c>
      <c r="AZ27" s="48">
        <f>'[3]POM Portables Li-Rechargeable'!BA27</f>
        <v>45545.032150101943</v>
      </c>
    </row>
    <row r="28" spans="1:52" x14ac:dyDescent="0.35">
      <c r="A28" s="61" t="s">
        <v>16</v>
      </c>
      <c r="B28" s="23">
        <f t="shared" si="9"/>
        <v>13.05491427228867</v>
      </c>
      <c r="C28" s="23">
        <f t="shared" si="9"/>
        <v>17.493585124866819</v>
      </c>
      <c r="D28" s="23">
        <f t="shared" si="1"/>
        <v>23.441404067321539</v>
      </c>
      <c r="E28" s="23">
        <f t="shared" si="1"/>
        <v>35.162106100982307</v>
      </c>
      <c r="F28" s="23">
        <f t="shared" si="2"/>
        <v>52.743159151473456</v>
      </c>
      <c r="G28" s="23">
        <f t="shared" si="3"/>
        <v>64.346654164797613</v>
      </c>
      <c r="H28" s="23">
        <f t="shared" si="4"/>
        <v>75.929051914461184</v>
      </c>
      <c r="I28" s="23">
        <f t="shared" si="5"/>
        <v>90.355571778208798</v>
      </c>
      <c r="J28" s="23">
        <f t="shared" si="6"/>
        <v>121.98002190058189</v>
      </c>
      <c r="K28" s="23">
        <f t="shared" si="7"/>
        <v>90.265216206430594</v>
      </c>
      <c r="L28" s="23">
        <f t="shared" si="8"/>
        <v>151.6455632268034</v>
      </c>
      <c r="M28" s="4">
        <f>$M$8*'[2]Eurostat POM Portables GU'!M19</f>
        <v>198.65568782711247</v>
      </c>
      <c r="N28" s="4">
        <f>$N$8*'[2]Eurostat POM Portables GU'!N19</f>
        <v>85.682135728650636</v>
      </c>
      <c r="O28" s="4">
        <f>$O$8*'[2]Eurostat POM Portables GU'!O19</f>
        <v>86.53685079730397</v>
      </c>
      <c r="P28" s="4">
        <f>$P$8*'[2]Eurostat POM Portables GU'!P19</f>
        <v>98.203969650014926</v>
      </c>
      <c r="Q28" s="4">
        <f>$Q$8*'[2]Eurostat POM Portables GU'!Q19</f>
        <v>91.572383146564846</v>
      </c>
      <c r="R28" s="4">
        <f>$R$8*'[2]Eurostat POM Portables GU'!R19</f>
        <v>86.977562624821402</v>
      </c>
      <c r="S28" s="4">
        <f>$S$8*'[2]Eurostat POM Portables GU'!S19</f>
        <v>110.71729066072838</v>
      </c>
      <c r="T28" s="4">
        <f>$T$8*'[2]Eurostat POM Portables GU'!T19</f>
        <v>120.17228156000722</v>
      </c>
      <c r="U28" s="4">
        <f>$U$8*'[2]Eurostat POM Portables GU'!U19</f>
        <v>143.13059332102452</v>
      </c>
      <c r="V28" s="4">
        <f>$V$8*'[2]Eurostat POM Portables GU'!V19</f>
        <v>178.14695990435101</v>
      </c>
      <c r="W28" s="4">
        <f>$W$8*'[2]Eurostat POM Portables GU'!W19</f>
        <v>187.31916838435291</v>
      </c>
      <c r="X28" s="48">
        <f>'[3]POM Portables Li-Rechargeable'!Y28</f>
        <v>206.0510852227882</v>
      </c>
      <c r="Y28" s="48">
        <f>'[3]POM Portables Li-Rechargeable'!Z28</f>
        <v>226.65619374506701</v>
      </c>
      <c r="Z28" s="48">
        <f>'[3]POM Portables Li-Rechargeable'!AA28</f>
        <v>249.32181311957373</v>
      </c>
      <c r="AA28" s="48">
        <f>'[3]POM Portables Li-Rechargeable'!AB28</f>
        <v>274.25399443153111</v>
      </c>
      <c r="AB28" s="48">
        <f>'[3]POM Portables Li-Rechargeable'!AC28</f>
        <v>301.67939387468425</v>
      </c>
      <c r="AC28" s="48">
        <f>'[3]POM Portables Li-Rechargeable'!AD28</f>
        <v>331.84733326215269</v>
      </c>
      <c r="AD28" s="48">
        <f>'[3]POM Portables Li-Rechargeable'!AE28</f>
        <v>365.03206658836797</v>
      </c>
      <c r="AE28" s="48">
        <f>'[3]POM Portables Li-Rechargeable'!AF28</f>
        <v>401.53527324720477</v>
      </c>
      <c r="AF28" s="48">
        <f>'[3]POM Portables Li-Rechargeable'!AG28</f>
        <v>441.68880057192524</v>
      </c>
      <c r="AG28" s="48">
        <f>'[3]POM Portables Li-Rechargeable'!AH28</f>
        <v>468.19012860624076</v>
      </c>
      <c r="AH28" s="48">
        <f>'[3]POM Portables Li-Rechargeable'!AI28</f>
        <v>496.28153632261518</v>
      </c>
      <c r="AI28" s="48">
        <f>'[3]POM Portables Li-Rechargeable'!AJ28</f>
        <v>526.05842850197212</v>
      </c>
      <c r="AJ28" s="48">
        <f>'[3]POM Portables Li-Rechargeable'!AK28</f>
        <v>557.62193421209042</v>
      </c>
      <c r="AK28" s="48">
        <f>'[3]POM Portables Li-Rechargeable'!AL28</f>
        <v>591.07925026481587</v>
      </c>
      <c r="AL28" s="48">
        <f>'[3]POM Portables Li-Rechargeable'!AM28</f>
        <v>626.54400528070482</v>
      </c>
      <c r="AM28" s="48">
        <f>'[3]POM Portables Li-Rechargeable'!AN28</f>
        <v>664.13664559754716</v>
      </c>
      <c r="AN28" s="48">
        <f>'[3]POM Portables Li-Rechargeable'!AO28</f>
        <v>703.98484433340002</v>
      </c>
      <c r="AO28" s="48">
        <f>'[3]POM Portables Li-Rechargeable'!AP28</f>
        <v>746.22393499340399</v>
      </c>
      <c r="AP28" s="48">
        <f>'[3]POM Portables Li-Rechargeable'!AQ28</f>
        <v>790.99737109300827</v>
      </c>
      <c r="AQ28" s="48">
        <f>'[3]POM Portables Li-Rechargeable'!AR28</f>
        <v>806.81731851486848</v>
      </c>
      <c r="AR28" s="48">
        <f>'[3]POM Portables Li-Rechargeable'!AS28</f>
        <v>822.95366488516584</v>
      </c>
      <c r="AS28" s="48">
        <f>'[3]POM Portables Li-Rechargeable'!AT28</f>
        <v>839.41273818286913</v>
      </c>
      <c r="AT28" s="48">
        <f>'[3]POM Portables Li-Rechargeable'!AU28</f>
        <v>856.20099294652653</v>
      </c>
      <c r="AU28" s="48">
        <f>'[3]POM Portables Li-Rechargeable'!AV28</f>
        <v>873.32501280545705</v>
      </c>
      <c r="AV28" s="48">
        <f>'[3]POM Portables Li-Rechargeable'!AW28</f>
        <v>890.79151306156621</v>
      </c>
      <c r="AW28" s="48">
        <f>'[3]POM Portables Li-Rechargeable'!AX28</f>
        <v>908.60734332279753</v>
      </c>
      <c r="AX28" s="48">
        <f>'[3]POM Portables Li-Rechargeable'!AY28</f>
        <v>926.77949018925347</v>
      </c>
      <c r="AY28" s="48">
        <f>'[3]POM Portables Li-Rechargeable'!AZ28</f>
        <v>945.31507999303858</v>
      </c>
      <c r="AZ28" s="48">
        <f>'[3]POM Portables Li-Rechargeable'!BA28</f>
        <v>964.22138159289932</v>
      </c>
    </row>
    <row r="29" spans="1:52" x14ac:dyDescent="0.35">
      <c r="A29" s="61" t="s">
        <v>17</v>
      </c>
      <c r="B29" s="23">
        <f t="shared" si="9"/>
        <v>8.0296965431634426</v>
      </c>
      <c r="C29" s="23">
        <f t="shared" si="9"/>
        <v>10.759793367839015</v>
      </c>
      <c r="D29" s="23">
        <f t="shared" ref="D29:E42" si="10">E29/1.5</f>
        <v>14.418123112904281</v>
      </c>
      <c r="E29" s="23">
        <f t="shared" si="10"/>
        <v>21.627184669356421</v>
      </c>
      <c r="F29" s="23">
        <f t="shared" si="2"/>
        <v>32.440777004034629</v>
      </c>
      <c r="G29" s="23">
        <f t="shared" si="3"/>
        <v>39.577747944922251</v>
      </c>
      <c r="H29" s="23">
        <f t="shared" si="4"/>
        <v>46.701742575008254</v>
      </c>
      <c r="I29" s="23">
        <f t="shared" si="5"/>
        <v>55.575073664259818</v>
      </c>
      <c r="J29" s="23">
        <f t="shared" si="6"/>
        <v>75.026349446750757</v>
      </c>
      <c r="K29" s="23">
        <f t="shared" si="7"/>
        <v>55.51949859059556</v>
      </c>
      <c r="L29" s="23">
        <f t="shared" si="8"/>
        <v>93.272757632200538</v>
      </c>
      <c r="M29" s="4">
        <f>$M$8*'[2]Eurostat POM Portables GU'!M20</f>
        <v>122.18731249818271</v>
      </c>
      <c r="N29" s="4">
        <f>$N$8*'[2]Eurostat POM Portables GU'!N20</f>
        <v>138.85426258650446</v>
      </c>
      <c r="O29" s="4">
        <f>$O$8*'[2]Eurostat POM Portables GU'!O20</f>
        <v>133.44298224787539</v>
      </c>
      <c r="P29" s="4">
        <f>$P$8*'[2]Eurostat POM Portables GU'!P20</f>
        <v>121.82308648477975</v>
      </c>
      <c r="Q29" s="4">
        <f>$Q$8*'[2]Eurostat POM Portables GU'!Q20</f>
        <v>125.93838374286058</v>
      </c>
      <c r="R29" s="4">
        <f>$R$8*'[2]Eurostat POM Portables GU'!R20</f>
        <v>152.87686170281026</v>
      </c>
      <c r="S29" s="4">
        <f>$S$8*'[2]Eurostat POM Portables GU'!S20</f>
        <v>187.63886162890682</v>
      </c>
      <c r="T29" s="4">
        <f>$T$8*'[2]Eurostat POM Portables GU'!T20</f>
        <v>175.50224915900517</v>
      </c>
      <c r="U29" s="4">
        <f>$U$8*'[2]Eurostat POM Portables GU'!U20</f>
        <v>189.93662641995547</v>
      </c>
      <c r="V29" s="4">
        <f>$V$8*'[2]Eurostat POM Portables GU'!V20</f>
        <v>218.33634793426896</v>
      </c>
      <c r="W29" s="4">
        <f>$W$8*'[2]Eurostat POM Portables GU'!W20</f>
        <v>254.04307653877933</v>
      </c>
      <c r="X29" s="48">
        <f>'[3]POM Portables Li-Rechargeable'!Y29</f>
        <v>279.4473841926573</v>
      </c>
      <c r="Y29" s="48">
        <f>'[3]POM Portables Li-Rechargeable'!Z29</f>
        <v>307.39212261192301</v>
      </c>
      <c r="Z29" s="48">
        <f>'[3]POM Portables Li-Rechargeable'!AA29</f>
        <v>338.13133487311529</v>
      </c>
      <c r="AA29" s="48">
        <f>'[3]POM Portables Li-Rechargeable'!AB29</f>
        <v>371.94446836042681</v>
      </c>
      <c r="AB29" s="48">
        <f>'[3]POM Portables Li-Rechargeable'!AC29</f>
        <v>409.1389151964695</v>
      </c>
      <c r="AC29" s="48">
        <f>'[3]POM Portables Li-Rechargeable'!AD29</f>
        <v>450.05280671611644</v>
      </c>
      <c r="AD29" s="48">
        <f>'[3]POM Portables Li-Rechargeable'!AE29</f>
        <v>495.05808738772805</v>
      </c>
      <c r="AE29" s="48">
        <f>'[3]POM Portables Li-Rechargeable'!AF29</f>
        <v>544.56389612650082</v>
      </c>
      <c r="AF29" s="48">
        <f>'[3]POM Portables Li-Rechargeable'!AG29</f>
        <v>599.02028573915095</v>
      </c>
      <c r="AG29" s="48">
        <f>'[3]POM Portables Li-Rechargeable'!AH29</f>
        <v>634.96150288349997</v>
      </c>
      <c r="AH29" s="48">
        <f>'[3]POM Portables Li-Rechargeable'!AI29</f>
        <v>673.05919305650991</v>
      </c>
      <c r="AI29" s="48">
        <f>'[3]POM Portables Li-Rechargeable'!AJ29</f>
        <v>713.44274463990052</v>
      </c>
      <c r="AJ29" s="48">
        <f>'[3]POM Portables Li-Rechargeable'!AK29</f>
        <v>756.24930931829454</v>
      </c>
      <c r="AK29" s="48">
        <f>'[3]POM Portables Li-Rechargeable'!AL29</f>
        <v>801.62426787739219</v>
      </c>
      <c r="AL29" s="48">
        <f>'[3]POM Portables Li-Rechargeable'!AM29</f>
        <v>849.72172395003577</v>
      </c>
      <c r="AM29" s="48">
        <f>'[3]POM Portables Li-Rechargeable'!AN29</f>
        <v>900.70502738703794</v>
      </c>
      <c r="AN29" s="48">
        <f>'[3]POM Portables Li-Rechargeable'!AO29</f>
        <v>954.74732903026018</v>
      </c>
      <c r="AO29" s="48">
        <f>'[3]POM Portables Li-Rechargeable'!AP29</f>
        <v>1012.0321687720758</v>
      </c>
      <c r="AP29" s="48">
        <f>'[3]POM Portables Li-Rechargeable'!AQ29</f>
        <v>1072.7540988984003</v>
      </c>
      <c r="AQ29" s="48">
        <f>'[3]POM Portables Li-Rechargeable'!AR29</f>
        <v>1094.2091808763685</v>
      </c>
      <c r="AR29" s="48">
        <f>'[3]POM Portables Li-Rechargeable'!AS29</f>
        <v>1116.0933644938959</v>
      </c>
      <c r="AS29" s="48">
        <f>'[3]POM Portables Li-Rechargeable'!AT29</f>
        <v>1138.4152317837738</v>
      </c>
      <c r="AT29" s="48">
        <f>'[3]POM Portables Li-Rechargeable'!AU29</f>
        <v>1161.1835364194494</v>
      </c>
      <c r="AU29" s="48">
        <f>'[3]POM Portables Li-Rechargeable'!AV29</f>
        <v>1184.4072071478383</v>
      </c>
      <c r="AV29" s="48">
        <f>'[3]POM Portables Li-Rechargeable'!AW29</f>
        <v>1208.0953512907952</v>
      </c>
      <c r="AW29" s="48">
        <f>'[3]POM Portables Li-Rechargeable'!AX29</f>
        <v>1232.2572583166111</v>
      </c>
      <c r="AX29" s="48">
        <f>'[3]POM Portables Li-Rechargeable'!AY29</f>
        <v>1256.9024034829433</v>
      </c>
      <c r="AY29" s="48">
        <f>'[3]POM Portables Li-Rechargeable'!AZ29</f>
        <v>1282.0404515526022</v>
      </c>
      <c r="AZ29" s="48">
        <f>'[3]POM Portables Li-Rechargeable'!BA29</f>
        <v>1307.6812605836542</v>
      </c>
    </row>
    <row r="30" spans="1:52" x14ac:dyDescent="0.35">
      <c r="A30" s="61" t="s">
        <v>18</v>
      </c>
      <c r="B30" s="23">
        <f t="shared" ref="B30:C42" si="11">C30/1.34</f>
        <v>2.0720699977909054</v>
      </c>
      <c r="C30" s="23">
        <f t="shared" si="11"/>
        <v>2.7765737970398132</v>
      </c>
      <c r="D30" s="23">
        <f t="shared" si="10"/>
        <v>3.7206088880333499</v>
      </c>
      <c r="E30" s="23">
        <f t="shared" si="10"/>
        <v>5.5809133320500246</v>
      </c>
      <c r="F30" s="23">
        <f t="shared" si="2"/>
        <v>8.3713699980750373</v>
      </c>
      <c r="G30" s="23">
        <f t="shared" si="3"/>
        <v>10.213071397651545</v>
      </c>
      <c r="H30" s="23">
        <f t="shared" si="4"/>
        <v>12.051424249228823</v>
      </c>
      <c r="I30" s="23">
        <f t="shared" si="5"/>
        <v>14.3411948565823</v>
      </c>
      <c r="J30" s="23">
        <f t="shared" si="6"/>
        <v>19.360613056386107</v>
      </c>
      <c r="K30" s="23">
        <f t="shared" si="7"/>
        <v>14.326853661725719</v>
      </c>
      <c r="L30" s="23">
        <f t="shared" si="8"/>
        <v>24.069114151699207</v>
      </c>
      <c r="M30" s="4">
        <f>$M$8*'[2]Eurostat POM Portables GU'!M21</f>
        <v>31.530539538725961</v>
      </c>
      <c r="N30" s="4">
        <f>$N$8*'[2]Eurostat POM Portables GU'!N21</f>
        <v>33.151011285038855</v>
      </c>
      <c r="O30" s="4">
        <f>$O$8*'[2]Eurostat POM Portables GU'!O21</f>
        <v>30.6499227150466</v>
      </c>
      <c r="P30" s="4">
        <f>$P$8*'[2]Eurostat POM Portables GU'!P21</f>
        <v>30.384737751524511</v>
      </c>
      <c r="Q30" s="4">
        <f>$Q$8*'[2]Eurostat POM Portables GU'!Q21</f>
        <v>30.944638972253085</v>
      </c>
      <c r="R30" s="4">
        <f>$R$8*'[2]Eurostat POM Portables GU'!R21</f>
        <v>40.077020470283578</v>
      </c>
      <c r="S30" s="4">
        <f>$S$8*'[2]Eurostat POM Portables GU'!S21</f>
        <v>45.357627054582821</v>
      </c>
      <c r="T30" s="4">
        <f>$T$8*'[2]Eurostat POM Portables GU'!T21</f>
        <v>48.13404328161073</v>
      </c>
      <c r="U30" s="4">
        <f>$U$8*'[2]Eurostat POM Portables GU'!U21</f>
        <v>61.284992424990463</v>
      </c>
      <c r="V30" s="4">
        <f>$V$8*'[2]Eurostat POM Portables GU'!V21</f>
        <v>69.750045056112853</v>
      </c>
      <c r="W30" s="4">
        <f>$W$8*'[2]Eurostat POM Portables GU'!W21</f>
        <v>77.935712393489894</v>
      </c>
      <c r="X30" s="48">
        <f>'[3]POM Portables Li-Rechargeable'!Y30</f>
        <v>85.729283632838886</v>
      </c>
      <c r="Y30" s="48">
        <f>'[3]POM Portables Li-Rechargeable'!Z30</f>
        <v>94.302211996122779</v>
      </c>
      <c r="Z30" s="48">
        <f>'[3]POM Portables Li-Rechargeable'!AA30</f>
        <v>103.73243319573506</v>
      </c>
      <c r="AA30" s="48">
        <f>'[3]POM Portables Li-Rechargeable'!AB30</f>
        <v>114.10567651530856</v>
      </c>
      <c r="AB30" s="48">
        <f>'[3]POM Portables Li-Rechargeable'!AC30</f>
        <v>125.51624416683941</v>
      </c>
      <c r="AC30" s="48">
        <f>'[3]POM Portables Li-Rechargeable'!AD30</f>
        <v>138.06786858352336</v>
      </c>
      <c r="AD30" s="48">
        <f>'[3]POM Portables Li-Rechargeable'!AE30</f>
        <v>151.87465544187569</v>
      </c>
      <c r="AE30" s="48">
        <f>'[3]POM Portables Li-Rechargeable'!AF30</f>
        <v>167.06212098606326</v>
      </c>
      <c r="AF30" s="48">
        <f>'[3]POM Portables Li-Rechargeable'!AG30</f>
        <v>183.76833308466959</v>
      </c>
      <c r="AG30" s="48">
        <f>'[3]POM Portables Li-Rechargeable'!AH30</f>
        <v>194.79443306974977</v>
      </c>
      <c r="AH30" s="48">
        <f>'[3]POM Portables Li-Rechargeable'!AI30</f>
        <v>206.48209905393475</v>
      </c>
      <c r="AI30" s="48">
        <f>'[3]POM Portables Li-Rechargeable'!AJ30</f>
        <v>218.87102499717082</v>
      </c>
      <c r="AJ30" s="48">
        <f>'[3]POM Portables Li-Rechargeable'!AK30</f>
        <v>232.00328649700106</v>
      </c>
      <c r="AK30" s="48">
        <f>'[3]POM Portables Li-Rechargeable'!AL30</f>
        <v>245.92348368682113</v>
      </c>
      <c r="AL30" s="48">
        <f>'[3]POM Portables Li-Rechargeable'!AM30</f>
        <v>260.67889270803039</v>
      </c>
      <c r="AM30" s="48">
        <f>'[3]POM Portables Li-Rechargeable'!AN30</f>
        <v>276.31962627051223</v>
      </c>
      <c r="AN30" s="48">
        <f>'[3]POM Portables Li-Rechargeable'!AO30</f>
        <v>292.89880384674296</v>
      </c>
      <c r="AO30" s="48">
        <f>'[3]POM Portables Li-Rechargeable'!AP30</f>
        <v>310.47273207754756</v>
      </c>
      <c r="AP30" s="48">
        <f>'[3]POM Portables Li-Rechargeable'!AQ30</f>
        <v>329.10109600220039</v>
      </c>
      <c r="AQ30" s="48">
        <f>'[3]POM Portables Li-Rechargeable'!AR30</f>
        <v>335.68311792224438</v>
      </c>
      <c r="AR30" s="48">
        <f>'[3]POM Portables Li-Rechargeable'!AS30</f>
        <v>342.39678028068926</v>
      </c>
      <c r="AS30" s="48">
        <f>'[3]POM Portables Li-Rechargeable'!AT30</f>
        <v>349.24471588630303</v>
      </c>
      <c r="AT30" s="48">
        <f>'[3]POM Portables Li-Rechargeable'!AU30</f>
        <v>356.22961020402909</v>
      </c>
      <c r="AU30" s="48">
        <f>'[3]POM Portables Li-Rechargeable'!AV30</f>
        <v>363.35420240810964</v>
      </c>
      <c r="AV30" s="48">
        <f>'[3]POM Portables Li-Rechargeable'!AW30</f>
        <v>370.62128645627183</v>
      </c>
      <c r="AW30" s="48">
        <f>'[3]POM Portables Li-Rechargeable'!AX30</f>
        <v>378.03371218539729</v>
      </c>
      <c r="AX30" s="48">
        <f>'[3]POM Portables Li-Rechargeable'!AY30</f>
        <v>385.59438642910521</v>
      </c>
      <c r="AY30" s="48">
        <f>'[3]POM Portables Li-Rechargeable'!AZ30</f>
        <v>393.30627415768731</v>
      </c>
      <c r="AZ30" s="48">
        <f>'[3]POM Portables Li-Rechargeable'!BA30</f>
        <v>401.17239964084104</v>
      </c>
    </row>
    <row r="31" spans="1:52" x14ac:dyDescent="0.35">
      <c r="A31" s="61" t="s">
        <v>19</v>
      </c>
      <c r="B31" s="23">
        <f t="shared" si="11"/>
        <v>0.99021582653050877</v>
      </c>
      <c r="C31" s="23">
        <f t="shared" si="11"/>
        <v>1.3268892075508818</v>
      </c>
      <c r="D31" s="23">
        <f t="shared" si="10"/>
        <v>1.7780315381181817</v>
      </c>
      <c r="E31" s="23">
        <f t="shared" si="10"/>
        <v>2.6670473071772727</v>
      </c>
      <c r="F31" s="23">
        <f t="shared" si="2"/>
        <v>4.0005709607659092</v>
      </c>
      <c r="G31" s="23">
        <f t="shared" si="3"/>
        <v>4.8806965721344087</v>
      </c>
      <c r="H31" s="23">
        <f t="shared" si="4"/>
        <v>5.7592219551186021</v>
      </c>
      <c r="I31" s="23">
        <f t="shared" si="5"/>
        <v>6.8534741265911361</v>
      </c>
      <c r="J31" s="23">
        <f t="shared" si="6"/>
        <v>9.2521900708980347</v>
      </c>
      <c r="K31" s="23">
        <f t="shared" si="7"/>
        <v>6.8466206524645461</v>
      </c>
      <c r="L31" s="23">
        <f t="shared" si="8"/>
        <v>11.502322696140437</v>
      </c>
      <c r="M31" s="4">
        <f>$M$8*'[2]Eurostat POM Portables GU'!M22</f>
        <v>15.068042731943972</v>
      </c>
      <c r="N31" s="4">
        <f>$N$8*'[2]Eurostat POM Portables GU'!N22</f>
        <v>18.514493554852713</v>
      </c>
      <c r="O31" s="4">
        <f>$O$8*'[2]Eurostat POM Portables GU'!O22</f>
        <v>14.935542843290506</v>
      </c>
      <c r="P31" s="4">
        <f>$P$8*'[2]Eurostat POM Portables GU'!P22</f>
        <v>18.229066804172948</v>
      </c>
      <c r="Q31" s="4">
        <f>$Q$8*'[2]Eurostat POM Portables GU'!Q22</f>
        <v>13.295400116566878</v>
      </c>
      <c r="R31" s="4">
        <f>$R$8*'[2]Eurostat POM Portables GU'!R22</f>
        <v>15.417384405405009</v>
      </c>
      <c r="S31" s="4">
        <f>$S$8*'[2]Eurostat POM Portables GU'!S22</f>
        <v>15.367434837895971</v>
      </c>
      <c r="T31" s="4">
        <f>$T$8*'[2]Eurostat POM Portables GU'!T22</f>
        <v>18.539667388371598</v>
      </c>
      <c r="U31" s="4">
        <f>$U$8*'[2]Eurostat POM Portables GU'!U22</f>
        <v>43.456630992265964</v>
      </c>
      <c r="V31" s="4">
        <f>$V$8*'[2]Eurostat POM Portables GU'!V22</f>
        <v>38.242266082489458</v>
      </c>
      <c r="W31" s="4">
        <f>$W$8*'[2]Eurostat POM Portables GU'!W22</f>
        <v>44.847216956253831</v>
      </c>
      <c r="X31" s="48">
        <f>'[3]POM Portables Li-Rechargeable'!Y31</f>
        <v>49.331938651879213</v>
      </c>
      <c r="Y31" s="48">
        <f>'[3]POM Portables Li-Rechargeable'!Z31</f>
        <v>54.265132517067137</v>
      </c>
      <c r="Z31" s="48">
        <f>'[3]POM Portables Li-Rechargeable'!AA31</f>
        <v>59.691645768773853</v>
      </c>
      <c r="AA31" s="48">
        <f>'[3]POM Portables Li-Rechargeable'!AB31</f>
        <v>65.660810345651242</v>
      </c>
      <c r="AB31" s="48">
        <f>'[3]POM Portables Li-Rechargeable'!AC31</f>
        <v>72.226891380216372</v>
      </c>
      <c r="AC31" s="48">
        <f>'[3]POM Portables Li-Rechargeable'!AD31</f>
        <v>79.449580518238008</v>
      </c>
      <c r="AD31" s="48">
        <f>'[3]POM Portables Li-Rechargeable'!AE31</f>
        <v>87.394538570061812</v>
      </c>
      <c r="AE31" s="48">
        <f>'[3]POM Portables Li-Rechargeable'!AF31</f>
        <v>96.133992427067994</v>
      </c>
      <c r="AF31" s="48">
        <f>'[3]POM Portables Li-Rechargeable'!AG31</f>
        <v>105.7473916697748</v>
      </c>
      <c r="AG31" s="48">
        <f>'[3]POM Portables Li-Rechargeable'!AH31</f>
        <v>112.09223516996128</v>
      </c>
      <c r="AH31" s="48">
        <f>'[3]POM Portables Li-Rechargeable'!AI31</f>
        <v>118.81776928015896</v>
      </c>
      <c r="AI31" s="48">
        <f>'[3]POM Portables Li-Rechargeable'!AJ31</f>
        <v>125.9468354369685</v>
      </c>
      <c r="AJ31" s="48">
        <f>'[3]POM Portables Li-Rechargeable'!AK31</f>
        <v>133.50364556318661</v>
      </c>
      <c r="AK31" s="48">
        <f>'[3]POM Portables Li-Rechargeable'!AL31</f>
        <v>141.5138642969778</v>
      </c>
      <c r="AL31" s="48">
        <f>'[3]POM Portables Li-Rechargeable'!AM31</f>
        <v>150.00469615479648</v>
      </c>
      <c r="AM31" s="48">
        <f>'[3]POM Portables Li-Rechargeable'!AN31</f>
        <v>159.00497792408427</v>
      </c>
      <c r="AN31" s="48">
        <f>'[3]POM Portables Li-Rechargeable'!AO31</f>
        <v>168.54527659952933</v>
      </c>
      <c r="AO31" s="48">
        <f>'[3]POM Portables Li-Rechargeable'!AP31</f>
        <v>178.65799319550109</v>
      </c>
      <c r="AP31" s="48">
        <f>'[3]POM Portables Li-Rechargeable'!AQ31</f>
        <v>189.37747278723117</v>
      </c>
      <c r="AQ31" s="48">
        <f>'[3]POM Portables Li-Rechargeable'!AR31</f>
        <v>193.16502224297579</v>
      </c>
      <c r="AR31" s="48">
        <f>'[3]POM Portables Li-Rechargeable'!AS31</f>
        <v>197.0283226878353</v>
      </c>
      <c r="AS31" s="48">
        <f>'[3]POM Portables Li-Rechargeable'!AT31</f>
        <v>200.968889141592</v>
      </c>
      <c r="AT31" s="48">
        <f>'[3]POM Portables Li-Rechargeable'!AU31</f>
        <v>204.98826692442384</v>
      </c>
      <c r="AU31" s="48">
        <f>'[3]POM Portables Li-Rechargeable'!AV31</f>
        <v>209.08803226291232</v>
      </c>
      <c r="AV31" s="48">
        <f>'[3]POM Portables Li-Rechargeable'!AW31</f>
        <v>213.26979290817056</v>
      </c>
      <c r="AW31" s="48">
        <f>'[3]POM Portables Li-Rechargeable'!AX31</f>
        <v>217.53518876633396</v>
      </c>
      <c r="AX31" s="48">
        <f>'[3]POM Portables Li-Rechargeable'!AY31</f>
        <v>221.88589254166064</v>
      </c>
      <c r="AY31" s="48">
        <f>'[3]POM Portables Li-Rechargeable'!AZ31</f>
        <v>226.32361039249386</v>
      </c>
      <c r="AZ31" s="48">
        <f>'[3]POM Portables Li-Rechargeable'!BA31</f>
        <v>230.85008260034374</v>
      </c>
    </row>
    <row r="32" spans="1:52" x14ac:dyDescent="0.35">
      <c r="A32" s="61" t="s">
        <v>20</v>
      </c>
      <c r="B32" s="23">
        <f t="shared" si="11"/>
        <v>88.201906802517101</v>
      </c>
      <c r="C32" s="23">
        <f t="shared" si="11"/>
        <v>118.19055511537292</v>
      </c>
      <c r="D32" s="23">
        <f t="shared" si="10"/>
        <v>158.37534385459972</v>
      </c>
      <c r="E32" s="23">
        <f t="shared" si="10"/>
        <v>237.56301578189957</v>
      </c>
      <c r="F32" s="23">
        <f t="shared" si="2"/>
        <v>356.34452367284933</v>
      </c>
      <c r="G32" s="23">
        <f t="shared" si="3"/>
        <v>434.7403188808762</v>
      </c>
      <c r="H32" s="23">
        <f t="shared" si="4"/>
        <v>512.99357627943391</v>
      </c>
      <c r="I32" s="23">
        <f t="shared" si="5"/>
        <v>610.46235577252628</v>
      </c>
      <c r="J32" s="23">
        <f t="shared" si="6"/>
        <v>824.12418029291052</v>
      </c>
      <c r="K32" s="23">
        <f t="shared" si="7"/>
        <v>609.8518934167538</v>
      </c>
      <c r="L32" s="23">
        <f t="shared" si="8"/>
        <v>1024.5511809401464</v>
      </c>
      <c r="M32" s="4">
        <f>$M$8*'[2]Eurostat POM Portables GU'!M23</f>
        <v>1342.1620470315918</v>
      </c>
      <c r="N32" s="4">
        <f>$N$8*'[2]Eurostat POM Portables GU'!N23</f>
        <v>1318.2276795936179</v>
      </c>
      <c r="O32" s="4">
        <f>$O$8*'[2]Eurostat POM Portables GU'!O23</f>
        <v>1139.5527125544982</v>
      </c>
      <c r="P32" s="4">
        <f>$P$8*'[2]Eurostat POM Portables GU'!P23</f>
        <v>1366.8692371331629</v>
      </c>
      <c r="Q32" s="4">
        <f>$Q$8*'[2]Eurostat POM Portables GU'!Q23</f>
        <v>1493.2587411029103</v>
      </c>
      <c r="R32" s="4">
        <f>$R$8*'[2]Eurostat POM Portables GU'!R23</f>
        <v>1795.2869373933154</v>
      </c>
      <c r="S32" s="4">
        <f>$S$8*'[2]Eurostat POM Portables GU'!S23</f>
        <v>2006.1159428618969</v>
      </c>
      <c r="T32" s="4">
        <f>$T$8*'[2]Eurostat POM Portables GU'!T23</f>
        <v>2206.3355724298126</v>
      </c>
      <c r="U32" s="4">
        <f>$U$8*'[2]Eurostat POM Portables GU'!U23</f>
        <v>2218.4154282765144</v>
      </c>
      <c r="V32" s="4">
        <f>$V$8*'[2]Eurostat POM Portables GU'!V23</f>
        <v>2910.2605006171225</v>
      </c>
      <c r="W32" s="4">
        <f>$W$8*'[2]Eurostat POM Portables GU'!W23</f>
        <v>3246.2275151688368</v>
      </c>
      <c r="X32" s="48">
        <f>'[3]POM Portables Li-Rechargeable'!Y32</f>
        <v>3570.8502666857203</v>
      </c>
      <c r="Y32" s="48">
        <f>'[3]POM Portables Li-Rechargeable'!Z32</f>
        <v>3927.9352933542923</v>
      </c>
      <c r="Z32" s="48">
        <f>'[3]POM Portables Li-Rechargeable'!AA32</f>
        <v>4320.7288226897217</v>
      </c>
      <c r="AA32" s="48">
        <f>'[3]POM Portables Li-Rechargeable'!AB32</f>
        <v>4752.8017049586942</v>
      </c>
      <c r="AB32" s="48">
        <f>'[3]POM Portables Li-Rechargeable'!AC32</f>
        <v>5228.0818754545635</v>
      </c>
      <c r="AC32" s="48">
        <f>'[3]POM Portables Li-Rechargeable'!AD32</f>
        <v>5750.8900630000198</v>
      </c>
      <c r="AD32" s="48">
        <f>'[3]POM Portables Li-Rechargeable'!AE32</f>
        <v>6325.9790693000214</v>
      </c>
      <c r="AE32" s="48">
        <f>'[3]POM Portables Li-Rechargeable'!AF32</f>
        <v>6958.5769762300233</v>
      </c>
      <c r="AF32" s="48">
        <f>'[3]POM Portables Li-Rechargeable'!AG32</f>
        <v>7654.4346738530257</v>
      </c>
      <c r="AG32" s="48">
        <f>'[3]POM Portables Li-Rechargeable'!AH32</f>
        <v>8113.7007542842075</v>
      </c>
      <c r="AH32" s="48">
        <f>'[3]POM Portables Li-Rechargeable'!AI32</f>
        <v>8600.5227995412606</v>
      </c>
      <c r="AI32" s="48">
        <f>'[3]POM Portables Li-Rechargeable'!AJ32</f>
        <v>9116.5541675137356</v>
      </c>
      <c r="AJ32" s="48">
        <f>'[3]POM Portables Li-Rechargeable'!AK32</f>
        <v>9663.5474175645595</v>
      </c>
      <c r="AK32" s="48">
        <f>'[3]POM Portables Li-Rechargeable'!AL32</f>
        <v>10243.360262618433</v>
      </c>
      <c r="AL32" s="48">
        <f>'[3]POM Portables Li-Rechargeable'!AM32</f>
        <v>10857.96187837554</v>
      </c>
      <c r="AM32" s="48">
        <f>'[3]POM Portables Li-Rechargeable'!AN32</f>
        <v>11509.439591078071</v>
      </c>
      <c r="AN32" s="48">
        <f>'[3]POM Portables Li-Rechargeable'!AO32</f>
        <v>12200.005966542756</v>
      </c>
      <c r="AO32" s="48">
        <f>'[3]POM Portables Li-Rechargeable'!AP32</f>
        <v>12932.006324535321</v>
      </c>
      <c r="AP32" s="48">
        <f>'[3]POM Portables Li-Rechargeable'!AQ32</f>
        <v>13707.926704007441</v>
      </c>
      <c r="AQ32" s="48">
        <f>'[3]POM Portables Li-Rechargeable'!AR32</f>
        <v>13982.085238087589</v>
      </c>
      <c r="AR32" s="48">
        <f>'[3]POM Portables Li-Rechargeable'!AS32</f>
        <v>14261.726942849342</v>
      </c>
      <c r="AS32" s="48">
        <f>'[3]POM Portables Li-Rechargeable'!AT32</f>
        <v>14546.961481706328</v>
      </c>
      <c r="AT32" s="48">
        <f>'[3]POM Portables Li-Rechargeable'!AU32</f>
        <v>14837.900711340455</v>
      </c>
      <c r="AU32" s="48">
        <f>'[3]POM Portables Li-Rechargeable'!AV32</f>
        <v>15134.658725567264</v>
      </c>
      <c r="AV32" s="48">
        <f>'[3]POM Portables Li-Rechargeable'!AW32</f>
        <v>15437.351900078609</v>
      </c>
      <c r="AW32" s="48">
        <f>'[3]POM Portables Li-Rechargeable'!AX32</f>
        <v>15746.098938080182</v>
      </c>
      <c r="AX32" s="48">
        <f>'[3]POM Portables Li-Rechargeable'!AY32</f>
        <v>16061.020916841786</v>
      </c>
      <c r="AY32" s="48">
        <f>'[3]POM Portables Li-Rechargeable'!AZ32</f>
        <v>16382.241335178622</v>
      </c>
      <c r="AZ32" s="48">
        <f>'[3]POM Portables Li-Rechargeable'!BA32</f>
        <v>16709.886161882194</v>
      </c>
    </row>
    <row r="33" spans="1:52" x14ac:dyDescent="0.35">
      <c r="A33" s="61" t="s">
        <v>21</v>
      </c>
      <c r="B33" s="23">
        <f t="shared" si="11"/>
        <v>31.197639346049627</v>
      </c>
      <c r="C33" s="23">
        <f t="shared" si="11"/>
        <v>41.804836723706501</v>
      </c>
      <c r="D33" s="23">
        <f t="shared" si="10"/>
        <v>56.018481209766712</v>
      </c>
      <c r="E33" s="23">
        <f t="shared" si="10"/>
        <v>84.027721814650064</v>
      </c>
      <c r="F33" s="23">
        <f t="shared" si="2"/>
        <v>126.0415827219751</v>
      </c>
      <c r="G33" s="23">
        <f t="shared" si="3"/>
        <v>153.77073092080963</v>
      </c>
      <c r="H33" s="23">
        <f t="shared" si="4"/>
        <v>181.44946248655535</v>
      </c>
      <c r="I33" s="23">
        <f t="shared" si="5"/>
        <v>215.92486035900086</v>
      </c>
      <c r="J33" s="23">
        <f t="shared" si="6"/>
        <v>291.49856148465119</v>
      </c>
      <c r="K33" s="23">
        <f t="shared" si="7"/>
        <v>215.70893549864189</v>
      </c>
      <c r="L33" s="23">
        <f t="shared" si="8"/>
        <v>362.39101163771835</v>
      </c>
      <c r="M33" s="4">
        <f>$M$8*'[2]Eurostat POM Portables GU'!M24</f>
        <v>474.73222524541103</v>
      </c>
      <c r="N33" s="4">
        <f>$N$8*'[2]Eurostat POM Portables GU'!N24</f>
        <v>476.93420627538495</v>
      </c>
      <c r="O33" s="4">
        <f>$O$8*'[2]Eurostat POM Portables GU'!O24</f>
        <v>490.63375737174812</v>
      </c>
      <c r="P33" s="4">
        <f>$P$8*'[2]Eurostat POM Portables GU'!P24</f>
        <v>551.34713791442516</v>
      </c>
      <c r="Q33" s="4">
        <f>$Q$8*'[2]Eurostat POM Portables GU'!Q24</f>
        <v>353.52450918882158</v>
      </c>
      <c r="R33" s="4">
        <f>$R$8*'[2]Eurostat POM Portables GU'!R24</f>
        <v>455.97834514659377</v>
      </c>
      <c r="S33" s="4">
        <f>$S$8*'[2]Eurostat POM Portables GU'!S24</f>
        <v>812.14975009673424</v>
      </c>
      <c r="T33" s="4">
        <f>$T$8*'[2]Eurostat POM Portables GU'!T24</f>
        <v>719.01666567075938</v>
      </c>
      <c r="U33" s="4">
        <f>$U$8*'[2]Eurostat POM Portables GU'!U24</f>
        <v>1105.9155451236916</v>
      </c>
      <c r="V33" s="4">
        <f>$V$8*'[2]Eurostat POM Portables GU'!V24</f>
        <v>942.29371213737124</v>
      </c>
      <c r="W33" s="4">
        <f>$W$8*'[2]Eurostat POM Portables GU'!W24</f>
        <v>965.30899911936604</v>
      </c>
      <c r="X33" s="48">
        <f>'[3]POM Portables Li-Rechargeable'!Y33</f>
        <v>1061.8398990313026</v>
      </c>
      <c r="Y33" s="48">
        <f>'[3]POM Portables Li-Rechargeable'!Z33</f>
        <v>1168.0238889344328</v>
      </c>
      <c r="Z33" s="48">
        <f>'[3]POM Portables Li-Rechargeable'!AA33</f>
        <v>1284.8262778278761</v>
      </c>
      <c r="AA33" s="48">
        <f>'[3]POM Portables Li-Rechargeable'!AB33</f>
        <v>1413.3089056106637</v>
      </c>
      <c r="AB33" s="48">
        <f>'[3]POM Portables Li-Rechargeable'!AC33</f>
        <v>1554.63979617173</v>
      </c>
      <c r="AC33" s="48">
        <f>'[3]POM Portables Li-Rechargeable'!AD33</f>
        <v>1710.103775788903</v>
      </c>
      <c r="AD33" s="48">
        <f>'[3]POM Portables Li-Rechargeable'!AE33</f>
        <v>1881.1141533677933</v>
      </c>
      <c r="AE33" s="48">
        <f>'[3]POM Portables Li-Rechargeable'!AF33</f>
        <v>2069.2255687045727</v>
      </c>
      <c r="AF33" s="48">
        <f>'[3]POM Portables Li-Rechargeable'!AG33</f>
        <v>2276.14812557503</v>
      </c>
      <c r="AG33" s="48">
        <f>'[3]POM Portables Li-Rechargeable'!AH33</f>
        <v>2412.7170131095318</v>
      </c>
      <c r="AH33" s="48">
        <f>'[3]POM Portables Li-Rechargeable'!AI33</f>
        <v>2557.4800338961036</v>
      </c>
      <c r="AI33" s="48">
        <f>'[3]POM Portables Li-Rechargeable'!AJ33</f>
        <v>2710.9288359298698</v>
      </c>
      <c r="AJ33" s="48">
        <f>'[3]POM Portables Li-Rechargeable'!AK33</f>
        <v>2873.5845660856621</v>
      </c>
      <c r="AK33" s="48">
        <f>'[3]POM Portables Li-Rechargeable'!AL33</f>
        <v>3045.9996400508016</v>
      </c>
      <c r="AL33" s="48">
        <f>'[3]POM Portables Li-Rechargeable'!AM33</f>
        <v>3228.7596184538497</v>
      </c>
      <c r="AM33" s="48">
        <f>'[3]POM Portables Li-Rechargeable'!AN33</f>
        <v>3422.4851955610807</v>
      </c>
      <c r="AN33" s="48">
        <f>'[3]POM Portables Li-Rechargeable'!AO33</f>
        <v>3627.8343072947455</v>
      </c>
      <c r="AO33" s="48">
        <f>'[3]POM Portables Li-Rechargeable'!AP33</f>
        <v>3845.5043657324304</v>
      </c>
      <c r="AP33" s="48">
        <f>'[3]POM Portables Li-Rechargeable'!AQ33</f>
        <v>4076.234627676376</v>
      </c>
      <c r="AQ33" s="48">
        <f>'[3]POM Portables Li-Rechargeable'!AR33</f>
        <v>4157.7593202299031</v>
      </c>
      <c r="AR33" s="48">
        <f>'[3]POM Portables Li-Rechargeable'!AS33</f>
        <v>4240.9145066345009</v>
      </c>
      <c r="AS33" s="48">
        <f>'[3]POM Portables Li-Rechargeable'!AT33</f>
        <v>4325.7327967671908</v>
      </c>
      <c r="AT33" s="48">
        <f>'[3]POM Portables Li-Rechargeable'!AU33</f>
        <v>4412.2474527025342</v>
      </c>
      <c r="AU33" s="48">
        <f>'[3]POM Portables Li-Rechargeable'!AV33</f>
        <v>4500.4924017565845</v>
      </c>
      <c r="AV33" s="48">
        <f>'[3]POM Portables Li-Rechargeable'!AW33</f>
        <v>4590.5022497917162</v>
      </c>
      <c r="AW33" s="48">
        <f>'[3]POM Portables Li-Rechargeable'!AX33</f>
        <v>4682.3122947875509</v>
      </c>
      <c r="AX33" s="48">
        <f>'[3]POM Portables Li-Rechargeable'!AY33</f>
        <v>4775.9585406833021</v>
      </c>
      <c r="AY33" s="48">
        <f>'[3]POM Portables Li-Rechargeable'!AZ33</f>
        <v>4871.4777114969684</v>
      </c>
      <c r="AZ33" s="48">
        <f>'[3]POM Portables Li-Rechargeable'!BA33</f>
        <v>4968.907265726908</v>
      </c>
    </row>
    <row r="34" spans="1:52" x14ac:dyDescent="0.35">
      <c r="A34" s="61" t="s">
        <v>22</v>
      </c>
      <c r="B34" s="23">
        <f t="shared" si="11"/>
        <v>113.39111022393801</v>
      </c>
      <c r="C34" s="23">
        <f t="shared" si="11"/>
        <v>151.94408770007695</v>
      </c>
      <c r="D34" s="23">
        <f t="shared" si="10"/>
        <v>203.60507751810312</v>
      </c>
      <c r="E34" s="23">
        <f t="shared" si="10"/>
        <v>305.40761627715466</v>
      </c>
      <c r="F34" s="23">
        <f t="shared" si="2"/>
        <v>458.11142441573202</v>
      </c>
      <c r="G34" s="23">
        <f t="shared" si="3"/>
        <v>558.89593778719302</v>
      </c>
      <c r="H34" s="23">
        <f t="shared" si="4"/>
        <v>659.49720658888771</v>
      </c>
      <c r="I34" s="23">
        <f t="shared" si="5"/>
        <v>784.8016758407764</v>
      </c>
      <c r="J34" s="23">
        <f t="shared" si="6"/>
        <v>1059.4822623850482</v>
      </c>
      <c r="K34" s="23">
        <f t="shared" si="7"/>
        <v>784.01687416493564</v>
      </c>
      <c r="L34" s="23">
        <f t="shared" si="8"/>
        <v>1317.1483485970919</v>
      </c>
      <c r="M34" s="4">
        <f>$M$8*'[2]Eurostat POM Portables GU'!M25</f>
        <v>1725.4643366621904</v>
      </c>
      <c r="N34" s="4">
        <f>$N$8*'[2]Eurostat POM Portables GU'!N25</f>
        <v>1881.9901907344768</v>
      </c>
      <c r="O34" s="4">
        <f>$O$8*'[2]Eurostat POM Portables GU'!O25</f>
        <v>1890.6940277233564</v>
      </c>
      <c r="P34" s="4">
        <f>$P$8*'[2]Eurostat POM Portables GU'!P25</f>
        <v>2095.3215706033766</v>
      </c>
      <c r="Q34" s="4">
        <f>$Q$8*'[2]Eurostat POM Portables GU'!Q25</f>
        <v>2213.6211506662903</v>
      </c>
      <c r="R34" s="4">
        <f>$R$8*'[2]Eurostat POM Portables GU'!R25</f>
        <v>2619.9329759476709</v>
      </c>
      <c r="S34" s="4">
        <f>$S$8*'[2]Eurostat POM Portables GU'!S25</f>
        <v>3029.7089593772585</v>
      </c>
      <c r="T34" s="4">
        <f>$T$8*'[2]Eurostat POM Portables GU'!T25</f>
        <v>3071.8271257900665</v>
      </c>
      <c r="U34" s="4">
        <f>$U$8*'[2]Eurostat POM Portables GU'!U25</f>
        <v>4912.9291448132853</v>
      </c>
      <c r="V34" s="4">
        <f>$V$8*'[2]Eurostat POM Portables GU'!V25</f>
        <v>5226.4430312735594</v>
      </c>
      <c r="W34" s="4">
        <f>$W$8*'[2]Eurostat POM Portables GU'!W25</f>
        <v>5700.5188089638259</v>
      </c>
      <c r="X34" s="48">
        <f>'[3]POM Portables Li-Rechargeable'!Y34</f>
        <v>6270.5706898602084</v>
      </c>
      <c r="Y34" s="48">
        <f>'[3]POM Portables Li-Rechargeable'!Z34</f>
        <v>6897.627758846229</v>
      </c>
      <c r="Z34" s="48">
        <f>'[3]POM Portables Li-Rechargeable'!AA34</f>
        <v>7587.3905347308519</v>
      </c>
      <c r="AA34" s="48">
        <f>'[3]POM Portables Li-Rechargeable'!AB34</f>
        <v>8346.1295882039376</v>
      </c>
      <c r="AB34" s="48">
        <f>'[3]POM Portables Li-Rechargeable'!AC34</f>
        <v>9180.7425470243306</v>
      </c>
      <c r="AC34" s="48">
        <f>'[3]POM Portables Li-Rechargeable'!AD34</f>
        <v>10098.816801726764</v>
      </c>
      <c r="AD34" s="48">
        <f>'[3]POM Portables Li-Rechargeable'!AE34</f>
        <v>11108.698481899441</v>
      </c>
      <c r="AE34" s="48">
        <f>'[3]POM Portables Li-Rechargeable'!AF34</f>
        <v>12219.568330089385</v>
      </c>
      <c r="AF34" s="48">
        <f>'[3]POM Portables Li-Rechargeable'!AG34</f>
        <v>13441.525163098324</v>
      </c>
      <c r="AG34" s="48">
        <f>'[3]POM Portables Li-Rechargeable'!AH34</f>
        <v>14248.016672884223</v>
      </c>
      <c r="AH34" s="48">
        <f>'[3]POM Portables Li-Rechargeable'!AI34</f>
        <v>15102.897673257277</v>
      </c>
      <c r="AI34" s="48">
        <f>'[3]POM Portables Li-Rechargeable'!AJ34</f>
        <v>16009.071533652714</v>
      </c>
      <c r="AJ34" s="48">
        <f>'[3]POM Portables Li-Rechargeable'!AK34</f>
        <v>16969.615825671877</v>
      </c>
      <c r="AK34" s="48">
        <f>'[3]POM Portables Li-Rechargeable'!AL34</f>
        <v>17987.79277521219</v>
      </c>
      <c r="AL34" s="48">
        <f>'[3]POM Portables Li-Rechargeable'!AM34</f>
        <v>19067.060341724922</v>
      </c>
      <c r="AM34" s="48">
        <f>'[3]POM Portables Li-Rechargeable'!AN34</f>
        <v>20211.083962228418</v>
      </c>
      <c r="AN34" s="48">
        <f>'[3]POM Portables Li-Rechargeable'!AO34</f>
        <v>21423.748999962125</v>
      </c>
      <c r="AO34" s="48">
        <f>'[3]POM Portables Li-Rechargeable'!AP34</f>
        <v>22709.173939959852</v>
      </c>
      <c r="AP34" s="48">
        <f>'[3]POM Portables Li-Rechargeable'!AQ34</f>
        <v>24071.724376357444</v>
      </c>
      <c r="AQ34" s="48">
        <f>'[3]POM Portables Li-Rechargeable'!AR34</f>
        <v>24553.158863884593</v>
      </c>
      <c r="AR34" s="48">
        <f>'[3]POM Portables Li-Rechargeable'!AS34</f>
        <v>25044.222041162284</v>
      </c>
      <c r="AS34" s="48">
        <f>'[3]POM Portables Li-Rechargeable'!AT34</f>
        <v>25545.106481985531</v>
      </c>
      <c r="AT34" s="48">
        <f>'[3]POM Portables Li-Rechargeable'!AU34</f>
        <v>26056.008611625242</v>
      </c>
      <c r="AU34" s="48">
        <f>'[3]POM Portables Li-Rechargeable'!AV34</f>
        <v>26577.128783857748</v>
      </c>
      <c r="AV34" s="48">
        <f>'[3]POM Portables Li-Rechargeable'!AW34</f>
        <v>27108.671359534903</v>
      </c>
      <c r="AW34" s="48">
        <f>'[3]POM Portables Li-Rechargeable'!AX34</f>
        <v>27650.8447867256</v>
      </c>
      <c r="AX34" s="48">
        <f>'[3]POM Portables Li-Rechargeable'!AY34</f>
        <v>28203.861682460112</v>
      </c>
      <c r="AY34" s="48">
        <f>'[3]POM Portables Li-Rechargeable'!AZ34</f>
        <v>28767.938916109313</v>
      </c>
      <c r="AZ34" s="48">
        <f>'[3]POM Portables Li-Rechargeable'!BA34</f>
        <v>29343.297694431498</v>
      </c>
    </row>
    <row r="35" spans="1:52" x14ac:dyDescent="0.35">
      <c r="A35" s="61" t="s">
        <v>23</v>
      </c>
      <c r="B35" s="23">
        <f t="shared" si="11"/>
        <v>19.280344807030868</v>
      </c>
      <c r="C35" s="23">
        <f t="shared" si="11"/>
        <v>25.835662041421365</v>
      </c>
      <c r="D35" s="23">
        <f t="shared" si="10"/>
        <v>34.61978713550463</v>
      </c>
      <c r="E35" s="23">
        <f t="shared" si="10"/>
        <v>51.929680703256942</v>
      </c>
      <c r="F35" s="23">
        <f t="shared" si="2"/>
        <v>77.894521054885416</v>
      </c>
      <c r="G35" s="23">
        <f t="shared" si="3"/>
        <v>95.031315686960198</v>
      </c>
      <c r="H35" s="23">
        <f t="shared" si="4"/>
        <v>112.13695251061303</v>
      </c>
      <c r="I35" s="23">
        <f t="shared" si="5"/>
        <v>133.4429734876295</v>
      </c>
      <c r="J35" s="23">
        <f t="shared" si="6"/>
        <v>180.14801420829983</v>
      </c>
      <c r="K35" s="23">
        <f t="shared" si="7"/>
        <v>133.30953051414187</v>
      </c>
      <c r="L35" s="23">
        <f t="shared" si="8"/>
        <v>223.96001126375833</v>
      </c>
      <c r="M35" s="4">
        <f>$M$8*'[2]Eurostat POM Portables GU'!M26</f>
        <v>293.38761475552343</v>
      </c>
      <c r="N35" s="4">
        <f>$N$8*'[2]Eurostat POM Portables GU'!N26</f>
        <v>307.24968075678993</v>
      </c>
      <c r="O35" s="4">
        <f>$O$8*'[2]Eurostat POM Portables GU'!O26</f>
        <v>289.84487155469969</v>
      </c>
      <c r="P35" s="4">
        <f>$P$8*'[2]Eurostat POM Portables GU'!P26</f>
        <v>323.20410700043607</v>
      </c>
      <c r="Q35" s="4">
        <f>$Q$8*'[2]Eurostat POM Portables GU'!Q26</f>
        <v>278.32184005857863</v>
      </c>
      <c r="R35" s="4">
        <f>$R$8*'[2]Eurostat POM Portables GU'!R26</f>
        <v>363.55582855185816</v>
      </c>
      <c r="S35" s="4">
        <f>$S$8*'[2]Eurostat POM Portables GU'!S26</f>
        <v>505.70369268318461</v>
      </c>
      <c r="T35" s="4">
        <f>$T$8*'[2]Eurostat POM Portables GU'!T26</f>
        <v>565.63258516572228</v>
      </c>
      <c r="U35" s="4">
        <f>$U$8*'[2]Eurostat POM Portables GU'!U26</f>
        <v>654.88839012820392</v>
      </c>
      <c r="V35" s="4">
        <f>$V$8*'[2]Eurostat POM Portables GU'!V26</f>
        <v>649.93145431596338</v>
      </c>
      <c r="W35" s="4">
        <f>$W$8*'[2]Eurostat POM Portables GU'!W26</f>
        <v>784.82629673444205</v>
      </c>
      <c r="X35" s="48">
        <f>'[3]POM Portables Li-Rechargeable'!Y35</f>
        <v>863.30892640788625</v>
      </c>
      <c r="Y35" s="48">
        <f>'[3]POM Portables Li-Rechargeable'!Z35</f>
        <v>949.63981904867489</v>
      </c>
      <c r="Z35" s="48">
        <f>'[3]POM Portables Li-Rechargeable'!AA35</f>
        <v>1044.6038009535423</v>
      </c>
      <c r="AA35" s="48">
        <f>'[3]POM Portables Li-Rechargeable'!AB35</f>
        <v>1149.0641810488964</v>
      </c>
      <c r="AB35" s="48">
        <f>'[3]POM Portables Li-Rechargeable'!AC35</f>
        <v>1263.970599153786</v>
      </c>
      <c r="AC35" s="48">
        <f>'[3]POM Portables Li-Rechargeable'!AD35</f>
        <v>1390.3676590691646</v>
      </c>
      <c r="AD35" s="48">
        <f>'[3]POM Portables Li-Rechargeable'!AE35</f>
        <v>1529.4044249760809</v>
      </c>
      <c r="AE35" s="48">
        <f>'[3]POM Portables Li-Rechargeable'!AF35</f>
        <v>1682.344867473689</v>
      </c>
      <c r="AF35" s="48">
        <f>'[3]POM Portables Li-Rechargeable'!AG35</f>
        <v>1850.5793542210579</v>
      </c>
      <c r="AG35" s="48">
        <f>'[3]POM Portables Li-Rechargeable'!AH35</f>
        <v>1961.6141154743214</v>
      </c>
      <c r="AH35" s="48">
        <f>'[3]POM Portables Li-Rechargeable'!AI35</f>
        <v>2079.3109624027807</v>
      </c>
      <c r="AI35" s="48">
        <f>'[3]POM Portables Li-Rechargeable'!AJ35</f>
        <v>2204.0696201469473</v>
      </c>
      <c r="AJ35" s="48">
        <f>'[3]POM Portables Li-Rechargeable'!AK35</f>
        <v>2336.3137973557641</v>
      </c>
      <c r="AK35" s="48">
        <f>'[3]POM Portables Li-Rechargeable'!AL35</f>
        <v>2476.4926251971101</v>
      </c>
      <c r="AL35" s="48">
        <f>'[3]POM Portables Li-Rechargeable'!AM35</f>
        <v>2625.0821827089367</v>
      </c>
      <c r="AM35" s="48">
        <f>'[3]POM Portables Li-Rechargeable'!AN35</f>
        <v>2782.5871136714727</v>
      </c>
      <c r="AN35" s="48">
        <f>'[3]POM Portables Li-Rechargeable'!AO35</f>
        <v>2949.542340491761</v>
      </c>
      <c r="AO35" s="48">
        <f>'[3]POM Portables Li-Rechargeable'!AP35</f>
        <v>3126.5148809212665</v>
      </c>
      <c r="AP35" s="48">
        <f>'[3]POM Portables Li-Rechargeable'!AQ35</f>
        <v>3314.1057737765423</v>
      </c>
      <c r="AQ35" s="48">
        <f>'[3]POM Portables Li-Rechargeable'!AR35</f>
        <v>3380.3878892520729</v>
      </c>
      <c r="AR35" s="48">
        <f>'[3]POM Portables Li-Rechargeable'!AS35</f>
        <v>3447.9956470371144</v>
      </c>
      <c r="AS35" s="48">
        <f>'[3]POM Portables Li-Rechargeable'!AT35</f>
        <v>3516.9555599778569</v>
      </c>
      <c r="AT35" s="48">
        <f>'[3]POM Portables Li-Rechargeable'!AU35</f>
        <v>3587.2946711774139</v>
      </c>
      <c r="AU35" s="48">
        <f>'[3]POM Portables Li-Rechargeable'!AV35</f>
        <v>3659.0405646009622</v>
      </c>
      <c r="AV35" s="48">
        <f>'[3]POM Portables Li-Rechargeable'!AW35</f>
        <v>3732.2213758929815</v>
      </c>
      <c r="AW35" s="48">
        <f>'[3]POM Portables Li-Rechargeable'!AX35</f>
        <v>3806.8658034108412</v>
      </c>
      <c r="AX35" s="48">
        <f>'[3]POM Portables Li-Rechargeable'!AY35</f>
        <v>3883.0031194790581</v>
      </c>
      <c r="AY35" s="48">
        <f>'[3]POM Portables Li-Rechargeable'!AZ35</f>
        <v>3960.6631818686392</v>
      </c>
      <c r="AZ35" s="48">
        <f>'[3]POM Portables Li-Rechargeable'!BA35</f>
        <v>4039.8764455060118</v>
      </c>
    </row>
    <row r="36" spans="1:52" x14ac:dyDescent="0.35">
      <c r="A36" s="61" t="s">
        <v>24</v>
      </c>
      <c r="B36" s="23">
        <f t="shared" si="11"/>
        <v>30.581008553603592</v>
      </c>
      <c r="C36" s="23">
        <f t="shared" si="11"/>
        <v>40.978551461828815</v>
      </c>
      <c r="D36" s="23">
        <f t="shared" si="10"/>
        <v>54.911258958850617</v>
      </c>
      <c r="E36" s="23">
        <f t="shared" si="10"/>
        <v>82.366888438275922</v>
      </c>
      <c r="F36" s="23">
        <f t="shared" si="2"/>
        <v>123.55033265741388</v>
      </c>
      <c r="G36" s="23">
        <f t="shared" si="3"/>
        <v>150.73140584204492</v>
      </c>
      <c r="H36" s="23">
        <f t="shared" si="4"/>
        <v>177.86305889361299</v>
      </c>
      <c r="I36" s="23">
        <f t="shared" si="5"/>
        <v>211.65704008339944</v>
      </c>
      <c r="J36" s="23">
        <f t="shared" si="6"/>
        <v>285.73700411258926</v>
      </c>
      <c r="K36" s="23">
        <f t="shared" si="7"/>
        <v>211.44538304331607</v>
      </c>
      <c r="L36" s="23">
        <f t="shared" si="8"/>
        <v>355.22824351277097</v>
      </c>
      <c r="M36" s="4">
        <f>$M$8*'[2]Eurostat POM Portables GU'!M27</f>
        <v>465.34899900172996</v>
      </c>
      <c r="N36" s="4">
        <f>$N$8*'[2]Eurostat POM Portables GU'!N27</f>
        <v>486.44448032159102</v>
      </c>
      <c r="O36" s="4">
        <f>$O$8*'[2]Eurostat POM Portables GU'!O27</f>
        <v>291.56032725101829</v>
      </c>
      <c r="P36" s="4">
        <f>$P$8*'[2]Eurostat POM Portables GU'!P27</f>
        <v>308.46457904382277</v>
      </c>
      <c r="Q36" s="4">
        <f>$Q$8*'[2]Eurostat POM Portables GU'!Q27</f>
        <v>476.04369023593989</v>
      </c>
      <c r="R36" s="4">
        <f>$R$8*'[2]Eurostat POM Portables GU'!R27</f>
        <v>478.47055051256922</v>
      </c>
      <c r="S36" s="4">
        <f>$S$8*'[2]Eurostat POM Portables GU'!S27</f>
        <v>818.016905835138</v>
      </c>
      <c r="T36" s="4">
        <f>$T$8*'[2]Eurostat POM Portables GU'!T27</f>
        <v>645.31860897164245</v>
      </c>
      <c r="U36" s="4">
        <f>$U$8*'[2]Eurostat POM Portables GU'!U27</f>
        <v>1082.8703620217323</v>
      </c>
      <c r="V36" s="4">
        <f>$V$8*'[2]Eurostat POM Portables GU'!V27</f>
        <v>1326.5870638258398</v>
      </c>
      <c r="W36" s="4">
        <f>$W$8*'[2]Eurostat POM Portables GU'!W27</f>
        <v>1879.7546912029809</v>
      </c>
      <c r="X36" s="48">
        <f>'[3]POM Portables Li-Rechargeable'!Y36</f>
        <v>2067.7301603232791</v>
      </c>
      <c r="Y36" s="48">
        <f>'[3]POM Portables Li-Rechargeable'!Z36</f>
        <v>2274.5031763556071</v>
      </c>
      <c r="Z36" s="48">
        <f>'[3]POM Portables Li-Rechargeable'!AA36</f>
        <v>2501.9534939911678</v>
      </c>
      <c r="AA36" s="48">
        <f>'[3]POM Portables Li-Rechargeable'!AB36</f>
        <v>2752.1488433902846</v>
      </c>
      <c r="AB36" s="48">
        <f>'[3]POM Portables Li-Rechargeable'!AC36</f>
        <v>3027.3637277293128</v>
      </c>
      <c r="AC36" s="48">
        <f>'[3]POM Portables Li-Rechargeable'!AD36</f>
        <v>3330.100100502244</v>
      </c>
      <c r="AD36" s="48">
        <f>'[3]POM Portables Li-Rechargeable'!AE36</f>
        <v>3663.1101105524685</v>
      </c>
      <c r="AE36" s="48">
        <f>'[3]POM Portables Li-Rechargeable'!AF36</f>
        <v>4029.4211216077156</v>
      </c>
      <c r="AF36" s="48">
        <f>'[3]POM Portables Li-Rechargeable'!AG36</f>
        <v>4432.3632337684867</v>
      </c>
      <c r="AG36" s="48">
        <f>'[3]POM Portables Li-Rechargeable'!AH36</f>
        <v>4698.3050277945958</v>
      </c>
      <c r="AH36" s="48">
        <f>'[3]POM Portables Li-Rechargeable'!AI36</f>
        <v>4980.2033294622715</v>
      </c>
      <c r="AI36" s="48">
        <f>'[3]POM Portables Li-Rechargeable'!AJ36</f>
        <v>5279.0155292300078</v>
      </c>
      <c r="AJ36" s="48">
        <f>'[3]POM Portables Li-Rechargeable'!AK36</f>
        <v>5595.7564609838082</v>
      </c>
      <c r="AK36" s="48">
        <f>'[3]POM Portables Li-Rechargeable'!AL36</f>
        <v>5931.5018486428371</v>
      </c>
      <c r="AL36" s="48">
        <f>'[3]POM Portables Li-Rechargeable'!AM36</f>
        <v>6287.391959561407</v>
      </c>
      <c r="AM36" s="48">
        <f>'[3]POM Portables Li-Rechargeable'!AN36</f>
        <v>6664.6354771350916</v>
      </c>
      <c r="AN36" s="48">
        <f>'[3]POM Portables Li-Rechargeable'!AO36</f>
        <v>7064.5136057631971</v>
      </c>
      <c r="AO36" s="48">
        <f>'[3]POM Portables Li-Rechargeable'!AP36</f>
        <v>7488.3844221089894</v>
      </c>
      <c r="AP36" s="48">
        <f>'[3]POM Portables Li-Rechargeable'!AQ36</f>
        <v>7937.687487435529</v>
      </c>
      <c r="AQ36" s="48">
        <f>'[3]POM Portables Li-Rechargeable'!AR36</f>
        <v>8096.44123718424</v>
      </c>
      <c r="AR36" s="48">
        <f>'[3]POM Portables Li-Rechargeable'!AS36</f>
        <v>8258.3700619279243</v>
      </c>
      <c r="AS36" s="48">
        <f>'[3]POM Portables Li-Rechargeable'!AT36</f>
        <v>8423.5374631664836</v>
      </c>
      <c r="AT36" s="48">
        <f>'[3]POM Portables Li-Rechargeable'!AU36</f>
        <v>8592.0082124298133</v>
      </c>
      <c r="AU36" s="48">
        <f>'[3]POM Portables Li-Rechargeable'!AV36</f>
        <v>8763.8483766784102</v>
      </c>
      <c r="AV36" s="48">
        <f>'[3]POM Portables Li-Rechargeable'!AW36</f>
        <v>8939.1253442119778</v>
      </c>
      <c r="AW36" s="48">
        <f>'[3]POM Portables Li-Rechargeable'!AX36</f>
        <v>9117.9078510962172</v>
      </c>
      <c r="AX36" s="48">
        <f>'[3]POM Portables Li-Rechargeable'!AY36</f>
        <v>9300.2660081181421</v>
      </c>
      <c r="AY36" s="48">
        <f>'[3]POM Portables Li-Rechargeable'!AZ36</f>
        <v>9486.2713282805053</v>
      </c>
      <c r="AZ36" s="48">
        <f>'[3]POM Portables Li-Rechargeable'!BA36</f>
        <v>9675.9967548461154</v>
      </c>
    </row>
    <row r="37" spans="1:52" x14ac:dyDescent="0.35">
      <c r="A37" s="61" t="s">
        <v>25</v>
      </c>
      <c r="B37" s="23">
        <f t="shared" si="11"/>
        <v>11.114551712288383</v>
      </c>
      <c r="C37" s="23">
        <f t="shared" si="11"/>
        <v>14.893499294466434</v>
      </c>
      <c r="D37" s="23">
        <f t="shared" si="10"/>
        <v>19.957289054585022</v>
      </c>
      <c r="E37" s="23">
        <f t="shared" si="10"/>
        <v>29.935933581877535</v>
      </c>
      <c r="F37" s="23">
        <f t="shared" si="2"/>
        <v>44.903900372816302</v>
      </c>
      <c r="G37" s="23">
        <f t="shared" si="3"/>
        <v>54.782758454835886</v>
      </c>
      <c r="H37" s="23">
        <f t="shared" si="4"/>
        <v>64.643654976706344</v>
      </c>
      <c r="I37" s="23">
        <f t="shared" si="5"/>
        <v>76.925949422280539</v>
      </c>
      <c r="J37" s="23">
        <f t="shared" si="6"/>
        <v>103.85003172007873</v>
      </c>
      <c r="K37" s="23">
        <f t="shared" si="7"/>
        <v>76.849023472858264</v>
      </c>
      <c r="L37" s="23">
        <f t="shared" si="8"/>
        <v>129.10635943440187</v>
      </c>
      <c r="M37" s="4">
        <f>$M$8*'[2]Eurostat POM Portables GU'!M28</f>
        <v>169.12933085906647</v>
      </c>
      <c r="N37" s="4">
        <f>$N$8*'[2]Eurostat POM Portables GU'!N28</f>
        <v>177.56299563491621</v>
      </c>
      <c r="O37" s="4">
        <f>$O$8*'[2]Eurostat POM Portables GU'!O28</f>
        <v>159.46016746601461</v>
      </c>
      <c r="P37" s="4">
        <f>$P$8*'[2]Eurostat POM Portables GU'!P28</f>
        <v>149.52629565624571</v>
      </c>
      <c r="Q37" s="4">
        <f>$Q$8*'[2]Eurostat POM Portables GU'!Q28</f>
        <v>168.93613950549795</v>
      </c>
      <c r="R37" s="4">
        <f>$R$8*'[2]Eurostat POM Portables GU'!R28</f>
        <v>252.7305984758699</v>
      </c>
      <c r="S37" s="4">
        <f>$S$8*'[2]Eurostat POM Portables GU'!S28</f>
        <v>329.46336069497971</v>
      </c>
      <c r="T37" s="4">
        <f>$T$8*'[2]Eurostat POM Portables GU'!T28</f>
        <v>353.29005930139169</v>
      </c>
      <c r="U37" s="4">
        <f>$U$8*'[2]Eurostat POM Portables GU'!U28</f>
        <v>442.67011057389806</v>
      </c>
      <c r="V37" s="4">
        <f>$V$8*'[2]Eurostat POM Portables GU'!V28</f>
        <v>542.50035043643322</v>
      </c>
      <c r="W37" s="4">
        <f>$W$8*'[2]Eurostat POM Portables GU'!W28</f>
        <v>620.75111274814753</v>
      </c>
      <c r="X37" s="48">
        <f>'[3]POM Portables Li-Rechargeable'!Y37</f>
        <v>682.82622402296226</v>
      </c>
      <c r="Y37" s="48">
        <f>'[3]POM Portables Li-Rechargeable'!Z37</f>
        <v>751.10884642525843</v>
      </c>
      <c r="Z37" s="48">
        <f>'[3]POM Portables Li-Rechargeable'!AA37</f>
        <v>826.21973106778432</v>
      </c>
      <c r="AA37" s="48">
        <f>'[3]POM Portables Li-Rechargeable'!AB37</f>
        <v>908.84170417456278</v>
      </c>
      <c r="AB37" s="48">
        <f>'[3]POM Portables Li-Rechargeable'!AC37</f>
        <v>999.72587459201907</v>
      </c>
      <c r="AC37" s="48">
        <f>'[3]POM Portables Li-Rechargeable'!AD37</f>
        <v>1099.698462051221</v>
      </c>
      <c r="AD37" s="48">
        <f>'[3]POM Portables Li-Rechargeable'!AE37</f>
        <v>1209.6683082563432</v>
      </c>
      <c r="AE37" s="48">
        <f>'[3]POM Portables Li-Rechargeable'!AF37</f>
        <v>1330.6351390819775</v>
      </c>
      <c r="AF37" s="48">
        <f>'[3]POM Portables Li-Rechargeable'!AG37</f>
        <v>1463.6986529901753</v>
      </c>
      <c r="AG37" s="48">
        <f>'[3]POM Portables Li-Rechargeable'!AH37</f>
        <v>1551.5205721695859</v>
      </c>
      <c r="AH37" s="48">
        <f>'[3]POM Portables Li-Rechargeable'!AI37</f>
        <v>1644.6118064997611</v>
      </c>
      <c r="AI37" s="48">
        <f>'[3]POM Portables Li-Rechargeable'!AJ37</f>
        <v>1743.2885148897467</v>
      </c>
      <c r="AJ37" s="48">
        <f>'[3]POM Portables Li-Rechargeable'!AK37</f>
        <v>1847.8858257831314</v>
      </c>
      <c r="AK37" s="48">
        <f>'[3]POM Portables Li-Rechargeable'!AL37</f>
        <v>1958.7589753301193</v>
      </c>
      <c r="AL37" s="48">
        <f>'[3]POM Portables Li-Rechargeable'!AM37</f>
        <v>2076.2845138499265</v>
      </c>
      <c r="AM37" s="48">
        <f>'[3]POM Portables Li-Rechargeable'!AN37</f>
        <v>2200.8615846809221</v>
      </c>
      <c r="AN37" s="48">
        <f>'[3]POM Portables Li-Rechargeable'!AO37</f>
        <v>2332.9132797617776</v>
      </c>
      <c r="AO37" s="48">
        <f>'[3]POM Portables Li-Rechargeable'!AP37</f>
        <v>2472.8880765474842</v>
      </c>
      <c r="AP37" s="48">
        <f>'[3]POM Portables Li-Rechargeable'!AQ37</f>
        <v>2621.2613611403331</v>
      </c>
      <c r="AQ37" s="48">
        <f>'[3]POM Portables Li-Rechargeable'!AR37</f>
        <v>2673.6865883631399</v>
      </c>
      <c r="AR37" s="48">
        <f>'[3]POM Portables Li-Rechargeable'!AS37</f>
        <v>2727.1603201304029</v>
      </c>
      <c r="AS37" s="48">
        <f>'[3]POM Portables Li-Rechargeable'!AT37</f>
        <v>2781.703526533011</v>
      </c>
      <c r="AT37" s="48">
        <f>'[3]POM Portables Li-Rechargeable'!AU37</f>
        <v>2837.3375970636712</v>
      </c>
      <c r="AU37" s="48">
        <f>'[3]POM Portables Li-Rechargeable'!AV37</f>
        <v>2894.0843490049447</v>
      </c>
      <c r="AV37" s="48">
        <f>'[3]POM Portables Li-Rechargeable'!AW37</f>
        <v>2951.9660359850436</v>
      </c>
      <c r="AW37" s="48">
        <f>'[3]POM Portables Li-Rechargeable'!AX37</f>
        <v>3011.0053567047444</v>
      </c>
      <c r="AX37" s="48">
        <f>'[3]POM Portables Li-Rechargeable'!AY37</f>
        <v>3071.2254638388395</v>
      </c>
      <c r="AY37" s="48">
        <f>'[3]POM Portables Li-Rechargeable'!AZ37</f>
        <v>3132.6499731156164</v>
      </c>
      <c r="AZ37" s="48">
        <f>'[3]POM Portables Li-Rechargeable'!BA37</f>
        <v>3195.3029725779288</v>
      </c>
    </row>
    <row r="38" spans="1:52" x14ac:dyDescent="0.35">
      <c r="A38" s="61" t="s">
        <v>26</v>
      </c>
      <c r="B38" s="23">
        <f t="shared" si="11"/>
        <v>7.5987241298298125</v>
      </c>
      <c r="C38" s="23">
        <f t="shared" si="11"/>
        <v>10.182290333971949</v>
      </c>
      <c r="D38" s="23">
        <f t="shared" si="10"/>
        <v>13.644269047522412</v>
      </c>
      <c r="E38" s="23">
        <f t="shared" si="10"/>
        <v>20.466403571283617</v>
      </c>
      <c r="F38" s="23">
        <f t="shared" si="2"/>
        <v>30.699605356925428</v>
      </c>
      <c r="G38" s="23">
        <f t="shared" si="3"/>
        <v>37.453518535449021</v>
      </c>
      <c r="H38" s="23">
        <f t="shared" si="4"/>
        <v>44.195151871829843</v>
      </c>
      <c r="I38" s="23">
        <f t="shared" si="5"/>
        <v>52.592230727477514</v>
      </c>
      <c r="J38" s="23">
        <f t="shared" si="6"/>
        <v>70.999511482094647</v>
      </c>
      <c r="K38" s="23">
        <f t="shared" si="7"/>
        <v>52.539638496750037</v>
      </c>
      <c r="L38" s="23">
        <f t="shared" si="8"/>
        <v>88.266592674540064</v>
      </c>
      <c r="M38" s="4">
        <f>$M$8*'[2]Eurostat POM Portables GU'!M29</f>
        <v>115.62923640364748</v>
      </c>
      <c r="N38" s="4">
        <f>$N$8*'[2]Eurostat POM Portables GU'!N29</f>
        <v>128.20048284840951</v>
      </c>
      <c r="O38" s="4">
        <f>$O$8*'[2]Eurostat POM Portables GU'!O29</f>
        <v>120.85402165845318</v>
      </c>
      <c r="P38" s="4">
        <f>$P$8*'[2]Eurostat POM Portables GU'!P29</f>
        <v>127.68338073258985</v>
      </c>
      <c r="Q38" s="4">
        <f>$Q$8*'[2]Eurostat POM Portables GU'!Q29</f>
        <v>119.28078859653368</v>
      </c>
      <c r="R38" s="4">
        <f>$R$8*'[2]Eurostat POM Portables GU'!R29</f>
        <v>178.3018461739147</v>
      </c>
      <c r="S38" s="4">
        <f>$S$8*'[2]Eurostat POM Portables GU'!S29</f>
        <v>178.27127051303697</v>
      </c>
      <c r="T38" s="4">
        <f>$T$8*'[2]Eurostat POM Portables GU'!T29</f>
        <v>189.5421895730413</v>
      </c>
      <c r="U38" s="4">
        <f>$U$8*'[2]Eurostat POM Portables GU'!U29</f>
        <v>210.95206070254983</v>
      </c>
      <c r="V38" s="4">
        <f>$V$8*'[2]Eurostat POM Portables GU'!V29</f>
        <v>220.74152190172111</v>
      </c>
      <c r="W38" s="4">
        <f>$W$8*'[2]Eurostat POM Portables GU'!W29</f>
        <v>241.73743773980726</v>
      </c>
      <c r="X38" s="48">
        <f>'[3]POM Portables Li-Rechargeable'!Y38</f>
        <v>265.91118151378799</v>
      </c>
      <c r="Y38" s="48">
        <f>'[3]POM Portables Li-Rechargeable'!Z38</f>
        <v>292.50229966516679</v>
      </c>
      <c r="Z38" s="48">
        <f>'[3]POM Portables Li-Rechargeable'!AA38</f>
        <v>321.75252963168344</v>
      </c>
      <c r="AA38" s="48">
        <f>'[3]POM Portables Li-Rechargeable'!AB38</f>
        <v>353.92778259485181</v>
      </c>
      <c r="AB38" s="48">
        <f>'[3]POM Portables Li-Rechargeable'!AC38</f>
        <v>389.32056085433697</v>
      </c>
      <c r="AC38" s="48">
        <f>'[3]POM Portables Li-Rechargeable'!AD38</f>
        <v>428.25261693977069</v>
      </c>
      <c r="AD38" s="48">
        <f>'[3]POM Portables Li-Rechargeable'!AE38</f>
        <v>471.07787863374779</v>
      </c>
      <c r="AE38" s="48">
        <f>'[3]POM Portables Li-Rechargeable'!AF38</f>
        <v>518.18566649712261</v>
      </c>
      <c r="AF38" s="48">
        <f>'[3]POM Portables Li-Rechargeable'!AG38</f>
        <v>570.00423314683485</v>
      </c>
      <c r="AG38" s="48">
        <f>'[3]POM Portables Li-Rechargeable'!AH38</f>
        <v>604.20448713564497</v>
      </c>
      <c r="AH38" s="48">
        <f>'[3]POM Portables Li-Rechargeable'!AI38</f>
        <v>640.45675636378371</v>
      </c>
      <c r="AI38" s="48">
        <f>'[3]POM Portables Li-Rechargeable'!AJ38</f>
        <v>678.88416174561075</v>
      </c>
      <c r="AJ38" s="48">
        <f>'[3]POM Portables Li-Rechargeable'!AK38</f>
        <v>719.61721145034744</v>
      </c>
      <c r="AK38" s="48">
        <f>'[3]POM Portables Li-Rechargeable'!AL38</f>
        <v>762.79424413736831</v>
      </c>
      <c r="AL38" s="48">
        <f>'[3]POM Portables Li-Rechargeable'!AM38</f>
        <v>808.56189878561042</v>
      </c>
      <c r="AM38" s="48">
        <f>'[3]POM Portables Li-Rechargeable'!AN38</f>
        <v>857.07561271274699</v>
      </c>
      <c r="AN38" s="48">
        <f>'[3]POM Portables Li-Rechargeable'!AO38</f>
        <v>908.50014947551176</v>
      </c>
      <c r="AO38" s="48">
        <f>'[3]POM Portables Li-Rechargeable'!AP38</f>
        <v>963.01015844404242</v>
      </c>
      <c r="AP38" s="48">
        <f>'[3]POM Portables Li-Rechargeable'!AQ38</f>
        <v>1020.790767950685</v>
      </c>
      <c r="AQ38" s="48">
        <f>'[3]POM Portables Li-Rechargeable'!AR38</f>
        <v>1041.2065833096988</v>
      </c>
      <c r="AR38" s="48">
        <f>'[3]POM Portables Li-Rechargeable'!AS38</f>
        <v>1062.0307149758928</v>
      </c>
      <c r="AS38" s="48">
        <f>'[3]POM Portables Li-Rechargeable'!AT38</f>
        <v>1083.2713292754106</v>
      </c>
      <c r="AT38" s="48">
        <f>'[3]POM Portables Li-Rechargeable'!AU38</f>
        <v>1104.9367558609188</v>
      </c>
      <c r="AU38" s="48">
        <f>'[3]POM Portables Li-Rechargeable'!AV38</f>
        <v>1127.0354909781372</v>
      </c>
      <c r="AV38" s="48">
        <f>'[3]POM Portables Li-Rechargeable'!AW38</f>
        <v>1149.5762007977</v>
      </c>
      <c r="AW38" s="48">
        <f>'[3]POM Portables Li-Rechargeable'!AX38</f>
        <v>1172.567724813654</v>
      </c>
      <c r="AX38" s="48">
        <f>'[3]POM Portables Li-Rechargeable'!AY38</f>
        <v>1196.0190793099271</v>
      </c>
      <c r="AY38" s="48">
        <f>'[3]POM Portables Li-Rechargeable'!AZ38</f>
        <v>1219.9394608961256</v>
      </c>
      <c r="AZ38" s="48">
        <f>'[3]POM Portables Li-Rechargeable'!BA38</f>
        <v>1244.3382501140482</v>
      </c>
    </row>
    <row r="39" spans="1:52" x14ac:dyDescent="0.35">
      <c r="A39" s="61" t="s">
        <v>27</v>
      </c>
      <c r="B39" s="23">
        <f t="shared" si="11"/>
        <v>125.47231037657512</v>
      </c>
      <c r="C39" s="23">
        <f t="shared" si="11"/>
        <v>168.13289590461068</v>
      </c>
      <c r="D39" s="23">
        <f t="shared" si="10"/>
        <v>225.29808051217833</v>
      </c>
      <c r="E39" s="23">
        <f t="shared" si="10"/>
        <v>337.9471207682675</v>
      </c>
      <c r="F39" s="23">
        <f t="shared" si="2"/>
        <v>506.92068115240124</v>
      </c>
      <c r="G39" s="23">
        <f t="shared" si="3"/>
        <v>618.44323100592953</v>
      </c>
      <c r="H39" s="23">
        <f t="shared" si="4"/>
        <v>729.76301258699675</v>
      </c>
      <c r="I39" s="23">
        <f t="shared" si="5"/>
        <v>868.41798497852608</v>
      </c>
      <c r="J39" s="23">
        <f t="shared" si="6"/>
        <v>1172.3642797210102</v>
      </c>
      <c r="K39" s="23">
        <f t="shared" si="7"/>
        <v>867.54956699354761</v>
      </c>
      <c r="L39" s="23">
        <f t="shared" si="8"/>
        <v>1457.4832725491599</v>
      </c>
      <c r="M39" s="4">
        <f>$M$8*'[2]Eurostat POM Portables GU'!M30</f>
        <v>1909.3030870393995</v>
      </c>
      <c r="N39" s="4">
        <f>N6*'[2]Eurostat POM Portables GU'!N30</f>
        <v>1791.4768201215877</v>
      </c>
      <c r="O39" s="4">
        <f>O6*'[2]Eurostat POM Portables GU'!O30</f>
        <v>1786.4176637121827</v>
      </c>
      <c r="P39" s="4">
        <f>P6*'[2]Eurostat POM Portables GU'!P30</f>
        <v>2089.1579917045456</v>
      </c>
      <c r="Q39" s="4">
        <f>Q6*'[2]Eurostat POM Portables GU'!Q30</f>
        <v>2353.0829563177804</v>
      </c>
      <c r="R39" s="4">
        <f>R6*'[2]Eurostat POM Portables GU'!R30</f>
        <v>2178.7092713088991</v>
      </c>
      <c r="S39" s="4">
        <f>S6*'[2]Eurostat POM Portables GU'!S30</f>
        <v>2535.3665171286602</v>
      </c>
      <c r="T39" s="4">
        <f>T6*'[2]Eurostat POM Portables GU'!T30</f>
        <v>2770.9828307634016</v>
      </c>
      <c r="U39" s="4">
        <f>U6*'[2]Eurostat POM Portables GU'!U30</f>
        <v>2969.7698598780421</v>
      </c>
      <c r="V39" s="4">
        <f>V6*'[2]Eurostat POM Portables GU'!V30</f>
        <v>3652.020304585491</v>
      </c>
      <c r="W39" s="4">
        <f>W6*'[2]Eurostat POM Portables GU'!W30</f>
        <v>4287.1354134868561</v>
      </c>
      <c r="X39" s="48">
        <f>'[3]POM Portables Li-Rechargeable'!Y39</f>
        <v>4715.8489548355419</v>
      </c>
      <c r="Y39" s="48">
        <f>'[3]POM Portables Li-Rechargeable'!Z39</f>
        <v>5187.4338503190957</v>
      </c>
      <c r="Z39" s="48">
        <f>'[3]POM Portables Li-Rechargeable'!AA39</f>
        <v>5706.177235351005</v>
      </c>
      <c r="AA39" s="48">
        <f>'[3]POM Portables Li-Rechargeable'!AB39</f>
        <v>6276.7949588861056</v>
      </c>
      <c r="AB39" s="48">
        <f>'[3]POM Portables Li-Rechargeable'!AC39</f>
        <v>6904.4744547747159</v>
      </c>
      <c r="AC39" s="48">
        <f>'[3]POM Portables Li-Rechargeable'!AD39</f>
        <v>7594.9219002521877</v>
      </c>
      <c r="AD39" s="48">
        <f>'[3]POM Portables Li-Rechargeable'!AE39</f>
        <v>8354.414090277407</v>
      </c>
      <c r="AE39" s="48">
        <f>'[3]POM Portables Li-Rechargeable'!AF39</f>
        <v>9189.8554993051475</v>
      </c>
      <c r="AF39" s="48">
        <f>'[3]POM Portables Li-Rechargeable'!AG39</f>
        <v>10108.841049235662</v>
      </c>
      <c r="AG39" s="48">
        <f>'[3]POM Portables Li-Rechargeable'!AH39</f>
        <v>10715.371512189802</v>
      </c>
      <c r="AH39" s="48">
        <f>'[3]POM Portables Li-Rechargeable'!AI39</f>
        <v>11358.293802921191</v>
      </c>
      <c r="AI39" s="48">
        <f>'[3]POM Portables Li-Rechargeable'!AJ39</f>
        <v>12039.791431096462</v>
      </c>
      <c r="AJ39" s="48">
        <f>'[3]POM Portables Li-Rechargeable'!AK39</f>
        <v>12762.17891696225</v>
      </c>
      <c r="AK39" s="48">
        <f>'[3]POM Portables Li-Rechargeable'!AL39</f>
        <v>13527.909651979984</v>
      </c>
      <c r="AL39" s="48">
        <f>'[3]POM Portables Li-Rechargeable'!AM39</f>
        <v>14339.584231098783</v>
      </c>
      <c r="AM39" s="48">
        <f>'[3]POM Portables Li-Rechargeable'!AN39</f>
        <v>15199.959284964709</v>
      </c>
      <c r="AN39" s="48">
        <f>'[3]POM Portables Li-Rechargeable'!AO39</f>
        <v>16111.956842062591</v>
      </c>
      <c r="AO39" s="48">
        <f>'[3]POM Portables Li-Rechargeable'!AP39</f>
        <v>17078.674252586345</v>
      </c>
      <c r="AP39" s="48">
        <f>'[3]POM Portables Li-Rechargeable'!AQ39</f>
        <v>18103.394707741525</v>
      </c>
      <c r="AQ39" s="48">
        <f>'[3]POM Portables Li-Rechargeable'!AR39</f>
        <v>18465.462601896357</v>
      </c>
      <c r="AR39" s="48">
        <f>'[3]POM Portables Li-Rechargeable'!AS39</f>
        <v>18834.771853934286</v>
      </c>
      <c r="AS39" s="48">
        <f>'[3]POM Portables Li-Rechargeable'!AT39</f>
        <v>19211.46729101297</v>
      </c>
      <c r="AT39" s="48">
        <f>'[3]POM Portables Li-Rechargeable'!AU39</f>
        <v>19595.696636833229</v>
      </c>
      <c r="AU39" s="48">
        <f>'[3]POM Portables Li-Rechargeable'!AV39</f>
        <v>19987.610569569893</v>
      </c>
      <c r="AV39" s="48">
        <f>'[3]POM Portables Li-Rechargeable'!AW39</f>
        <v>20387.362780961292</v>
      </c>
      <c r="AW39" s="48">
        <f>'[3]POM Portables Li-Rechargeable'!AX39</f>
        <v>20795.110036580518</v>
      </c>
      <c r="AX39" s="48">
        <f>'[3]POM Portables Li-Rechargeable'!AY39</f>
        <v>21211.012237312127</v>
      </c>
      <c r="AY39" s="48">
        <f>'[3]POM Portables Li-Rechargeable'!AZ39</f>
        <v>21635.232482058371</v>
      </c>
      <c r="AZ39" s="48">
        <f>'[3]POM Portables Li-Rechargeable'!BA39</f>
        <v>22067.937131699538</v>
      </c>
    </row>
    <row r="40" spans="1:52" x14ac:dyDescent="0.35">
      <c r="A40" s="61" t="s">
        <v>28</v>
      </c>
      <c r="B40" s="23">
        <f t="shared" si="11"/>
        <v>64.736593034430712</v>
      </c>
      <c r="C40" s="23">
        <f t="shared" si="11"/>
        <v>86.747034666137168</v>
      </c>
      <c r="D40" s="23">
        <f t="shared" si="10"/>
        <v>116.24102645262381</v>
      </c>
      <c r="E40" s="23">
        <f t="shared" si="10"/>
        <v>174.36153967893571</v>
      </c>
      <c r="F40" s="23">
        <f t="shared" si="2"/>
        <v>261.54230951840356</v>
      </c>
      <c r="G40" s="23">
        <f t="shared" si="3"/>
        <v>319.08161761245231</v>
      </c>
      <c r="H40" s="23">
        <f t="shared" si="4"/>
        <v>376.51630878269373</v>
      </c>
      <c r="I40" s="23">
        <f t="shared" si="5"/>
        <v>448.0544074514055</v>
      </c>
      <c r="J40" s="23">
        <f t="shared" si="6"/>
        <v>604.87345005939744</v>
      </c>
      <c r="K40" s="23">
        <f t="shared" si="7"/>
        <v>447.60635304395407</v>
      </c>
      <c r="L40" s="23">
        <f t="shared" si="8"/>
        <v>751.97867311384277</v>
      </c>
      <c r="M40" s="4">
        <f>$M$8*'[2]Eurostat POM Portables GU'!M31</f>
        <v>985.09206177913404</v>
      </c>
      <c r="N40" s="4">
        <f>N7*'[2]Eurostat POM Portables GU'!N31</f>
        <v>1365.6</v>
      </c>
      <c r="O40" s="4">
        <f>O7*'[2]Eurostat POM Portables GU'!O31</f>
        <v>1352.9</v>
      </c>
      <c r="P40" s="4">
        <f>P7*'[2]Eurostat POM Portables GU'!P31</f>
        <v>1751.6</v>
      </c>
      <c r="Q40" s="4">
        <f>Q7*'[2]Eurostat POM Portables GU'!Q31</f>
        <v>1592.3</v>
      </c>
      <c r="R40" s="4">
        <f>R7*'[2]Eurostat POM Portables GU'!R31</f>
        <v>1929.4</v>
      </c>
      <c r="S40" s="4">
        <f>S7*'[2]Eurostat POM Portables GU'!S31</f>
        <v>1930.5999999999997</v>
      </c>
      <c r="T40" s="4">
        <f>T7*'[2]Eurostat POM Portables GU'!T31</f>
        <v>2082</v>
      </c>
      <c r="U40" s="4">
        <f>U7*'[2]Eurostat POM Portables GU'!U31</f>
        <v>2254.2418039846129</v>
      </c>
      <c r="V40" s="4">
        <f>V7*'[2]Eurostat POM Portables GU'!V31</f>
        <v>2498.6991809677547</v>
      </c>
      <c r="W40" s="4">
        <f>W7*'[2]Eurostat POM Portables GU'!W31</f>
        <v>3107.9104954177778</v>
      </c>
      <c r="X40" s="48">
        <f>'[3]POM Portables Li-Rechargeable'!Y40</f>
        <v>3418.7015449595556</v>
      </c>
      <c r="Y40" s="48">
        <f>'[3]POM Portables Li-Rechargeable'!Z40</f>
        <v>3760.5716994555114</v>
      </c>
      <c r="Z40" s="48">
        <f>'[3]POM Portables Li-Rechargeable'!AA40</f>
        <v>4136.6288694010627</v>
      </c>
      <c r="AA40" s="48">
        <f>'[3]POM Portables Li-Rechargeable'!AB40</f>
        <v>4550.2917563411693</v>
      </c>
      <c r="AB40" s="48">
        <f>'[3]POM Portables Li-Rechargeable'!AC40</f>
        <v>5005.3209319752859</v>
      </c>
      <c r="AC40" s="48">
        <f>'[3]POM Portables Li-Rechargeable'!AD40</f>
        <v>5505.8530251728143</v>
      </c>
      <c r="AD40" s="48">
        <f>'[3]POM Portables Li-Rechargeable'!AE40</f>
        <v>6056.4383276900953</v>
      </c>
      <c r="AE40" s="48">
        <f>'[3]POM Portables Li-Rechargeable'!AF40</f>
        <v>6662.0821604591047</v>
      </c>
      <c r="AF40" s="48">
        <f>'[3]POM Portables Li-Rechargeable'!AG40</f>
        <v>7328.290376505015</v>
      </c>
      <c r="AG40" s="48">
        <f>'[3]POM Portables Li-Rechargeable'!AH40</f>
        <v>7767.9877990953155</v>
      </c>
      <c r="AH40" s="48">
        <f>'[3]POM Portables Li-Rechargeable'!AI40</f>
        <v>8234.0670670410345</v>
      </c>
      <c r="AI40" s="48">
        <f>'[3]POM Portables Li-Rechargeable'!AJ40</f>
        <v>8728.1110910634961</v>
      </c>
      <c r="AJ40" s="48">
        <f>'[3]POM Portables Li-Rechargeable'!AK40</f>
        <v>9251.7977565273068</v>
      </c>
      <c r="AK40" s="48">
        <f>'[3]POM Portables Li-Rechargeable'!AL40</f>
        <v>9806.9056219189442</v>
      </c>
      <c r="AL40" s="48">
        <f>'[3]POM Portables Li-Rechargeable'!AM40</f>
        <v>10395.319959234081</v>
      </c>
      <c r="AM40" s="48">
        <f>'[3]POM Portables Li-Rechargeable'!AN40</f>
        <v>11019.039156788125</v>
      </c>
      <c r="AN40" s="48">
        <f>'[3]POM Portables Li-Rechargeable'!AO40</f>
        <v>11680.181506195413</v>
      </c>
      <c r="AO40" s="48">
        <f>'[3]POM Portables Li-Rechargeable'!AP40</f>
        <v>12380.992396567137</v>
      </c>
      <c r="AP40" s="48">
        <f>'[3]POM Portables Li-Rechargeable'!AQ40</f>
        <v>13123.851940361164</v>
      </c>
      <c r="AQ40" s="48">
        <f>'[3]POM Portables Li-Rechargeable'!AR40</f>
        <v>13386.328979168387</v>
      </c>
      <c r="AR40" s="48">
        <f>'[3]POM Portables Li-Rechargeable'!AS40</f>
        <v>13654.055558751756</v>
      </c>
      <c r="AS40" s="48">
        <f>'[3]POM Portables Li-Rechargeable'!AT40</f>
        <v>13927.136669926791</v>
      </c>
      <c r="AT40" s="48">
        <f>'[3]POM Portables Li-Rechargeable'!AU40</f>
        <v>14205.679403325326</v>
      </c>
      <c r="AU40" s="48">
        <f>'[3]POM Portables Li-Rechargeable'!AV40</f>
        <v>14489.792991391832</v>
      </c>
      <c r="AV40" s="48">
        <f>'[3]POM Portables Li-Rechargeable'!AW40</f>
        <v>14779.588851219669</v>
      </c>
      <c r="AW40" s="48">
        <f>'[3]POM Portables Li-Rechargeable'!AX40</f>
        <v>15075.180628244063</v>
      </c>
      <c r="AX40" s="48">
        <f>'[3]POM Portables Li-Rechargeable'!AY40</f>
        <v>15376.684240808945</v>
      </c>
      <c r="AY40" s="48">
        <f>'[3]POM Portables Li-Rechargeable'!AZ40</f>
        <v>15684.217925625124</v>
      </c>
      <c r="AZ40" s="48">
        <f>'[3]POM Portables Li-Rechargeable'!BA40</f>
        <v>15997.902284137626</v>
      </c>
    </row>
    <row r="41" spans="1:52" x14ac:dyDescent="0.35">
      <c r="A41" s="61" t="s">
        <v>29</v>
      </c>
      <c r="B41" s="23">
        <f t="shared" si="11"/>
        <v>40.091775819325953</v>
      </c>
      <c r="C41" s="23">
        <f t="shared" si="11"/>
        <v>53.722979597896781</v>
      </c>
      <c r="D41" s="23">
        <f t="shared" si="10"/>
        <v>71.988792661181691</v>
      </c>
      <c r="E41" s="23">
        <f t="shared" si="10"/>
        <v>107.98318899177254</v>
      </c>
      <c r="F41" s="23">
        <f t="shared" si="2"/>
        <v>161.97478348765881</v>
      </c>
      <c r="G41" s="23">
        <f t="shared" si="3"/>
        <v>197.60923585494373</v>
      </c>
      <c r="H41" s="23">
        <f t="shared" si="4"/>
        <v>233.1788983088336</v>
      </c>
      <c r="I41" s="23">
        <f t="shared" si="5"/>
        <v>277.48288898751196</v>
      </c>
      <c r="J41" s="23">
        <f t="shared" si="6"/>
        <v>374.60190013314116</v>
      </c>
      <c r="K41" s="23">
        <f t="shared" si="7"/>
        <v>277.20540609852446</v>
      </c>
      <c r="L41" s="23">
        <f t="shared" si="8"/>
        <v>465.70508224552106</v>
      </c>
      <c r="M41" s="4">
        <f>$M$8*'[2]Eurostat POM Portables GU'!M32</f>
        <v>610.07365774163259</v>
      </c>
      <c r="N41" s="4">
        <f>$N$8*'[2]Eurostat POM Portables GU'!N32</f>
        <v>626.26468560434944</v>
      </c>
      <c r="O41" s="4">
        <f>$O$8*'[2]Eurostat POM Portables GU'!O32</f>
        <v>604.10225548440701</v>
      </c>
      <c r="P41" s="4">
        <f>$P$8*'[2]Eurostat POM Portables GU'!P32</f>
        <v>679.79413274597209</v>
      </c>
      <c r="Q41" s="4">
        <f>$Q$8*'[2]Eurostat POM Portables GU'!Q32</f>
        <v>726.83919446454922</v>
      </c>
      <c r="R41" s="4">
        <f>$R$8*'[2]Eurostat POM Portables GU'!R32</f>
        <v>843.45770122408044</v>
      </c>
      <c r="S41" s="4">
        <f>$S$8*'[2]Eurostat POM Portables GU'!S32</f>
        <v>943.25811486644875</v>
      </c>
      <c r="T41" s="4">
        <f>$T$8*'[2]Eurostat POM Portables GU'!T32</f>
        <v>1045.3608729915363</v>
      </c>
      <c r="U41" s="4">
        <f>$U$8*'[2]Eurostat POM Portables GU'!U32</f>
        <v>1237.0958181656133</v>
      </c>
      <c r="V41" s="4">
        <f>$V$8*'[2]Eurostat POM Portables GU'!V32</f>
        <v>1539.8458222732652</v>
      </c>
      <c r="W41" s="4">
        <f>$W$8*'[2]Eurostat POM Portables GU'!W32</f>
        <v>1808.928903448897</v>
      </c>
      <c r="X41" s="48">
        <f>'[3]POM Portables Li-Rechargeable'!Y41</f>
        <v>1989.8217937937868</v>
      </c>
      <c r="Y41" s="48">
        <f>'[3]POM Portables Li-Rechargeable'!Z41</f>
        <v>2188.8039731731656</v>
      </c>
      <c r="Z41" s="48">
        <f>'[3]POM Portables Li-Rechargeable'!AA41</f>
        <v>2407.6843704904823</v>
      </c>
      <c r="AA41" s="48">
        <f>'[3]POM Portables Li-Rechargeable'!AB41</f>
        <v>2648.4528075395306</v>
      </c>
      <c r="AB41" s="48">
        <f>'[3]POM Portables Li-Rechargeable'!AC41</f>
        <v>2913.2980882934835</v>
      </c>
      <c r="AC41" s="48">
        <f>'[3]POM Portables Li-Rechargeable'!AD41</f>
        <v>3204.6278971228317</v>
      </c>
      <c r="AD41" s="48">
        <f>'[3]POM Portables Li-Rechargeable'!AE41</f>
        <v>3525.0906868351149</v>
      </c>
      <c r="AE41" s="48">
        <f>'[3]POM Portables Li-Rechargeable'!AF41</f>
        <v>3877.5997555186264</v>
      </c>
      <c r="AF41" s="48">
        <f>'[3]POM Portables Li-Rechargeable'!AG41</f>
        <v>4265.359731070489</v>
      </c>
      <c r="AG41" s="48">
        <f>'[3]POM Portables Li-Rechargeable'!AH41</f>
        <v>4521.2813149347185</v>
      </c>
      <c r="AH41" s="48">
        <f>'[3]POM Portables Li-Rechargeable'!AI41</f>
        <v>4792.5581938308014</v>
      </c>
      <c r="AI41" s="48">
        <f>'[3]POM Portables Li-Rechargeable'!AJ41</f>
        <v>5080.1116854606498</v>
      </c>
      <c r="AJ41" s="48">
        <f>'[3]POM Portables Li-Rechargeable'!AK41</f>
        <v>5384.9183865882887</v>
      </c>
      <c r="AK41" s="48">
        <f>'[3]POM Portables Li-Rechargeable'!AL41</f>
        <v>5708.013489783586</v>
      </c>
      <c r="AL41" s="48">
        <f>'[3]POM Portables Li-Rechargeable'!AM41</f>
        <v>6050.4942991706012</v>
      </c>
      <c r="AM41" s="48">
        <f>'[3]POM Portables Li-Rechargeable'!AN41</f>
        <v>6413.5239571208376</v>
      </c>
      <c r="AN41" s="48">
        <f>'[3]POM Portables Li-Rechargeable'!AO41</f>
        <v>6798.3353945480876</v>
      </c>
      <c r="AO41" s="48">
        <f>'[3]POM Portables Li-Rechargeable'!AP41</f>
        <v>7206.2355182209731</v>
      </c>
      <c r="AP41" s="48">
        <f>'[3]POM Portables Li-Rechargeable'!AQ41</f>
        <v>7638.6096493142313</v>
      </c>
      <c r="AQ41" s="48">
        <f>'[3]POM Portables Li-Rechargeable'!AR41</f>
        <v>7791.3818423005159</v>
      </c>
      <c r="AR41" s="48">
        <f>'[3]POM Portables Li-Rechargeable'!AS41</f>
        <v>7947.2094791465261</v>
      </c>
      <c r="AS41" s="48">
        <f>'[3]POM Portables Li-Rechargeable'!AT41</f>
        <v>8106.1536687294565</v>
      </c>
      <c r="AT41" s="48">
        <f>'[3]POM Portables Li-Rechargeable'!AU41</f>
        <v>8268.2767421040462</v>
      </c>
      <c r="AU41" s="48">
        <f>'[3]POM Portables Li-Rechargeable'!AV41</f>
        <v>8433.6422769461278</v>
      </c>
      <c r="AV41" s="48">
        <f>'[3]POM Portables Li-Rechargeable'!AW41</f>
        <v>8602.3151224850499</v>
      </c>
      <c r="AW41" s="48">
        <f>'[3]POM Portables Li-Rechargeable'!AX41</f>
        <v>8774.3614249347502</v>
      </c>
      <c r="AX41" s="48">
        <f>'[3]POM Portables Li-Rechargeable'!AY41</f>
        <v>8949.8486534334443</v>
      </c>
      <c r="AY41" s="48">
        <f>'[3]POM Portables Li-Rechargeable'!AZ41</f>
        <v>9128.8456265021123</v>
      </c>
      <c r="AZ41" s="48">
        <f>'[3]POM Portables Li-Rechargeable'!BA41</f>
        <v>9311.4225390321553</v>
      </c>
    </row>
    <row r="42" spans="1:52" x14ac:dyDescent="0.35">
      <c r="A42" s="61" t="s">
        <v>30</v>
      </c>
      <c r="B42" s="23">
        <f t="shared" si="11"/>
        <v>421.69026559180304</v>
      </c>
      <c r="C42" s="23">
        <f t="shared" si="11"/>
        <v>565.06495589301608</v>
      </c>
      <c r="D42" s="23">
        <f t="shared" si="10"/>
        <v>757.18704089664152</v>
      </c>
      <c r="E42" s="23">
        <f t="shared" si="10"/>
        <v>1135.7805613449623</v>
      </c>
      <c r="F42" s="23">
        <f t="shared" si="2"/>
        <v>1703.6708420174434</v>
      </c>
      <c r="G42" s="23">
        <f t="shared" si="3"/>
        <v>2078.478427261281</v>
      </c>
      <c r="H42" s="23">
        <f t="shared" si="4"/>
        <v>2452.6045441683113</v>
      </c>
      <c r="I42" s="23">
        <f t="shared" si="5"/>
        <v>2918.5994075602903</v>
      </c>
      <c r="J42" s="23">
        <f t="shared" si="6"/>
        <v>3940.109200206392</v>
      </c>
      <c r="K42" s="23">
        <f t="shared" si="7"/>
        <v>2915.6808081527302</v>
      </c>
      <c r="L42" s="23">
        <f t="shared" si="8"/>
        <v>4898.3437576965862</v>
      </c>
      <c r="M42" s="4">
        <f>$M$8*'[2]Eurostat POM Portables GU'!M33</f>
        <v>6416.8303225825284</v>
      </c>
      <c r="N42" s="4">
        <f>$N$8*'[2]Eurostat POM Portables GU'!N33</f>
        <v>6281.6571054821597</v>
      </c>
      <c r="O42" s="4">
        <f>$O$8*'[2]Eurostat POM Portables GU'!O33</f>
        <v>6257.013869468904</v>
      </c>
      <c r="P42" s="4">
        <f>$P$8*'[2]Eurostat POM Portables GU'!P33</f>
        <v>6687.4795756747035</v>
      </c>
      <c r="Q42" s="4">
        <f>$Q$8*'[2]Eurostat POM Portables GU'!Q33</f>
        <v>6827.6353977473473</v>
      </c>
      <c r="R42" s="4">
        <f>$R$8*'[2]Eurostat POM Portables GU'!R33</f>
        <v>7957.8465405251845</v>
      </c>
      <c r="S42" s="4">
        <f>$S$8*'[2]Eurostat POM Portables GU'!S33</f>
        <v>8803.7858825486092</v>
      </c>
      <c r="T42" s="4">
        <f>$T$8*'[2]Eurostat POM Portables GU'!T33</f>
        <v>8789.8140687295963</v>
      </c>
      <c r="U42" s="4">
        <f>$U$8*'[2]Eurostat POM Portables GU'!U33</f>
        <v>9559.6552758151884</v>
      </c>
      <c r="V42" s="4">
        <f>$V$8*'[2]Eurostat POM Portables GU'!V33</f>
        <v>10787.950847952879</v>
      </c>
      <c r="W42" s="4">
        <f>$W$8*'[2]Eurostat POM Portables GU'!W33</f>
        <v>11888.239734670155</v>
      </c>
      <c r="X42" s="48">
        <f>'[3]POM Portables Li-Rechargeable'!Y42</f>
        <v>13077.06370813717</v>
      </c>
      <c r="Y42" s="48">
        <f>'[3]POM Portables Li-Rechargeable'!Z42</f>
        <v>14384.770078950887</v>
      </c>
      <c r="Z42" s="48">
        <f>'[3]POM Portables Li-Rechargeable'!AA42</f>
        <v>15823.247086845975</v>
      </c>
      <c r="AA42" s="48">
        <f>'[3]POM Portables Li-Rechargeable'!AB42</f>
        <v>17405.571795530574</v>
      </c>
      <c r="AB42" s="48">
        <f>'[3]POM Portables Li-Rechargeable'!AC42</f>
        <v>19146.128975083629</v>
      </c>
      <c r="AC42" s="48">
        <f>'[3]POM Portables Li-Rechargeable'!AD42</f>
        <v>21060.741872591992</v>
      </c>
      <c r="AD42" s="48">
        <f>'[3]POM Portables Li-Rechargeable'!AE42</f>
        <v>23166.816059851193</v>
      </c>
      <c r="AE42" s="48">
        <f>'[3]POM Portables Li-Rechargeable'!AF42</f>
        <v>25483.497665836312</v>
      </c>
      <c r="AF42" s="48">
        <f>'[3]POM Portables Li-Rechargeable'!AG42</f>
        <v>28031.847432419941</v>
      </c>
      <c r="AG42" s="48">
        <f>'[3]POM Portables Li-Rechargeable'!AH42</f>
        <v>29713.758278365138</v>
      </c>
      <c r="AH42" s="48">
        <f>'[3]POM Portables Li-Rechargeable'!AI42</f>
        <v>31496.583775067047</v>
      </c>
      <c r="AI42" s="48">
        <f>'[3]POM Portables Li-Rechargeable'!AJ42</f>
        <v>33386.378801571067</v>
      </c>
      <c r="AJ42" s="48">
        <f>'[3]POM Portables Li-Rechargeable'!AK42</f>
        <v>35389.561529665334</v>
      </c>
      <c r="AK42" s="48">
        <f>'[3]POM Portables Li-Rechargeable'!AL42</f>
        <v>37512.935221445252</v>
      </c>
      <c r="AL42" s="48">
        <f>'[3]POM Portables Li-Rechargeable'!AM42</f>
        <v>39763.711334731968</v>
      </c>
      <c r="AM42" s="48">
        <f>'[3]POM Portables Li-Rechargeable'!AN42</f>
        <v>42149.534014815887</v>
      </c>
      <c r="AN42" s="48">
        <f>'[3]POM Portables Li-Rechargeable'!AO42</f>
        <v>44678.506055704842</v>
      </c>
      <c r="AO42" s="48">
        <f>'[3]POM Portables Li-Rechargeable'!AP42</f>
        <v>47359.21641904713</v>
      </c>
      <c r="AP42" s="48">
        <f>'[3]POM Portables Li-Rechargeable'!AQ42</f>
        <v>50200.769404189959</v>
      </c>
      <c r="AQ42" s="48">
        <f>'[3]POM Portables Li-Rechargeable'!AR42</f>
        <v>51204.784792273756</v>
      </c>
      <c r="AR42" s="48">
        <f>'[3]POM Portables Li-Rechargeable'!AS42</f>
        <v>52228.880488119234</v>
      </c>
      <c r="AS42" s="48">
        <f>'[3]POM Portables Li-Rechargeable'!AT42</f>
        <v>53273.458097881616</v>
      </c>
      <c r="AT42" s="48">
        <f>'[3]POM Portables Li-Rechargeable'!AU42</f>
        <v>54338.927259839249</v>
      </c>
      <c r="AU42" s="48">
        <f>'[3]POM Portables Li-Rechargeable'!AV42</f>
        <v>55425.705805036036</v>
      </c>
      <c r="AV42" s="48">
        <f>'[3]POM Portables Li-Rechargeable'!AW42</f>
        <v>56534.219921136755</v>
      </c>
      <c r="AW42" s="48">
        <f>'[3]POM Portables Li-Rechargeable'!AX42</f>
        <v>57664.904319559493</v>
      </c>
      <c r="AX42" s="48">
        <f>'[3]POM Portables Li-Rechargeable'!AY42</f>
        <v>58818.20240595068</v>
      </c>
      <c r="AY42" s="48">
        <f>'[3]POM Portables Li-Rechargeable'!AZ42</f>
        <v>59994.566454069696</v>
      </c>
      <c r="AZ42" s="48">
        <f>'[3]POM Portables Li-Rechargeable'!BA42</f>
        <v>61194.457783151091</v>
      </c>
    </row>
    <row r="43" spans="1:52" x14ac:dyDescent="0.35">
      <c r="A43" s="61" t="s">
        <v>31</v>
      </c>
      <c r="B43" s="4">
        <f t="shared" ref="B43:L43" si="12">SUM(B12:B42)</f>
        <v>2471.5335021797841</v>
      </c>
      <c r="C43" s="4">
        <f t="shared" si="12"/>
        <v>3311.8548929209128</v>
      </c>
      <c r="D43" s="4">
        <f t="shared" si="12"/>
        <v>4437.885556514022</v>
      </c>
      <c r="E43" s="4">
        <f t="shared" si="12"/>
        <v>6656.8283347710312</v>
      </c>
      <c r="F43" s="4">
        <f t="shared" si="12"/>
        <v>9985.2425021565468</v>
      </c>
      <c r="G43" s="4">
        <f t="shared" si="12"/>
        <v>12181.995852630989</v>
      </c>
      <c r="H43" s="4">
        <f t="shared" si="12"/>
        <v>14374.755106104563</v>
      </c>
      <c r="I43" s="4">
        <f t="shared" si="12"/>
        <v>17105.958576264431</v>
      </c>
      <c r="J43" s="4">
        <f t="shared" si="12"/>
        <v>23093.044077956984</v>
      </c>
      <c r="K43" s="4">
        <f t="shared" si="12"/>
        <v>17088.852617688168</v>
      </c>
      <c r="L43" s="4">
        <f t="shared" si="12"/>
        <v>28709.272397716122</v>
      </c>
      <c r="M43" s="4">
        <f>SUM(M12:M42)</f>
        <v>37609.146841008114</v>
      </c>
      <c r="N43" s="4">
        <f t="shared" ref="N43:AZ43" si="13">SUM(N12:N42)</f>
        <v>38378.973910727749</v>
      </c>
      <c r="O43" s="4">
        <f t="shared" si="13"/>
        <v>35420.070410485409</v>
      </c>
      <c r="P43" s="4">
        <f t="shared" si="13"/>
        <v>37558.62119460712</v>
      </c>
      <c r="Q43" s="4">
        <f t="shared" si="13"/>
        <v>39148.542686479544</v>
      </c>
      <c r="R43" s="4">
        <f t="shared" si="13"/>
        <v>45321.741450907379</v>
      </c>
      <c r="S43" s="4">
        <f t="shared" si="13"/>
        <v>53342.198737117949</v>
      </c>
      <c r="T43" s="4">
        <f t="shared" si="13"/>
        <v>54587.347169016633</v>
      </c>
      <c r="U43" s="4">
        <f t="shared" si="13"/>
        <v>64771.502364082153</v>
      </c>
      <c r="V43" s="4">
        <f t="shared" si="13"/>
        <v>74937.227378128446</v>
      </c>
      <c r="W43" s="4">
        <f t="shared" si="13"/>
        <v>81678.377529574995</v>
      </c>
      <c r="X43" s="4">
        <f t="shared" si="13"/>
        <v>89846.215282532503</v>
      </c>
      <c r="Y43" s="4">
        <f t="shared" si="13"/>
        <v>98830.836810785739</v>
      </c>
      <c r="Z43" s="4">
        <f t="shared" si="13"/>
        <v>108713.92049186432</v>
      </c>
      <c r="AA43" s="4">
        <f t="shared" si="13"/>
        <v>119585.31254105076</v>
      </c>
      <c r="AB43" s="4">
        <f t="shared" si="13"/>
        <v>131543.84379515584</v>
      </c>
      <c r="AC43" s="4">
        <f t="shared" si="13"/>
        <v>144698.22817467141</v>
      </c>
      <c r="AD43" s="4">
        <f t="shared" si="13"/>
        <v>159168.05099213854</v>
      </c>
      <c r="AE43" s="4">
        <f t="shared" si="13"/>
        <v>175084.85609135241</v>
      </c>
      <c r="AF43" s="4">
        <f t="shared" si="13"/>
        <v>192593.34170048768</v>
      </c>
      <c r="AG43" s="4">
        <f t="shared" si="13"/>
        <v>204148.94220251686</v>
      </c>
      <c r="AH43" s="4">
        <f t="shared" si="13"/>
        <v>216397.87873466796</v>
      </c>
      <c r="AI43" s="4">
        <f t="shared" si="13"/>
        <v>229381.75145874798</v>
      </c>
      <c r="AJ43" s="4">
        <f t="shared" si="13"/>
        <v>243144.65654627295</v>
      </c>
      <c r="AK43" s="4">
        <f t="shared" si="13"/>
        <v>257733.33593904926</v>
      </c>
      <c r="AL43" s="4">
        <f t="shared" si="13"/>
        <v>273197.33609539224</v>
      </c>
      <c r="AM43" s="4">
        <f t="shared" si="13"/>
        <v>289589.1762611157</v>
      </c>
      <c r="AN43" s="4">
        <f t="shared" si="13"/>
        <v>306964.52683678269</v>
      </c>
      <c r="AO43" s="4">
        <f t="shared" si="13"/>
        <v>325382.39844698965</v>
      </c>
      <c r="AP43" s="4">
        <f t="shared" si="13"/>
        <v>344905.34235380904</v>
      </c>
      <c r="AQ43" s="4">
        <f t="shared" si="13"/>
        <v>351803.44920088525</v>
      </c>
      <c r="AR43" s="4">
        <f t="shared" si="13"/>
        <v>358839.51818490284</v>
      </c>
      <c r="AS43" s="4">
        <f t="shared" si="13"/>
        <v>366016.30854860111</v>
      </c>
      <c r="AT43" s="4">
        <f t="shared" si="13"/>
        <v>373336.63471957296</v>
      </c>
      <c r="AU43" s="4">
        <f t="shared" si="13"/>
        <v>380803.36741396447</v>
      </c>
      <c r="AV43" s="4">
        <f t="shared" si="13"/>
        <v>388419.43476224371</v>
      </c>
      <c r="AW43" s="4">
        <f t="shared" si="13"/>
        <v>396187.82345748873</v>
      </c>
      <c r="AX43" s="4">
        <f t="shared" si="13"/>
        <v>404111.5799266384</v>
      </c>
      <c r="AY43" s="4">
        <f t="shared" si="13"/>
        <v>412193.81152517104</v>
      </c>
      <c r="AZ43" s="4">
        <f t="shared" si="13"/>
        <v>420437.68775567459</v>
      </c>
    </row>
    <row r="44" spans="1:52" x14ac:dyDescent="0.35">
      <c r="A44" s="58" t="s">
        <v>68</v>
      </c>
      <c r="B44" s="39">
        <f t="shared" ref="B44:L44" si="14">_xlfn.RRI(1,B43,C43)</f>
        <v>0.34000000000000075</v>
      </c>
      <c r="C44" s="39">
        <f t="shared" si="14"/>
        <v>0.33999999999999964</v>
      </c>
      <c r="D44" s="39">
        <f t="shared" si="14"/>
        <v>0.49999999999999956</v>
      </c>
      <c r="E44" s="39">
        <f t="shared" si="14"/>
        <v>0.5</v>
      </c>
      <c r="F44" s="39">
        <f t="shared" si="14"/>
        <v>0.2200000000000002</v>
      </c>
      <c r="G44" s="39">
        <f t="shared" si="14"/>
        <v>0.17999999999999972</v>
      </c>
      <c r="H44" s="39">
        <f t="shared" si="14"/>
        <v>0.18999999999999995</v>
      </c>
      <c r="I44" s="39">
        <f t="shared" si="14"/>
        <v>0.35000000000000009</v>
      </c>
      <c r="J44" s="39">
        <f t="shared" si="14"/>
        <v>-0.26</v>
      </c>
      <c r="K44" s="39">
        <f t="shared" si="14"/>
        <v>0.67999999999999994</v>
      </c>
      <c r="L44" s="39">
        <f t="shared" si="14"/>
        <v>0.30999999999999983</v>
      </c>
      <c r="M44" s="39">
        <f>_xlfn.RRI(1,M43,N43)</f>
        <v>2.0469144726256605E-2</v>
      </c>
      <c r="N44" s="39">
        <f t="shared" ref="N44:AY44" si="15">_xlfn.RRI(1,N43,O43)</f>
        <v>-7.709699345076193E-2</v>
      </c>
      <c r="O44" s="39">
        <f t="shared" si="15"/>
        <v>6.037680781934962E-2</v>
      </c>
      <c r="P44" s="39">
        <f t="shared" si="15"/>
        <v>4.2331732137725897E-2</v>
      </c>
      <c r="Q44" s="39">
        <f t="shared" si="15"/>
        <v>0.15768655333777803</v>
      </c>
      <c r="R44" s="39">
        <f t="shared" si="15"/>
        <v>0.1769671029719444</v>
      </c>
      <c r="S44" s="39">
        <f t="shared" si="15"/>
        <v>2.3342652934781549E-2</v>
      </c>
      <c r="T44" s="39">
        <f t="shared" si="15"/>
        <v>0.18656622318598348</v>
      </c>
      <c r="U44" s="39">
        <f t="shared" si="15"/>
        <v>0.15694749454635937</v>
      </c>
      <c r="V44" s="39">
        <f t="shared" si="15"/>
        <v>8.9957293421481177E-2</v>
      </c>
      <c r="W44" s="39">
        <f t="shared" si="15"/>
        <v>0.10000000000000009</v>
      </c>
      <c r="X44" s="39">
        <f t="shared" si="15"/>
        <v>9.9999999999999867E-2</v>
      </c>
      <c r="Y44" s="39">
        <f t="shared" si="15"/>
        <v>0.10000000000000009</v>
      </c>
      <c r="Z44" s="39">
        <f t="shared" si="15"/>
        <v>0.10000000000000009</v>
      </c>
      <c r="AA44" s="39">
        <f t="shared" si="15"/>
        <v>0.10000000000000009</v>
      </c>
      <c r="AB44" s="39">
        <f t="shared" si="15"/>
        <v>9.9999999999999867E-2</v>
      </c>
      <c r="AC44" s="39">
        <f t="shared" si="15"/>
        <v>9.9999999999999867E-2</v>
      </c>
      <c r="AD44" s="39">
        <f t="shared" si="15"/>
        <v>0.10000000000000009</v>
      </c>
      <c r="AE44" s="39">
        <f t="shared" si="15"/>
        <v>0.10000000000000009</v>
      </c>
      <c r="AF44" s="39">
        <f t="shared" si="15"/>
        <v>5.9999999999999609E-2</v>
      </c>
      <c r="AG44" s="39">
        <f t="shared" si="15"/>
        <v>6.0000000000000497E-2</v>
      </c>
      <c r="AH44" s="39">
        <f t="shared" si="15"/>
        <v>5.9999999999999831E-2</v>
      </c>
      <c r="AI44" s="39">
        <f t="shared" si="15"/>
        <v>6.0000000000000275E-2</v>
      </c>
      <c r="AJ44" s="39">
        <f t="shared" si="15"/>
        <v>5.9999999999999609E-2</v>
      </c>
      <c r="AK44" s="39">
        <f t="shared" si="15"/>
        <v>6.0000000000000053E-2</v>
      </c>
      <c r="AL44" s="39">
        <f t="shared" si="15"/>
        <v>5.9999999999999831E-2</v>
      </c>
      <c r="AM44" s="39">
        <f t="shared" si="15"/>
        <v>6.0000000000000275E-2</v>
      </c>
      <c r="AN44" s="39">
        <f t="shared" si="15"/>
        <v>6.0000000000000053E-2</v>
      </c>
      <c r="AO44" s="39">
        <f t="shared" si="15"/>
        <v>6.0000000000000053E-2</v>
      </c>
      <c r="AP44" s="39">
        <f t="shared" si="15"/>
        <v>2.0000000000000018E-2</v>
      </c>
      <c r="AQ44" s="39">
        <f t="shared" si="15"/>
        <v>1.9999999999999574E-2</v>
      </c>
      <c r="AR44" s="39">
        <f t="shared" si="15"/>
        <v>2.0000000000000684E-2</v>
      </c>
      <c r="AS44" s="39">
        <f t="shared" si="15"/>
        <v>1.9999999999999574E-2</v>
      </c>
      <c r="AT44" s="39">
        <f t="shared" si="15"/>
        <v>2.000000000000024E-2</v>
      </c>
      <c r="AU44" s="39">
        <f t="shared" si="15"/>
        <v>1.9999999999999796E-2</v>
      </c>
      <c r="AV44" s="39">
        <f t="shared" si="15"/>
        <v>2.0000000000000462E-2</v>
      </c>
      <c r="AW44" s="39">
        <f t="shared" si="15"/>
        <v>1.9999999999999796E-2</v>
      </c>
      <c r="AX44" s="39">
        <f t="shared" si="15"/>
        <v>1.9999999999999796E-2</v>
      </c>
      <c r="AY44" s="39">
        <f t="shared" si="15"/>
        <v>2.000000000000024E-2</v>
      </c>
    </row>
    <row r="45" spans="1:52" x14ac:dyDescent="0.35"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52" x14ac:dyDescent="0.35">
      <c r="A46" s="24" t="s">
        <v>48</v>
      </c>
      <c r="B46" s="24"/>
      <c r="C46" s="24"/>
      <c r="D46" s="24"/>
      <c r="E46" s="6"/>
      <c r="F46" s="6"/>
      <c r="G46" s="6"/>
      <c r="H46" s="6"/>
      <c r="I46" s="6"/>
      <c r="J46" s="6"/>
      <c r="K46" s="6"/>
      <c r="L46" s="6"/>
    </row>
    <row r="47" spans="1:52" x14ac:dyDescent="0.35">
      <c r="A47" s="48" t="s">
        <v>91</v>
      </c>
      <c r="B47" s="48"/>
      <c r="C47" s="48"/>
      <c r="D47" s="48"/>
    </row>
    <row r="48" spans="1:52" x14ac:dyDescent="0.35">
      <c r="A48" s="38" t="s">
        <v>88</v>
      </c>
      <c r="B48" s="39">
        <f>_xlfn.RRI(5,Q43,V43)</f>
        <v>0.13866613390761917</v>
      </c>
    </row>
    <row r="64" spans="1:14" x14ac:dyDescent="0.35">
      <c r="A64" s="61"/>
      <c r="B64" s="2"/>
      <c r="C64" s="2"/>
      <c r="M64" s="2"/>
      <c r="N64" s="2"/>
    </row>
    <row r="65" spans="1:14" x14ac:dyDescent="0.35">
      <c r="A65" s="61"/>
      <c r="B65" s="2"/>
      <c r="C65" s="2"/>
      <c r="M65" s="2"/>
      <c r="N65" s="2"/>
    </row>
    <row r="66" spans="1:14" x14ac:dyDescent="0.35">
      <c r="A66" s="61"/>
      <c r="B66" s="2"/>
      <c r="C66" s="2"/>
      <c r="M66" s="2"/>
      <c r="N66" s="2"/>
    </row>
    <row r="67" spans="1:14" x14ac:dyDescent="0.35">
      <c r="A67" s="61"/>
      <c r="B67" s="2"/>
      <c r="C67" s="2"/>
      <c r="M67" s="2"/>
      <c r="N67" s="2"/>
    </row>
    <row r="68" spans="1:14" x14ac:dyDescent="0.35">
      <c r="A68" s="61"/>
      <c r="B68" s="2"/>
      <c r="C68" s="2"/>
      <c r="M68" s="2"/>
      <c r="N68" s="2"/>
    </row>
    <row r="69" spans="1:14" x14ac:dyDescent="0.35">
      <c r="A69" s="61"/>
      <c r="B69" s="2"/>
      <c r="C69" s="2"/>
      <c r="M69" s="2"/>
      <c r="N69" s="2"/>
    </row>
    <row r="70" spans="1:14" x14ac:dyDescent="0.35">
      <c r="A70" s="61"/>
      <c r="B70" s="2"/>
      <c r="C70" s="2"/>
      <c r="M70" s="2"/>
      <c r="N70" s="2"/>
    </row>
    <row r="71" spans="1:14" x14ac:dyDescent="0.35">
      <c r="A71" s="61"/>
      <c r="B71" s="2"/>
      <c r="C71" s="2"/>
      <c r="M71" s="2"/>
      <c r="N71" s="2"/>
    </row>
    <row r="72" spans="1:14" x14ac:dyDescent="0.35">
      <c r="A72" s="61"/>
      <c r="B72" s="2"/>
      <c r="C72" s="2"/>
      <c r="M72" s="2"/>
      <c r="N72" s="2"/>
    </row>
    <row r="73" spans="1:14" x14ac:dyDescent="0.35">
      <c r="A73" s="61"/>
      <c r="B73" s="2"/>
      <c r="C73" s="2"/>
      <c r="M73" s="2"/>
      <c r="N73" s="2"/>
    </row>
    <row r="74" spans="1:14" x14ac:dyDescent="0.35">
      <c r="A74" s="61"/>
      <c r="B74" s="2"/>
      <c r="C74" s="2"/>
      <c r="M74" s="2"/>
      <c r="N74" s="2"/>
    </row>
    <row r="75" spans="1:14" x14ac:dyDescent="0.35">
      <c r="A75" s="61"/>
      <c r="B75" s="2"/>
      <c r="C75" s="2"/>
      <c r="M75" s="2"/>
      <c r="N75" s="2"/>
    </row>
    <row r="76" spans="1:14" x14ac:dyDescent="0.35">
      <c r="A76" s="61"/>
      <c r="B76" s="2"/>
      <c r="C76" s="2"/>
      <c r="M76" s="2"/>
      <c r="N76" s="2"/>
    </row>
    <row r="77" spans="1:14" x14ac:dyDescent="0.35">
      <c r="A77" s="61"/>
      <c r="B77" s="2"/>
      <c r="C77" s="2"/>
      <c r="M77" s="2"/>
      <c r="N77" s="2"/>
    </row>
    <row r="78" spans="1:14" x14ac:dyDescent="0.35">
      <c r="A78" s="61"/>
      <c r="B78" s="2"/>
      <c r="C78" s="2"/>
      <c r="M78" s="2"/>
      <c r="N78" s="2"/>
    </row>
    <row r="79" spans="1:14" x14ac:dyDescent="0.35">
      <c r="A79" s="61"/>
      <c r="B79" s="2"/>
      <c r="C79" s="2"/>
      <c r="M79" s="2"/>
      <c r="N79" s="2"/>
    </row>
    <row r="80" spans="1:14" x14ac:dyDescent="0.35">
      <c r="A80" s="61"/>
      <c r="B80" s="2"/>
      <c r="C80" s="2"/>
      <c r="M80" s="2"/>
      <c r="N80" s="2"/>
    </row>
    <row r="81" spans="1:14" x14ac:dyDescent="0.35">
      <c r="A81" s="61"/>
      <c r="B81" s="2"/>
      <c r="C81" s="2"/>
      <c r="M81" s="2"/>
      <c r="N81" s="2"/>
    </row>
    <row r="82" spans="1:14" x14ac:dyDescent="0.35">
      <c r="A82" s="61"/>
      <c r="B82" s="2"/>
      <c r="C82" s="2"/>
      <c r="M82" s="2"/>
      <c r="N82" s="2"/>
    </row>
    <row r="83" spans="1:14" x14ac:dyDescent="0.35">
      <c r="A83" s="61"/>
      <c r="B83" s="2"/>
      <c r="C83" s="2"/>
      <c r="M83" s="2"/>
      <c r="N83" s="2"/>
    </row>
    <row r="84" spans="1:14" x14ac:dyDescent="0.35">
      <c r="A84" s="61"/>
      <c r="B84" s="2"/>
      <c r="C84" s="2"/>
      <c r="M84" s="2"/>
      <c r="N84" s="2"/>
    </row>
    <row r="85" spans="1:14" x14ac:dyDescent="0.35">
      <c r="A85" s="61"/>
      <c r="B85" s="2"/>
      <c r="C85" s="2"/>
      <c r="M85" s="2"/>
      <c r="N85" s="2"/>
    </row>
    <row r="86" spans="1:14" x14ac:dyDescent="0.35">
      <c r="A86" s="61"/>
      <c r="B86" s="2"/>
      <c r="C86" s="2"/>
      <c r="M86" s="2"/>
      <c r="N86" s="2"/>
    </row>
    <row r="87" spans="1:14" x14ac:dyDescent="0.35">
      <c r="A87" s="61"/>
      <c r="B87" s="2"/>
      <c r="C87" s="2"/>
      <c r="M87" s="2"/>
      <c r="N87" s="2"/>
    </row>
    <row r="88" spans="1:14" x14ac:dyDescent="0.35">
      <c r="A88" s="61"/>
      <c r="B88" s="2"/>
      <c r="C88" s="2"/>
      <c r="M88" s="2"/>
      <c r="N88" s="2"/>
    </row>
    <row r="89" spans="1:14" x14ac:dyDescent="0.35">
      <c r="A89" s="61"/>
      <c r="B89" s="2"/>
      <c r="C89" s="2"/>
      <c r="M89" s="2"/>
      <c r="N89" s="2"/>
    </row>
    <row r="90" spans="1:14" x14ac:dyDescent="0.35">
      <c r="A90" s="61"/>
      <c r="B90" s="2"/>
      <c r="C90" s="2"/>
      <c r="M90" s="2"/>
      <c r="N90" s="2"/>
    </row>
    <row r="91" spans="1:14" x14ac:dyDescent="0.35">
      <c r="A91" s="61"/>
      <c r="B91" s="2"/>
      <c r="C91" s="2"/>
      <c r="M91" s="2"/>
      <c r="N91" s="2"/>
    </row>
    <row r="92" spans="1:14" x14ac:dyDescent="0.35">
      <c r="A92" s="61"/>
      <c r="B92" s="2"/>
      <c r="C92" s="2"/>
      <c r="M92" s="2"/>
      <c r="N92" s="2"/>
    </row>
    <row r="93" spans="1:14" x14ac:dyDescent="0.35">
      <c r="A93" s="61"/>
      <c r="B93" s="2"/>
      <c r="C93" s="2"/>
      <c r="M93" s="2"/>
      <c r="N93" s="2"/>
    </row>
    <row r="94" spans="1:14" x14ac:dyDescent="0.35">
      <c r="A94" s="61"/>
      <c r="B94" s="2"/>
      <c r="C94" s="2"/>
      <c r="M94" s="2"/>
      <c r="N94" s="2"/>
    </row>
    <row r="95" spans="1:14" x14ac:dyDescent="0.35">
      <c r="A95" s="61"/>
      <c r="B95" s="2"/>
      <c r="M95" s="2"/>
      <c r="N95" s="2"/>
    </row>
  </sheetData>
  <mergeCells count="5">
    <mergeCell ref="C1:D1"/>
    <mergeCell ref="M2:W2"/>
    <mergeCell ref="B10:L10"/>
    <mergeCell ref="M10:W10"/>
    <mergeCell ref="X10:AZ10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9871-9A63-4D77-9B67-127F6B818B82}">
  <sheetPr>
    <tabColor theme="9"/>
  </sheetPr>
  <dimension ref="A1:AZ48"/>
  <sheetViews>
    <sheetView zoomScale="70" zoomScaleNormal="70" workbookViewId="0"/>
  </sheetViews>
  <sheetFormatPr baseColWidth="10" defaultRowHeight="14.5" x14ac:dyDescent="0.35"/>
  <cols>
    <col min="1" max="1" width="27.26953125" customWidth="1"/>
    <col min="2" max="3" width="12.6328125" customWidth="1"/>
    <col min="4" max="4" width="12" customWidth="1"/>
    <col min="5" max="12" width="11" customWidth="1"/>
    <col min="13" max="22" width="11.26953125" bestFit="1" customWidth="1"/>
  </cols>
  <sheetData>
    <row r="1" spans="1:52" x14ac:dyDescent="0.35">
      <c r="A1" s="61" t="s">
        <v>82</v>
      </c>
      <c r="B1" s="61" t="s">
        <v>69</v>
      </c>
      <c r="C1" s="61" t="s">
        <v>75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52" x14ac:dyDescent="0.3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107" t="s">
        <v>84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1:52" x14ac:dyDescent="0.35">
      <c r="A3" s="55" t="s">
        <v>36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2">
        <v>1.4538942511989316E-2</v>
      </c>
      <c r="N4" s="12">
        <v>1.7762798323920567E-2</v>
      </c>
      <c r="O4" s="12">
        <v>1.708663602997872E-2</v>
      </c>
      <c r="P4" s="12">
        <v>2.0404573438874231E-2</v>
      </c>
      <c r="Q4" s="12">
        <v>2.6295641931684335E-2</v>
      </c>
      <c r="R4" s="12">
        <v>2.7062257360650627E-2</v>
      </c>
      <c r="S4" s="12">
        <v>2.5320854303838663E-2</v>
      </c>
      <c r="T4" s="12">
        <v>2.4708468642121669E-2</v>
      </c>
      <c r="U4" s="12">
        <v>2.4785898676310911E-2</v>
      </c>
      <c r="V4" s="12">
        <v>2.7537662660475568E-2</v>
      </c>
      <c r="W4" s="2">
        <v>2.4808774491260833E-2</v>
      </c>
    </row>
    <row r="5" spans="1:52" x14ac:dyDescent="0.35">
      <c r="A5" s="8" t="s">
        <v>9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12">
        <v>1.5306427503736921E-2</v>
      </c>
      <c r="N5" s="12">
        <v>1.6117435590173756E-2</v>
      </c>
      <c r="O5" s="12">
        <v>1.8658856918571297E-2</v>
      </c>
      <c r="P5" s="12">
        <v>2.5544535510412348E-2</v>
      </c>
      <c r="Q5" s="12">
        <v>2.6712088891718937E-2</v>
      </c>
      <c r="R5" s="12">
        <v>2.7358364510956707E-2</v>
      </c>
      <c r="S5" s="12">
        <v>3.1001842322597041E-2</v>
      </c>
      <c r="T5" s="12">
        <v>3.0773664659920583E-2</v>
      </c>
      <c r="U5" s="12">
        <v>3.2563665163884488E-2</v>
      </c>
      <c r="V5" s="12">
        <v>2.9520189752236158E-2</v>
      </c>
      <c r="W5" s="2"/>
    </row>
    <row r="6" spans="1:52" x14ac:dyDescent="0.35">
      <c r="A6" s="8" t="s">
        <v>27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12">
        <v>1.2072067974067678E-2</v>
      </c>
      <c r="N6" s="12">
        <v>1.5682432803768159E-2</v>
      </c>
      <c r="O6" s="12">
        <v>1.3427558983308956E-2</v>
      </c>
      <c r="P6" s="12">
        <v>1.1093891711582116E-2</v>
      </c>
      <c r="Q6" s="12">
        <v>1.2559774400665726E-2</v>
      </c>
      <c r="R6" s="12">
        <v>1.3366679839494931E-2</v>
      </c>
      <c r="S6" s="12">
        <v>1.4419825462525803E-2</v>
      </c>
      <c r="T6" s="12">
        <v>1.3768111971103827E-2</v>
      </c>
      <c r="U6" s="12">
        <v>1.3473841429886507E-2</v>
      </c>
      <c r="V6" s="12">
        <v>1.6050561241588893E-2</v>
      </c>
      <c r="W6" s="2">
        <v>1.9094680920447093E-2</v>
      </c>
    </row>
    <row r="7" spans="1:52" x14ac:dyDescent="0.35">
      <c r="A7" s="8" t="s">
        <v>28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12">
        <v>1.4198972493283252E-2</v>
      </c>
      <c r="N7" s="12">
        <v>1.6698751359856222E-2</v>
      </c>
      <c r="O7" s="12">
        <v>1.6738623343484135E-2</v>
      </c>
      <c r="P7" s="12">
        <v>1.9930172837998694E-2</v>
      </c>
      <c r="Q7" s="12">
        <v>2.3161025496261374E-2</v>
      </c>
      <c r="R7" s="12">
        <v>2.3907836343727125E-2</v>
      </c>
      <c r="S7" s="12">
        <v>2.4669608577901375E-2</v>
      </c>
      <c r="T7" s="12">
        <v>2.4176849350542616E-2</v>
      </c>
      <c r="U7" s="12">
        <v>2.4740032715175678E-2</v>
      </c>
      <c r="V7" s="12">
        <v>2.5467307117614319E-2</v>
      </c>
      <c r="W7" s="2"/>
    </row>
    <row r="8" spans="1:52" x14ac:dyDescent="0.35">
      <c r="A8" s="14" t="s">
        <v>32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15">
        <v>1.4198972493283252E-2</v>
      </c>
      <c r="N8" s="15">
        <v>1.6698751359856222E-2</v>
      </c>
      <c r="O8" s="15">
        <v>1.6738623343484135E-2</v>
      </c>
      <c r="P8" s="15">
        <v>1.9930172837998694E-2</v>
      </c>
      <c r="Q8" s="15">
        <v>2.3161025496261374E-2</v>
      </c>
      <c r="R8" s="15">
        <v>2.3907836343727125E-2</v>
      </c>
      <c r="S8" s="15">
        <v>2.4669608577901375E-2</v>
      </c>
      <c r="T8" s="15">
        <v>2.4176849350542616E-2</v>
      </c>
      <c r="U8" s="15">
        <v>2.4740032715175678E-2</v>
      </c>
      <c r="V8" s="16">
        <v>2.5467307117614319E-2</v>
      </c>
      <c r="W8" s="43">
        <v>2.2734397334715457E-2</v>
      </c>
    </row>
    <row r="9" spans="1:52" x14ac:dyDescent="0.35">
      <c r="A9" s="61"/>
      <c r="B9" s="26"/>
      <c r="C9" s="26"/>
      <c r="D9" s="25"/>
      <c r="E9" s="25"/>
      <c r="F9" s="25"/>
      <c r="G9" s="25"/>
      <c r="H9" s="25"/>
      <c r="I9" s="25"/>
      <c r="J9" s="25"/>
      <c r="K9" s="25"/>
      <c r="L9" s="25"/>
      <c r="M9" s="61"/>
      <c r="N9" s="61"/>
      <c r="O9" s="61"/>
      <c r="P9" s="61"/>
      <c r="Q9" s="61"/>
      <c r="R9" s="61"/>
      <c r="S9" s="61"/>
      <c r="T9" s="61"/>
      <c r="U9" s="61"/>
      <c r="V9" s="7"/>
      <c r="X9" s="6" t="s">
        <v>78</v>
      </c>
    </row>
    <row r="10" spans="1:52" x14ac:dyDescent="0.35">
      <c r="A10" s="61"/>
      <c r="B10" s="108" t="s">
        <v>85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9" t="s">
        <v>86</v>
      </c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5" t="s">
        <v>79</v>
      </c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</row>
    <row r="11" spans="1:52" x14ac:dyDescent="0.35">
      <c r="A11" s="61"/>
      <c r="B11" s="5">
        <v>2000</v>
      </c>
      <c r="C11" s="5">
        <v>2001</v>
      </c>
      <c r="D11" s="5">
        <v>2002</v>
      </c>
      <c r="E11" s="5">
        <v>2003</v>
      </c>
      <c r="F11" s="5">
        <v>2004</v>
      </c>
      <c r="G11" s="5">
        <v>2005</v>
      </c>
      <c r="H11" s="5">
        <v>2006</v>
      </c>
      <c r="I11" s="5">
        <v>2007</v>
      </c>
      <c r="J11" s="5">
        <v>2008</v>
      </c>
      <c r="K11" s="5">
        <v>2009</v>
      </c>
      <c r="L11" s="5">
        <v>2010</v>
      </c>
      <c r="M11" s="57">
        <v>2011</v>
      </c>
      <c r="N11" s="57">
        <v>2012</v>
      </c>
      <c r="O11" s="57">
        <v>2013</v>
      </c>
      <c r="P11" s="57">
        <v>2014</v>
      </c>
      <c r="Q11" s="57">
        <v>2015</v>
      </c>
      <c r="R11" s="57">
        <v>2016</v>
      </c>
      <c r="S11" s="57">
        <v>2017</v>
      </c>
      <c r="T11" s="57">
        <v>2018</v>
      </c>
      <c r="U11" s="57">
        <v>2019</v>
      </c>
      <c r="V11" s="57">
        <v>2020</v>
      </c>
      <c r="W11" s="57">
        <v>2021</v>
      </c>
      <c r="X11" s="47">
        <v>2022</v>
      </c>
      <c r="Y11" s="47">
        <v>2023</v>
      </c>
      <c r="Z11" s="47">
        <v>2024</v>
      </c>
      <c r="AA11" s="47">
        <v>2025</v>
      </c>
      <c r="AB11" s="47">
        <v>2026</v>
      </c>
      <c r="AC11" s="47">
        <v>2027</v>
      </c>
      <c r="AD11" s="47">
        <v>2028</v>
      </c>
      <c r="AE11" s="47">
        <v>2029</v>
      </c>
      <c r="AF11" s="47">
        <v>2030</v>
      </c>
      <c r="AG11" s="47">
        <v>2031</v>
      </c>
      <c r="AH11" s="47">
        <v>2032</v>
      </c>
      <c r="AI11" s="47">
        <v>2033</v>
      </c>
      <c r="AJ11" s="47">
        <v>2034</v>
      </c>
      <c r="AK11" s="47">
        <v>2035</v>
      </c>
      <c r="AL11" s="47">
        <v>2036</v>
      </c>
      <c r="AM11" s="47">
        <v>2037</v>
      </c>
      <c r="AN11" s="47">
        <v>2038</v>
      </c>
      <c r="AO11" s="47">
        <v>2039</v>
      </c>
      <c r="AP11" s="47">
        <v>2040</v>
      </c>
      <c r="AQ11" s="47">
        <v>2041</v>
      </c>
      <c r="AR11" s="47">
        <v>2042</v>
      </c>
      <c r="AS11" s="47">
        <v>2043</v>
      </c>
      <c r="AT11" s="47">
        <v>2044</v>
      </c>
      <c r="AU11" s="47">
        <v>2045</v>
      </c>
      <c r="AV11" s="47">
        <v>2046</v>
      </c>
      <c r="AW11" s="47">
        <v>2047</v>
      </c>
      <c r="AX11" s="47">
        <v>2048</v>
      </c>
      <c r="AY11" s="47">
        <v>2049</v>
      </c>
      <c r="AZ11" s="47">
        <v>2050</v>
      </c>
    </row>
    <row r="12" spans="1:52" x14ac:dyDescent="0.35">
      <c r="A12" s="61" t="s">
        <v>0</v>
      </c>
      <c r="B12" s="23">
        <f>C12/1.34</f>
        <v>3.3721264235466246</v>
      </c>
      <c r="C12" s="23">
        <f>D12/1.34</f>
        <v>4.518649407552477</v>
      </c>
      <c r="D12" s="23">
        <f>E12/1.5</f>
        <v>6.0549902061203191</v>
      </c>
      <c r="E12" s="23">
        <f>F12/1.5</f>
        <v>9.0824853091804787</v>
      </c>
      <c r="F12" s="23">
        <f>G12/1.22</f>
        <v>13.623727963770717</v>
      </c>
      <c r="G12" s="23">
        <f>H12/1.18</f>
        <v>16.620948115800275</v>
      </c>
      <c r="H12" s="23">
        <f>I12/1.19</f>
        <v>19.612718776644321</v>
      </c>
      <c r="I12" s="23">
        <f>J12/1.35</f>
        <v>23.339135344206742</v>
      </c>
      <c r="J12" s="23">
        <f>K12/(1-0.26)</f>
        <v>31.507832714679104</v>
      </c>
      <c r="K12" s="23">
        <f>L12/1.68</f>
        <v>23.315796208862537</v>
      </c>
      <c r="L12" s="23">
        <f>M12/1.31</f>
        <v>39.170537630889058</v>
      </c>
      <c r="M12" s="4">
        <f>$M$8*'[2]Eurostat POM Portables GU'!M3</f>
        <v>51.313404296464668</v>
      </c>
      <c r="N12" s="4">
        <f>$N$8*'[2]Eurostat POM Portables GU'!N3</f>
        <v>62.072259069242406</v>
      </c>
      <c r="O12" s="4">
        <f>$O$8*'[2]Eurostat POM Portables GU'!O3</f>
        <v>65.139156195088987</v>
      </c>
      <c r="P12" s="4">
        <f>$P$8*'[2]Eurostat POM Portables GU'!P3</f>
        <v>81.44728208529628</v>
      </c>
      <c r="Q12" s="4">
        <f>$Q$8*'[2]Eurostat POM Portables GU'!Q3</f>
        <v>105.31991931576604</v>
      </c>
      <c r="R12" s="4">
        <f>$R$8*'[2]Eurostat POM Portables GU'!R3</f>
        <v>112.55928124757686</v>
      </c>
      <c r="S12" s="4">
        <f>$S$8*'[2]Eurostat POM Portables GU'!S3</f>
        <v>117.07270923393453</v>
      </c>
      <c r="T12" s="4">
        <f>$T$8*'[2]Eurostat POM Portables GU'!T3</f>
        <v>131.75032038765113</v>
      </c>
      <c r="U12" s="4">
        <f>$U$8*'[2]Eurostat POM Portables GU'!U3</f>
        <v>142.51361136098814</v>
      </c>
      <c r="V12" s="4">
        <f>$V$8*'[2]Eurostat POM Portables GU'!V3</f>
        <v>161.64059359998799</v>
      </c>
      <c r="W12" s="4">
        <f>$W$8*'[2]Eurostat POM Portables GU'!W3</f>
        <v>139.56646523781819</v>
      </c>
      <c r="X12" s="48">
        <f>'[3]others portable_Li-Primary'!AC12</f>
        <v>149.33611780446546</v>
      </c>
      <c r="Y12" s="48">
        <f>'[3]others portable_Li-Primary'!AD12</f>
        <v>159.78964605077803</v>
      </c>
      <c r="Z12" s="48">
        <f>'[3]others portable_Li-Primary'!AE12</f>
        <v>170.9749212743325</v>
      </c>
      <c r="AA12" s="48">
        <f>'[3]others portable_Li-Primary'!AF12</f>
        <v>182.94316576353577</v>
      </c>
      <c r="AB12" s="48">
        <f>'[3]others portable_Li-Primary'!AG12</f>
        <v>195.74918736698328</v>
      </c>
      <c r="AC12" s="48">
        <f>'[3]others portable_Li-Primary'!AH12</f>
        <v>209.4516304826721</v>
      </c>
      <c r="AD12" s="48">
        <f>'[3]others portable_Li-Primary'!AI12</f>
        <v>224.11324461645916</v>
      </c>
      <c r="AE12" s="48">
        <f>'[3]others portable_Li-Primary'!AJ12</f>
        <v>239.80117173961131</v>
      </c>
      <c r="AF12" s="48">
        <f>'[3]others portable_Li-Primary'!AK12</f>
        <v>251.79123032659186</v>
      </c>
      <c r="AG12" s="48">
        <f>'[3]others portable_Li-Primary'!AL12</f>
        <v>264.38079184292144</v>
      </c>
      <c r="AH12" s="48">
        <f>'[3]others portable_Li-Primary'!AM12</f>
        <v>277.59983143506753</v>
      </c>
      <c r="AI12" s="48">
        <f>'[3]others portable_Li-Primary'!AN12</f>
        <v>291.47982300682088</v>
      </c>
      <c r="AJ12" s="48">
        <f>'[3]others portable_Li-Primary'!AO12</f>
        <v>306.05381415716192</v>
      </c>
      <c r="AK12" s="48">
        <f>'[3]others portable_Li-Primary'!AP12</f>
        <v>321.35650486502004</v>
      </c>
      <c r="AL12" s="48">
        <f>'[3]others portable_Li-Primary'!AQ12</f>
        <v>337.42433010827102</v>
      </c>
      <c r="AM12" s="48">
        <f>'[3]others portable_Li-Primary'!AR12</f>
        <v>354.29554661368456</v>
      </c>
      <c r="AN12" s="48">
        <f>'[3]others portable_Li-Primary'!AS12</f>
        <v>372.01032394436879</v>
      </c>
      <c r="AO12" s="48">
        <f>'[3]others portable_Li-Primary'!AT12</f>
        <v>383.17063366269986</v>
      </c>
      <c r="AP12" s="48">
        <f>'[3]others portable_Li-Primary'!AU12</f>
        <v>394.66575267258088</v>
      </c>
      <c r="AQ12" s="48">
        <f>'[3]others portable_Li-Primary'!AV12</f>
        <v>406.50572525275828</v>
      </c>
      <c r="AR12" s="48">
        <f>'[3]others portable_Li-Primary'!AW12</f>
        <v>418.70089701034101</v>
      </c>
      <c r="AS12" s="48">
        <f>'[3]others portable_Li-Primary'!AX12</f>
        <v>431.26192392065121</v>
      </c>
      <c r="AT12" s="48">
        <f>'[3]others portable_Li-Primary'!AY12</f>
        <v>444.19978163827074</v>
      </c>
      <c r="AU12" s="48">
        <f>'[3]others portable_Li-Primary'!AZ12</f>
        <v>457.52577508741888</v>
      </c>
      <c r="AV12" s="48">
        <f>'[3]others portable_Li-Primary'!BA12</f>
        <v>462.10103283829307</v>
      </c>
      <c r="AW12" s="48">
        <f>'[3]others portable_Li-Primary'!BB12</f>
        <v>466.72204316667597</v>
      </c>
      <c r="AX12" s="48">
        <f>'[3]others portable_Li-Primary'!BC12</f>
        <v>471.38926359834272</v>
      </c>
      <c r="AY12" s="48">
        <f>'[3]others portable_Li-Primary'!BD12</f>
        <v>476.10315623432615</v>
      </c>
      <c r="AZ12" s="48">
        <f>'[3]others portable_Li-Primary'!BE12</f>
        <v>480.8641877966694</v>
      </c>
    </row>
    <row r="13" spans="1:52" x14ac:dyDescent="0.35">
      <c r="A13" s="61" t="s">
        <v>1</v>
      </c>
      <c r="B13" s="23">
        <f t="shared" ref="B13:C42" si="0">C13/1.34</f>
        <v>4.1065896344129982</v>
      </c>
      <c r="C13" s="23">
        <f t="shared" si="0"/>
        <v>5.5028301101134174</v>
      </c>
      <c r="D13" s="23">
        <f t="shared" ref="D13:E42" si="1">E13/1.5</f>
        <v>7.37379234755198</v>
      </c>
      <c r="E13" s="23">
        <f t="shared" si="1"/>
        <v>11.06068852132797</v>
      </c>
      <c r="F13" s="23">
        <f t="shared" ref="F13:F42" si="2">G13/1.22</f>
        <v>16.591032781991956</v>
      </c>
      <c r="G13" s="23">
        <f t="shared" ref="G13:G42" si="3">H13/1.18</f>
        <v>20.241059994030188</v>
      </c>
      <c r="H13" s="23">
        <f t="shared" ref="H13:H42" si="4">I13/1.19</f>
        <v>23.884450792955619</v>
      </c>
      <c r="I13" s="23">
        <f t="shared" ref="I13:I42" si="5">J13/1.35</f>
        <v>28.422496443617185</v>
      </c>
      <c r="J13" s="23">
        <f t="shared" ref="J13:J42" si="6">K13/(1-0.26)</f>
        <v>38.370370198883201</v>
      </c>
      <c r="K13" s="23">
        <f t="shared" ref="K13:K42" si="7">L13/1.68</f>
        <v>28.39407394717357</v>
      </c>
      <c r="L13" s="23">
        <f t="shared" ref="L13:L42" si="8">M13/1.31</f>
        <v>47.702044231251598</v>
      </c>
      <c r="M13" s="4">
        <f>$M$8*'[2]Eurostat POM Portables GU'!M4</f>
        <v>62.489677942939593</v>
      </c>
      <c r="N13" s="4">
        <f>$N$8*'[2]Eurostat POM Portables GU'!N4</f>
        <v>71.119982041627651</v>
      </c>
      <c r="O13" s="4">
        <f>$O$8*'[2]Eurostat POM Portables GU'!O4</f>
        <v>73.616465464643227</v>
      </c>
      <c r="P13" s="4">
        <f>$P$8*'[2]Eurostat POM Portables GU'!P4</f>
        <v>84.14518972203048</v>
      </c>
      <c r="Q13" s="4">
        <f>$Q$8*'[2]Eurostat POM Portables GU'!Q4</f>
        <v>105.75324241592944</v>
      </c>
      <c r="R13" s="4">
        <f>$R$8*'[2]Eurostat POM Portables GU'!R4</f>
        <v>109.61742963598887</v>
      </c>
      <c r="S13" s="4">
        <f>$S$8*'[2]Eurostat POM Portables GU'!S4</f>
        <v>118.06874665383599</v>
      </c>
      <c r="T13" s="4">
        <f>$T$8*'[2]Eurostat POM Portables GU'!T4</f>
        <v>118.95009880466966</v>
      </c>
      <c r="U13" s="4">
        <f>$U$8*'[2]Eurostat POM Portables GU'!U4</f>
        <v>133.91779708724593</v>
      </c>
      <c r="V13" s="4">
        <f>$V$8*'[2]Eurostat POM Portables GU'!V4</f>
        <v>142.89706023693395</v>
      </c>
      <c r="W13" s="4">
        <f>$W$8*'[2]Eurostat POM Portables GU'!W4</f>
        <v>141.83990497128974</v>
      </c>
      <c r="X13" s="48">
        <f>'[3]others portable_Li-Primary'!AC13</f>
        <v>151.76869831928002</v>
      </c>
      <c r="Y13" s="48">
        <f>'[3]others portable_Li-Primary'!AD13</f>
        <v>162.39250720162963</v>
      </c>
      <c r="Z13" s="48">
        <f>'[3]others portable_Li-Primary'!AE13</f>
        <v>173.75998270574371</v>
      </c>
      <c r="AA13" s="48">
        <f>'[3]others portable_Li-Primary'!AF13</f>
        <v>185.92318149514577</v>
      </c>
      <c r="AB13" s="48">
        <f>'[3]others portable_Li-Primary'!AG13</f>
        <v>198.93780419980598</v>
      </c>
      <c r="AC13" s="48">
        <f>'[3]others portable_Li-Primary'!AH13</f>
        <v>212.86345049379241</v>
      </c>
      <c r="AD13" s="48">
        <f>'[3]others portable_Li-Primary'!AI13</f>
        <v>227.76389202835787</v>
      </c>
      <c r="AE13" s="48">
        <f>'[3]others portable_Li-Primary'!AJ13</f>
        <v>243.70736447034292</v>
      </c>
      <c r="AF13" s="48">
        <f>'[3]others portable_Li-Primary'!AK13</f>
        <v>255.89273269386007</v>
      </c>
      <c r="AG13" s="48">
        <f>'[3]others portable_Li-Primary'!AL13</f>
        <v>268.68736932855307</v>
      </c>
      <c r="AH13" s="48">
        <f>'[3]others portable_Li-Primary'!AM13</f>
        <v>282.12173779498073</v>
      </c>
      <c r="AI13" s="48">
        <f>'[3]others portable_Li-Primary'!AN13</f>
        <v>296.22782468472974</v>
      </c>
      <c r="AJ13" s="48">
        <f>'[3]others portable_Li-Primary'!AO13</f>
        <v>311.03921591896625</v>
      </c>
      <c r="AK13" s="48">
        <f>'[3]others portable_Li-Primary'!AP13</f>
        <v>326.59117671491458</v>
      </c>
      <c r="AL13" s="48">
        <f>'[3]others portable_Li-Primary'!AQ13</f>
        <v>342.92073555066031</v>
      </c>
      <c r="AM13" s="48">
        <f>'[3]others portable_Li-Primary'!AR13</f>
        <v>360.06677232819334</v>
      </c>
      <c r="AN13" s="48">
        <f>'[3]others portable_Li-Primary'!AS13</f>
        <v>378.07011094460302</v>
      </c>
      <c r="AO13" s="48">
        <f>'[3]others portable_Li-Primary'!AT13</f>
        <v>389.41221427294113</v>
      </c>
      <c r="AP13" s="48">
        <f>'[3]others portable_Li-Primary'!AU13</f>
        <v>401.09458070112936</v>
      </c>
      <c r="AQ13" s="48">
        <f>'[3]others portable_Li-Primary'!AV13</f>
        <v>413.12741812216325</v>
      </c>
      <c r="AR13" s="48">
        <f>'[3]others portable_Li-Primary'!AW13</f>
        <v>425.52124066582815</v>
      </c>
      <c r="AS13" s="48">
        <f>'[3]others portable_Li-Primary'!AX13</f>
        <v>438.28687788580299</v>
      </c>
      <c r="AT13" s="48">
        <f>'[3]others portable_Li-Primary'!AY13</f>
        <v>451.43548422237706</v>
      </c>
      <c r="AU13" s="48">
        <f>'[3]others portable_Li-Primary'!AZ13</f>
        <v>464.97854874904834</v>
      </c>
      <c r="AV13" s="48">
        <f>'[3]others portable_Li-Primary'!BA13</f>
        <v>469.62833423653882</v>
      </c>
      <c r="AW13" s="48">
        <f>'[3]others portable_Li-Primary'!BB13</f>
        <v>474.32461757890422</v>
      </c>
      <c r="AX13" s="48">
        <f>'[3]others portable_Li-Primary'!BC13</f>
        <v>479.06786375469329</v>
      </c>
      <c r="AY13" s="48">
        <f>'[3]others portable_Li-Primary'!BD13</f>
        <v>483.85854239224022</v>
      </c>
      <c r="AZ13" s="48">
        <f>'[3]others portable_Li-Primary'!BE13</f>
        <v>488.69712781616261</v>
      </c>
    </row>
    <row r="14" spans="1:52" x14ac:dyDescent="0.35">
      <c r="A14" s="61" t="s">
        <v>2</v>
      </c>
      <c r="B14" s="23">
        <f t="shared" si="0"/>
        <v>0.58225674434758234</v>
      </c>
      <c r="C14" s="23">
        <f t="shared" si="0"/>
        <v>0.78022403742576041</v>
      </c>
      <c r="D14" s="23">
        <f t="shared" si="1"/>
        <v>1.0455002101505191</v>
      </c>
      <c r="E14" s="23">
        <f t="shared" si="1"/>
        <v>1.5682503152257787</v>
      </c>
      <c r="F14" s="23">
        <f t="shared" si="2"/>
        <v>2.3523754728386681</v>
      </c>
      <c r="G14" s="23">
        <f t="shared" si="3"/>
        <v>2.869898076863175</v>
      </c>
      <c r="H14" s="23">
        <f t="shared" si="4"/>
        <v>3.3864797306985466</v>
      </c>
      <c r="I14" s="23">
        <f t="shared" si="5"/>
        <v>4.0299108795312701</v>
      </c>
      <c r="J14" s="23">
        <f t="shared" si="6"/>
        <v>5.4403796873672148</v>
      </c>
      <c r="K14" s="23">
        <f t="shared" si="7"/>
        <v>4.0258809686517392</v>
      </c>
      <c r="L14" s="23">
        <f t="shared" si="8"/>
        <v>6.7634800273349223</v>
      </c>
      <c r="M14" s="4">
        <f>$M$8*'[2]Eurostat POM Portables GU'!M5</f>
        <v>8.8601588358087486</v>
      </c>
      <c r="N14" s="4">
        <f>$N$8*'[2]Eurostat POM Portables GU'!N5</f>
        <v>10.059043940404271</v>
      </c>
      <c r="O14" s="4">
        <f>$O$8*'[2]Eurostat POM Portables GU'!O5</f>
        <v>11.332048003538759</v>
      </c>
      <c r="P14" s="4">
        <f>$P$8*'[2]Eurostat POM Portables GU'!P5</f>
        <v>14.549026171739047</v>
      </c>
      <c r="Q14" s="4">
        <f>$Q$8*'[2]Eurostat POM Portables GU'!Q5</f>
        <v>17.602379377158645</v>
      </c>
      <c r="R14" s="4">
        <f>$R$8*'[2]Eurostat POM Portables GU'!R5</f>
        <v>17.930877257795345</v>
      </c>
      <c r="S14" s="4">
        <f>$S$8*'[2]Eurostat POM Portables GU'!S5</f>
        <v>20.10573099098962</v>
      </c>
      <c r="T14" s="4">
        <f>$T$8*'[2]Eurostat POM Portables GU'!T5</f>
        <v>16.682026051874406</v>
      </c>
      <c r="U14" s="4">
        <f>$U$8*'[2]Eurostat POM Portables GU'!U5</f>
        <v>23.305110817695489</v>
      </c>
      <c r="V14" s="4">
        <f>$V$8*'[2]Eurostat POM Portables GU'!V5</f>
        <v>23.939268690557459</v>
      </c>
      <c r="W14" s="4">
        <f>$W$8*'[2]Eurostat POM Portables GU'!W5</f>
        <v>22.779866129384889</v>
      </c>
      <c r="X14" s="48">
        <f>'[3]others portable_Li-Primary'!AC14</f>
        <v>24.374456758441831</v>
      </c>
      <c r="Y14" s="48">
        <f>'[3]others portable_Li-Primary'!AD14</f>
        <v>26.080668731532757</v>
      </c>
      <c r="Z14" s="48">
        <f>'[3]others portable_Li-Primary'!AE14</f>
        <v>27.90631554274005</v>
      </c>
      <c r="AA14" s="48">
        <f>'[3]others portable_Li-Primary'!AF14</f>
        <v>29.859757630731853</v>
      </c>
      <c r="AB14" s="48">
        <f>'[3]others portable_Li-Primary'!AG14</f>
        <v>31.949940664883083</v>
      </c>
      <c r="AC14" s="48">
        <f>'[3]others portable_Li-Primary'!AH14</f>
        <v>34.186436511424901</v>
      </c>
      <c r="AD14" s="48">
        <f>'[3]others portable_Li-Primary'!AI14</f>
        <v>36.579487067224647</v>
      </c>
      <c r="AE14" s="48">
        <f>'[3]others portable_Li-Primary'!AJ14</f>
        <v>39.140051161930373</v>
      </c>
      <c r="AF14" s="48">
        <f>'[3]others portable_Li-Primary'!AK14</f>
        <v>41.097053720026892</v>
      </c>
      <c r="AG14" s="48">
        <f>'[3]others portable_Li-Primary'!AL14</f>
        <v>43.151906406028239</v>
      </c>
      <c r="AH14" s="48">
        <f>'[3]others portable_Li-Primary'!AM14</f>
        <v>45.30950172632965</v>
      </c>
      <c r="AI14" s="48">
        <f>'[3]others portable_Li-Primary'!AN14</f>
        <v>47.574976812646135</v>
      </c>
      <c r="AJ14" s="48">
        <f>'[3]others portable_Li-Primary'!AO14</f>
        <v>49.95372565327844</v>
      </c>
      <c r="AK14" s="48">
        <f>'[3]others portable_Li-Primary'!AP14</f>
        <v>52.45141193594236</v>
      </c>
      <c r="AL14" s="48">
        <f>'[3]others portable_Li-Primary'!AQ14</f>
        <v>55.073982532739478</v>
      </c>
      <c r="AM14" s="48">
        <f>'[3]others portable_Li-Primary'!AR14</f>
        <v>57.827681659376452</v>
      </c>
      <c r="AN14" s="48">
        <f>'[3]others portable_Li-Primary'!AS14</f>
        <v>60.719065742345272</v>
      </c>
      <c r="AO14" s="48">
        <f>'[3]others portable_Li-Primary'!AT14</f>
        <v>62.540637714615627</v>
      </c>
      <c r="AP14" s="48">
        <f>'[3]others portable_Li-Primary'!AU14</f>
        <v>64.416856846054102</v>
      </c>
      <c r="AQ14" s="48">
        <f>'[3]others portable_Li-Primary'!AV14</f>
        <v>66.349362551435732</v>
      </c>
      <c r="AR14" s="48">
        <f>'[3]others portable_Li-Primary'!AW14</f>
        <v>68.339843427978806</v>
      </c>
      <c r="AS14" s="48">
        <f>'[3]others portable_Li-Primary'!AX14</f>
        <v>70.390038730818176</v>
      </c>
      <c r="AT14" s="48">
        <f>'[3]others portable_Li-Primary'!AY14</f>
        <v>72.501739892742719</v>
      </c>
      <c r="AU14" s="48">
        <f>'[3]others portable_Li-Primary'!AZ14</f>
        <v>74.676792089524994</v>
      </c>
      <c r="AV14" s="48">
        <f>'[3]others portable_Li-Primary'!BA14</f>
        <v>75.423560010420246</v>
      </c>
      <c r="AW14" s="48">
        <f>'[3]others portable_Li-Primary'!BB14</f>
        <v>76.177795610524456</v>
      </c>
      <c r="AX14" s="48">
        <f>'[3]others portable_Li-Primary'!BC14</f>
        <v>76.939573566629704</v>
      </c>
      <c r="AY14" s="48">
        <f>'[3]others portable_Li-Primary'!BD14</f>
        <v>77.708969302295998</v>
      </c>
      <c r="AZ14" s="48">
        <f>'[3]others portable_Li-Primary'!BE14</f>
        <v>78.486058995318956</v>
      </c>
    </row>
    <row r="15" spans="1:52" x14ac:dyDescent="0.35">
      <c r="A15" s="61" t="s">
        <v>3</v>
      </c>
      <c r="B15" s="23">
        <f t="shared" si="0"/>
        <v>0.30954784033632549</v>
      </c>
      <c r="C15" s="23">
        <f t="shared" si="0"/>
        <v>0.41479410605067618</v>
      </c>
      <c r="D15" s="23">
        <f t="shared" si="1"/>
        <v>0.55582410210790612</v>
      </c>
      <c r="E15" s="23">
        <f t="shared" si="1"/>
        <v>0.83373615316185912</v>
      </c>
      <c r="F15" s="23">
        <f t="shared" si="2"/>
        <v>1.2506042297427886</v>
      </c>
      <c r="G15" s="23">
        <f t="shared" si="3"/>
        <v>1.5257371602862022</v>
      </c>
      <c r="H15" s="23">
        <f t="shared" si="4"/>
        <v>1.8003698491377185</v>
      </c>
      <c r="I15" s="23">
        <f t="shared" si="5"/>
        <v>2.1424401204738848</v>
      </c>
      <c r="J15" s="23">
        <f t="shared" si="6"/>
        <v>2.8922941626397445</v>
      </c>
      <c r="K15" s="23">
        <f t="shared" si="7"/>
        <v>2.1402976803534108</v>
      </c>
      <c r="L15" s="23">
        <f t="shared" si="8"/>
        <v>3.5957001029937299</v>
      </c>
      <c r="M15" s="4">
        <f>$M$8*'[2]Eurostat POM Portables GU'!M6</f>
        <v>4.7103671349217864</v>
      </c>
      <c r="N15" s="4">
        <f>$N$8*'[2]Eurostat POM Portables GU'!N6</f>
        <v>6.7930520531895118</v>
      </c>
      <c r="O15" s="4">
        <f>$O$8*'[2]Eurostat POM Portables GU'!O6</f>
        <v>6.5879873755284857</v>
      </c>
      <c r="P15" s="4">
        <f>$P$8*'[2]Eurostat POM Portables GU'!P6</f>
        <v>6.9157699747855466</v>
      </c>
      <c r="Q15" s="4">
        <f>$Q$8*'[2]Eurostat POM Portables GU'!Q6</f>
        <v>6.1608327820055253</v>
      </c>
      <c r="R15" s="4">
        <f>$R$8*'[2]Eurostat POM Portables GU'!R6</f>
        <v>9.4435953557722137</v>
      </c>
      <c r="S15" s="4">
        <f>$S$8*'[2]Eurostat POM Portables GU'!S6</f>
        <v>14.01233767224798</v>
      </c>
      <c r="T15" s="4">
        <f>$T$8*'[2]Eurostat POM Portables GU'!T6</f>
        <v>16.295196462265721</v>
      </c>
      <c r="U15" s="4">
        <f>$U$8*'[2]Eurostat POM Portables GU'!U6</f>
        <v>22.414469639949164</v>
      </c>
      <c r="V15" s="4">
        <f>$V$8*'[2]Eurostat POM Portables GU'!V6</f>
        <v>26.791607087730263</v>
      </c>
      <c r="W15" s="4">
        <f>$W$8*'[2]Eurostat POM Portables GU'!W6</f>
        <v>23.848382804116515</v>
      </c>
      <c r="X15" s="48">
        <f>'[3]others portable_Li-Primary'!AC15</f>
        <v>25.517769600404669</v>
      </c>
      <c r="Y15" s="48">
        <f>'[3]others portable_Li-Primary'!AD15</f>
        <v>27.304013472432995</v>
      </c>
      <c r="Z15" s="48">
        <f>'[3]others portable_Li-Primary'!AE15</f>
        <v>29.215294415503305</v>
      </c>
      <c r="AA15" s="48">
        <f>'[3]others portable_Li-Primary'!AF15</f>
        <v>31.260365024588538</v>
      </c>
      <c r="AB15" s="48">
        <f>'[3]others portable_Li-Primary'!AG15</f>
        <v>33.448590576309734</v>
      </c>
      <c r="AC15" s="48">
        <f>'[3]others portable_Li-Primary'!AH15</f>
        <v>35.789991916651417</v>
      </c>
      <c r="AD15" s="48">
        <f>'[3]others portable_Li-Primary'!AI15</f>
        <v>38.295291350817017</v>
      </c>
      <c r="AE15" s="48">
        <f>'[3]others portable_Li-Primary'!AJ15</f>
        <v>40.975961745374207</v>
      </c>
      <c r="AF15" s="48">
        <f>'[3]others portable_Li-Primary'!AK15</f>
        <v>43.024759832642914</v>
      </c>
      <c r="AG15" s="48">
        <f>'[3]others portable_Li-Primary'!AL15</f>
        <v>45.175997824275058</v>
      </c>
      <c r="AH15" s="48">
        <f>'[3]others portable_Li-Primary'!AM15</f>
        <v>47.434797715488813</v>
      </c>
      <c r="AI15" s="48">
        <f>'[3]others portable_Li-Primary'!AN15</f>
        <v>49.806537601263251</v>
      </c>
      <c r="AJ15" s="48">
        <f>'[3]others portable_Li-Primary'!AO15</f>
        <v>52.296864481326416</v>
      </c>
      <c r="AK15" s="48">
        <f>'[3]others portable_Li-Primary'!AP15</f>
        <v>54.911707705392736</v>
      </c>
      <c r="AL15" s="48">
        <f>'[3]others portable_Li-Primary'!AQ15</f>
        <v>57.657293090662371</v>
      </c>
      <c r="AM15" s="48">
        <f>'[3]others portable_Li-Primary'!AR15</f>
        <v>60.540157745195486</v>
      </c>
      <c r="AN15" s="48">
        <f>'[3]others portable_Li-Primary'!AS15</f>
        <v>63.567165632455257</v>
      </c>
      <c r="AO15" s="48">
        <f>'[3]others portable_Li-Primary'!AT15</f>
        <v>65.474180601428912</v>
      </c>
      <c r="AP15" s="48">
        <f>'[3]others portable_Li-Primary'!AU15</f>
        <v>67.438406019471785</v>
      </c>
      <c r="AQ15" s="48">
        <f>'[3]others portable_Li-Primary'!AV15</f>
        <v>69.461558200055933</v>
      </c>
      <c r="AR15" s="48">
        <f>'[3]others portable_Li-Primary'!AW15</f>
        <v>71.545404946057616</v>
      </c>
      <c r="AS15" s="48">
        <f>'[3]others portable_Li-Primary'!AX15</f>
        <v>73.691767094439342</v>
      </c>
      <c r="AT15" s="48">
        <f>'[3]others portable_Li-Primary'!AY15</f>
        <v>75.902520107272522</v>
      </c>
      <c r="AU15" s="48">
        <f>'[3]others portable_Li-Primary'!AZ15</f>
        <v>78.179595710490702</v>
      </c>
      <c r="AV15" s="48">
        <f>'[3]others portable_Li-Primary'!BA15</f>
        <v>78.961391667595606</v>
      </c>
      <c r="AW15" s="48">
        <f>'[3]others portable_Li-Primary'!BB15</f>
        <v>79.751005584271567</v>
      </c>
      <c r="AX15" s="48">
        <f>'[3]others portable_Li-Primary'!BC15</f>
        <v>80.548515640114289</v>
      </c>
      <c r="AY15" s="48">
        <f>'[3]others portable_Li-Primary'!BD15</f>
        <v>81.354000796515436</v>
      </c>
      <c r="AZ15" s="48">
        <f>'[3]others portable_Li-Primary'!BE15</f>
        <v>82.167540804480595</v>
      </c>
    </row>
    <row r="16" spans="1:52" x14ac:dyDescent="0.35">
      <c r="A16" s="61" t="s">
        <v>4</v>
      </c>
      <c r="B16" s="23">
        <f t="shared" si="0"/>
        <v>0.25716339542018235</v>
      </c>
      <c r="C16" s="23">
        <f t="shared" si="0"/>
        <v>0.34459894986304435</v>
      </c>
      <c r="D16" s="23">
        <f t="shared" si="1"/>
        <v>0.46176259281647947</v>
      </c>
      <c r="E16" s="23">
        <f t="shared" si="1"/>
        <v>0.6926438892247192</v>
      </c>
      <c r="F16" s="23">
        <f t="shared" si="2"/>
        <v>1.0389658338370789</v>
      </c>
      <c r="G16" s="23">
        <f t="shared" si="3"/>
        <v>1.2675383172812362</v>
      </c>
      <c r="H16" s="23">
        <f t="shared" si="4"/>
        <v>1.4956952143918587</v>
      </c>
      <c r="I16" s="23">
        <f t="shared" si="5"/>
        <v>1.7798773051263117</v>
      </c>
      <c r="J16" s="23">
        <f t="shared" si="6"/>
        <v>2.402834361920521</v>
      </c>
      <c r="K16" s="23">
        <f t="shared" si="7"/>
        <v>1.7780974278211854</v>
      </c>
      <c r="L16" s="23">
        <f t="shared" si="8"/>
        <v>2.9872036787395913</v>
      </c>
      <c r="M16" s="4">
        <f>$M$8*'[2]Eurostat POM Portables GU'!M7</f>
        <v>3.9132368191488647</v>
      </c>
      <c r="N16" s="4">
        <f>$N$8*'[2]Eurostat POM Portables GU'!N7</f>
        <v>4.3082778508429058</v>
      </c>
      <c r="O16" s="4">
        <f>$O$8*'[2]Eurostat POM Portables GU'!O7</f>
        <v>3.3510723933655235</v>
      </c>
      <c r="P16" s="4">
        <f>$P$8*'[2]Eurostat POM Portables GU'!P7</f>
        <v>3.7867328392197521</v>
      </c>
      <c r="Q16" s="4">
        <f>$Q$8*'[2]Eurostat POM Portables GU'!Q7</f>
        <v>4.7711712522298431</v>
      </c>
      <c r="R16" s="4">
        <f>$R$8*'[2]Eurostat POM Portables GU'!R7</f>
        <v>5.0445534685264235</v>
      </c>
      <c r="S16" s="4">
        <f>$S$8*'[2]Eurostat POM Portables GU'!S7</f>
        <v>5.7480187986510201</v>
      </c>
      <c r="T16" s="4">
        <f>$T$8*'[2]Eurostat POM Portables GU'!T7</f>
        <v>4.8837235688096081</v>
      </c>
      <c r="U16" s="4">
        <f>$U$8*'[2]Eurostat POM Portables GU'!U7</f>
        <v>4.3295057251557436</v>
      </c>
      <c r="V16" s="4">
        <f>$V$8*'[2]Eurostat POM Portables GU'!V7</f>
        <v>5.169863344875707</v>
      </c>
      <c r="W16" s="4">
        <f>$W$8*'[2]Eurostat POM Portables GU'!W7</f>
        <v>4.4786762749389446</v>
      </c>
      <c r="X16" s="48">
        <f>'[3]others portable_Li-Primary'!AC16</f>
        <v>4.7921836141846708</v>
      </c>
      <c r="Y16" s="48">
        <f>'[3]others portable_Li-Primary'!AD16</f>
        <v>5.1276364671775978</v>
      </c>
      <c r="Z16" s="48">
        <f>'[3]others portable_Li-Primary'!AE16</f>
        <v>5.4865710198800297</v>
      </c>
      <c r="AA16" s="48">
        <f>'[3]others portable_Li-Primary'!AF16</f>
        <v>5.8706309912716321</v>
      </c>
      <c r="AB16" s="48">
        <f>'[3]others portable_Li-Primary'!AG16</f>
        <v>6.2815751606606467</v>
      </c>
      <c r="AC16" s="48">
        <f>'[3]others portable_Li-Primary'!AH16</f>
        <v>6.7212854219068916</v>
      </c>
      <c r="AD16" s="48">
        <f>'[3]others portable_Li-Primary'!AI16</f>
        <v>7.1917754014403741</v>
      </c>
      <c r="AE16" s="48">
        <f>'[3]others portable_Li-Primary'!AJ16</f>
        <v>7.6951996795412008</v>
      </c>
      <c r="AF16" s="48">
        <f>'[3]others portable_Li-Primary'!AK16</f>
        <v>8.0799596635182613</v>
      </c>
      <c r="AG16" s="48">
        <f>'[3]others portable_Li-Primary'!AL16</f>
        <v>8.483957646694174</v>
      </c>
      <c r="AH16" s="48">
        <f>'[3]others portable_Li-Primary'!AM16</f>
        <v>8.9081555290288819</v>
      </c>
      <c r="AI16" s="48">
        <f>'[3]others portable_Li-Primary'!AN16</f>
        <v>9.3535633054803267</v>
      </c>
      <c r="AJ16" s="48">
        <f>'[3]others portable_Li-Primary'!AO16</f>
        <v>9.8212414707543427</v>
      </c>
      <c r="AK16" s="48">
        <f>'[3]others portable_Li-Primary'!AP16</f>
        <v>10.31230354429206</v>
      </c>
      <c r="AL16" s="48">
        <f>'[3]others portable_Li-Primary'!AQ16</f>
        <v>10.827918721506663</v>
      </c>
      <c r="AM16" s="48">
        <f>'[3]others portable_Li-Primary'!AR16</f>
        <v>11.369314657581995</v>
      </c>
      <c r="AN16" s="48">
        <f>'[3]others portable_Li-Primary'!AS16</f>
        <v>11.937780390461095</v>
      </c>
      <c r="AO16" s="48">
        <f>'[3]others portable_Li-Primary'!AT16</f>
        <v>12.295913802174928</v>
      </c>
      <c r="AP16" s="48">
        <f>'[3]others portable_Li-Primary'!AU16</f>
        <v>12.664791216240175</v>
      </c>
      <c r="AQ16" s="48">
        <f>'[3]others portable_Li-Primary'!AV16</f>
        <v>13.04473495272738</v>
      </c>
      <c r="AR16" s="48">
        <f>'[3]others portable_Li-Primary'!AW16</f>
        <v>13.436077001309201</v>
      </c>
      <c r="AS16" s="48">
        <f>'[3]others portable_Li-Primary'!AX16</f>
        <v>13.839159311348476</v>
      </c>
      <c r="AT16" s="48">
        <f>'[3]others portable_Li-Primary'!AY16</f>
        <v>14.25433409068893</v>
      </c>
      <c r="AU16" s="48">
        <f>'[3]others portable_Li-Primary'!AZ16</f>
        <v>14.681964113409599</v>
      </c>
      <c r="AV16" s="48">
        <f>'[3]others portable_Li-Primary'!BA16</f>
        <v>14.828783754543695</v>
      </c>
      <c r="AW16" s="48">
        <f>'[3]others portable_Li-Primary'!BB16</f>
        <v>14.977071592089132</v>
      </c>
      <c r="AX16" s="48">
        <f>'[3]others portable_Li-Primary'!BC16</f>
        <v>15.126842308010023</v>
      </c>
      <c r="AY16" s="48">
        <f>'[3]others portable_Li-Primary'!BD16</f>
        <v>15.278110731090123</v>
      </c>
      <c r="AZ16" s="48">
        <f>'[3]others portable_Li-Primary'!BE16</f>
        <v>15.430891838401024</v>
      </c>
    </row>
    <row r="17" spans="1:52" x14ac:dyDescent="0.35">
      <c r="A17" s="61" t="s">
        <v>5</v>
      </c>
      <c r="B17" s="23">
        <f t="shared" si="0"/>
        <v>3.1593027003398153</v>
      </c>
      <c r="C17" s="23">
        <f t="shared" si="0"/>
        <v>4.2334656184553525</v>
      </c>
      <c r="D17" s="23">
        <f t="shared" si="1"/>
        <v>5.6728439287301731</v>
      </c>
      <c r="E17" s="23">
        <f t="shared" si="1"/>
        <v>8.5092658930952592</v>
      </c>
      <c r="F17" s="23">
        <f t="shared" si="2"/>
        <v>12.76389883964289</v>
      </c>
      <c r="G17" s="23">
        <f t="shared" si="3"/>
        <v>15.571956584364326</v>
      </c>
      <c r="H17" s="23">
        <f t="shared" si="4"/>
        <v>18.374908769549904</v>
      </c>
      <c r="I17" s="23">
        <f t="shared" si="5"/>
        <v>21.866141435764387</v>
      </c>
      <c r="J17" s="23">
        <f t="shared" si="6"/>
        <v>29.519290938281923</v>
      </c>
      <c r="K17" s="23">
        <f t="shared" si="7"/>
        <v>21.844275294328622</v>
      </c>
      <c r="L17" s="23">
        <f t="shared" si="8"/>
        <v>36.698382494472085</v>
      </c>
      <c r="M17" s="4">
        <f>$M$8*'[2]Eurostat POM Portables GU'!M8</f>
        <v>48.074881067758433</v>
      </c>
      <c r="N17" s="4">
        <f>$N$8*'[2]Eurostat POM Portables GU'!N8</f>
        <v>62.432040847753584</v>
      </c>
      <c r="O17" s="4">
        <f>$O$8*'[2]Eurostat POM Portables GU'!O8</f>
        <v>61.447486293930261</v>
      </c>
      <c r="P17" s="4">
        <f>$P$8*'[2]Eurostat POM Portables GU'!P8</f>
        <v>79.142716339692811</v>
      </c>
      <c r="Q17" s="4">
        <f>$Q$8*'[2]Eurostat POM Portables GU'!Q8</f>
        <v>91.833466092676346</v>
      </c>
      <c r="R17" s="4">
        <f>$R$8*'[2]Eurostat POM Portables GU'!R8</f>
        <v>96.75501368306368</v>
      </c>
      <c r="S17" s="4">
        <f>$S$8*'[2]Eurostat POM Portables GU'!S8</f>
        <v>100.25728926059119</v>
      </c>
      <c r="T17" s="4">
        <f>$T$8*'[2]Eurostat POM Portables GU'!T8</f>
        <v>97.867886170996513</v>
      </c>
      <c r="U17" s="4">
        <f>$U$8*'[2]Eurostat POM Portables GU'!U8</f>
        <v>106.20896044624918</v>
      </c>
      <c r="V17" s="4">
        <f>$V$8*'[2]Eurostat POM Portables GU'!V8</f>
        <v>126.39424522471987</v>
      </c>
      <c r="W17" s="4">
        <f>$W$8*'[2]Eurostat POM Portables GU'!W8</f>
        <v>118.35527252452867</v>
      </c>
      <c r="X17" s="48">
        <f>'[3]others portable_Li-Primary'!AC17</f>
        <v>126.64014160124569</v>
      </c>
      <c r="Y17" s="48">
        <f>'[3]others portable_Li-Primary'!AD17</f>
        <v>135.50495151333288</v>
      </c>
      <c r="Z17" s="48">
        <f>'[3]others portable_Li-Primary'!AE17</f>
        <v>144.99029811926619</v>
      </c>
      <c r="AA17" s="48">
        <f>'[3]others portable_Li-Primary'!AF17</f>
        <v>155.13961898761482</v>
      </c>
      <c r="AB17" s="48">
        <f>'[3]others portable_Li-Primary'!AG17</f>
        <v>165.99939231674787</v>
      </c>
      <c r="AC17" s="48">
        <f>'[3]others portable_Li-Primary'!AH17</f>
        <v>177.61934977892022</v>
      </c>
      <c r="AD17" s="48">
        <f>'[3]others portable_Li-Primary'!AI17</f>
        <v>190.05270426344464</v>
      </c>
      <c r="AE17" s="48">
        <f>'[3]others portable_Li-Primary'!AJ17</f>
        <v>203.35639356188577</v>
      </c>
      <c r="AF17" s="48">
        <f>'[3]others portable_Li-Primary'!AK17</f>
        <v>213.52421323998004</v>
      </c>
      <c r="AG17" s="48">
        <f>'[3]others portable_Li-Primary'!AL17</f>
        <v>224.20042390197904</v>
      </c>
      <c r="AH17" s="48">
        <f>'[3]others portable_Li-Primary'!AM17</f>
        <v>235.410445097078</v>
      </c>
      <c r="AI17" s="48">
        <f>'[3]others portable_Li-Primary'!AN17</f>
        <v>247.18096735193188</v>
      </c>
      <c r="AJ17" s="48">
        <f>'[3]others portable_Li-Primary'!AO17</f>
        <v>259.54001571952847</v>
      </c>
      <c r="AK17" s="48">
        <f>'[3]others portable_Li-Primary'!AP17</f>
        <v>272.5170165055049</v>
      </c>
      <c r="AL17" s="48">
        <f>'[3]others portable_Li-Primary'!AQ17</f>
        <v>286.14286733078012</v>
      </c>
      <c r="AM17" s="48">
        <f>'[3]others portable_Li-Primary'!AR17</f>
        <v>300.4500106973191</v>
      </c>
      <c r="AN17" s="48">
        <f>'[3]others portable_Li-Primary'!AS17</f>
        <v>315.47251123218507</v>
      </c>
      <c r="AO17" s="48">
        <f>'[3]others portable_Li-Primary'!AT17</f>
        <v>324.9366865691506</v>
      </c>
      <c r="AP17" s="48">
        <f>'[3]others portable_Li-Primary'!AU17</f>
        <v>334.68478716622514</v>
      </c>
      <c r="AQ17" s="48">
        <f>'[3]others portable_Li-Primary'!AV17</f>
        <v>344.72533078121188</v>
      </c>
      <c r="AR17" s="48">
        <f>'[3]others portable_Li-Primary'!AW17</f>
        <v>355.06709070464825</v>
      </c>
      <c r="AS17" s="48">
        <f>'[3]others portable_Li-Primary'!AX17</f>
        <v>365.71910342578769</v>
      </c>
      <c r="AT17" s="48">
        <f>'[3]others portable_Li-Primary'!AY17</f>
        <v>376.69067652856131</v>
      </c>
      <c r="AU17" s="48">
        <f>'[3]others portable_Li-Primary'!AZ17</f>
        <v>387.99139682441813</v>
      </c>
      <c r="AV17" s="48">
        <f>'[3]others portable_Li-Primary'!BA17</f>
        <v>391.87131079266231</v>
      </c>
      <c r="AW17" s="48">
        <f>'[3]others portable_Li-Primary'!BB17</f>
        <v>395.79002390058895</v>
      </c>
      <c r="AX17" s="48">
        <f>'[3]others portable_Li-Primary'!BC17</f>
        <v>399.74792413959483</v>
      </c>
      <c r="AY17" s="48">
        <f>'[3]others portable_Li-Primary'!BD17</f>
        <v>403.74540338099075</v>
      </c>
      <c r="AZ17" s="48">
        <f>'[3]others portable_Li-Primary'!BE17</f>
        <v>407.78285741480067</v>
      </c>
    </row>
    <row r="18" spans="1:52" x14ac:dyDescent="0.35">
      <c r="A18" s="61" t="s">
        <v>6</v>
      </c>
      <c r="B18" s="23">
        <f t="shared" si="0"/>
        <v>3.1557569060633401</v>
      </c>
      <c r="C18" s="23">
        <f t="shared" si="0"/>
        <v>4.2287142541248759</v>
      </c>
      <c r="D18" s="23">
        <f t="shared" si="1"/>
        <v>5.6664771005273344</v>
      </c>
      <c r="E18" s="23">
        <f t="shared" si="1"/>
        <v>8.4997156507910017</v>
      </c>
      <c r="F18" s="23">
        <f t="shared" si="2"/>
        <v>12.749573476186503</v>
      </c>
      <c r="G18" s="23">
        <f t="shared" si="3"/>
        <v>15.554479640947534</v>
      </c>
      <c r="H18" s="23">
        <f t="shared" si="4"/>
        <v>18.354285976318089</v>
      </c>
      <c r="I18" s="23">
        <f t="shared" si="5"/>
        <v>21.841600311818524</v>
      </c>
      <c r="J18" s="23">
        <f t="shared" si="6"/>
        <v>29.486160420955009</v>
      </c>
      <c r="K18" s="23">
        <f t="shared" si="7"/>
        <v>21.819758711506708</v>
      </c>
      <c r="L18" s="23">
        <f t="shared" si="8"/>
        <v>36.657194635331265</v>
      </c>
      <c r="M18" s="4">
        <f>$M$8*'[2]Eurostat POM Portables GU'!M9</f>
        <v>48.020924972283957</v>
      </c>
      <c r="N18" s="4">
        <f>$N$8*'[2]Eurostat POM Portables GU'!N9</f>
        <v>61.852175036907447</v>
      </c>
      <c r="O18" s="4">
        <f>$O$8*'[2]Eurostat POM Portables GU'!O9</f>
        <v>52.425368311792312</v>
      </c>
      <c r="P18" s="4">
        <f>$P$8*'[2]Eurostat POM Portables GU'!P9</f>
        <v>70.094417871241404</v>
      </c>
      <c r="Q18" s="4">
        <f>$Q$8*'[2]Eurostat POM Portables GU'!Q9</f>
        <v>85.441023055708214</v>
      </c>
      <c r="R18" s="4">
        <f>$R$8*'[2]Eurostat POM Portables GU'!R9</f>
        <v>94.149059521597422</v>
      </c>
      <c r="S18" s="4">
        <f>$S$8*'[2]Eurostat POM Portables GU'!S9</f>
        <v>91.154203695345586</v>
      </c>
      <c r="T18" s="4">
        <f>$T$8*'[2]Eurostat POM Portables GU'!T9</f>
        <v>108.19140084367821</v>
      </c>
      <c r="U18" s="4">
        <f>$U$8*'[2]Eurostat POM Portables GU'!U9</f>
        <v>99.801291973018678</v>
      </c>
      <c r="V18" s="4">
        <f>$V$8*'[2]Eurostat POM Portables GU'!V9</f>
        <v>125.60475870407382</v>
      </c>
      <c r="W18" s="4">
        <f>$W$8*'[2]Eurostat POM Portables GU'!W9</f>
        <v>116.26370796973485</v>
      </c>
      <c r="X18" s="48">
        <f>'[3]others portable_Li-Primary'!AC18</f>
        <v>124.40216752761629</v>
      </c>
      <c r="Y18" s="48">
        <f>'[3]others portable_Li-Primary'!AD18</f>
        <v>133.11031925454944</v>
      </c>
      <c r="Z18" s="48">
        <f>'[3]others portable_Li-Primary'!AE18</f>
        <v>142.4280416023679</v>
      </c>
      <c r="AA18" s="48">
        <f>'[3]others portable_Li-Primary'!AF18</f>
        <v>152.39800451453365</v>
      </c>
      <c r="AB18" s="48">
        <f>'[3]others portable_Li-Primary'!AG18</f>
        <v>163.06586483055102</v>
      </c>
      <c r="AC18" s="48">
        <f>'[3]others portable_Li-Primary'!AH18</f>
        <v>174.48047536868958</v>
      </c>
      <c r="AD18" s="48">
        <f>'[3]others portable_Li-Primary'!AI18</f>
        <v>186.69410864449785</v>
      </c>
      <c r="AE18" s="48">
        <f>'[3]others portable_Li-Primary'!AJ18</f>
        <v>199.7626962496127</v>
      </c>
      <c r="AF18" s="48">
        <f>'[3]others portable_Li-Primary'!AK18</f>
        <v>209.75083106209334</v>
      </c>
      <c r="AG18" s="48">
        <f>'[3]others portable_Li-Primary'!AL18</f>
        <v>220.23837261519802</v>
      </c>
      <c r="AH18" s="48">
        <f>'[3]others portable_Li-Primary'!AM18</f>
        <v>231.25029124595792</v>
      </c>
      <c r="AI18" s="48">
        <f>'[3]others portable_Li-Primary'!AN18</f>
        <v>242.81280580825583</v>
      </c>
      <c r="AJ18" s="48">
        <f>'[3]others portable_Li-Primary'!AO18</f>
        <v>254.95344609866862</v>
      </c>
      <c r="AK18" s="48">
        <f>'[3]others portable_Li-Primary'!AP18</f>
        <v>267.70111840360204</v>
      </c>
      <c r="AL18" s="48">
        <f>'[3]others portable_Li-Primary'!AQ18</f>
        <v>281.08617432378213</v>
      </c>
      <c r="AM18" s="48">
        <f>'[3]others portable_Li-Primary'!AR18</f>
        <v>295.14048303997123</v>
      </c>
      <c r="AN18" s="48">
        <f>'[3]others portable_Li-Primary'!AS18</f>
        <v>309.89750719196979</v>
      </c>
      <c r="AO18" s="48">
        <f>'[3]others portable_Li-Primary'!AT18</f>
        <v>319.19443240772887</v>
      </c>
      <c r="AP18" s="48">
        <f>'[3]others portable_Li-Primary'!AU18</f>
        <v>328.77026537996073</v>
      </c>
      <c r="AQ18" s="48">
        <f>'[3]others portable_Li-Primary'!AV18</f>
        <v>338.63337334135957</v>
      </c>
      <c r="AR18" s="48">
        <f>'[3]others portable_Li-Primary'!AW18</f>
        <v>348.79237454160034</v>
      </c>
      <c r="AS18" s="48">
        <f>'[3]others portable_Li-Primary'!AX18</f>
        <v>359.25614577784836</v>
      </c>
      <c r="AT18" s="48">
        <f>'[3]others portable_Li-Primary'!AY18</f>
        <v>370.03383015118379</v>
      </c>
      <c r="AU18" s="48">
        <f>'[3]others portable_Li-Primary'!AZ18</f>
        <v>381.13484505571932</v>
      </c>
      <c r="AV18" s="48">
        <f>'[3]others portable_Li-Primary'!BA18</f>
        <v>384.94619350627653</v>
      </c>
      <c r="AW18" s="48">
        <f>'[3]others portable_Li-Primary'!BB18</f>
        <v>388.79565544133931</v>
      </c>
      <c r="AX18" s="48">
        <f>'[3]others portable_Li-Primary'!BC18</f>
        <v>392.6836119957527</v>
      </c>
      <c r="AY18" s="48">
        <f>'[3]others portable_Li-Primary'!BD18</f>
        <v>396.6104481157102</v>
      </c>
      <c r="AZ18" s="48">
        <f>'[3]others portable_Li-Primary'!BE18</f>
        <v>400.57655259686732</v>
      </c>
    </row>
    <row r="19" spans="1:52" x14ac:dyDescent="0.35">
      <c r="A19" s="61" t="s">
        <v>7</v>
      </c>
      <c r="B19" s="23">
        <f t="shared" si="0"/>
        <v>0.44520433073174231</v>
      </c>
      <c r="C19" s="23">
        <f t="shared" si="0"/>
        <v>0.59657380318053477</v>
      </c>
      <c r="D19" s="23">
        <f t="shared" si="1"/>
        <v>0.79940889626191669</v>
      </c>
      <c r="E19" s="23">
        <f t="shared" si="1"/>
        <v>1.199113344392875</v>
      </c>
      <c r="F19" s="23">
        <f t="shared" si="2"/>
        <v>1.7986700165893126</v>
      </c>
      <c r="G19" s="23">
        <f t="shared" si="3"/>
        <v>2.1943774202389612</v>
      </c>
      <c r="H19" s="23">
        <f t="shared" si="4"/>
        <v>2.589365355881974</v>
      </c>
      <c r="I19" s="23">
        <f t="shared" si="5"/>
        <v>3.0813447734995489</v>
      </c>
      <c r="J19" s="23">
        <f t="shared" si="6"/>
        <v>4.1598154442243915</v>
      </c>
      <c r="K19" s="23">
        <f t="shared" si="7"/>
        <v>3.07826342872605</v>
      </c>
      <c r="L19" s="23">
        <f t="shared" si="8"/>
        <v>5.171482560259764</v>
      </c>
      <c r="M19" s="4">
        <f>$M$8*'[2]Eurostat POM Portables GU'!M10</f>
        <v>6.7746421539402917</v>
      </c>
      <c r="N19" s="4">
        <f>$N$8*'[2]Eurostat POM Portables GU'!N10</f>
        <v>8.6945054730336189</v>
      </c>
      <c r="O19" s="4">
        <f>$O$8*'[2]Eurostat POM Portables GU'!O10</f>
        <v>7.8009851933607512</v>
      </c>
      <c r="P19" s="4">
        <f>$P$8*'[2]Eurostat POM Portables GU'!P10</f>
        <v>8.9387223781880909</v>
      </c>
      <c r="Q19" s="4">
        <f>$Q$8*'[2]Eurostat POM Portables GU'!Q10</f>
        <v>10.746715830265277</v>
      </c>
      <c r="R19" s="4">
        <f>$R$8*'[2]Eurostat POM Portables GU'!R10</f>
        <v>11.451853608645292</v>
      </c>
      <c r="S19" s="4">
        <f>$S$8*'[2]Eurostat POM Portables GU'!S10</f>
        <v>12.063438594593773</v>
      </c>
      <c r="T19" s="4">
        <f>$T$8*'[2]Eurostat POM Portables GU'!T10</f>
        <v>11.677418236312084</v>
      </c>
      <c r="U19" s="4">
        <f>$U$8*'[2]Eurostat POM Portables GU'!U10</f>
        <v>11.751515539708446</v>
      </c>
      <c r="V19" s="4">
        <f>$V$8*'[2]Eurostat POM Portables GU'!V10</f>
        <v>13.803280457746961</v>
      </c>
      <c r="W19" s="4">
        <f>$W$8*'[2]Eurostat POM Portables GU'!W10</f>
        <v>11.821886614052037</v>
      </c>
      <c r="X19" s="48">
        <f>'[3]others portable_Li-Primary'!AC19</f>
        <v>12.64941867703568</v>
      </c>
      <c r="Y19" s="48">
        <f>'[3]others portable_Li-Primary'!AD19</f>
        <v>13.534877984428178</v>
      </c>
      <c r="Z19" s="48">
        <f>'[3]others portable_Li-Primary'!AE19</f>
        <v>14.482319443338151</v>
      </c>
      <c r="AA19" s="48">
        <f>'[3]others portable_Li-Primary'!AF19</f>
        <v>15.496081804371821</v>
      </c>
      <c r="AB19" s="48">
        <f>'[3]others portable_Li-Primary'!AG19</f>
        <v>16.580807530677848</v>
      </c>
      <c r="AC19" s="48">
        <f>'[3]others portable_Li-Primary'!AH19</f>
        <v>17.741464057825297</v>
      </c>
      <c r="AD19" s="48">
        <f>'[3]others portable_Li-Primary'!AI19</f>
        <v>18.983366541873067</v>
      </c>
      <c r="AE19" s="48">
        <f>'[3]others portable_Li-Primary'!AJ19</f>
        <v>20.312202199804183</v>
      </c>
      <c r="AF19" s="48">
        <f>'[3]others portable_Li-Primary'!AK19</f>
        <v>21.327812309794393</v>
      </c>
      <c r="AG19" s="48">
        <f>'[3]others portable_Li-Primary'!AL19</f>
        <v>22.394202925284112</v>
      </c>
      <c r="AH19" s="48">
        <f>'[3]others portable_Li-Primary'!AM19</f>
        <v>23.513913071548316</v>
      </c>
      <c r="AI19" s="48">
        <f>'[3]others portable_Li-Primary'!AN19</f>
        <v>24.689608725125733</v>
      </c>
      <c r="AJ19" s="48">
        <f>'[3]others portable_Li-Primary'!AO19</f>
        <v>25.924089161382021</v>
      </c>
      <c r="AK19" s="48">
        <f>'[3]others portable_Li-Primary'!AP19</f>
        <v>27.220293619451123</v>
      </c>
      <c r="AL19" s="48">
        <f>'[3]others portable_Li-Primary'!AQ19</f>
        <v>28.581308300423679</v>
      </c>
      <c r="AM19" s="48">
        <f>'[3]others portable_Li-Primary'!AR19</f>
        <v>30.010373715444864</v>
      </c>
      <c r="AN19" s="48">
        <f>'[3]others portable_Li-Primary'!AS19</f>
        <v>31.510892401217106</v>
      </c>
      <c r="AO19" s="48">
        <f>'[3]others portable_Li-Primary'!AT19</f>
        <v>32.456219173253622</v>
      </c>
      <c r="AP19" s="48">
        <f>'[3]others portable_Li-Primary'!AU19</f>
        <v>33.429905748451233</v>
      </c>
      <c r="AQ19" s="48">
        <f>'[3]others portable_Li-Primary'!AV19</f>
        <v>34.43280292090477</v>
      </c>
      <c r="AR19" s="48">
        <f>'[3]others portable_Li-Primary'!AW19</f>
        <v>35.465787008531912</v>
      </c>
      <c r="AS19" s="48">
        <f>'[3]others portable_Li-Primary'!AX19</f>
        <v>36.529760618787869</v>
      </c>
      <c r="AT19" s="48">
        <f>'[3]others portable_Li-Primary'!AY19</f>
        <v>37.625653437351502</v>
      </c>
      <c r="AU19" s="48">
        <f>'[3]others portable_Li-Primary'!AZ19</f>
        <v>38.754423040472048</v>
      </c>
      <c r="AV19" s="48">
        <f>'[3]others portable_Li-Primary'!BA19</f>
        <v>39.141967270876769</v>
      </c>
      <c r="AW19" s="48">
        <f>'[3]others portable_Li-Primary'!BB19</f>
        <v>39.533386943585533</v>
      </c>
      <c r="AX19" s="48">
        <f>'[3]others portable_Li-Primary'!BC19</f>
        <v>39.928720813021386</v>
      </c>
      <c r="AY19" s="48">
        <f>'[3]others portable_Li-Primary'!BD19</f>
        <v>40.328008021151597</v>
      </c>
      <c r="AZ19" s="48">
        <f>'[3]others portable_Li-Primary'!BE19</f>
        <v>40.731288101363113</v>
      </c>
    </row>
    <row r="20" spans="1:52" x14ac:dyDescent="0.35">
      <c r="A20" s="61" t="s">
        <v>8</v>
      </c>
      <c r="B20" s="23">
        <f t="shared" si="0"/>
        <v>2.5781656805005939</v>
      </c>
      <c r="C20" s="23">
        <f t="shared" si="0"/>
        <v>3.4547420118707963</v>
      </c>
      <c r="D20" s="23">
        <f t="shared" si="1"/>
        <v>4.6293542959068672</v>
      </c>
      <c r="E20" s="23">
        <f t="shared" si="1"/>
        <v>6.9440314438603004</v>
      </c>
      <c r="F20" s="23">
        <f t="shared" si="2"/>
        <v>10.416047165790451</v>
      </c>
      <c r="G20" s="23">
        <f t="shared" si="3"/>
        <v>12.70757754226435</v>
      </c>
      <c r="H20" s="23">
        <f t="shared" si="4"/>
        <v>14.994941499871931</v>
      </c>
      <c r="I20" s="23">
        <f t="shared" si="5"/>
        <v>17.843980384847598</v>
      </c>
      <c r="J20" s="23">
        <f t="shared" si="6"/>
        <v>24.08937351954426</v>
      </c>
      <c r="K20" s="23">
        <f t="shared" si="7"/>
        <v>17.826136404462751</v>
      </c>
      <c r="L20" s="23">
        <f t="shared" si="8"/>
        <v>29.947909159497421</v>
      </c>
      <c r="M20" s="4">
        <f>$M$8*'[2]Eurostat POM Portables GU'!M11</f>
        <v>39.231760998941624</v>
      </c>
      <c r="N20" s="4">
        <f>$N$8*'[2]Eurostat POM Portables GU'!N11</f>
        <v>45.954963742324324</v>
      </c>
      <c r="O20" s="4">
        <f>$O$8*'[2]Eurostat POM Portables GU'!O11</f>
        <v>45.244498897437616</v>
      </c>
      <c r="P20" s="4">
        <f>$P$8*'[2]Eurostat POM Portables GU'!P11</f>
        <v>52.834888193534539</v>
      </c>
      <c r="Q20" s="4">
        <f>$Q$8*'[2]Eurostat POM Portables GU'!Q11</f>
        <v>66.33317702129257</v>
      </c>
      <c r="R20" s="4">
        <f>$R$8*'[2]Eurostat POM Portables GU'!R11</f>
        <v>72.345112776118285</v>
      </c>
      <c r="S20" s="4">
        <f>$S$8*'[2]Eurostat POM Portables GU'!S11</f>
        <v>78.449355277726369</v>
      </c>
      <c r="T20" s="4">
        <f>$T$8*'[2]Eurostat POM Portables GU'!T11</f>
        <v>83.651898752877457</v>
      </c>
      <c r="U20" s="4">
        <f>$U$8*'[2]Eurostat POM Portables GU'!U11</f>
        <v>89.45995829807525</v>
      </c>
      <c r="V20" s="4">
        <f>$V$8*'[2]Eurostat POM Portables GU'!V11</f>
        <v>92.344455608469517</v>
      </c>
      <c r="W20" s="4">
        <f>$W$8*'[2]Eurostat POM Portables GU'!W11</f>
        <v>92.438059562953043</v>
      </c>
      <c r="X20" s="48">
        <f>'[3]others portable_Li-Primary'!AC20</f>
        <v>98.908723732359761</v>
      </c>
      <c r="Y20" s="48">
        <f>'[3]others portable_Li-Primary'!AD20</f>
        <v>105.83233439362495</v>
      </c>
      <c r="Z20" s="48">
        <f>'[3]others portable_Li-Primary'!AE20</f>
        <v>113.24059780117869</v>
      </c>
      <c r="AA20" s="48">
        <f>'[3]others portable_Li-Primary'!AF20</f>
        <v>121.1674396472612</v>
      </c>
      <c r="AB20" s="48">
        <f>'[3]others portable_Li-Primary'!AG20</f>
        <v>129.64916042256948</v>
      </c>
      <c r="AC20" s="48">
        <f>'[3]others portable_Li-Primary'!AH20</f>
        <v>138.72460165214935</v>
      </c>
      <c r="AD20" s="48">
        <f>'[3]others portable_Li-Primary'!AI20</f>
        <v>148.43532376779979</v>
      </c>
      <c r="AE20" s="48">
        <f>'[3]others portable_Li-Primary'!AJ20</f>
        <v>158.82579643154577</v>
      </c>
      <c r="AF20" s="48">
        <f>'[3]others portable_Li-Primary'!AK20</f>
        <v>166.76708625312307</v>
      </c>
      <c r="AG20" s="48">
        <f>'[3]others portable_Li-Primary'!AL20</f>
        <v>175.10544056577922</v>
      </c>
      <c r="AH20" s="48">
        <f>'[3]others portable_Li-Primary'!AM20</f>
        <v>183.86071259406819</v>
      </c>
      <c r="AI20" s="48">
        <f>'[3]others portable_Li-Primary'!AN20</f>
        <v>193.05374822377161</v>
      </c>
      <c r="AJ20" s="48">
        <f>'[3]others portable_Li-Primary'!AO20</f>
        <v>202.7064356349602</v>
      </c>
      <c r="AK20" s="48">
        <f>'[3]others portable_Li-Primary'!AP20</f>
        <v>212.84175741670822</v>
      </c>
      <c r="AL20" s="48">
        <f>'[3]others portable_Li-Primary'!AQ20</f>
        <v>223.48384528754363</v>
      </c>
      <c r="AM20" s="48">
        <f>'[3]others portable_Li-Primary'!AR20</f>
        <v>234.65803755192081</v>
      </c>
      <c r="AN20" s="48">
        <f>'[3]others portable_Li-Primary'!AS20</f>
        <v>246.39093942951686</v>
      </c>
      <c r="AO20" s="48">
        <f>'[3]others portable_Li-Primary'!AT20</f>
        <v>253.78266761240238</v>
      </c>
      <c r="AP20" s="48">
        <f>'[3]others portable_Li-Primary'!AU20</f>
        <v>261.39614764077447</v>
      </c>
      <c r="AQ20" s="48">
        <f>'[3]others portable_Li-Primary'!AV20</f>
        <v>269.2380320699977</v>
      </c>
      <c r="AR20" s="48">
        <f>'[3]others portable_Li-Primary'!AW20</f>
        <v>277.31517303209762</v>
      </c>
      <c r="AS20" s="48">
        <f>'[3]others portable_Li-Primary'!AX20</f>
        <v>285.63462822306053</v>
      </c>
      <c r="AT20" s="48">
        <f>'[3]others portable_Li-Primary'!AY20</f>
        <v>294.20366706975233</v>
      </c>
      <c r="AU20" s="48">
        <f>'[3]others portable_Li-Primary'!AZ20</f>
        <v>303.02977708184488</v>
      </c>
      <c r="AV20" s="48">
        <f>'[3]others portable_Li-Primary'!BA20</f>
        <v>306.06007485266332</v>
      </c>
      <c r="AW20" s="48">
        <f>'[3]others portable_Li-Primary'!BB20</f>
        <v>309.12067560118993</v>
      </c>
      <c r="AX20" s="48">
        <f>'[3]others portable_Li-Primary'!BC20</f>
        <v>312.21188235720183</v>
      </c>
      <c r="AY20" s="48">
        <f>'[3]others portable_Li-Primary'!BD20</f>
        <v>315.33400118077384</v>
      </c>
      <c r="AZ20" s="48">
        <f>'[3]others portable_Li-Primary'!BE20</f>
        <v>318.4873411925816</v>
      </c>
    </row>
    <row r="21" spans="1:52" x14ac:dyDescent="0.35">
      <c r="A21" s="61" t="s">
        <v>9</v>
      </c>
      <c r="B21" s="23">
        <f t="shared" si="0"/>
        <v>33.654786194802043</v>
      </c>
      <c r="C21" s="23">
        <f t="shared" si="0"/>
        <v>45.097413501034737</v>
      </c>
      <c r="D21" s="23">
        <f t="shared" si="1"/>
        <v>60.430534091386555</v>
      </c>
      <c r="E21" s="23">
        <f t="shared" si="1"/>
        <v>90.645801137079829</v>
      </c>
      <c r="F21" s="23">
        <f t="shared" si="2"/>
        <v>135.96870170561974</v>
      </c>
      <c r="G21" s="23">
        <f t="shared" si="3"/>
        <v>165.88181608085608</v>
      </c>
      <c r="H21" s="23">
        <f t="shared" si="4"/>
        <v>195.74054297541016</v>
      </c>
      <c r="I21" s="23">
        <f t="shared" si="5"/>
        <v>232.9312461407381</v>
      </c>
      <c r="J21" s="23">
        <f t="shared" si="6"/>
        <v>314.45718228999647</v>
      </c>
      <c r="K21" s="23">
        <f t="shared" si="7"/>
        <v>232.69831489459739</v>
      </c>
      <c r="L21" s="23">
        <f t="shared" si="8"/>
        <v>390.93316902292361</v>
      </c>
      <c r="M21" s="4">
        <f>M5*'[2]Eurostat POM Portables GU'!M12</f>
        <v>512.12245142002996</v>
      </c>
      <c r="N21" s="4">
        <f>N5*'[2]Eurostat POM Portables GU'!N12</f>
        <v>537.56482923906526</v>
      </c>
      <c r="O21" s="4">
        <f>O5*'[2]Eurostat POM Portables GU'!O12</f>
        <v>601.31898191479718</v>
      </c>
      <c r="P21" s="4">
        <f>P5*'[2]Eurostat POM Portables GU'!P12</f>
        <v>775.60873170265018</v>
      </c>
      <c r="Q21" s="4">
        <f>Q5*'[2]Eurostat POM Portables GU'!Q12</f>
        <v>839.00000000000011</v>
      </c>
      <c r="R21" s="4">
        <f>R5*'[2]Eurostat POM Portables GU'!R12</f>
        <v>819</v>
      </c>
      <c r="S21" s="4">
        <f>S5*'[2]Eurostat POM Portables GU'!S12</f>
        <v>976</v>
      </c>
      <c r="T21" s="4">
        <f>T5*'[2]Eurostat POM Portables GU'!T12</f>
        <v>964.10814013065192</v>
      </c>
      <c r="U21" s="4">
        <f>U5*'[2]Eurostat POM Portables GU'!U12</f>
        <v>1074.6986414036799</v>
      </c>
      <c r="V21" s="4">
        <f>V5*'[2]Eurostat POM Portables GU'!V12</f>
        <v>1041.1180521818649</v>
      </c>
      <c r="W21" s="4">
        <f>$W$8*'[2]Eurostat POM Portables GU'!W12</f>
        <v>856.95037313476439</v>
      </c>
      <c r="X21" s="48">
        <f>'[3]others portable_Li-Primary'!AC21</f>
        <v>916.9368992541979</v>
      </c>
      <c r="Y21" s="48">
        <f>'[3]others portable_Li-Primary'!AD21</f>
        <v>981.12248220199172</v>
      </c>
      <c r="Z21" s="48">
        <f>'[3]others portable_Li-Primary'!AE21</f>
        <v>1049.8010559561312</v>
      </c>
      <c r="AA21" s="48">
        <f>'[3]others portable_Li-Primary'!AF21</f>
        <v>1123.2871298730604</v>
      </c>
      <c r="AB21" s="48">
        <f>'[3]others portable_Li-Primary'!AG21</f>
        <v>1201.9172289641747</v>
      </c>
      <c r="AC21" s="48">
        <f>'[3]others portable_Li-Primary'!AH21</f>
        <v>1286.0514349916668</v>
      </c>
      <c r="AD21" s="48">
        <f>'[3]others portable_Li-Primary'!AI21</f>
        <v>1376.0750354410836</v>
      </c>
      <c r="AE21" s="48">
        <f>'[3]others portable_Li-Primary'!AJ21</f>
        <v>1472.4002879219595</v>
      </c>
      <c r="AF21" s="48">
        <f>'[3]others portable_Li-Primary'!AK21</f>
        <v>1546.0203023180575</v>
      </c>
      <c r="AG21" s="48">
        <f>'[3]others portable_Li-Primary'!AL21</f>
        <v>1623.3213174339603</v>
      </c>
      <c r="AH21" s="48">
        <f>'[3]others portable_Li-Primary'!AM21</f>
        <v>1704.4873833056583</v>
      </c>
      <c r="AI21" s="48">
        <f>'[3]others portable_Li-Primary'!AN21</f>
        <v>1789.7117524709413</v>
      </c>
      <c r="AJ21" s="48">
        <f>'[3]others portable_Li-Primary'!AO21</f>
        <v>1879.1973400944885</v>
      </c>
      <c r="AK21" s="48">
        <f>'[3]others portable_Li-Primary'!AP21</f>
        <v>1973.1572070992129</v>
      </c>
      <c r="AL21" s="48">
        <f>'[3]others portable_Li-Primary'!AQ21</f>
        <v>2071.8150674541735</v>
      </c>
      <c r="AM21" s="48">
        <f>'[3]others portable_Li-Primary'!AR21</f>
        <v>2175.4058208268821</v>
      </c>
      <c r="AN21" s="48">
        <f>'[3]others portable_Li-Primary'!AS21</f>
        <v>2284.1761118682261</v>
      </c>
      <c r="AO21" s="48">
        <f>'[3]others portable_Li-Primary'!AT21</f>
        <v>2352.7013952242728</v>
      </c>
      <c r="AP21" s="48">
        <f>'[3]others portable_Li-Primary'!AU21</f>
        <v>2423.2824370810008</v>
      </c>
      <c r="AQ21" s="48">
        <f>'[3]others portable_Li-Primary'!AV21</f>
        <v>2495.9809101934306</v>
      </c>
      <c r="AR21" s="48">
        <f>'[3]others portable_Li-Primary'!AW21</f>
        <v>2570.8603374992335</v>
      </c>
      <c r="AS21" s="48">
        <f>'[3]others portable_Li-Primary'!AX21</f>
        <v>2647.9861476242104</v>
      </c>
      <c r="AT21" s="48">
        <f>'[3]others portable_Li-Primary'!AY21</f>
        <v>2727.4257320529368</v>
      </c>
      <c r="AU21" s="48">
        <f>'[3]others portable_Li-Primary'!AZ21</f>
        <v>2809.2485040145248</v>
      </c>
      <c r="AV21" s="48">
        <f>'[3]others portable_Li-Primary'!BA21</f>
        <v>2837.34098905467</v>
      </c>
      <c r="AW21" s="48">
        <f>'[3]others portable_Li-Primary'!BB21</f>
        <v>2865.7143989452165</v>
      </c>
      <c r="AX21" s="48">
        <f>'[3]others portable_Li-Primary'!BC21</f>
        <v>2894.3715429346689</v>
      </c>
      <c r="AY21" s="48">
        <f>'[3]others portable_Li-Primary'!BD21</f>
        <v>2923.3152583640158</v>
      </c>
      <c r="AZ21" s="48">
        <f>'[3]others portable_Li-Primary'!BE21</f>
        <v>2952.5484109476561</v>
      </c>
    </row>
    <row r="22" spans="1:52" x14ac:dyDescent="0.35">
      <c r="A22" s="61" t="s">
        <v>10</v>
      </c>
      <c r="B22" s="23">
        <f t="shared" si="0"/>
        <v>41.406322247096661</v>
      </c>
      <c r="C22" s="23">
        <f t="shared" si="0"/>
        <v>55.484471811109529</v>
      </c>
      <c r="D22" s="23">
        <f t="shared" si="1"/>
        <v>74.349192226886771</v>
      </c>
      <c r="E22" s="23">
        <f t="shared" si="1"/>
        <v>111.52378834033016</v>
      </c>
      <c r="F22" s="23">
        <f t="shared" si="2"/>
        <v>167.28568251049523</v>
      </c>
      <c r="G22" s="23">
        <f t="shared" si="3"/>
        <v>204.08853266280417</v>
      </c>
      <c r="H22" s="23">
        <f t="shared" si="4"/>
        <v>240.82446854210892</v>
      </c>
      <c r="I22" s="23">
        <f t="shared" si="5"/>
        <v>286.58111756510959</v>
      </c>
      <c r="J22" s="23">
        <f t="shared" si="6"/>
        <v>386.88450871289797</v>
      </c>
      <c r="K22" s="23">
        <f t="shared" si="7"/>
        <v>286.29453644754449</v>
      </c>
      <c r="L22" s="23">
        <f t="shared" si="8"/>
        <v>480.97482123187473</v>
      </c>
      <c r="M22" s="4">
        <f>M4*'[2]Eurostat POM Portables GU'!M13</f>
        <v>630.07701581375591</v>
      </c>
      <c r="N22" s="4">
        <f>N4*'[2]Eurostat POM Portables GU'!N13</f>
        <v>773.54242348333025</v>
      </c>
      <c r="O22" s="4">
        <f>O4*'[2]Eurostat POM Portables GU'!O13</f>
        <v>725.1727407704409</v>
      </c>
      <c r="P22" s="4">
        <f>P4*'[2]Eurostat POM Portables GU'!P13</f>
        <v>897.6823746701848</v>
      </c>
      <c r="Q22" s="4">
        <f>Q4*'[2]Eurostat POM Portables GU'!Q13</f>
        <v>1154.4312720848056</v>
      </c>
      <c r="R22" s="4">
        <f>R4*'[2]Eurostat POM Portables GU'!R13</f>
        <v>1231.6303947405706</v>
      </c>
      <c r="S22" s="4">
        <f>S4*'[2]Eurostat POM Portables GU'!S13</f>
        <v>1282.3240245093014</v>
      </c>
      <c r="T22" s="4">
        <f>T4*'[2]Eurostat POM Portables GU'!T13</f>
        <v>1288.7690159044241</v>
      </c>
      <c r="U22" s="4">
        <f>U4*'[2]Eurostat POM Portables GU'!U13</f>
        <v>1385.6556654991614</v>
      </c>
      <c r="V22" s="4">
        <f>V4*'[2]Eurostat POM Portables GU'!V13</f>
        <v>1800.0819327899669</v>
      </c>
      <c r="W22" s="4">
        <f>W4*'[2]Eurostat POM Portables GU'!W13</f>
        <v>1568.1874443670886</v>
      </c>
      <c r="X22" s="48">
        <f>'[3]others portable_Li-Primary'!AC22</f>
        <v>1677.9605654727848</v>
      </c>
      <c r="Y22" s="48">
        <f>'[3]others portable_Li-Primary'!AD22</f>
        <v>1795.4178050558796</v>
      </c>
      <c r="Z22" s="48">
        <f>'[3]others portable_Li-Primary'!AE22</f>
        <v>1921.0970514097912</v>
      </c>
      <c r="AA22" s="48">
        <f>'[3]others portable_Li-Primary'!AF22</f>
        <v>2055.5738450084764</v>
      </c>
      <c r="AB22" s="48">
        <f>'[3]others portable_Li-Primary'!AG22</f>
        <v>2199.4640141590698</v>
      </c>
      <c r="AC22" s="48">
        <f>'[3]others portable_Li-Primary'!AH22</f>
        <v>2353.4264951502046</v>
      </c>
      <c r="AD22" s="48">
        <f>'[3]others portable_Li-Primary'!AI22</f>
        <v>2518.1663498107191</v>
      </c>
      <c r="AE22" s="48">
        <f>'[3]others portable_Li-Primary'!AJ22</f>
        <v>2694.4379942974692</v>
      </c>
      <c r="AF22" s="48">
        <f>'[3]others portable_Li-Primary'!AK22</f>
        <v>2829.1598940123426</v>
      </c>
      <c r="AG22" s="48">
        <f>'[3]others portable_Li-Primary'!AL22</f>
        <v>2970.6178887129599</v>
      </c>
      <c r="AH22" s="48">
        <f>'[3]others portable_Li-Primary'!AM22</f>
        <v>3119.1487831486079</v>
      </c>
      <c r="AI22" s="48">
        <f>'[3]others portable_Li-Primary'!AN22</f>
        <v>3275.1062223060385</v>
      </c>
      <c r="AJ22" s="48">
        <f>'[3]others portable_Li-Primary'!AO22</f>
        <v>3438.8615334213405</v>
      </c>
      <c r="AK22" s="48">
        <f>'[3]others portable_Li-Primary'!AP22</f>
        <v>3610.8046100924075</v>
      </c>
      <c r="AL22" s="48">
        <f>'[3]others portable_Li-Primary'!AQ22</f>
        <v>3791.344840597028</v>
      </c>
      <c r="AM22" s="48">
        <f>'[3]others portable_Li-Primary'!AR22</f>
        <v>3980.9120826268795</v>
      </c>
      <c r="AN22" s="48">
        <f>'[3]others portable_Li-Primary'!AS22</f>
        <v>4179.9576867582236</v>
      </c>
      <c r="AO22" s="48">
        <f>'[3]others portable_Li-Primary'!AT22</f>
        <v>4305.3564173609702</v>
      </c>
      <c r="AP22" s="48">
        <f>'[3]others portable_Li-Primary'!AU22</f>
        <v>4434.5171098817991</v>
      </c>
      <c r="AQ22" s="48">
        <f>'[3]others portable_Li-Primary'!AV22</f>
        <v>4567.5526231782533</v>
      </c>
      <c r="AR22" s="48">
        <f>'[3]others portable_Li-Primary'!AW22</f>
        <v>4704.5792018736011</v>
      </c>
      <c r="AS22" s="48">
        <f>'[3]others portable_Li-Primary'!AX22</f>
        <v>4845.7165779298093</v>
      </c>
      <c r="AT22" s="48">
        <f>'[3]others portable_Li-Primary'!AY22</f>
        <v>4991.088075267704</v>
      </c>
      <c r="AU22" s="48">
        <f>'[3]others portable_Li-Primary'!AZ22</f>
        <v>5140.8207175257348</v>
      </c>
      <c r="AV22" s="48">
        <f>'[3]others portable_Li-Primary'!BA22</f>
        <v>5192.2289247009921</v>
      </c>
      <c r="AW22" s="48">
        <f>'[3]others portable_Li-Primary'!BB22</f>
        <v>5244.1512139480019</v>
      </c>
      <c r="AX22" s="48">
        <f>'[3]others portable_Li-Primary'!BC22</f>
        <v>5296.5927260874823</v>
      </c>
      <c r="AY22" s="48">
        <f>'[3]others portable_Li-Primary'!BD22</f>
        <v>5349.5586533483574</v>
      </c>
      <c r="AZ22" s="48">
        <f>'[3]others portable_Li-Primary'!BE22</f>
        <v>5403.0542398818407</v>
      </c>
    </row>
    <row r="23" spans="1:52" x14ac:dyDescent="0.35">
      <c r="A23" s="61" t="s">
        <v>11</v>
      </c>
      <c r="B23" s="23">
        <f t="shared" si="0"/>
        <v>1.7262419503894677</v>
      </c>
      <c r="C23" s="23">
        <f t="shared" si="0"/>
        <v>2.3131642135218868</v>
      </c>
      <c r="D23" s="23">
        <f t="shared" si="1"/>
        <v>3.0996400461193283</v>
      </c>
      <c r="E23" s="23">
        <f t="shared" si="1"/>
        <v>4.6494600691789927</v>
      </c>
      <c r="F23" s="23">
        <f t="shared" si="2"/>
        <v>6.974190103768489</v>
      </c>
      <c r="G23" s="23">
        <f t="shared" si="3"/>
        <v>8.5085119265975564</v>
      </c>
      <c r="H23" s="23">
        <f t="shared" si="4"/>
        <v>10.040044073385117</v>
      </c>
      <c r="I23" s="23">
        <f t="shared" si="5"/>
        <v>11.947652447328288</v>
      </c>
      <c r="J23" s="23">
        <f t="shared" si="6"/>
        <v>16.12933080389319</v>
      </c>
      <c r="K23" s="23">
        <f t="shared" si="7"/>
        <v>11.93570479488096</v>
      </c>
      <c r="L23" s="23">
        <f t="shared" si="8"/>
        <v>20.051984055400013</v>
      </c>
      <c r="M23" s="4">
        <f>$M$8*'[2]Eurostat POM Portables GU'!M14</f>
        <v>26.268099112574017</v>
      </c>
      <c r="N23" s="4">
        <f>$N$8*'[2]Eurostat POM Portables GU'!N14</f>
        <v>26.534315910811536</v>
      </c>
      <c r="O23" s="4">
        <f>$O$8*'[2]Eurostat POM Portables GU'!O14</f>
        <v>26.564195246109321</v>
      </c>
      <c r="P23" s="4">
        <f>$P$8*'[2]Eurostat POM Portables GU'!P14</f>
        <v>30.592815306327996</v>
      </c>
      <c r="Q23" s="4">
        <f>$Q$8*'[2]Eurostat POM Portables GU'!Q14</f>
        <v>38.794717706237805</v>
      </c>
      <c r="R23" s="4">
        <f>$R$8*'[2]Eurostat POM Portables GU'!R14</f>
        <v>38.228630313619675</v>
      </c>
      <c r="S23" s="4">
        <f>$S$8*'[2]Eurostat POM Portables GU'!S14</f>
        <v>41.74097771380913</v>
      </c>
      <c r="T23" s="4">
        <f>$T$8*'[2]Eurostat POM Portables GU'!T14</f>
        <v>39.795094030993148</v>
      </c>
      <c r="U23" s="4">
        <f>$U$8*'[2]Eurostat POM Portables GU'!U14</f>
        <v>44.482578821885866</v>
      </c>
      <c r="V23" s="4">
        <f>$V$8*'[2]Eurostat POM Portables GU'!V14</f>
        <v>47.114518167586489</v>
      </c>
      <c r="W23" s="4">
        <f>$W$8*'[2]Eurostat POM Portables GU'!W14</f>
        <v>65.29318914530279</v>
      </c>
      <c r="X23" s="48">
        <f>'[3]others portable_Li-Primary'!AC23</f>
        <v>69.863712385473988</v>
      </c>
      <c r="Y23" s="48">
        <f>'[3]others portable_Li-Primary'!AD23</f>
        <v>74.754172252457167</v>
      </c>
      <c r="Z23" s="48">
        <f>'[3]others portable_Li-Primary'!AE23</f>
        <v>79.986964310129167</v>
      </c>
      <c r="AA23" s="48">
        <f>'[3]others portable_Li-Primary'!AF23</f>
        <v>85.586051811838203</v>
      </c>
      <c r="AB23" s="48">
        <f>'[3]others portable_Li-Primary'!AG23</f>
        <v>91.577075438666881</v>
      </c>
      <c r="AC23" s="48">
        <f>'[3]others portable_Li-Primary'!AH23</f>
        <v>97.987470719373562</v>
      </c>
      <c r="AD23" s="48">
        <f>'[3]others portable_Li-Primary'!AI23</f>
        <v>104.84659366972971</v>
      </c>
      <c r="AE23" s="48">
        <f>'[3]others portable_Li-Primary'!AJ23</f>
        <v>112.1858552266108</v>
      </c>
      <c r="AF23" s="48">
        <f>'[3]others portable_Li-Primary'!AK23</f>
        <v>117.79514798794133</v>
      </c>
      <c r="AG23" s="48">
        <f>'[3]others portable_Li-Primary'!AL23</f>
        <v>123.6849053873384</v>
      </c>
      <c r="AH23" s="48">
        <f>'[3]others portable_Li-Primary'!AM23</f>
        <v>129.86915065670533</v>
      </c>
      <c r="AI23" s="48">
        <f>'[3]others portable_Li-Primary'!AN23</f>
        <v>136.36260818954059</v>
      </c>
      <c r="AJ23" s="48">
        <f>'[3]others portable_Li-Primary'!AO23</f>
        <v>143.18073859901762</v>
      </c>
      <c r="AK23" s="48">
        <f>'[3]others portable_Li-Primary'!AP23</f>
        <v>150.33977552896849</v>
      </c>
      <c r="AL23" s="48">
        <f>'[3]others portable_Li-Primary'!AQ23</f>
        <v>157.8567643054169</v>
      </c>
      <c r="AM23" s="48">
        <f>'[3]others portable_Li-Primary'!AR23</f>
        <v>165.74960252068774</v>
      </c>
      <c r="AN23" s="48">
        <f>'[3]others portable_Li-Primary'!AS23</f>
        <v>174.03708264672213</v>
      </c>
      <c r="AO23" s="48">
        <f>'[3]others portable_Li-Primary'!AT23</f>
        <v>179.25819512612378</v>
      </c>
      <c r="AP23" s="48">
        <f>'[3]others portable_Li-Primary'!AU23</f>
        <v>184.6359409799075</v>
      </c>
      <c r="AQ23" s="48">
        <f>'[3]others portable_Li-Primary'!AV23</f>
        <v>190.17501920930474</v>
      </c>
      <c r="AR23" s="48">
        <f>'[3]others portable_Li-Primary'!AW23</f>
        <v>195.88026978558389</v>
      </c>
      <c r="AS23" s="48">
        <f>'[3]others portable_Li-Primary'!AX23</f>
        <v>201.7566778791514</v>
      </c>
      <c r="AT23" s="48">
        <f>'[3]others portable_Li-Primary'!AY23</f>
        <v>207.80937821552592</v>
      </c>
      <c r="AU23" s="48">
        <f>'[3]others portable_Li-Primary'!AZ23</f>
        <v>214.04365956199169</v>
      </c>
      <c r="AV23" s="48">
        <f>'[3]others portable_Li-Primary'!BA23</f>
        <v>216.18409615761161</v>
      </c>
      <c r="AW23" s="48">
        <f>'[3]others portable_Li-Primary'!BB23</f>
        <v>218.34593711918771</v>
      </c>
      <c r="AX23" s="48">
        <f>'[3]others portable_Li-Primary'!BC23</f>
        <v>220.52939649037958</v>
      </c>
      <c r="AY23" s="48">
        <f>'[3]others portable_Li-Primary'!BD23</f>
        <v>222.73469045528338</v>
      </c>
      <c r="AZ23" s="48">
        <f>'[3]others portable_Li-Primary'!BE23</f>
        <v>224.96203735983622</v>
      </c>
    </row>
    <row r="24" spans="1:52" x14ac:dyDescent="0.35">
      <c r="A24" s="61" t="s">
        <v>12</v>
      </c>
      <c r="B24" s="23">
        <f t="shared" si="0"/>
        <v>1.9063309754841526</v>
      </c>
      <c r="C24" s="23">
        <f t="shared" si="0"/>
        <v>2.5544835071487646</v>
      </c>
      <c r="D24" s="23">
        <f t="shared" si="1"/>
        <v>3.4230078995793449</v>
      </c>
      <c r="E24" s="23">
        <f t="shared" si="1"/>
        <v>5.1345118493690176</v>
      </c>
      <c r="F24" s="23">
        <f t="shared" si="2"/>
        <v>7.7017677740535264</v>
      </c>
      <c r="G24" s="23">
        <f t="shared" si="3"/>
        <v>9.3961566843453017</v>
      </c>
      <c r="H24" s="23">
        <f t="shared" si="4"/>
        <v>11.087464887527455</v>
      </c>
      <c r="I24" s="23">
        <f t="shared" si="5"/>
        <v>13.19408321615767</v>
      </c>
      <c r="J24" s="23">
        <f t="shared" si="6"/>
        <v>17.812012341812856</v>
      </c>
      <c r="K24" s="23">
        <f t="shared" si="7"/>
        <v>13.180889132941514</v>
      </c>
      <c r="L24" s="23">
        <f t="shared" si="8"/>
        <v>22.143893743341742</v>
      </c>
      <c r="M24" s="4">
        <f>$M$8*'[2]Eurostat POM Portables GU'!M15</f>
        <v>29.008500803777682</v>
      </c>
      <c r="N24" s="4">
        <f>$N$8*'[2]Eurostat POM Portables GU'!N15</f>
        <v>26.207020384158358</v>
      </c>
      <c r="O24" s="4">
        <f>$O$8*'[2]Eurostat POM Portables GU'!O15</f>
        <v>25.906367348710397</v>
      </c>
      <c r="P24" s="4">
        <f>$P$8*'[2]Eurostat POM Portables GU'!P15</f>
        <v>31.681295052484348</v>
      </c>
      <c r="Q24" s="4">
        <f>$Q$8*'[2]Eurostat POM Portables GU'!Q15</f>
        <v>41.782489995255517</v>
      </c>
      <c r="R24" s="4">
        <f>$R$8*'[2]Eurostat POM Portables GU'!R15</f>
        <v>40.260796402836476</v>
      </c>
      <c r="S24" s="4">
        <f>$S$8*'[2]Eurostat POM Portables GU'!S15</f>
        <v>58.146267418113538</v>
      </c>
      <c r="T24" s="4">
        <f>$T$8*'[2]Eurostat POM Portables GU'!T15</f>
        <v>68.710605854242118</v>
      </c>
      <c r="U24" s="4">
        <f>$U$8*'[2]Eurostat POM Portables GU'!U15</f>
        <v>72.240895528312976</v>
      </c>
      <c r="V24" s="4">
        <f>$V$8*'[2]Eurostat POM Portables GU'!V15</f>
        <v>63.846538943859095</v>
      </c>
      <c r="W24" s="4">
        <f>$W$8*'[2]Eurostat POM Portables GU'!W15</f>
        <v>72.136242743052151</v>
      </c>
      <c r="X24" s="48">
        <f>'[3]others portable_Li-Primary'!AC24</f>
        <v>77.185779735065807</v>
      </c>
      <c r="Y24" s="48">
        <f>'[3]others portable_Li-Primary'!AD24</f>
        <v>82.588784316520417</v>
      </c>
      <c r="Z24" s="48">
        <f>'[3]others portable_Li-Primary'!AE24</f>
        <v>88.369999218676853</v>
      </c>
      <c r="AA24" s="48">
        <f>'[3]others portable_Li-Primary'!AF24</f>
        <v>94.555899163984236</v>
      </c>
      <c r="AB24" s="48">
        <f>'[3]others portable_Li-Primary'!AG24</f>
        <v>101.17481210546313</v>
      </c>
      <c r="AC24" s="48">
        <f>'[3]others portable_Li-Primary'!AH24</f>
        <v>108.25704895284555</v>
      </c>
      <c r="AD24" s="48">
        <f>'[3]others portable_Li-Primary'!AI24</f>
        <v>115.83504237954475</v>
      </c>
      <c r="AE24" s="48">
        <f>'[3]others portable_Li-Primary'!AJ24</f>
        <v>123.94349534611288</v>
      </c>
      <c r="AF24" s="48">
        <f>'[3]others portable_Li-Primary'!AK24</f>
        <v>130.14067011341854</v>
      </c>
      <c r="AG24" s="48">
        <f>'[3]others portable_Li-Primary'!AL24</f>
        <v>136.64770361908947</v>
      </c>
      <c r="AH24" s="48">
        <f>'[3]others portable_Li-Primary'!AM24</f>
        <v>143.48008880004394</v>
      </c>
      <c r="AI24" s="48">
        <f>'[3]others portable_Li-Primary'!AN24</f>
        <v>150.65409324004614</v>
      </c>
      <c r="AJ24" s="48">
        <f>'[3]others portable_Li-Primary'!AO24</f>
        <v>158.18679790204845</v>
      </c>
      <c r="AK24" s="48">
        <f>'[3]others portable_Li-Primary'!AP24</f>
        <v>166.09613779715087</v>
      </c>
      <c r="AL24" s="48">
        <f>'[3]others portable_Li-Primary'!AQ24</f>
        <v>174.4009446870084</v>
      </c>
      <c r="AM24" s="48">
        <f>'[3]others portable_Li-Primary'!AR24</f>
        <v>183.12099192135884</v>
      </c>
      <c r="AN24" s="48">
        <f>'[3]others portable_Li-Primary'!AS24</f>
        <v>192.27704151742677</v>
      </c>
      <c r="AO24" s="48">
        <f>'[3]others portable_Li-Primary'!AT24</f>
        <v>198.04535276294956</v>
      </c>
      <c r="AP24" s="48">
        <f>'[3]others portable_Li-Primary'!AU24</f>
        <v>203.98671334583804</v>
      </c>
      <c r="AQ24" s="48">
        <f>'[3]others portable_Li-Primary'!AV24</f>
        <v>210.10631474621317</v>
      </c>
      <c r="AR24" s="48">
        <f>'[3]others portable_Li-Primary'!AW24</f>
        <v>216.40950418859956</v>
      </c>
      <c r="AS24" s="48">
        <f>'[3]others portable_Li-Primary'!AX24</f>
        <v>222.90178931425754</v>
      </c>
      <c r="AT24" s="48">
        <f>'[3]others portable_Li-Primary'!AY24</f>
        <v>229.58884299368526</v>
      </c>
      <c r="AU24" s="48">
        <f>'[3]others portable_Li-Primary'!AZ24</f>
        <v>236.47650828349583</v>
      </c>
      <c r="AV24" s="48">
        <f>'[3]others portable_Li-Primary'!BA24</f>
        <v>238.8412733663308</v>
      </c>
      <c r="AW24" s="48">
        <f>'[3]others portable_Li-Primary'!BB24</f>
        <v>241.2296860999941</v>
      </c>
      <c r="AX24" s="48">
        <f>'[3]others portable_Li-Primary'!BC24</f>
        <v>243.64198296099403</v>
      </c>
      <c r="AY24" s="48">
        <f>'[3]others portable_Li-Primary'!BD24</f>
        <v>246.07840279060397</v>
      </c>
      <c r="AZ24" s="48">
        <f>'[3]others portable_Li-Primary'!BE24</f>
        <v>248.53918681851002</v>
      </c>
    </row>
    <row r="25" spans="1:52" x14ac:dyDescent="0.35">
      <c r="A25" s="61" t="s">
        <v>13</v>
      </c>
      <c r="B25" s="23">
        <f t="shared" si="0"/>
        <v>0.17477033367997155</v>
      </c>
      <c r="C25" s="23">
        <f t="shared" si="0"/>
        <v>0.23419224713116191</v>
      </c>
      <c r="D25" s="23">
        <f t="shared" si="1"/>
        <v>0.31381761115575696</v>
      </c>
      <c r="E25" s="23">
        <f t="shared" si="1"/>
        <v>0.47072641673363541</v>
      </c>
      <c r="F25" s="23">
        <f t="shared" si="2"/>
        <v>0.70608962510045314</v>
      </c>
      <c r="G25" s="23">
        <f t="shared" si="3"/>
        <v>0.86142934262255277</v>
      </c>
      <c r="H25" s="23">
        <f t="shared" si="4"/>
        <v>1.0164866242946122</v>
      </c>
      <c r="I25" s="23">
        <f t="shared" si="5"/>
        <v>1.2096190829105884</v>
      </c>
      <c r="J25" s="23">
        <f t="shared" si="6"/>
        <v>1.6329857619292945</v>
      </c>
      <c r="K25" s="23">
        <f t="shared" si="7"/>
        <v>1.2084094638276779</v>
      </c>
      <c r="L25" s="23">
        <f t="shared" si="8"/>
        <v>2.0301278992304987</v>
      </c>
      <c r="M25" s="4">
        <f>$M$8*'[2]Eurostat POM Portables GU'!M16</f>
        <v>2.6594675479919534</v>
      </c>
      <c r="N25" s="4">
        <f>$N$8*'[2]Eurostat POM Portables GU'!N16</f>
        <v>2.763643350056205</v>
      </c>
      <c r="O25" s="4">
        <f>$O$8*'[2]Eurostat POM Portables GU'!O16</f>
        <v>3.4481564087577317</v>
      </c>
      <c r="P25" s="4">
        <f>$P$8*'[2]Eurostat POM Portables GU'!P16</f>
        <v>3.677116888610759</v>
      </c>
      <c r="Q25" s="4">
        <f>$Q$8*'[2]Eurostat POM Portables GU'!Q16</f>
        <v>3.9257938216163031</v>
      </c>
      <c r="R25" s="4">
        <f>$R$8*'[2]Eurostat POM Portables GU'!R16</f>
        <v>5.2931949665011855</v>
      </c>
      <c r="S25" s="4">
        <f>$S$8*'[2]Eurostat POM Portables GU'!S16</f>
        <v>6.5053757819925924</v>
      </c>
      <c r="T25" s="4">
        <f>$T$8*'[2]Eurostat POM Portables GU'!T16</f>
        <v>6.1602612145182585</v>
      </c>
      <c r="U25" s="4">
        <f>$U$8*'[2]Eurostat POM Portables GU'!U16</f>
        <v>4.1810655288646892</v>
      </c>
      <c r="V25" s="4">
        <f>$V$8*'[2]Eurostat POM Portables GU'!V16</f>
        <v>7.940706359272145</v>
      </c>
      <c r="W25" s="4">
        <f>$W$8*'[2]Eurostat POM Portables GU'!W16</f>
        <v>7.7274216540697829</v>
      </c>
      <c r="X25" s="48">
        <f>'[3]others portable_Li-Primary'!AC25</f>
        <v>8.2683411698546685</v>
      </c>
      <c r="Y25" s="48">
        <f>'[3]others portable_Li-Primary'!AD25</f>
        <v>8.847125051744495</v>
      </c>
      <c r="Z25" s="48">
        <f>'[3]others portable_Li-Primary'!AE25</f>
        <v>9.4664238053666097</v>
      </c>
      <c r="AA25" s="48">
        <f>'[3]others portable_Li-Primary'!AF25</f>
        <v>10.129073471742272</v>
      </c>
      <c r="AB25" s="48">
        <f>'[3]others portable_Li-Primary'!AG25</f>
        <v>10.838108614764231</v>
      </c>
      <c r="AC25" s="48">
        <f>'[3]others portable_Li-Primary'!AH25</f>
        <v>11.596776217797727</v>
      </c>
      <c r="AD25" s="48">
        <f>'[3]others portable_Li-Primary'!AI25</f>
        <v>12.408550553043568</v>
      </c>
      <c r="AE25" s="48">
        <f>'[3]others portable_Li-Primary'!AJ25</f>
        <v>13.277149091756618</v>
      </c>
      <c r="AF25" s="48">
        <f>'[3]others portable_Li-Primary'!AK25</f>
        <v>13.941006546344449</v>
      </c>
      <c r="AG25" s="48">
        <f>'[3]others portable_Li-Primary'!AL25</f>
        <v>14.638056873661672</v>
      </c>
      <c r="AH25" s="48">
        <f>'[3]others portable_Li-Primary'!AM25</f>
        <v>15.369959717344756</v>
      </c>
      <c r="AI25" s="48">
        <f>'[3]others portable_Li-Primary'!AN25</f>
        <v>16.138457703211994</v>
      </c>
      <c r="AJ25" s="48">
        <f>'[3]others portable_Li-Primary'!AO25</f>
        <v>16.945380588372593</v>
      </c>
      <c r="AK25" s="48">
        <f>'[3]others portable_Li-Primary'!AP25</f>
        <v>17.792649617791223</v>
      </c>
      <c r="AL25" s="48">
        <f>'[3]others portable_Li-Primary'!AQ25</f>
        <v>18.682282098680783</v>
      </c>
      <c r="AM25" s="48">
        <f>'[3]others portable_Li-Primary'!AR25</f>
        <v>19.616396203614823</v>
      </c>
      <c r="AN25" s="48">
        <f>'[3]others portable_Li-Primary'!AS25</f>
        <v>20.597216013795563</v>
      </c>
      <c r="AO25" s="48">
        <f>'[3]others portable_Li-Primary'!AT25</f>
        <v>21.215132494209431</v>
      </c>
      <c r="AP25" s="48">
        <f>'[3]others portable_Li-Primary'!AU25</f>
        <v>21.851586469035713</v>
      </c>
      <c r="AQ25" s="48">
        <f>'[3]others portable_Li-Primary'!AV25</f>
        <v>22.507134063106783</v>
      </c>
      <c r="AR25" s="48">
        <f>'[3]others portable_Li-Primary'!AW25</f>
        <v>23.182348084999987</v>
      </c>
      <c r="AS25" s="48">
        <f>'[3]others portable_Li-Primary'!AX25</f>
        <v>23.877818527549987</v>
      </c>
      <c r="AT25" s="48">
        <f>'[3]others portable_Li-Primary'!AY25</f>
        <v>24.594153083376487</v>
      </c>
      <c r="AU25" s="48">
        <f>'[3]others portable_Li-Primary'!AZ25</f>
        <v>25.331977675877781</v>
      </c>
      <c r="AV25" s="48">
        <f>'[3]others portable_Li-Primary'!BA25</f>
        <v>25.58529745263656</v>
      </c>
      <c r="AW25" s="48">
        <f>'[3]others portable_Li-Primary'!BB25</f>
        <v>25.841150427162926</v>
      </c>
      <c r="AX25" s="48">
        <f>'[3]others portable_Li-Primary'!BC25</f>
        <v>26.099561931434554</v>
      </c>
      <c r="AY25" s="48">
        <f>'[3]others portable_Li-Primary'!BD25</f>
        <v>26.360557550748901</v>
      </c>
      <c r="AZ25" s="48">
        <f>'[3]others portable_Li-Primary'!BE25</f>
        <v>26.624163126256391</v>
      </c>
    </row>
    <row r="26" spans="1:52" x14ac:dyDescent="0.35">
      <c r="A26" s="61" t="s">
        <v>14</v>
      </c>
      <c r="B26" s="23">
        <f t="shared" si="0"/>
        <v>1.9557854746034182</v>
      </c>
      <c r="C26" s="23">
        <f t="shared" si="0"/>
        <v>2.6207525359685806</v>
      </c>
      <c r="D26" s="23">
        <f t="shared" si="1"/>
        <v>3.511808398197898</v>
      </c>
      <c r="E26" s="23">
        <f t="shared" si="1"/>
        <v>5.267712597296847</v>
      </c>
      <c r="F26" s="23">
        <f t="shared" si="2"/>
        <v>7.901568895945271</v>
      </c>
      <c r="G26" s="23">
        <f t="shared" si="3"/>
        <v>9.6399140530532303</v>
      </c>
      <c r="H26" s="23">
        <f t="shared" si="4"/>
        <v>11.375098582602812</v>
      </c>
      <c r="I26" s="23">
        <f t="shared" si="5"/>
        <v>13.536367313297346</v>
      </c>
      <c r="J26" s="23">
        <f t="shared" si="6"/>
        <v>18.274095872951417</v>
      </c>
      <c r="K26" s="23">
        <f t="shared" si="7"/>
        <v>13.522830945984049</v>
      </c>
      <c r="L26" s="23">
        <f t="shared" si="8"/>
        <v>22.718355989253201</v>
      </c>
      <c r="M26" s="4">
        <f>$M$8*'[2]Eurostat POM Portables GU'!M17</f>
        <v>29.761046345921695</v>
      </c>
      <c r="N26" s="4">
        <f>$N$8*'[2]Eurostat POM Portables GU'!N17</f>
        <v>32.579263903079493</v>
      </c>
      <c r="O26" s="4">
        <f>$O$8*'[2]Eurostat POM Portables GU'!O17</f>
        <v>32.020986456085147</v>
      </c>
      <c r="P26" s="4">
        <f>$P$8*'[2]Eurostat POM Portables GU'!P17</f>
        <v>47.393951008760894</v>
      </c>
      <c r="Q26" s="4">
        <f>$Q$8*'[2]Eurostat POM Portables GU'!Q17</f>
        <v>62.604251916394496</v>
      </c>
      <c r="R26" s="4">
        <f>$R$8*'[2]Eurostat POM Portables GU'!R17</f>
        <v>47.05062192445498</v>
      </c>
      <c r="S26" s="4">
        <f>$S$8*'[2]Eurostat POM Portables GU'!S17</f>
        <v>73.786799256503016</v>
      </c>
      <c r="T26" s="4">
        <f>$T$8*'[2]Eurostat POM Portables GU'!T17</f>
        <v>56.47712008286755</v>
      </c>
      <c r="U26" s="4">
        <f>$U$8*'[2]Eurostat POM Portables GU'!U17</f>
        <v>65.95692721865835</v>
      </c>
      <c r="V26" s="4">
        <f>$V$8*'[2]Eurostat POM Portables GU'!V17</f>
        <v>90.230669117707535</v>
      </c>
      <c r="W26" s="4">
        <f>$W$8*'[2]Eurostat POM Portables GU'!W17</f>
        <v>83.935394959769468</v>
      </c>
      <c r="X26" s="48">
        <f>'[3]others portable_Li-Primary'!AC26</f>
        <v>89.810872606953325</v>
      </c>
      <c r="Y26" s="48">
        <f>'[3]others portable_Li-Primary'!AD26</f>
        <v>96.097633689440059</v>
      </c>
      <c r="Z26" s="48">
        <f>'[3]others portable_Li-Primary'!AE26</f>
        <v>102.82446804770086</v>
      </c>
      <c r="AA26" s="48">
        <f>'[3]others portable_Li-Primary'!AF26</f>
        <v>110.02218081103992</v>
      </c>
      <c r="AB26" s="48">
        <f>'[3]others portable_Li-Primary'!AG26</f>
        <v>117.72373346781271</v>
      </c>
      <c r="AC26" s="48">
        <f>'[3]others portable_Li-Primary'!AH26</f>
        <v>125.9643948105596</v>
      </c>
      <c r="AD26" s="48">
        <f>'[3]others portable_Li-Primary'!AI26</f>
        <v>134.78190244729876</v>
      </c>
      <c r="AE26" s="48">
        <f>'[3]others portable_Li-Primary'!AJ26</f>
        <v>144.21663561860967</v>
      </c>
      <c r="AF26" s="48">
        <f>'[3]others portable_Li-Primary'!AK26</f>
        <v>151.42746739954015</v>
      </c>
      <c r="AG26" s="48">
        <f>'[3]others portable_Li-Primary'!AL26</f>
        <v>158.99884076951716</v>
      </c>
      <c r="AH26" s="48">
        <f>'[3]others portable_Li-Primary'!AM26</f>
        <v>166.94878280799301</v>
      </c>
      <c r="AI26" s="48">
        <f>'[3]others portable_Li-Primary'!AN26</f>
        <v>175.29622194839266</v>
      </c>
      <c r="AJ26" s="48">
        <f>'[3]others portable_Li-Primary'!AO26</f>
        <v>184.06103304581228</v>
      </c>
      <c r="AK26" s="48">
        <f>'[3]others portable_Li-Primary'!AP26</f>
        <v>193.26408469810289</v>
      </c>
      <c r="AL26" s="48">
        <f>'[3]others portable_Li-Primary'!AQ26</f>
        <v>202.92728893300804</v>
      </c>
      <c r="AM26" s="48">
        <f>'[3]others portable_Li-Primary'!AR26</f>
        <v>213.07365337965845</v>
      </c>
      <c r="AN26" s="48">
        <f>'[3]others portable_Li-Primary'!AS26</f>
        <v>223.72733604864138</v>
      </c>
      <c r="AO26" s="48">
        <f>'[3]others portable_Li-Primary'!AT26</f>
        <v>230.43915613010063</v>
      </c>
      <c r="AP26" s="48">
        <f>'[3]others portable_Li-Primary'!AU26</f>
        <v>237.35233081400364</v>
      </c>
      <c r="AQ26" s="48">
        <f>'[3]others portable_Li-Primary'!AV26</f>
        <v>244.47290073842373</v>
      </c>
      <c r="AR26" s="48">
        <f>'[3]others portable_Li-Primary'!AW26</f>
        <v>251.80708776057645</v>
      </c>
      <c r="AS26" s="48">
        <f>'[3]others portable_Li-Primary'!AX26</f>
        <v>259.36130039339372</v>
      </c>
      <c r="AT26" s="48">
        <f>'[3]others portable_Li-Primary'!AY26</f>
        <v>267.14213940519551</v>
      </c>
      <c r="AU26" s="48">
        <f>'[3]others portable_Li-Primary'!AZ26</f>
        <v>275.15640358735135</v>
      </c>
      <c r="AV26" s="48">
        <f>'[3]others portable_Li-Primary'!BA26</f>
        <v>277.90796762322486</v>
      </c>
      <c r="AW26" s="48">
        <f>'[3]others portable_Li-Primary'!BB26</f>
        <v>280.68704729945711</v>
      </c>
      <c r="AX26" s="48">
        <f>'[3]others portable_Li-Primary'!BC26</f>
        <v>283.49391777245165</v>
      </c>
      <c r="AY26" s="48">
        <f>'[3]others portable_Li-Primary'!BD26</f>
        <v>286.32885695017615</v>
      </c>
      <c r="AZ26" s="48">
        <f>'[3]others portable_Li-Primary'!BE26</f>
        <v>289.19214551967792</v>
      </c>
    </row>
    <row r="27" spans="1:52" x14ac:dyDescent="0.35">
      <c r="A27" s="61" t="s">
        <v>15</v>
      </c>
      <c r="B27" s="23">
        <f t="shared" si="0"/>
        <v>27.533136412710096</v>
      </c>
      <c r="C27" s="23">
        <f t="shared" si="0"/>
        <v>36.894402793031531</v>
      </c>
      <c r="D27" s="23">
        <f t="shared" si="1"/>
        <v>49.438499742662259</v>
      </c>
      <c r="E27" s="23">
        <f t="shared" si="1"/>
        <v>74.157749613993388</v>
      </c>
      <c r="F27" s="23">
        <f t="shared" si="2"/>
        <v>111.23662442099008</v>
      </c>
      <c r="G27" s="23">
        <f t="shared" si="3"/>
        <v>135.70868179360789</v>
      </c>
      <c r="H27" s="23">
        <f t="shared" si="4"/>
        <v>160.13624451645731</v>
      </c>
      <c r="I27" s="23">
        <f t="shared" si="5"/>
        <v>190.56213097458419</v>
      </c>
      <c r="J27" s="23">
        <f t="shared" si="6"/>
        <v>257.25887681568867</v>
      </c>
      <c r="K27" s="23">
        <f t="shared" si="7"/>
        <v>190.37156884360959</v>
      </c>
      <c r="L27" s="23">
        <f t="shared" si="8"/>
        <v>319.82423565726413</v>
      </c>
      <c r="M27" s="4">
        <f>$M$8*'[2]Eurostat POM Portables GU'!M18</f>
        <v>418.96974871101605</v>
      </c>
      <c r="N27" s="4">
        <f>$N$8*'[2]Eurostat POM Portables GU'!N18</f>
        <v>491.4941483896319</v>
      </c>
      <c r="O27" s="4">
        <f>$O$8*'[2]Eurostat POM Portables GU'!O18</f>
        <v>444.14321764782505</v>
      </c>
      <c r="P27" s="4">
        <f>$P$8*'[2]Eurostat POM Portables GU'!P18</f>
        <v>489.63735128207594</v>
      </c>
      <c r="Q27" s="4">
        <f>$Q$8*'[2]Eurostat POM Portables GU'!Q18</f>
        <v>568.00365278824609</v>
      </c>
      <c r="R27" s="4">
        <f>$R$8*'[2]Eurostat POM Portables GU'!R18</f>
        <v>589.37686613550579</v>
      </c>
      <c r="S27" s="4">
        <f>$S$8*'[2]Eurostat POM Portables GU'!S18</f>
        <v>631.72862985277561</v>
      </c>
      <c r="T27" s="4">
        <f>$T$8*'[2]Eurostat POM Portables GU'!T18</f>
        <v>585.87485832772256</v>
      </c>
      <c r="U27" s="4">
        <f>$U$8*'[2]Eurostat POM Portables GU'!U18</f>
        <v>636.9592078479883</v>
      </c>
      <c r="V27" s="4">
        <f>$V$8*'[2]Eurostat POM Portables GU'!V18</f>
        <v>717.27277435061399</v>
      </c>
      <c r="W27" s="4">
        <f>$W$8*'[2]Eurostat POM Portables GU'!W18</f>
        <v>735.5941601620533</v>
      </c>
      <c r="X27" s="48">
        <f>'[3]others portable_Li-Primary'!AC27</f>
        <v>787.08575137339699</v>
      </c>
      <c r="Y27" s="48">
        <f>'[3]others portable_Li-Primary'!AD27</f>
        <v>842.18175396953484</v>
      </c>
      <c r="Z27" s="48">
        <f>'[3]others portable_Li-Primary'!AE27</f>
        <v>901.13447674740223</v>
      </c>
      <c r="AA27" s="48">
        <f>'[3]others portable_Li-Primary'!AF27</f>
        <v>964.21389011972042</v>
      </c>
      <c r="AB27" s="48">
        <f>'[3]others portable_Li-Primary'!AG27</f>
        <v>1031.7088624281009</v>
      </c>
      <c r="AC27" s="48">
        <f>'[3]others portable_Li-Primary'!AH27</f>
        <v>1103.928482798068</v>
      </c>
      <c r="AD27" s="48">
        <f>'[3]others portable_Li-Primary'!AI27</f>
        <v>1181.2034765939327</v>
      </c>
      <c r="AE27" s="48">
        <f>'[3]others portable_Li-Primary'!AJ27</f>
        <v>1263.8877199555079</v>
      </c>
      <c r="AF27" s="48">
        <f>'[3]others portable_Li-Primary'!AK27</f>
        <v>1327.0821059532834</v>
      </c>
      <c r="AG27" s="48">
        <f>'[3]others portable_Li-Primary'!AL27</f>
        <v>1393.4362112509475</v>
      </c>
      <c r="AH27" s="48">
        <f>'[3]others portable_Li-Primary'!AM27</f>
        <v>1463.1080218134948</v>
      </c>
      <c r="AI27" s="48">
        <f>'[3]others portable_Li-Primary'!AN27</f>
        <v>1536.2634229041696</v>
      </c>
      <c r="AJ27" s="48">
        <f>'[3]others portable_Li-Primary'!AO27</f>
        <v>1613.0765940493782</v>
      </c>
      <c r="AK27" s="48">
        <f>'[3]others portable_Li-Primary'!AP27</f>
        <v>1693.7304237518472</v>
      </c>
      <c r="AL27" s="48">
        <f>'[3]others portable_Li-Primary'!AQ27</f>
        <v>1778.4169449394396</v>
      </c>
      <c r="AM27" s="48">
        <f>'[3]others portable_Li-Primary'!AR27</f>
        <v>1867.3377921864117</v>
      </c>
      <c r="AN27" s="48">
        <f>'[3]others portable_Li-Primary'!AS27</f>
        <v>1960.7046817957323</v>
      </c>
      <c r="AO27" s="48">
        <f>'[3]others portable_Li-Primary'!AT27</f>
        <v>2019.5258222496043</v>
      </c>
      <c r="AP27" s="48">
        <f>'[3]others portable_Li-Primary'!AU27</f>
        <v>2080.1115969170924</v>
      </c>
      <c r="AQ27" s="48">
        <f>'[3]others portable_Li-Primary'!AV27</f>
        <v>2142.5149448246052</v>
      </c>
      <c r="AR27" s="48">
        <f>'[3]others portable_Li-Primary'!AW27</f>
        <v>2206.7903931693436</v>
      </c>
      <c r="AS27" s="48">
        <f>'[3]others portable_Li-Primary'!AX27</f>
        <v>2272.994104964424</v>
      </c>
      <c r="AT27" s="48">
        <f>'[3]others portable_Li-Primary'!AY27</f>
        <v>2341.1839281133566</v>
      </c>
      <c r="AU27" s="48">
        <f>'[3]others portable_Li-Primary'!AZ27</f>
        <v>2411.4194459567575</v>
      </c>
      <c r="AV27" s="48">
        <f>'[3]others portable_Li-Primary'!BA27</f>
        <v>2435.5336404163249</v>
      </c>
      <c r="AW27" s="48">
        <f>'[3]others portable_Li-Primary'!BB27</f>
        <v>2459.8889768204881</v>
      </c>
      <c r="AX27" s="48">
        <f>'[3]others portable_Li-Primary'!BC27</f>
        <v>2484.4878665886931</v>
      </c>
      <c r="AY27" s="48">
        <f>'[3]others portable_Li-Primary'!BD27</f>
        <v>2509.33274525458</v>
      </c>
      <c r="AZ27" s="48">
        <f>'[3]others portable_Li-Primary'!BE27</f>
        <v>2534.426072707126</v>
      </c>
    </row>
    <row r="28" spans="1:52" x14ac:dyDescent="0.35">
      <c r="A28" s="61" t="s">
        <v>16</v>
      </c>
      <c r="B28" s="23">
        <f t="shared" si="0"/>
        <v>1.0740836042961954</v>
      </c>
      <c r="C28" s="23">
        <f t="shared" si="0"/>
        <v>1.4392720297569019</v>
      </c>
      <c r="D28" s="23">
        <f t="shared" si="1"/>
        <v>1.9286245198742487</v>
      </c>
      <c r="E28" s="23">
        <f t="shared" si="1"/>
        <v>2.892936779811373</v>
      </c>
      <c r="F28" s="23">
        <f t="shared" si="2"/>
        <v>4.3394051697170593</v>
      </c>
      <c r="G28" s="23">
        <f t="shared" si="3"/>
        <v>5.294074307054812</v>
      </c>
      <c r="H28" s="23">
        <f t="shared" si="4"/>
        <v>6.2470076823246776</v>
      </c>
      <c r="I28" s="23">
        <f t="shared" si="5"/>
        <v>7.4339391419663663</v>
      </c>
      <c r="J28" s="23">
        <f t="shared" si="6"/>
        <v>10.035817841654595</v>
      </c>
      <c r="K28" s="23">
        <f t="shared" si="7"/>
        <v>7.4265052028243996</v>
      </c>
      <c r="L28" s="23">
        <f t="shared" si="8"/>
        <v>12.476528740744991</v>
      </c>
      <c r="M28" s="4">
        <f>$M$8*'[2]Eurostat POM Portables GU'!M19</f>
        <v>16.344252650375939</v>
      </c>
      <c r="N28" s="4">
        <f>$N$8*'[2]Eurostat POM Portables GU'!N19</f>
        <v>8.0578989749418213</v>
      </c>
      <c r="O28" s="4">
        <f>$O$8*'[2]Eurostat POM Portables GU'!O19</f>
        <v>8.6296307419799323</v>
      </c>
      <c r="P28" s="4">
        <f>$P$8*'[2]Eurostat POM Portables GU'!P19</f>
        <v>11.021345719067602</v>
      </c>
      <c r="Q28" s="4">
        <f>$Q$8*'[2]Eurostat POM Portables GU'!Q19</f>
        <v>11.788684045291085</v>
      </c>
      <c r="R28" s="4">
        <f>$R$8*'[2]Eurostat POM Portables GU'!R19</f>
        <v>10.16970025336755</v>
      </c>
      <c r="S28" s="4">
        <f>$S$8*'[2]Eurostat POM Portables GU'!S19</f>
        <v>12.103847413444374</v>
      </c>
      <c r="T28" s="4">
        <f>$T$8*'[2]Eurostat POM Portables GU'!T19</f>
        <v>12.615310753167684</v>
      </c>
      <c r="U28" s="4">
        <f>$U$8*'[2]Eurostat POM Portables GU'!U19</f>
        <v>13.982794350257425</v>
      </c>
      <c r="V28" s="4">
        <f>$V$8*'[2]Eurostat POM Portables GU'!V19</f>
        <v>16.976863466901353</v>
      </c>
      <c r="W28" s="4">
        <f>$W$8*'[2]Eurostat POM Portables GU'!W19</f>
        <v>15.573062174280087</v>
      </c>
      <c r="X28" s="48">
        <f>'[3]others portable_Li-Primary'!AC28</f>
        <v>16.663176526479695</v>
      </c>
      <c r="Y28" s="48">
        <f>'[3]others portable_Li-Primary'!AD28</f>
        <v>17.829598883333276</v>
      </c>
      <c r="Z28" s="48">
        <f>'[3]others portable_Li-Primary'!AE28</f>
        <v>19.077670805166605</v>
      </c>
      <c r="AA28" s="48">
        <f>'[3]others portable_Li-Primary'!AF28</f>
        <v>20.413107761528266</v>
      </c>
      <c r="AB28" s="48">
        <f>'[3]others portable_Li-Primary'!AG28</f>
        <v>21.842025304835246</v>
      </c>
      <c r="AC28" s="48">
        <f>'[3]others portable_Li-Primary'!AH28</f>
        <v>23.370967076173713</v>
      </c>
      <c r="AD28" s="48">
        <f>'[3]others portable_Li-Primary'!AI28</f>
        <v>25.006934771505872</v>
      </c>
      <c r="AE28" s="48">
        <f>'[3]others portable_Li-Primary'!AJ28</f>
        <v>26.757420205511284</v>
      </c>
      <c r="AF28" s="48">
        <f>'[3]others portable_Li-Primary'!AK28</f>
        <v>28.095291215786848</v>
      </c>
      <c r="AG28" s="48">
        <f>'[3]others portable_Li-Primary'!AL28</f>
        <v>29.50005577657619</v>
      </c>
      <c r="AH28" s="48">
        <f>'[3]others portable_Li-Primary'!AM28</f>
        <v>30.975058565405</v>
      </c>
      <c r="AI28" s="48">
        <f>'[3]others portable_Li-Primary'!AN28</f>
        <v>32.523811493675247</v>
      </c>
      <c r="AJ28" s="48">
        <f>'[3]others portable_Li-Primary'!AO28</f>
        <v>34.150002068359008</v>
      </c>
      <c r="AK28" s="48">
        <f>'[3]others portable_Li-Primary'!AP28</f>
        <v>35.857502171776957</v>
      </c>
      <c r="AL28" s="48">
        <f>'[3]others portable_Li-Primary'!AQ28</f>
        <v>37.650377280365802</v>
      </c>
      <c r="AM28" s="48">
        <f>'[3]others portable_Li-Primary'!AR28</f>
        <v>39.53289614438409</v>
      </c>
      <c r="AN28" s="48">
        <f>'[3]others portable_Li-Primary'!AS28</f>
        <v>41.509540951603292</v>
      </c>
      <c r="AO28" s="48">
        <f>'[3]others portable_Li-Primary'!AT28</f>
        <v>42.754827180151388</v>
      </c>
      <c r="AP28" s="48">
        <f>'[3]others portable_Li-Primary'!AU28</f>
        <v>44.037471995555933</v>
      </c>
      <c r="AQ28" s="48">
        <f>'[3]others portable_Li-Primary'!AV28</f>
        <v>45.35859615542261</v>
      </c>
      <c r="AR28" s="48">
        <f>'[3]others portable_Li-Primary'!AW28</f>
        <v>46.719354040085285</v>
      </c>
      <c r="AS28" s="48">
        <f>'[3]others portable_Li-Primary'!AX28</f>
        <v>48.120934661287841</v>
      </c>
      <c r="AT28" s="48">
        <f>'[3]others portable_Li-Primary'!AY28</f>
        <v>49.564562701126476</v>
      </c>
      <c r="AU28" s="48">
        <f>'[3]others portable_Li-Primary'!AZ28</f>
        <v>51.051499582160268</v>
      </c>
      <c r="AV28" s="48">
        <f>'[3]others portable_Li-Primary'!BA28</f>
        <v>51.56201457798187</v>
      </c>
      <c r="AW28" s="48">
        <f>'[3]others portable_Li-Primary'!BB28</f>
        <v>52.07763472376169</v>
      </c>
      <c r="AX28" s="48">
        <f>'[3]others portable_Li-Primary'!BC28</f>
        <v>52.598411070999305</v>
      </c>
      <c r="AY28" s="48">
        <f>'[3]others portable_Li-Primary'!BD28</f>
        <v>53.124395181709296</v>
      </c>
      <c r="AZ28" s="48">
        <f>'[3]others portable_Li-Primary'!BE28</f>
        <v>53.655639133526392</v>
      </c>
    </row>
    <row r="29" spans="1:52" x14ac:dyDescent="0.35">
      <c r="A29" s="61" t="s">
        <v>17</v>
      </c>
      <c r="B29" s="23">
        <f t="shared" si="0"/>
        <v>0.66063745993283385</v>
      </c>
      <c r="C29" s="23">
        <f t="shared" si="0"/>
        <v>0.88525419630999735</v>
      </c>
      <c r="D29" s="23">
        <f t="shared" si="1"/>
        <v>1.1862406230553966</v>
      </c>
      <c r="E29" s="23">
        <f t="shared" si="1"/>
        <v>1.779360934583095</v>
      </c>
      <c r="F29" s="23">
        <f t="shared" si="2"/>
        <v>2.6690414018746424</v>
      </c>
      <c r="G29" s="23">
        <f t="shared" si="3"/>
        <v>3.2562305102870637</v>
      </c>
      <c r="H29" s="23">
        <f t="shared" si="4"/>
        <v>3.842352002138735</v>
      </c>
      <c r="I29" s="23">
        <f t="shared" si="5"/>
        <v>4.5723988825450945</v>
      </c>
      <c r="J29" s="23">
        <f t="shared" si="6"/>
        <v>6.1727384914358785</v>
      </c>
      <c r="K29" s="23">
        <f t="shared" si="7"/>
        <v>4.5678264836625502</v>
      </c>
      <c r="L29" s="23">
        <f t="shared" si="8"/>
        <v>7.6739484925530848</v>
      </c>
      <c r="M29" s="4">
        <f>$M$8*'[2]Eurostat POM Portables GU'!M20</f>
        <v>10.052872525244542</v>
      </c>
      <c r="N29" s="4">
        <f>$N$8*'[2]Eurostat POM Portables GU'!N20</f>
        <v>13.058423563407565</v>
      </c>
      <c r="O29" s="4">
        <f>$O$8*'[2]Eurostat POM Portables GU'!O20</f>
        <v>13.307205558069887</v>
      </c>
      <c r="P29" s="4">
        <f>$P$8*'[2]Eurostat POM Portables GU'!P20</f>
        <v>13.672098566867104</v>
      </c>
      <c r="Q29" s="4">
        <f>$Q$8*'[2]Eurostat POM Portables GU'!Q20</f>
        <v>16.212833652510444</v>
      </c>
      <c r="R29" s="4">
        <f>$R$8*'[2]Eurostat POM Portables GU'!R20</f>
        <v>17.874861197241991</v>
      </c>
      <c r="S29" s="4">
        <f>$S$8*'[2]Eurostat POM Portables GU'!S20</f>
        <v>20.513075567827926</v>
      </c>
      <c r="T29" s="4">
        <f>$T$8*'[2]Eurostat POM Portables GU'!T20</f>
        <v>18.423677925388795</v>
      </c>
      <c r="U29" s="4">
        <f>$U$8*'[2]Eurostat POM Portables GU'!U20</f>
        <v>18.555395636872486</v>
      </c>
      <c r="V29" s="4">
        <f>$V$8*'[2]Eurostat POM Portables GU'!V20</f>
        <v>20.806789915090899</v>
      </c>
      <c r="W29" s="4">
        <f>$W$8*'[2]Eurostat POM Portables GU'!W20</f>
        <v>21.12025512395066</v>
      </c>
      <c r="X29" s="48">
        <f>'[3]others portable_Li-Primary'!AC29</f>
        <v>22.598672982627207</v>
      </c>
      <c r="Y29" s="48">
        <f>'[3]others portable_Li-Primary'!AD29</f>
        <v>24.180580091411112</v>
      </c>
      <c r="Z29" s="48">
        <f>'[3]others portable_Li-Primary'!AE29</f>
        <v>25.873220697809892</v>
      </c>
      <c r="AA29" s="48">
        <f>'[3]others portable_Li-Primary'!AF29</f>
        <v>27.684346146656583</v>
      </c>
      <c r="AB29" s="48">
        <f>'[3]others portable_Li-Primary'!AG29</f>
        <v>29.622250376922544</v>
      </c>
      <c r="AC29" s="48">
        <f>'[3]others portable_Li-Primary'!AH29</f>
        <v>31.695807903307124</v>
      </c>
      <c r="AD29" s="48">
        <f>'[3]others portable_Li-Primary'!AI29</f>
        <v>33.914514456538626</v>
      </c>
      <c r="AE29" s="48">
        <f>'[3]others portable_Li-Primary'!AJ29</f>
        <v>36.288530468496333</v>
      </c>
      <c r="AF29" s="48">
        <f>'[3]others portable_Li-Primary'!AK29</f>
        <v>38.102956991921147</v>
      </c>
      <c r="AG29" s="48">
        <f>'[3]others portable_Li-Primary'!AL29</f>
        <v>40.008104841517202</v>
      </c>
      <c r="AH29" s="48">
        <f>'[3]others portable_Li-Primary'!AM29</f>
        <v>42.008510083593059</v>
      </c>
      <c r="AI29" s="48">
        <f>'[3]others portable_Li-Primary'!AN29</f>
        <v>44.108935587772713</v>
      </c>
      <c r="AJ29" s="48">
        <f>'[3]others portable_Li-Primary'!AO29</f>
        <v>46.31438236716135</v>
      </c>
      <c r="AK29" s="48">
        <f>'[3]others portable_Li-Primary'!AP29</f>
        <v>48.630101485519418</v>
      </c>
      <c r="AL29" s="48">
        <f>'[3]others portable_Li-Primary'!AQ29</f>
        <v>51.061606559795386</v>
      </c>
      <c r="AM29" s="48">
        <f>'[3]others portable_Li-Primary'!AR29</f>
        <v>53.614686887785155</v>
      </c>
      <c r="AN29" s="48">
        <f>'[3]others portable_Li-Primary'!AS29</f>
        <v>56.295421232174412</v>
      </c>
      <c r="AO29" s="48">
        <f>'[3]others portable_Li-Primary'!AT29</f>
        <v>57.984283869139645</v>
      </c>
      <c r="AP29" s="48">
        <f>'[3]others portable_Li-Primary'!AU29</f>
        <v>59.723812385213833</v>
      </c>
      <c r="AQ29" s="48">
        <f>'[3]others portable_Li-Primary'!AV29</f>
        <v>61.51552675677025</v>
      </c>
      <c r="AR29" s="48">
        <f>'[3]others portable_Li-Primary'!AW29</f>
        <v>63.36099255947336</v>
      </c>
      <c r="AS29" s="48">
        <f>'[3]others portable_Li-Primary'!AX29</f>
        <v>65.261822336257566</v>
      </c>
      <c r="AT29" s="48">
        <f>'[3]others portable_Li-Primary'!AY29</f>
        <v>67.219677006345293</v>
      </c>
      <c r="AU29" s="48">
        <f>'[3]others portable_Li-Primary'!AZ29</f>
        <v>69.236267316535645</v>
      </c>
      <c r="AV29" s="48">
        <f>'[3]others portable_Li-Primary'!BA29</f>
        <v>69.928629989701008</v>
      </c>
      <c r="AW29" s="48">
        <f>'[3]others portable_Li-Primary'!BB29</f>
        <v>70.627916289598019</v>
      </c>
      <c r="AX29" s="48">
        <f>'[3]others portable_Li-Primary'!BC29</f>
        <v>71.334195452494001</v>
      </c>
      <c r="AY29" s="48">
        <f>'[3]others portable_Li-Primary'!BD29</f>
        <v>72.047537407018936</v>
      </c>
      <c r="AZ29" s="48">
        <f>'[3]others portable_Li-Primary'!BE29</f>
        <v>72.768012781089126</v>
      </c>
    </row>
    <row r="30" spans="1:52" x14ac:dyDescent="0.35">
      <c r="A30" s="61" t="s">
        <v>18</v>
      </c>
      <c r="B30" s="23">
        <f t="shared" si="0"/>
        <v>0.17047805639792199</v>
      </c>
      <c r="C30" s="23">
        <f t="shared" si="0"/>
        <v>0.22844059557321547</v>
      </c>
      <c r="D30" s="23">
        <f t="shared" si="1"/>
        <v>0.30611039806810875</v>
      </c>
      <c r="E30" s="23">
        <f t="shared" si="1"/>
        <v>0.45916559710216315</v>
      </c>
      <c r="F30" s="23">
        <f t="shared" si="2"/>
        <v>0.68874839565324475</v>
      </c>
      <c r="G30" s="23">
        <f t="shared" si="3"/>
        <v>0.84027304269695857</v>
      </c>
      <c r="H30" s="23">
        <f t="shared" si="4"/>
        <v>0.99152219038241107</v>
      </c>
      <c r="I30" s="23">
        <f t="shared" si="5"/>
        <v>1.1799114065550691</v>
      </c>
      <c r="J30" s="23">
        <f t="shared" si="6"/>
        <v>1.5928803988493434</v>
      </c>
      <c r="K30" s="23">
        <f t="shared" si="7"/>
        <v>1.1787314951485142</v>
      </c>
      <c r="L30" s="23">
        <f t="shared" si="8"/>
        <v>1.9802689118495038</v>
      </c>
      <c r="M30" s="4">
        <f>$M$8*'[2]Eurostat POM Portables GU'!M21</f>
        <v>2.59415227452285</v>
      </c>
      <c r="N30" s="4">
        <f>$N$8*'[2]Eurostat POM Portables GU'!N21</f>
        <v>3.1176568788851564</v>
      </c>
      <c r="O30" s="4">
        <f>$O$8*'[2]Eurostat POM Portables GU'!O21</f>
        <v>3.0564726225202028</v>
      </c>
      <c r="P30" s="4">
        <f>$P$8*'[2]Eurostat POM Portables GU'!P21</f>
        <v>3.4100525725815767</v>
      </c>
      <c r="Q30" s="4">
        <f>$Q$8*'[2]Eurostat POM Portables GU'!Q21</f>
        <v>3.9836963853569562</v>
      </c>
      <c r="R30" s="4">
        <f>$R$8*'[2]Eurostat POM Portables GU'!R21</f>
        <v>4.6859359233705167</v>
      </c>
      <c r="S30" s="4">
        <f>$S$8*'[2]Eurostat POM Portables GU'!S21</f>
        <v>4.9585913241581761</v>
      </c>
      <c r="T30" s="4">
        <f>$T$8*'[2]Eurostat POM Portables GU'!T21</f>
        <v>5.0529615142634068</v>
      </c>
      <c r="U30" s="4">
        <f>$U$8*'[2]Eurostat POM Portables GU'!U21</f>
        <v>5.9870879170725138</v>
      </c>
      <c r="V30" s="4">
        <f>$V$8*'[2]Eurostat POM Portables GU'!V21</f>
        <v>6.646967157697337</v>
      </c>
      <c r="W30" s="4">
        <f>$W$8*'[2]Eurostat POM Portables GU'!W21</f>
        <v>6.4793032403939055</v>
      </c>
      <c r="X30" s="48">
        <f>'[3]others portable_Li-Primary'!AC30</f>
        <v>6.9328544672214791</v>
      </c>
      <c r="Y30" s="48">
        <f>'[3]others portable_Li-Primary'!AD30</f>
        <v>7.4181542799269824</v>
      </c>
      <c r="Z30" s="48">
        <f>'[3]others portable_Li-Primary'!AE30</f>
        <v>7.937425079521871</v>
      </c>
      <c r="AA30" s="48">
        <f>'[3]others portable_Li-Primary'!AF30</f>
        <v>8.4930448350884014</v>
      </c>
      <c r="AB30" s="48">
        <f>'[3]others portable_Li-Primary'!AG30</f>
        <v>9.0875579735445893</v>
      </c>
      <c r="AC30" s="48">
        <f>'[3]others portable_Li-Primary'!AH30</f>
        <v>9.7236870316927106</v>
      </c>
      <c r="AD30" s="48">
        <f>'[3]others portable_Li-Primary'!AI30</f>
        <v>10.404345123911201</v>
      </c>
      <c r="AE30" s="48">
        <f>'[3]others portable_Li-Primary'!AJ30</f>
        <v>11.132649282584985</v>
      </c>
      <c r="AF30" s="48">
        <f>'[3]others portable_Li-Primary'!AK30</f>
        <v>11.689281746714235</v>
      </c>
      <c r="AG30" s="48">
        <f>'[3]others portable_Li-Primary'!AL30</f>
        <v>12.273745834049947</v>
      </c>
      <c r="AH30" s="48">
        <f>'[3]others portable_Li-Primary'!AM30</f>
        <v>12.887433125752445</v>
      </c>
      <c r="AI30" s="48">
        <f>'[3]others portable_Li-Primary'!AN30</f>
        <v>13.531804782040068</v>
      </c>
      <c r="AJ30" s="48">
        <f>'[3]others portable_Li-Primary'!AO30</f>
        <v>14.208395021142071</v>
      </c>
      <c r="AK30" s="48">
        <f>'[3]others portable_Li-Primary'!AP30</f>
        <v>14.918814772199173</v>
      </c>
      <c r="AL30" s="48">
        <f>'[3]others portable_Li-Primary'!AQ30</f>
        <v>15.664755510809131</v>
      </c>
      <c r="AM30" s="48">
        <f>'[3]others portable_Li-Primary'!AR30</f>
        <v>16.44799328634959</v>
      </c>
      <c r="AN30" s="48">
        <f>'[3]others portable_Li-Primary'!AS30</f>
        <v>17.27039295066707</v>
      </c>
      <c r="AO30" s="48">
        <f>'[3]others portable_Li-Primary'!AT30</f>
        <v>17.788504739187083</v>
      </c>
      <c r="AP30" s="48">
        <f>'[3]others portable_Li-Primary'!AU30</f>
        <v>18.322159881362694</v>
      </c>
      <c r="AQ30" s="48">
        <f>'[3]others portable_Li-Primary'!AV30</f>
        <v>18.871824677803573</v>
      </c>
      <c r="AR30" s="48">
        <f>'[3]others portable_Li-Primary'!AW30</f>
        <v>19.437979418137679</v>
      </c>
      <c r="AS30" s="48">
        <f>'[3]others portable_Li-Primary'!AX30</f>
        <v>20.021118800681808</v>
      </c>
      <c r="AT30" s="48">
        <f>'[3]others portable_Li-Primary'!AY30</f>
        <v>20.621752364702264</v>
      </c>
      <c r="AU30" s="48">
        <f>'[3]others portable_Li-Primary'!AZ30</f>
        <v>21.240404935643333</v>
      </c>
      <c r="AV30" s="48">
        <f>'[3]others portable_Li-Primary'!BA30</f>
        <v>21.452808984999766</v>
      </c>
      <c r="AW30" s="48">
        <f>'[3]others portable_Li-Primary'!BB30</f>
        <v>21.667337074849765</v>
      </c>
      <c r="AX30" s="48">
        <f>'[3]others portable_Li-Primary'!BC30</f>
        <v>21.884010445598264</v>
      </c>
      <c r="AY30" s="48">
        <f>'[3]others portable_Li-Primary'!BD30</f>
        <v>22.102850550054246</v>
      </c>
      <c r="AZ30" s="48">
        <f>'[3]others portable_Li-Primary'!BE30</f>
        <v>22.323879055554787</v>
      </c>
    </row>
    <row r="31" spans="1:52" x14ac:dyDescent="0.35">
      <c r="A31" s="61" t="s">
        <v>19</v>
      </c>
      <c r="B31" s="23">
        <f t="shared" si="0"/>
        <v>8.1469289020813213E-2</v>
      </c>
      <c r="C31" s="23">
        <f t="shared" si="0"/>
        <v>0.10916884728788971</v>
      </c>
      <c r="D31" s="23">
        <f t="shared" si="1"/>
        <v>0.14628625536577222</v>
      </c>
      <c r="E31" s="23">
        <f t="shared" si="1"/>
        <v>0.21942938304865833</v>
      </c>
      <c r="F31" s="23">
        <f t="shared" si="2"/>
        <v>0.3291440745729875</v>
      </c>
      <c r="G31" s="23">
        <f t="shared" si="3"/>
        <v>0.40155577097904477</v>
      </c>
      <c r="H31" s="23">
        <f t="shared" si="4"/>
        <v>0.47383580975527279</v>
      </c>
      <c r="I31" s="23">
        <f t="shared" si="5"/>
        <v>0.5638646136087746</v>
      </c>
      <c r="J31" s="23">
        <f t="shared" si="6"/>
        <v>0.76121722837184569</v>
      </c>
      <c r="K31" s="23">
        <f t="shared" si="7"/>
        <v>0.5633007489951658</v>
      </c>
      <c r="L31" s="23">
        <f t="shared" si="8"/>
        <v>0.94634525831187843</v>
      </c>
      <c r="M31" s="4">
        <f>$M$8*'[2]Eurostat POM Portables GU'!M22</f>
        <v>1.2397122883885607</v>
      </c>
      <c r="N31" s="4">
        <f>$N$8*'[2]Eurostat POM Portables GU'!N22</f>
        <v>1.7411788042922083</v>
      </c>
      <c r="O31" s="4">
        <f>$O$8*'[2]Eurostat POM Portables GU'!O22</f>
        <v>1.4894027051032184</v>
      </c>
      <c r="P31" s="4">
        <f>$P$8*'[2]Eurostat POM Portables GU'!P22</f>
        <v>2.0458322418205661</v>
      </c>
      <c r="Q31" s="4">
        <f>$Q$8*'[2]Eurostat POM Portables GU'!Q22</f>
        <v>1.7115997841737156</v>
      </c>
      <c r="R31" s="4">
        <f>$R$8*'[2]Eurostat POM Portables GU'!R22</f>
        <v>1.8026508603170253</v>
      </c>
      <c r="S31" s="4">
        <f>$S$8*'[2]Eurostat POM Portables GU'!S22</f>
        <v>1.6800003441550835</v>
      </c>
      <c r="T31" s="4">
        <f>$T$8*'[2]Eurostat POM Portables GU'!T22</f>
        <v>1.9462363727186807</v>
      </c>
      <c r="U31" s="4">
        <f>$U$8*'[2]Eurostat POM Portables GU'!U22</f>
        <v>4.2453896139241465</v>
      </c>
      <c r="V31" s="4">
        <f>$V$8*'[2]Eurostat POM Portables GU'!V22</f>
        <v>3.6443716485306088</v>
      </c>
      <c r="W31" s="4">
        <f>$W$8*'[2]Eurostat POM Portables GU'!W22</f>
        <v>3.7284411628933349</v>
      </c>
      <c r="X31" s="48">
        <f>'[3]others portable_Li-Primary'!AC31</f>
        <v>3.9894320442958682</v>
      </c>
      <c r="Y31" s="48">
        <f>'[3]others portable_Li-Primary'!AD31</f>
        <v>4.2686922873965791</v>
      </c>
      <c r="Z31" s="48">
        <f>'[3]others portable_Li-Primary'!AE31</f>
        <v>4.5675007475143401</v>
      </c>
      <c r="AA31" s="48">
        <f>'[3]others portable_Li-Primary'!AF31</f>
        <v>4.8872257998403441</v>
      </c>
      <c r="AB31" s="48">
        <f>'[3]others portable_Li-Primary'!AG31</f>
        <v>5.2293316058291683</v>
      </c>
      <c r="AC31" s="48">
        <f>'[3]others portable_Li-Primary'!AH31</f>
        <v>5.5953848182372106</v>
      </c>
      <c r="AD31" s="48">
        <f>'[3]others portable_Li-Primary'!AI31</f>
        <v>5.9870617555138157</v>
      </c>
      <c r="AE31" s="48">
        <f>'[3]others portable_Li-Primary'!AJ31</f>
        <v>6.4061560783997828</v>
      </c>
      <c r="AF31" s="48">
        <f>'[3]others portable_Li-Primary'!AK31</f>
        <v>6.7264638823197718</v>
      </c>
      <c r="AG31" s="48">
        <f>'[3]others portable_Li-Primary'!AL31</f>
        <v>7.0627870764357601</v>
      </c>
      <c r="AH31" s="48">
        <f>'[3]others portable_Li-Primary'!AM31</f>
        <v>7.4159264302575485</v>
      </c>
      <c r="AI31" s="48">
        <f>'[3]others portable_Li-Primary'!AN31</f>
        <v>7.7867227517704256</v>
      </c>
      <c r="AJ31" s="48">
        <f>'[3]others portable_Li-Primary'!AO31</f>
        <v>8.1760588893589468</v>
      </c>
      <c r="AK31" s="48">
        <f>'[3]others portable_Li-Primary'!AP31</f>
        <v>8.5848618338268938</v>
      </c>
      <c r="AL31" s="48">
        <f>'[3]others portable_Li-Primary'!AQ31</f>
        <v>9.0141049255182377</v>
      </c>
      <c r="AM31" s="48">
        <f>'[3]others portable_Li-Primary'!AR31</f>
        <v>9.4648101717941504</v>
      </c>
      <c r="AN31" s="48">
        <f>'[3]others portable_Li-Primary'!AS31</f>
        <v>9.9380506803838582</v>
      </c>
      <c r="AO31" s="48">
        <f>'[3]others portable_Li-Primary'!AT31</f>
        <v>10.236192200795374</v>
      </c>
      <c r="AP31" s="48">
        <f>'[3]others portable_Li-Primary'!AU31</f>
        <v>10.543277966819236</v>
      </c>
      <c r="AQ31" s="48">
        <f>'[3]others portable_Li-Primary'!AV31</f>
        <v>10.859576305823813</v>
      </c>
      <c r="AR31" s="48">
        <f>'[3]others portable_Li-Primary'!AW31</f>
        <v>11.185363594998528</v>
      </c>
      <c r="AS31" s="48">
        <f>'[3]others portable_Li-Primary'!AX31</f>
        <v>11.520924502848484</v>
      </c>
      <c r="AT31" s="48">
        <f>'[3]others portable_Li-Primary'!AY31</f>
        <v>11.866552237933938</v>
      </c>
      <c r="AU31" s="48">
        <f>'[3]others portable_Li-Primary'!AZ31</f>
        <v>12.222548805071956</v>
      </c>
      <c r="AV31" s="48">
        <f>'[3]others portable_Li-Primary'!BA31</f>
        <v>12.344774293122676</v>
      </c>
      <c r="AW31" s="48">
        <f>'[3]others portable_Li-Primary'!BB31</f>
        <v>12.468222036053902</v>
      </c>
      <c r="AX31" s="48">
        <f>'[3]others portable_Li-Primary'!BC31</f>
        <v>12.592904256414441</v>
      </c>
      <c r="AY31" s="48">
        <f>'[3]others portable_Li-Primary'!BD31</f>
        <v>12.718833298978586</v>
      </c>
      <c r="AZ31" s="48">
        <f>'[3]others portable_Li-Primary'!BE31</f>
        <v>12.846021631968371</v>
      </c>
    </row>
    <row r="32" spans="1:52" x14ac:dyDescent="0.35">
      <c r="A32" s="61" t="s">
        <v>20</v>
      </c>
      <c r="B32" s="23">
        <f t="shared" si="0"/>
        <v>7.2567479179345344</v>
      </c>
      <c r="C32" s="23">
        <f t="shared" si="0"/>
        <v>9.7240422100322768</v>
      </c>
      <c r="D32" s="23">
        <f t="shared" si="1"/>
        <v>13.030216561443252</v>
      </c>
      <c r="E32" s="23">
        <f t="shared" si="1"/>
        <v>19.545324842164877</v>
      </c>
      <c r="F32" s="23">
        <f t="shared" si="2"/>
        <v>29.317987263247318</v>
      </c>
      <c r="G32" s="23">
        <f t="shared" si="3"/>
        <v>35.767944461161726</v>
      </c>
      <c r="H32" s="23">
        <f t="shared" si="4"/>
        <v>42.206174464170836</v>
      </c>
      <c r="I32" s="23">
        <f t="shared" si="5"/>
        <v>50.225347612363294</v>
      </c>
      <c r="J32" s="23">
        <f t="shared" si="6"/>
        <v>67.804219276690446</v>
      </c>
      <c r="K32" s="23">
        <f t="shared" si="7"/>
        <v>50.175122264750932</v>
      </c>
      <c r="L32" s="23">
        <f t="shared" si="8"/>
        <v>84.294205404781565</v>
      </c>
      <c r="M32" s="4">
        <f>$M$8*'[2]Eurostat POM Portables GU'!M23</f>
        <v>110.42540908026385</v>
      </c>
      <c r="N32" s="4">
        <f>$N$8*'[2]Eurostat POM Portables GU'!N23</f>
        <v>123.97153009557259</v>
      </c>
      <c r="O32" s="4">
        <f>$O$8*'[2]Eurostat POM Portables GU'!O23</f>
        <v>113.63851387891378</v>
      </c>
      <c r="P32" s="4">
        <f>$P$8*'[2]Eurostat POM Portables GU'!P23</f>
        <v>153.40254033407595</v>
      </c>
      <c r="Q32" s="4">
        <f>$Q$8*'[2]Eurostat POM Portables GU'!Q23</f>
        <v>192.23651161896942</v>
      </c>
      <c r="R32" s="4">
        <f>$R$8*'[2]Eurostat POM Portables GU'!R23</f>
        <v>209.91080309792414</v>
      </c>
      <c r="S32" s="4">
        <f>$S$8*'[2]Eurostat POM Portables GU'!S23</f>
        <v>219.31282025754322</v>
      </c>
      <c r="T32" s="4">
        <f>$T$8*'[2]Eurostat POM Portables GU'!T23</f>
        <v>231.61421677819826</v>
      </c>
      <c r="U32" s="4">
        <f>$U$8*'[2]Eurostat POM Portables GU'!U23</f>
        <v>216.72268658493894</v>
      </c>
      <c r="V32" s="4">
        <f>$V$8*'[2]Eurostat POM Portables GU'!V23</f>
        <v>277.33897451081992</v>
      </c>
      <c r="W32" s="4">
        <f>$W$8*'[2]Eurostat POM Portables GU'!W23</f>
        <v>269.88003076040718</v>
      </c>
      <c r="X32" s="48">
        <f>'[3]others portable_Li-Primary'!AC32</f>
        <v>288.7716329136357</v>
      </c>
      <c r="Y32" s="48">
        <f>'[3]others portable_Li-Primary'!AD32</f>
        <v>308.98564721759021</v>
      </c>
      <c r="Z32" s="48">
        <f>'[3]others portable_Li-Primary'!AE32</f>
        <v>330.61464252282155</v>
      </c>
      <c r="AA32" s="48">
        <f>'[3]others portable_Li-Primary'!AF32</f>
        <v>353.75766749941909</v>
      </c>
      <c r="AB32" s="48">
        <f>'[3]others portable_Li-Primary'!AG32</f>
        <v>378.52070422437845</v>
      </c>
      <c r="AC32" s="48">
        <f>'[3]others portable_Li-Primary'!AH32</f>
        <v>405.01715352008495</v>
      </c>
      <c r="AD32" s="48">
        <f>'[3]others portable_Li-Primary'!AI32</f>
        <v>433.36835426649088</v>
      </c>
      <c r="AE32" s="48">
        <f>'[3]others portable_Li-Primary'!AJ32</f>
        <v>463.70413906514523</v>
      </c>
      <c r="AF32" s="48">
        <f>'[3]others portable_Li-Primary'!AK32</f>
        <v>486.88934601840248</v>
      </c>
      <c r="AG32" s="48">
        <f>'[3]others portable_Li-Primary'!AL32</f>
        <v>511.23381331932262</v>
      </c>
      <c r="AH32" s="48">
        <f>'[3]others portable_Li-Primary'!AM32</f>
        <v>536.79550398528875</v>
      </c>
      <c r="AI32" s="48">
        <f>'[3]others portable_Li-Primary'!AN32</f>
        <v>563.63527918455316</v>
      </c>
      <c r="AJ32" s="48">
        <f>'[3]others portable_Li-Primary'!AO32</f>
        <v>591.81704314378078</v>
      </c>
      <c r="AK32" s="48">
        <f>'[3]others portable_Li-Primary'!AP32</f>
        <v>621.40789530096981</v>
      </c>
      <c r="AL32" s="48">
        <f>'[3]others portable_Li-Primary'!AQ32</f>
        <v>652.4782900660183</v>
      </c>
      <c r="AM32" s="48">
        <f>'[3]others portable_Li-Primary'!AR32</f>
        <v>685.10220456931927</v>
      </c>
      <c r="AN32" s="48">
        <f>'[3]others portable_Li-Primary'!AS32</f>
        <v>719.35731479778519</v>
      </c>
      <c r="AO32" s="48">
        <f>'[3]others portable_Li-Primary'!AT32</f>
        <v>740.9380342417187</v>
      </c>
      <c r="AP32" s="48">
        <f>'[3]others portable_Li-Primary'!AU32</f>
        <v>763.16617526897028</v>
      </c>
      <c r="AQ32" s="48">
        <f>'[3]others portable_Li-Primary'!AV32</f>
        <v>786.06116052703942</v>
      </c>
      <c r="AR32" s="48">
        <f>'[3]others portable_Li-Primary'!AW32</f>
        <v>809.64299534285055</v>
      </c>
      <c r="AS32" s="48">
        <f>'[3]others portable_Li-Primary'!AX32</f>
        <v>833.93228520313608</v>
      </c>
      <c r="AT32" s="48">
        <f>'[3]others portable_Li-Primary'!AY32</f>
        <v>858.95025375923012</v>
      </c>
      <c r="AU32" s="48">
        <f>'[3]others portable_Li-Primary'!AZ32</f>
        <v>884.71876137200707</v>
      </c>
      <c r="AV32" s="48">
        <f>'[3]others portable_Li-Primary'!BA32</f>
        <v>893.56594898572712</v>
      </c>
      <c r="AW32" s="48">
        <f>'[3]others portable_Li-Primary'!BB32</f>
        <v>902.50160847558436</v>
      </c>
      <c r="AX32" s="48">
        <f>'[3]others portable_Li-Primary'!BC32</f>
        <v>911.52662456034022</v>
      </c>
      <c r="AY32" s="48">
        <f>'[3]others portable_Li-Primary'!BD32</f>
        <v>920.6418908059436</v>
      </c>
      <c r="AZ32" s="48">
        <f>'[3]others portable_Li-Primary'!BE32</f>
        <v>929.84830971400299</v>
      </c>
    </row>
    <row r="33" spans="1:52" x14ac:dyDescent="0.35">
      <c r="A33" s="61" t="s">
        <v>21</v>
      </c>
      <c r="B33" s="23">
        <f t="shared" si="0"/>
        <v>2.5667631525904535</v>
      </c>
      <c r="C33" s="23">
        <f t="shared" si="0"/>
        <v>3.4394626244712079</v>
      </c>
      <c r="D33" s="23">
        <f t="shared" si="1"/>
        <v>4.6088799167914187</v>
      </c>
      <c r="E33" s="23">
        <f t="shared" si="1"/>
        <v>6.9133198751871276</v>
      </c>
      <c r="F33" s="23">
        <f t="shared" si="2"/>
        <v>10.369979812780691</v>
      </c>
      <c r="G33" s="23">
        <f t="shared" si="3"/>
        <v>12.651375371592444</v>
      </c>
      <c r="H33" s="23">
        <f t="shared" si="4"/>
        <v>14.928622938479084</v>
      </c>
      <c r="I33" s="23">
        <f t="shared" si="5"/>
        <v>17.765061296790108</v>
      </c>
      <c r="J33" s="23">
        <f t="shared" si="6"/>
        <v>23.982832750666649</v>
      </c>
      <c r="K33" s="23">
        <f t="shared" si="7"/>
        <v>17.747296235493319</v>
      </c>
      <c r="L33" s="23">
        <f t="shared" si="8"/>
        <v>29.815457675628778</v>
      </c>
      <c r="M33" s="4">
        <f>$M$8*'[2]Eurostat POM Portables GU'!M24</f>
        <v>39.058249555073701</v>
      </c>
      <c r="N33" s="4">
        <f>$N$8*'[2]Eurostat POM Portables GU'!N24</f>
        <v>44.852846152573811</v>
      </c>
      <c r="O33" s="4">
        <f>$O$8*'[2]Eurostat POM Portables GU'!O24</f>
        <v>48.926996033004123</v>
      </c>
      <c r="P33" s="4">
        <f>$P$8*'[2]Eurostat POM Portables GU'!P24</f>
        <v>61.877207610134541</v>
      </c>
      <c r="Q33" s="4">
        <f>$Q$8*'[2]Eurostat POM Portables GU'!Q24</f>
        <v>45.511415100153599</v>
      </c>
      <c r="R33" s="4">
        <f>$R$8*'[2]Eurostat POM Portables GU'!R24</f>
        <v>53.31447504651149</v>
      </c>
      <c r="S33" s="4">
        <f>$S$8*'[2]Eurostat POM Portables GU'!S24</f>
        <v>88.785921271867053</v>
      </c>
      <c r="T33" s="4">
        <f>$T$8*'[2]Eurostat POM Portables GU'!T24</f>
        <v>75.480123672394043</v>
      </c>
      <c r="U33" s="4">
        <f>$U$8*'[2]Eurostat POM Portables GU'!U24</f>
        <v>108.03972286717219</v>
      </c>
      <c r="V33" s="4">
        <f>$V$8*'[2]Eurostat POM Portables GU'!V24</f>
        <v>89.79772489670809</v>
      </c>
      <c r="W33" s="4">
        <f>$W$8*'[2]Eurostat POM Portables GU'!W24</f>
        <v>80.252422591545567</v>
      </c>
      <c r="X33" s="48">
        <f>'[3]others portable_Li-Primary'!AC33</f>
        <v>85.870092172953761</v>
      </c>
      <c r="Y33" s="48">
        <f>'[3]others portable_Li-Primary'!AD33</f>
        <v>91.880998625060528</v>
      </c>
      <c r="Z33" s="48">
        <f>'[3]others portable_Li-Primary'!AE33</f>
        <v>98.312668528814768</v>
      </c>
      <c r="AA33" s="48">
        <f>'[3]others portable_Li-Primary'!AF33</f>
        <v>105.1945553258318</v>
      </c>
      <c r="AB33" s="48">
        <f>'[3]others portable_Li-Primary'!AG33</f>
        <v>112.55817419864003</v>
      </c>
      <c r="AC33" s="48">
        <f>'[3]others portable_Li-Primary'!AH33</f>
        <v>120.43724639254484</v>
      </c>
      <c r="AD33" s="48">
        <f>'[3]others portable_Li-Primary'!AI33</f>
        <v>128.86785364002299</v>
      </c>
      <c r="AE33" s="48">
        <f>'[3]others portable_Li-Primary'!AJ33</f>
        <v>137.8886033948246</v>
      </c>
      <c r="AF33" s="48">
        <f>'[3]others portable_Li-Primary'!AK33</f>
        <v>144.78303356456584</v>
      </c>
      <c r="AG33" s="48">
        <f>'[3]others portable_Li-Primary'!AL33</f>
        <v>152.02218524279414</v>
      </c>
      <c r="AH33" s="48">
        <f>'[3]others portable_Li-Primary'!AM33</f>
        <v>159.62329450493385</v>
      </c>
      <c r="AI33" s="48">
        <f>'[3]others portable_Li-Primary'!AN33</f>
        <v>167.60445923018054</v>
      </c>
      <c r="AJ33" s="48">
        <f>'[3]others portable_Li-Primary'!AO33</f>
        <v>175.98468219168956</v>
      </c>
      <c r="AK33" s="48">
        <f>'[3]others portable_Li-Primary'!AP33</f>
        <v>184.78391630127405</v>
      </c>
      <c r="AL33" s="48">
        <f>'[3]others portable_Li-Primary'!AQ33</f>
        <v>194.02311211633776</v>
      </c>
      <c r="AM33" s="48">
        <f>'[3]others portable_Li-Primary'!AR33</f>
        <v>203.72426772215465</v>
      </c>
      <c r="AN33" s="48">
        <f>'[3]others portable_Li-Primary'!AS33</f>
        <v>213.91048110826239</v>
      </c>
      <c r="AO33" s="48">
        <f>'[3]others portable_Li-Primary'!AT33</f>
        <v>220.32779554151026</v>
      </c>
      <c r="AP33" s="48">
        <f>'[3]others portable_Li-Primary'!AU33</f>
        <v>226.93762940775557</v>
      </c>
      <c r="AQ33" s="48">
        <f>'[3]others portable_Li-Primary'!AV33</f>
        <v>233.74575828998823</v>
      </c>
      <c r="AR33" s="48">
        <f>'[3]others portable_Li-Primary'!AW33</f>
        <v>240.75813103868788</v>
      </c>
      <c r="AS33" s="48">
        <f>'[3]others portable_Li-Primary'!AX33</f>
        <v>247.98087496984851</v>
      </c>
      <c r="AT33" s="48">
        <f>'[3]others portable_Li-Primary'!AY33</f>
        <v>255.42030121894396</v>
      </c>
      <c r="AU33" s="48">
        <f>'[3]others portable_Li-Primary'!AZ33</f>
        <v>263.08291025551227</v>
      </c>
      <c r="AV33" s="48">
        <f>'[3]others portable_Li-Primary'!BA33</f>
        <v>265.71373935806741</v>
      </c>
      <c r="AW33" s="48">
        <f>'[3]others portable_Li-Primary'!BB33</f>
        <v>268.3708767516481</v>
      </c>
      <c r="AX33" s="48">
        <f>'[3]others portable_Li-Primary'!BC33</f>
        <v>271.05458551916456</v>
      </c>
      <c r="AY33" s="48">
        <f>'[3]others portable_Li-Primary'!BD33</f>
        <v>273.7651313743562</v>
      </c>
      <c r="AZ33" s="48">
        <f>'[3]others portable_Li-Primary'!BE33</f>
        <v>276.50278268809978</v>
      </c>
    </row>
    <row r="34" spans="1:52" x14ac:dyDescent="0.35">
      <c r="A34" s="61" t="s">
        <v>22</v>
      </c>
      <c r="B34" s="23">
        <f t="shared" si="0"/>
        <v>9.3291713621588652</v>
      </c>
      <c r="C34" s="23">
        <f t="shared" si="0"/>
        <v>12.501089625292879</v>
      </c>
      <c r="D34" s="23">
        <f t="shared" si="1"/>
        <v>16.751460097892458</v>
      </c>
      <c r="E34" s="23">
        <f t="shared" si="1"/>
        <v>25.127190146838686</v>
      </c>
      <c r="F34" s="23">
        <f t="shared" si="2"/>
        <v>37.690785220258029</v>
      </c>
      <c r="G34" s="23">
        <f t="shared" si="3"/>
        <v>45.982757968714793</v>
      </c>
      <c r="H34" s="23">
        <f t="shared" si="4"/>
        <v>54.259654403083452</v>
      </c>
      <c r="I34" s="23">
        <f t="shared" si="5"/>
        <v>64.568988739669308</v>
      </c>
      <c r="J34" s="23">
        <f t="shared" si="6"/>
        <v>87.168134798553567</v>
      </c>
      <c r="K34" s="23">
        <f t="shared" si="7"/>
        <v>64.504419750929642</v>
      </c>
      <c r="L34" s="23">
        <f t="shared" si="8"/>
        <v>108.36742518156179</v>
      </c>
      <c r="M34" s="4">
        <f>$M$8*'[2]Eurostat POM Portables GU'!M25</f>
        <v>141.96132698784595</v>
      </c>
      <c r="N34" s="4">
        <f>$N$8*'[2]Eurostat POM Portables GU'!N25</f>
        <v>176.9900656631161</v>
      </c>
      <c r="O34" s="4">
        <f>$O$8*'[2]Eurostat POM Portables GU'!O25</f>
        <v>188.5438533410053</v>
      </c>
      <c r="P34" s="4">
        <f>$P$8*'[2]Eurostat POM Portables GU'!P25</f>
        <v>235.15610931554659</v>
      </c>
      <c r="Q34" s="4">
        <f>$Q$8*'[2]Eurostat POM Portables GU'!Q25</f>
        <v>284.97325770599997</v>
      </c>
      <c r="R34" s="4">
        <f>$R$8*'[2]Eurostat POM Portables GU'!R25</f>
        <v>306.33110707217566</v>
      </c>
      <c r="S34" s="4">
        <f>$S$8*'[2]Eurostat POM Portables GU'!S25</f>
        <v>331.21416476690388</v>
      </c>
      <c r="T34" s="4">
        <f>$T$8*'[2]Eurostat POM Portables GU'!T25</f>
        <v>322.47081663753744</v>
      </c>
      <c r="U34" s="4">
        <f>$U$8*'[2]Eurostat POM Portables GU'!U25</f>
        <v>479.95663467440812</v>
      </c>
      <c r="V34" s="4">
        <f>$V$8*'[2]Eurostat POM Portables GU'!V25</f>
        <v>498.06412529918322</v>
      </c>
      <c r="W34" s="4">
        <f>$W$8*'[2]Eurostat POM Portables GU'!W25</f>
        <v>473.92124683947839</v>
      </c>
      <c r="X34" s="48">
        <f>'[3]others portable_Li-Primary'!AC34</f>
        <v>507.09573411824186</v>
      </c>
      <c r="Y34" s="48">
        <f>'[3]others portable_Li-Primary'!AD34</f>
        <v>542.59243550651877</v>
      </c>
      <c r="Z34" s="48">
        <f>'[3]others portable_Li-Primary'!AE34</f>
        <v>580.57390599197504</v>
      </c>
      <c r="AA34" s="48">
        <f>'[3]others portable_Li-Primary'!AF34</f>
        <v>621.21407941141331</v>
      </c>
      <c r="AB34" s="48">
        <f>'[3]others portable_Li-Primary'!AG34</f>
        <v>664.69906497021225</v>
      </c>
      <c r="AC34" s="48">
        <f>'[3]others portable_Li-Primary'!AH34</f>
        <v>711.22799951812715</v>
      </c>
      <c r="AD34" s="48">
        <f>'[3]others portable_Li-Primary'!AI34</f>
        <v>761.01395948439608</v>
      </c>
      <c r="AE34" s="48">
        <f>'[3]others portable_Li-Primary'!AJ34</f>
        <v>814.28493664830376</v>
      </c>
      <c r="AF34" s="48">
        <f>'[3]others portable_Li-Primary'!AK34</f>
        <v>854.9991834807189</v>
      </c>
      <c r="AG34" s="48">
        <f>'[3]others portable_Li-Primary'!AL34</f>
        <v>897.74914265475491</v>
      </c>
      <c r="AH34" s="48">
        <f>'[3]others portable_Li-Primary'!AM34</f>
        <v>942.63659978749263</v>
      </c>
      <c r="AI34" s="48">
        <f>'[3]others portable_Li-Primary'!AN34</f>
        <v>989.76842977686726</v>
      </c>
      <c r="AJ34" s="48">
        <f>'[3]others portable_Li-Primary'!AO34</f>
        <v>1039.2568512657106</v>
      </c>
      <c r="AK34" s="48">
        <f>'[3]others portable_Li-Primary'!AP34</f>
        <v>1091.219693828996</v>
      </c>
      <c r="AL34" s="48">
        <f>'[3]others portable_Li-Primary'!AQ34</f>
        <v>1145.7806785204459</v>
      </c>
      <c r="AM34" s="48">
        <f>'[3]others portable_Li-Primary'!AR34</f>
        <v>1203.0697124464682</v>
      </c>
      <c r="AN34" s="48">
        <f>'[3]others portable_Li-Primary'!AS34</f>
        <v>1263.2231980687916</v>
      </c>
      <c r="AO34" s="48">
        <f>'[3]others portable_Li-Primary'!AT34</f>
        <v>1301.1198940108554</v>
      </c>
      <c r="AP34" s="48">
        <f>'[3]others portable_Li-Primary'!AU34</f>
        <v>1340.153490831181</v>
      </c>
      <c r="AQ34" s="48">
        <f>'[3]others portable_Li-Primary'!AV34</f>
        <v>1380.3580955561165</v>
      </c>
      <c r="AR34" s="48">
        <f>'[3]others portable_Li-Primary'!AW34</f>
        <v>1421.7688384227999</v>
      </c>
      <c r="AS34" s="48">
        <f>'[3]others portable_Li-Primary'!AX34</f>
        <v>1464.4219035754838</v>
      </c>
      <c r="AT34" s="48">
        <f>'[3]others portable_Li-Primary'!AY34</f>
        <v>1508.3545606827483</v>
      </c>
      <c r="AU34" s="48">
        <f>'[3]others portable_Li-Primary'!AZ34</f>
        <v>1553.6051975032308</v>
      </c>
      <c r="AV34" s="48">
        <f>'[3]others portable_Li-Primary'!BA34</f>
        <v>1569.141249478263</v>
      </c>
      <c r="AW34" s="48">
        <f>'[3]others portable_Li-Primary'!BB34</f>
        <v>1584.8326619730456</v>
      </c>
      <c r="AX34" s="48">
        <f>'[3]others portable_Li-Primary'!BC34</f>
        <v>1600.680988592776</v>
      </c>
      <c r="AY34" s="48">
        <f>'[3]others portable_Li-Primary'!BD34</f>
        <v>1616.6877984787038</v>
      </c>
      <c r="AZ34" s="48">
        <f>'[3]others portable_Li-Primary'!BE34</f>
        <v>1632.8546764634909</v>
      </c>
    </row>
    <row r="35" spans="1:52" x14ac:dyDescent="0.35">
      <c r="A35" s="61" t="s">
        <v>23</v>
      </c>
      <c r="B35" s="23">
        <f t="shared" si="0"/>
        <v>1.5862763868443754</v>
      </c>
      <c r="C35" s="23">
        <f t="shared" si="0"/>
        <v>2.1256103583714632</v>
      </c>
      <c r="D35" s="23">
        <f t="shared" si="1"/>
        <v>2.8483178802177611</v>
      </c>
      <c r="E35" s="23">
        <f t="shared" si="1"/>
        <v>4.2724768203266414</v>
      </c>
      <c r="F35" s="23">
        <f t="shared" si="2"/>
        <v>6.4087152304899622</v>
      </c>
      <c r="G35" s="23">
        <f t="shared" si="3"/>
        <v>7.818632581197754</v>
      </c>
      <c r="H35" s="23">
        <f t="shared" si="4"/>
        <v>9.2259864458133496</v>
      </c>
      <c r="I35" s="23">
        <f t="shared" si="5"/>
        <v>10.978923870517885</v>
      </c>
      <c r="J35" s="23">
        <f t="shared" si="6"/>
        <v>14.821547225199145</v>
      </c>
      <c r="K35" s="23">
        <f t="shared" si="7"/>
        <v>10.967944946647368</v>
      </c>
      <c r="L35" s="23">
        <f t="shared" si="8"/>
        <v>18.426147510367578</v>
      </c>
      <c r="M35" s="4">
        <f>$M$8*'[2]Eurostat POM Portables GU'!M26</f>
        <v>24.138253238581527</v>
      </c>
      <c r="N35" s="4">
        <f>$N$8*'[2]Eurostat POM Portables GU'!N26</f>
        <v>28.895018390554409</v>
      </c>
      <c r="O35" s="4">
        <f>$O$8*'[2]Eurostat POM Portables GU'!O26</f>
        <v>28.903920017061534</v>
      </c>
      <c r="P35" s="4">
        <f>$P$8*'[2]Eurostat POM Portables GU'!P26</f>
        <v>36.27291456515762</v>
      </c>
      <c r="Q35" s="4">
        <f>$Q$8*'[2]Eurostat POM Portables GU'!Q26</f>
        <v>35.830106442716342</v>
      </c>
      <c r="R35" s="4">
        <f>$R$8*'[2]Eurostat POM Portables GU'!R26</f>
        <v>42.508133019146825</v>
      </c>
      <c r="S35" s="4">
        <f>$S$8*'[2]Eurostat POM Portables GU'!S26</f>
        <v>55.284592823076984</v>
      </c>
      <c r="T35" s="4">
        <f>$T$8*'[2]Eurostat POM Portables GU'!T26</f>
        <v>59.378342004932662</v>
      </c>
      <c r="U35" s="4">
        <f>$U$8*'[2]Eurostat POM Portables GU'!U26</f>
        <v>63.977724601444301</v>
      </c>
      <c r="V35" s="4">
        <f>$V$8*'[2]Eurostat POM Portables GU'!V26</f>
        <v>61.936490910038025</v>
      </c>
      <c r="W35" s="4">
        <f>$W$8*'[2]Eurostat POM Portables GU'!W26</f>
        <v>65.247720350633358</v>
      </c>
      <c r="X35" s="48">
        <f>'[3]others portable_Li-Primary'!AC35</f>
        <v>69.815060775177699</v>
      </c>
      <c r="Y35" s="48">
        <f>'[3]others portable_Li-Primary'!AD35</f>
        <v>74.702115029440137</v>
      </c>
      <c r="Z35" s="48">
        <f>'[3]others portable_Li-Primary'!AE35</f>
        <v>79.931263081500944</v>
      </c>
      <c r="AA35" s="48">
        <f>'[3]others portable_Li-Primary'!AF35</f>
        <v>85.526451497206011</v>
      </c>
      <c r="AB35" s="48">
        <f>'[3]others portable_Li-Primary'!AG35</f>
        <v>91.51330310201044</v>
      </c>
      <c r="AC35" s="48">
        <f>'[3]others portable_Li-Primary'!AH35</f>
        <v>97.919234319151172</v>
      </c>
      <c r="AD35" s="48">
        <f>'[3]others portable_Li-Primary'!AI35</f>
        <v>104.77358072149175</v>
      </c>
      <c r="AE35" s="48">
        <f>'[3]others portable_Li-Primary'!AJ35</f>
        <v>112.10773137199618</v>
      </c>
      <c r="AF35" s="48">
        <f>'[3]others portable_Li-Primary'!AK35</f>
        <v>117.71311794059599</v>
      </c>
      <c r="AG35" s="48">
        <f>'[3]others portable_Li-Primary'!AL35</f>
        <v>123.5987738376258</v>
      </c>
      <c r="AH35" s="48">
        <f>'[3]others portable_Li-Primary'!AM35</f>
        <v>129.77871252950709</v>
      </c>
      <c r="AI35" s="48">
        <f>'[3]others portable_Li-Primary'!AN35</f>
        <v>136.26764815598244</v>
      </c>
      <c r="AJ35" s="48">
        <f>'[3]others portable_Li-Primary'!AO35</f>
        <v>143.08103056378155</v>
      </c>
      <c r="AK35" s="48">
        <f>'[3]others portable_Li-Primary'!AP35</f>
        <v>150.23508209197064</v>
      </c>
      <c r="AL35" s="48">
        <f>'[3]others portable_Li-Primary'!AQ35</f>
        <v>157.74683619656918</v>
      </c>
      <c r="AM35" s="48">
        <f>'[3]others portable_Li-Primary'!AR35</f>
        <v>165.63417800639763</v>
      </c>
      <c r="AN35" s="48">
        <f>'[3]others portable_Li-Primary'!AS35</f>
        <v>173.9158869067175</v>
      </c>
      <c r="AO35" s="48">
        <f>'[3]others portable_Li-Primary'!AT35</f>
        <v>179.13336351391902</v>
      </c>
      <c r="AP35" s="48">
        <f>'[3]others portable_Li-Primary'!AU35</f>
        <v>184.5073644193366</v>
      </c>
      <c r="AQ35" s="48">
        <f>'[3]others portable_Li-Primary'!AV35</f>
        <v>190.0425853519167</v>
      </c>
      <c r="AR35" s="48">
        <f>'[3]others portable_Li-Primary'!AW35</f>
        <v>195.74386291247421</v>
      </c>
      <c r="AS35" s="48">
        <f>'[3]others portable_Li-Primary'!AX35</f>
        <v>201.61617879984843</v>
      </c>
      <c r="AT35" s="48">
        <f>'[3]others portable_Li-Primary'!AY35</f>
        <v>207.66466416384387</v>
      </c>
      <c r="AU35" s="48">
        <f>'[3]others portable_Li-Primary'!AZ35</f>
        <v>213.89460408875919</v>
      </c>
      <c r="AV35" s="48">
        <f>'[3]others portable_Li-Primary'!BA35</f>
        <v>216.03355012964678</v>
      </c>
      <c r="AW35" s="48">
        <f>'[3]others portable_Li-Primary'!BB35</f>
        <v>218.19388563094324</v>
      </c>
      <c r="AX35" s="48">
        <f>'[3]others portable_Li-Primary'!BC35</f>
        <v>220.37582448725269</v>
      </c>
      <c r="AY35" s="48">
        <f>'[3]others portable_Li-Primary'!BD35</f>
        <v>222.5795827321252</v>
      </c>
      <c r="AZ35" s="48">
        <f>'[3]others portable_Li-Primary'!BE35</f>
        <v>224.80537855944647</v>
      </c>
    </row>
    <row r="36" spans="1:52" x14ac:dyDescent="0.35">
      <c r="A36" s="61" t="s">
        <v>24</v>
      </c>
      <c r="B36" s="23">
        <f t="shared" si="0"/>
        <v>2.5160303013241432</v>
      </c>
      <c r="C36" s="23">
        <f t="shared" si="0"/>
        <v>3.3714806037743523</v>
      </c>
      <c r="D36" s="23">
        <f t="shared" si="1"/>
        <v>4.5177840090576327</v>
      </c>
      <c r="E36" s="23">
        <f t="shared" si="1"/>
        <v>6.7766760135864486</v>
      </c>
      <c r="F36" s="23">
        <f t="shared" si="2"/>
        <v>10.165014020379672</v>
      </c>
      <c r="G36" s="23">
        <f t="shared" si="3"/>
        <v>12.4013171048632</v>
      </c>
      <c r="H36" s="23">
        <f t="shared" si="4"/>
        <v>14.633554183738575</v>
      </c>
      <c r="I36" s="23">
        <f t="shared" si="5"/>
        <v>17.413929478648903</v>
      </c>
      <c r="J36" s="23">
        <f t="shared" si="6"/>
        <v>23.508804796176019</v>
      </c>
      <c r="K36" s="23">
        <f t="shared" si="7"/>
        <v>17.396515549170253</v>
      </c>
      <c r="L36" s="23">
        <f t="shared" si="8"/>
        <v>29.226146122606025</v>
      </c>
      <c r="M36" s="4">
        <f>$M$8*'[2]Eurostat POM Portables GU'!M27</f>
        <v>38.286251420613894</v>
      </c>
      <c r="N36" s="4">
        <f>$N$8*'[2]Eurostat POM Portables GU'!N27</f>
        <v>45.747231275407714</v>
      </c>
      <c r="O36" s="4">
        <f>$O$8*'[2]Eurostat POM Portables GU'!O27</f>
        <v>29.074988747631942</v>
      </c>
      <c r="P36" s="4">
        <f>$P$8*'[2]Eurostat POM Portables GU'!P27</f>
        <v>34.618710219603734</v>
      </c>
      <c r="Q36" s="4">
        <f>$Q$8*'[2]Eurostat POM Portables GU'!Q27</f>
        <v>61.284073463107596</v>
      </c>
      <c r="R36" s="4">
        <f>$R$8*'[2]Eurostat POM Portables GU'!R27</f>
        <v>55.944337044321472</v>
      </c>
      <c r="S36" s="4">
        <f>$S$8*'[2]Eurostat POM Portables GU'!S27</f>
        <v>89.42733109489248</v>
      </c>
      <c r="T36" s="4">
        <f>$T$8*'[2]Eurostat POM Portables GU'!T27</f>
        <v>67.743531880220416</v>
      </c>
      <c r="U36" s="4">
        <f>$U$8*'[2]Eurostat POM Portables GU'!U27</f>
        <v>105.78837989009119</v>
      </c>
      <c r="V36" s="4">
        <f>$V$8*'[2]Eurostat POM Portables GU'!V27</f>
        <v>126.41971253183748</v>
      </c>
      <c r="W36" s="4">
        <f>$W$8*'[2]Eurostat POM Portables GU'!W27</f>
        <v>156.27624727883406</v>
      </c>
      <c r="X36" s="48">
        <f>'[3]others portable_Li-Primary'!AC36</f>
        <v>167.21558458835244</v>
      </c>
      <c r="Y36" s="48">
        <f>'[3]others portable_Li-Primary'!AD36</f>
        <v>178.92067550953712</v>
      </c>
      <c r="Z36" s="48">
        <f>'[3]others portable_Li-Primary'!AE36</f>
        <v>191.44512279520472</v>
      </c>
      <c r="AA36" s="48">
        <f>'[3]others portable_Li-Primary'!AF36</f>
        <v>204.84628139086905</v>
      </c>
      <c r="AB36" s="48">
        <f>'[3]others portable_Li-Primary'!AG36</f>
        <v>219.18552108822988</v>
      </c>
      <c r="AC36" s="48">
        <f>'[3]others portable_Li-Primary'!AH36</f>
        <v>234.52850756440597</v>
      </c>
      <c r="AD36" s="48">
        <f>'[3]others portable_Li-Primary'!AI36</f>
        <v>250.9455030939144</v>
      </c>
      <c r="AE36" s="48">
        <f>'[3]others portable_Li-Primary'!AJ36</f>
        <v>268.51168831048841</v>
      </c>
      <c r="AF36" s="48">
        <f>'[3]others portable_Li-Primary'!AK36</f>
        <v>281.93727272601285</v>
      </c>
      <c r="AG36" s="48">
        <f>'[3]others portable_Li-Primary'!AL36</f>
        <v>296.03413636231352</v>
      </c>
      <c r="AH36" s="48">
        <f>'[3]others portable_Li-Primary'!AM36</f>
        <v>310.83584318042921</v>
      </c>
      <c r="AI36" s="48">
        <f>'[3]others portable_Li-Primary'!AN36</f>
        <v>326.37763533945065</v>
      </c>
      <c r="AJ36" s="48">
        <f>'[3]others portable_Li-Primary'!AO36</f>
        <v>342.69651710642319</v>
      </c>
      <c r="AK36" s="48">
        <f>'[3]others portable_Li-Primary'!AP36</f>
        <v>359.83134296174433</v>
      </c>
      <c r="AL36" s="48">
        <f>'[3]others portable_Li-Primary'!AQ36</f>
        <v>377.82291010983153</v>
      </c>
      <c r="AM36" s="48">
        <f>'[3]others portable_Li-Primary'!AR36</f>
        <v>396.7140556153231</v>
      </c>
      <c r="AN36" s="48">
        <f>'[3]others portable_Li-Primary'!AS36</f>
        <v>416.54975839608926</v>
      </c>
      <c r="AO36" s="48">
        <f>'[3]others portable_Li-Primary'!AT36</f>
        <v>429.04625114797193</v>
      </c>
      <c r="AP36" s="48">
        <f>'[3]others portable_Li-Primary'!AU36</f>
        <v>441.91763868241111</v>
      </c>
      <c r="AQ36" s="48">
        <f>'[3]others portable_Li-Primary'!AV36</f>
        <v>455.17516784288347</v>
      </c>
      <c r="AR36" s="48">
        <f>'[3]others portable_Li-Primary'!AW36</f>
        <v>468.83042287817</v>
      </c>
      <c r="AS36" s="48">
        <f>'[3]others portable_Li-Primary'!AX36</f>
        <v>482.89533556451511</v>
      </c>
      <c r="AT36" s="48">
        <f>'[3]others portable_Li-Primary'!AY36</f>
        <v>497.38219563145054</v>
      </c>
      <c r="AU36" s="48">
        <f>'[3]others portable_Li-Primary'!AZ36</f>
        <v>512.30366150039401</v>
      </c>
      <c r="AV36" s="48">
        <f>'[3]others portable_Li-Primary'!BA36</f>
        <v>517.42669811539793</v>
      </c>
      <c r="AW36" s="48">
        <f>'[3]others portable_Li-Primary'!BB36</f>
        <v>522.60096509655193</v>
      </c>
      <c r="AX36" s="48">
        <f>'[3]others portable_Li-Primary'!BC36</f>
        <v>527.8269747475174</v>
      </c>
      <c r="AY36" s="48">
        <f>'[3]others portable_Li-Primary'!BD36</f>
        <v>533.10524449499258</v>
      </c>
      <c r="AZ36" s="48">
        <f>'[3]others portable_Li-Primary'!BE36</f>
        <v>538.43629693994251</v>
      </c>
    </row>
    <row r="37" spans="1:52" x14ac:dyDescent="0.35">
      <c r="A37" s="61" t="s">
        <v>25</v>
      </c>
      <c r="B37" s="23">
        <f t="shared" si="0"/>
        <v>0.91444168182793417</v>
      </c>
      <c r="C37" s="23">
        <f t="shared" si="0"/>
        <v>1.2253518536494319</v>
      </c>
      <c r="D37" s="23">
        <f t="shared" si="1"/>
        <v>1.6419714838902388</v>
      </c>
      <c r="E37" s="23">
        <f t="shared" si="1"/>
        <v>2.4629572258353583</v>
      </c>
      <c r="F37" s="23">
        <f t="shared" si="2"/>
        <v>3.6944358387530372</v>
      </c>
      <c r="G37" s="23">
        <f t="shared" si="3"/>
        <v>4.5072117232787052</v>
      </c>
      <c r="H37" s="23">
        <f t="shared" si="4"/>
        <v>5.3185098334688723</v>
      </c>
      <c r="I37" s="23">
        <f t="shared" si="5"/>
        <v>6.3290267018279573</v>
      </c>
      <c r="J37" s="23">
        <f t="shared" si="6"/>
        <v>8.5441860474677434</v>
      </c>
      <c r="K37" s="23">
        <f t="shared" si="7"/>
        <v>6.3226976751261299</v>
      </c>
      <c r="L37" s="23">
        <f t="shared" si="8"/>
        <v>10.622132094211898</v>
      </c>
      <c r="M37" s="4">
        <f>$M$8*'[2]Eurostat POM Portables GU'!M28</f>
        <v>13.914993043417587</v>
      </c>
      <c r="N37" s="4">
        <f>$N$8*'[2]Eurostat POM Portables GU'!N28</f>
        <v>16.698751359856221</v>
      </c>
      <c r="O37" s="4">
        <f>$O$8*'[2]Eurostat POM Portables GU'!O28</f>
        <v>15.901692176309927</v>
      </c>
      <c r="P37" s="4">
        <f>$P$8*'[2]Eurostat POM Portables GU'!P28</f>
        <v>16.781205529594899</v>
      </c>
      <c r="Q37" s="4">
        <f>$Q$8*'[2]Eurostat POM Portables GU'!Q28</f>
        <v>21.74820294098943</v>
      </c>
      <c r="R37" s="4">
        <f>$R$8*'[2]Eurostat POM Portables GU'!R28</f>
        <v>29.550085720846727</v>
      </c>
      <c r="S37" s="4">
        <f>$S$8*'[2]Eurostat POM Portables GU'!S28</f>
        <v>36.017628523736008</v>
      </c>
      <c r="T37" s="4">
        <f>$T$8*'[2]Eurostat POM Portables GU'!T28</f>
        <v>37.08728690373237</v>
      </c>
      <c r="U37" s="4">
        <f>$U$8*'[2]Eurostat POM Portables GU'!U28</f>
        <v>43.245577186127086</v>
      </c>
      <c r="V37" s="4">
        <f>$V$8*'[2]Eurostat POM Portables GU'!V28</f>
        <v>51.698633448757064</v>
      </c>
      <c r="W37" s="4">
        <f>$W$8*'[2]Eurostat POM Portables GU'!W28</f>
        <v>51.607081949804083</v>
      </c>
      <c r="X37" s="48">
        <f>'[3]others portable_Li-Primary'!AC37</f>
        <v>55.219577686290371</v>
      </c>
      <c r="Y37" s="48">
        <f>'[3]others portable_Li-Primary'!AD37</f>
        <v>59.084948124330694</v>
      </c>
      <c r="Z37" s="48">
        <f>'[3]others portable_Li-Primary'!AE37</f>
        <v>63.220894493033839</v>
      </c>
      <c r="AA37" s="48">
        <f>'[3]others portable_Li-Primary'!AF37</f>
        <v>67.646357107546208</v>
      </c>
      <c r="AB37" s="48">
        <f>'[3]others portable_Li-Primary'!AG37</f>
        <v>72.38160210507445</v>
      </c>
      <c r="AC37" s="48">
        <f>'[3]others portable_Li-Primary'!AH37</f>
        <v>77.448314252429668</v>
      </c>
      <c r="AD37" s="48">
        <f>'[3]others portable_Li-Primary'!AI37</f>
        <v>82.86969625009975</v>
      </c>
      <c r="AE37" s="48">
        <f>'[3]others portable_Li-Primary'!AJ37</f>
        <v>88.670574987606727</v>
      </c>
      <c r="AF37" s="48">
        <f>'[3]others portable_Li-Primary'!AK37</f>
        <v>93.104103736987071</v>
      </c>
      <c r="AG37" s="48">
        <f>'[3]others portable_Li-Primary'!AL37</f>
        <v>97.759308923836429</v>
      </c>
      <c r="AH37" s="48">
        <f>'[3]others portable_Li-Primary'!AM37</f>
        <v>102.64727437002826</v>
      </c>
      <c r="AI37" s="48">
        <f>'[3]others portable_Li-Primary'!AN37</f>
        <v>107.77963808852967</v>
      </c>
      <c r="AJ37" s="48">
        <f>'[3]others portable_Li-Primary'!AO37</f>
        <v>113.16861999295615</v>
      </c>
      <c r="AK37" s="48">
        <f>'[3]others portable_Li-Primary'!AP37</f>
        <v>118.82705099260396</v>
      </c>
      <c r="AL37" s="48">
        <f>'[3]others portable_Li-Primary'!AQ37</f>
        <v>124.76840354223415</v>
      </c>
      <c r="AM37" s="48">
        <f>'[3]others portable_Li-Primary'!AR37</f>
        <v>131.00682371934587</v>
      </c>
      <c r="AN37" s="48">
        <f>'[3]others portable_Li-Primary'!AS37</f>
        <v>137.55716490531316</v>
      </c>
      <c r="AO37" s="48">
        <f>'[3]others portable_Li-Primary'!AT37</f>
        <v>141.68387985247256</v>
      </c>
      <c r="AP37" s="48">
        <f>'[3]others portable_Li-Primary'!AU37</f>
        <v>145.93439624804674</v>
      </c>
      <c r="AQ37" s="48">
        <f>'[3]others portable_Li-Primary'!AV37</f>
        <v>150.31242813548815</v>
      </c>
      <c r="AR37" s="48">
        <f>'[3]others portable_Li-Primary'!AW37</f>
        <v>154.82180097955279</v>
      </c>
      <c r="AS37" s="48">
        <f>'[3]others portable_Li-Primary'!AX37</f>
        <v>159.46645500893936</v>
      </c>
      <c r="AT37" s="48">
        <f>'[3]others portable_Li-Primary'!AY37</f>
        <v>164.25044865920754</v>
      </c>
      <c r="AU37" s="48">
        <f>'[3]others portable_Li-Primary'!AZ37</f>
        <v>169.17796211898377</v>
      </c>
      <c r="AV37" s="48">
        <f>'[3]others portable_Li-Primary'!BA37</f>
        <v>170.86974174017359</v>
      </c>
      <c r="AW37" s="48">
        <f>'[3]others portable_Li-Primary'!BB37</f>
        <v>172.57843915757533</v>
      </c>
      <c r="AX37" s="48">
        <f>'[3]others portable_Li-Primary'!BC37</f>
        <v>174.30422354915109</v>
      </c>
      <c r="AY37" s="48">
        <f>'[3]others portable_Li-Primary'!BD37</f>
        <v>176.0472657846426</v>
      </c>
      <c r="AZ37" s="48">
        <f>'[3]others portable_Li-Primary'!BE37</f>
        <v>177.80773844248904</v>
      </c>
    </row>
    <row r="38" spans="1:52" x14ac:dyDescent="0.35">
      <c r="A38" s="61" t="s">
        <v>26</v>
      </c>
      <c r="B38" s="23">
        <f t="shared" si="0"/>
        <v>0.62517951716807751</v>
      </c>
      <c r="C38" s="23">
        <f t="shared" si="0"/>
        <v>0.83774055300522388</v>
      </c>
      <c r="D38" s="23">
        <f t="shared" si="1"/>
        <v>1.1225723410270001</v>
      </c>
      <c r="E38" s="23">
        <f t="shared" si="1"/>
        <v>1.6838585115405003</v>
      </c>
      <c r="F38" s="23">
        <f t="shared" si="2"/>
        <v>2.5257877673107503</v>
      </c>
      <c r="G38" s="23">
        <f t="shared" si="3"/>
        <v>3.081461076119115</v>
      </c>
      <c r="H38" s="23">
        <f t="shared" si="4"/>
        <v>3.6361240698205557</v>
      </c>
      <c r="I38" s="23">
        <f t="shared" si="5"/>
        <v>4.3269876430864613</v>
      </c>
      <c r="J38" s="23">
        <f t="shared" si="6"/>
        <v>5.8414333181667235</v>
      </c>
      <c r="K38" s="23">
        <f t="shared" si="7"/>
        <v>4.3226606554433751</v>
      </c>
      <c r="L38" s="23">
        <f t="shared" si="8"/>
        <v>7.2620699011448693</v>
      </c>
      <c r="M38" s="4">
        <f>$M$8*'[2]Eurostat POM Portables GU'!M29</f>
        <v>9.5133115704997788</v>
      </c>
      <c r="N38" s="4">
        <f>$N$8*'[2]Eurostat POM Portables GU'!N29</f>
        <v>12.056498481816192</v>
      </c>
      <c r="O38" s="4">
        <f>$O$8*'[2]Eurostat POM Portables GU'!O29</f>
        <v>12.051808807308577</v>
      </c>
      <c r="P38" s="4">
        <f>$P$8*'[2]Eurostat POM Portables GU'!P29</f>
        <v>14.329794270521061</v>
      </c>
      <c r="Q38" s="4">
        <f>$Q$8*'[2]Eurostat POM Portables GU'!Q29</f>
        <v>15.355759904021291</v>
      </c>
      <c r="R38" s="4">
        <f>$R$8*'[2]Eurostat POM Portables GU'!R29</f>
        <v>20.847633291730052</v>
      </c>
      <c r="S38" s="4">
        <f>$S$8*'[2]Eurostat POM Portables GU'!S29</f>
        <v>19.488990776542085</v>
      </c>
      <c r="T38" s="4">
        <f>$T$8*'[2]Eurostat POM Portables GU'!T29</f>
        <v>19.897547015496574</v>
      </c>
      <c r="U38" s="4">
        <f>$U$8*'[2]Eurostat POM Portables GU'!U29</f>
        <v>20.608447251741339</v>
      </c>
      <c r="V38" s="4">
        <f>$V$8*'[2]Eurostat POM Portables GU'!V29</f>
        <v>21.035995679149426</v>
      </c>
      <c r="W38" s="4">
        <f>$W$8*'[2]Eurostat POM Portables GU'!W29</f>
        <v>20.097207243888462</v>
      </c>
      <c r="X38" s="48">
        <f>'[3]others portable_Li-Primary'!AC38</f>
        <v>21.504011750960654</v>
      </c>
      <c r="Y38" s="48">
        <f>'[3]others portable_Li-Primary'!AD38</f>
        <v>23.009292573527901</v>
      </c>
      <c r="Z38" s="48">
        <f>'[3]others portable_Li-Primary'!AE38</f>
        <v>24.619943053674856</v>
      </c>
      <c r="AA38" s="48">
        <f>'[3]others portable_Li-Primary'!AF38</f>
        <v>26.343339067432098</v>
      </c>
      <c r="AB38" s="48">
        <f>'[3]others portable_Li-Primary'!AG38</f>
        <v>28.187372802152346</v>
      </c>
      <c r="AC38" s="48">
        <f>'[3]others portable_Li-Primary'!AH38</f>
        <v>30.160488898303011</v>
      </c>
      <c r="AD38" s="48">
        <f>'[3]others portable_Li-Primary'!AI38</f>
        <v>32.271723121184223</v>
      </c>
      <c r="AE38" s="48">
        <f>'[3]others portable_Li-Primary'!AJ38</f>
        <v>34.530743739667116</v>
      </c>
      <c r="AF38" s="48">
        <f>'[3]others portable_Li-Primary'!AK38</f>
        <v>36.257280926650473</v>
      </c>
      <c r="AG38" s="48">
        <f>'[3]others portable_Li-Primary'!AL38</f>
        <v>38.070144972982995</v>
      </c>
      <c r="AH38" s="48">
        <f>'[3]others portable_Li-Primary'!AM38</f>
        <v>39.973652221632143</v>
      </c>
      <c r="AI38" s="48">
        <f>'[3]others portable_Li-Primary'!AN38</f>
        <v>41.972334832713749</v>
      </c>
      <c r="AJ38" s="48">
        <f>'[3]others portable_Li-Primary'!AO38</f>
        <v>44.070951574349436</v>
      </c>
      <c r="AK38" s="48">
        <f>'[3]others portable_Li-Primary'!AP38</f>
        <v>46.274499153066905</v>
      </c>
      <c r="AL38" s="48">
        <f>'[3]others portable_Li-Primary'!AQ38</f>
        <v>48.588224110720247</v>
      </c>
      <c r="AM38" s="48">
        <f>'[3]others portable_Li-Primary'!AR38</f>
        <v>51.017635316256261</v>
      </c>
      <c r="AN38" s="48">
        <f>'[3]others portable_Li-Primary'!AS38</f>
        <v>53.568517082069071</v>
      </c>
      <c r="AO38" s="48">
        <f>'[3]others portable_Li-Primary'!AT38</f>
        <v>55.175572594531147</v>
      </c>
      <c r="AP38" s="48">
        <f>'[3]others portable_Li-Primary'!AU38</f>
        <v>56.830839772367078</v>
      </c>
      <c r="AQ38" s="48">
        <f>'[3]others portable_Li-Primary'!AV38</f>
        <v>58.535764965538092</v>
      </c>
      <c r="AR38" s="48">
        <f>'[3]others portable_Li-Primary'!AW38</f>
        <v>60.291837914504235</v>
      </c>
      <c r="AS38" s="48">
        <f>'[3]others portable_Li-Primary'!AX38</f>
        <v>62.100593051939363</v>
      </c>
      <c r="AT38" s="48">
        <f>'[3]others portable_Li-Primary'!AY38</f>
        <v>63.963610843497541</v>
      </c>
      <c r="AU38" s="48">
        <f>'[3]others portable_Li-Primary'!AZ38</f>
        <v>65.882519168802474</v>
      </c>
      <c r="AV38" s="48">
        <f>'[3]others portable_Li-Primary'!BA38</f>
        <v>66.541344360490498</v>
      </c>
      <c r="AW38" s="48">
        <f>'[3]others portable_Li-Primary'!BB38</f>
        <v>67.206757804095403</v>
      </c>
      <c r="AX38" s="48">
        <f>'[3]others portable_Li-Primary'!BC38</f>
        <v>67.878825382136355</v>
      </c>
      <c r="AY38" s="48">
        <f>'[3]others portable_Li-Primary'!BD38</f>
        <v>68.557613635957722</v>
      </c>
      <c r="AZ38" s="48">
        <f>'[3]others portable_Li-Primary'!BE38</f>
        <v>69.243189772317294</v>
      </c>
    </row>
    <row r="39" spans="1:52" x14ac:dyDescent="0.35">
      <c r="A39" s="61" t="s">
        <v>27</v>
      </c>
      <c r="B39" s="23">
        <f t="shared" si="0"/>
        <v>8.7768103083887468</v>
      </c>
      <c r="C39" s="23">
        <f t="shared" si="0"/>
        <v>11.760925813240922</v>
      </c>
      <c r="D39" s="23">
        <f t="shared" si="1"/>
        <v>15.759640589742837</v>
      </c>
      <c r="E39" s="23">
        <f t="shared" si="1"/>
        <v>23.639460884614255</v>
      </c>
      <c r="F39" s="23">
        <f t="shared" si="2"/>
        <v>35.459191326921385</v>
      </c>
      <c r="G39" s="23">
        <f t="shared" si="3"/>
        <v>43.260213418844089</v>
      </c>
      <c r="H39" s="23">
        <f t="shared" si="4"/>
        <v>51.047051834236022</v>
      </c>
      <c r="I39" s="23">
        <f t="shared" si="5"/>
        <v>60.745991682740865</v>
      </c>
      <c r="J39" s="23">
        <f t="shared" si="6"/>
        <v>82.007088771700168</v>
      </c>
      <c r="K39" s="23">
        <f t="shared" si="7"/>
        <v>60.685245691058121</v>
      </c>
      <c r="L39" s="23">
        <f t="shared" si="8"/>
        <v>101.95121276097764</v>
      </c>
      <c r="M39" s="4">
        <f>M6*'[2]Eurostat POM Portables GU'!M30</f>
        <v>133.55608871688071</v>
      </c>
      <c r="N39" s="4">
        <f>N6*'[2]Eurostat POM Portables GU'!N30</f>
        <v>164.88509849881842</v>
      </c>
      <c r="O39" s="4">
        <f>O6*'[2]Eurostat POM Portables GU'!O30</f>
        <v>142.62753152070772</v>
      </c>
      <c r="P39" s="4">
        <f>P6*'[2]Eurostat POM Portables GU'!P30</f>
        <v>119.98043886076059</v>
      </c>
      <c r="Q39" s="4">
        <f>Q6*'[2]Eurostat POM Portables GU'!Q30</f>
        <v>159.11978188203409</v>
      </c>
      <c r="R39" s="4">
        <f>R6*'[2]Eurostat POM Portables GU'!R30</f>
        <v>159.26399028758212</v>
      </c>
      <c r="S39" s="4">
        <f>S6*'[2]Eurostat POM Portables GU'!S30</f>
        <v>173.28304258317257</v>
      </c>
      <c r="T39" s="4">
        <f>T6*'[2]Eurostat POM Portables GU'!T30</f>
        <v>175.8738623188803</v>
      </c>
      <c r="U39" s="4">
        <f>U6*'[2]Eurostat POM Portables GU'!U30</f>
        <v>174.45929883417048</v>
      </c>
      <c r="V39" s="4">
        <f>V6*'[2]Eurostat POM Portables GU'!V30</f>
        <v>230.55026167418285</v>
      </c>
      <c r="W39" s="4">
        <f>W6*'[2]Eurostat POM Portables GU'!W30</f>
        <v>296.86500427019098</v>
      </c>
      <c r="X39" s="48">
        <f>'[3]others portable_Li-Primary'!AC39</f>
        <v>317.64555456910438</v>
      </c>
      <c r="Y39" s="48">
        <f>'[3]others portable_Li-Primary'!AD39</f>
        <v>339.88074338894171</v>
      </c>
      <c r="Z39" s="48">
        <f>'[3]others portable_Li-Primary'!AE39</f>
        <v>363.67239542616761</v>
      </c>
      <c r="AA39" s="48">
        <f>'[3]others portable_Li-Primary'!AF39</f>
        <v>389.12946310599932</v>
      </c>
      <c r="AB39" s="48">
        <f>'[3]others portable_Li-Primary'!AG39</f>
        <v>416.36852552341929</v>
      </c>
      <c r="AC39" s="48">
        <f>'[3]others portable_Li-Primary'!AH39</f>
        <v>445.51432231005867</v>
      </c>
      <c r="AD39" s="48">
        <f>'[3]others portable_Li-Primary'!AI39</f>
        <v>476.7003248717628</v>
      </c>
      <c r="AE39" s="48">
        <f>'[3]others portable_Li-Primary'!AJ39</f>
        <v>510.0693476127862</v>
      </c>
      <c r="AF39" s="48">
        <f>'[3]others portable_Li-Primary'!AK39</f>
        <v>535.57281499342548</v>
      </c>
      <c r="AG39" s="48">
        <f>'[3]others portable_Li-Primary'!AL39</f>
        <v>562.35145574309672</v>
      </c>
      <c r="AH39" s="48">
        <f>'[3]others portable_Li-Primary'!AM39</f>
        <v>590.46902853025153</v>
      </c>
      <c r="AI39" s="48">
        <f>'[3]others portable_Li-Primary'!AN39</f>
        <v>619.9924799567641</v>
      </c>
      <c r="AJ39" s="48">
        <f>'[3]others portable_Li-Primary'!AO39</f>
        <v>650.99210395460227</v>
      </c>
      <c r="AK39" s="48">
        <f>'[3]others portable_Li-Primary'!AP39</f>
        <v>683.54170915233237</v>
      </c>
      <c r="AL39" s="48">
        <f>'[3]others portable_Li-Primary'!AQ39</f>
        <v>717.71879460994899</v>
      </c>
      <c r="AM39" s="48">
        <f>'[3]others portable_Li-Primary'!AR39</f>
        <v>753.60473434044638</v>
      </c>
      <c r="AN39" s="48">
        <f>'[3]others portable_Li-Primary'!AS39</f>
        <v>791.28497105746874</v>
      </c>
      <c r="AO39" s="48">
        <f>'[3]others portable_Li-Primary'!AT39</f>
        <v>815.02352018919282</v>
      </c>
      <c r="AP39" s="48">
        <f>'[3]others portable_Li-Primary'!AU39</f>
        <v>839.47422579486863</v>
      </c>
      <c r="AQ39" s="48">
        <f>'[3]others portable_Li-Primary'!AV39</f>
        <v>864.65845256871467</v>
      </c>
      <c r="AR39" s="48">
        <f>'[3]others portable_Li-Primary'!AW39</f>
        <v>890.59820614577609</v>
      </c>
      <c r="AS39" s="48">
        <f>'[3]others portable_Li-Primary'!AX39</f>
        <v>917.31615233014941</v>
      </c>
      <c r="AT39" s="48">
        <f>'[3]others portable_Li-Primary'!AY39</f>
        <v>944.83563690005394</v>
      </c>
      <c r="AU39" s="48">
        <f>'[3]others portable_Li-Primary'!AZ39</f>
        <v>973.18070600705551</v>
      </c>
      <c r="AV39" s="48">
        <f>'[3]others portable_Li-Primary'!BA39</f>
        <v>982.91251306712604</v>
      </c>
      <c r="AW39" s="48">
        <f>'[3]others portable_Li-Primary'!BB39</f>
        <v>992.74163819779733</v>
      </c>
      <c r="AX39" s="48">
        <f>'[3]others portable_Li-Primary'!BC39</f>
        <v>1002.6690545797753</v>
      </c>
      <c r="AY39" s="48">
        <f>'[3]others portable_Li-Primary'!BD39</f>
        <v>1012.6957451255731</v>
      </c>
      <c r="AZ39" s="48">
        <f>'[3]others portable_Li-Primary'!BE39</f>
        <v>1022.8227025768289</v>
      </c>
    </row>
    <row r="40" spans="1:52" x14ac:dyDescent="0.35">
      <c r="A40" s="61" t="s">
        <v>28</v>
      </c>
      <c r="B40" s="23">
        <f t="shared" si="0"/>
        <v>5.3261562447692326</v>
      </c>
      <c r="C40" s="23">
        <f t="shared" si="0"/>
        <v>7.1370493679907723</v>
      </c>
      <c r="D40" s="23">
        <f t="shared" si="1"/>
        <v>9.5636461531076353</v>
      </c>
      <c r="E40" s="23">
        <f t="shared" si="1"/>
        <v>14.345469229661454</v>
      </c>
      <c r="F40" s="23">
        <f t="shared" si="2"/>
        <v>21.518203844492181</v>
      </c>
      <c r="G40" s="23">
        <f t="shared" si="3"/>
        <v>26.252208690280458</v>
      </c>
      <c r="H40" s="23">
        <f t="shared" si="4"/>
        <v>30.97760625453094</v>
      </c>
      <c r="I40" s="23">
        <f t="shared" si="5"/>
        <v>36.863351442891819</v>
      </c>
      <c r="J40" s="23">
        <f t="shared" si="6"/>
        <v>49.765524447903957</v>
      </c>
      <c r="K40" s="23">
        <f t="shared" si="7"/>
        <v>36.82648809144893</v>
      </c>
      <c r="L40" s="23">
        <f t="shared" si="8"/>
        <v>61.868499993634195</v>
      </c>
      <c r="M40" s="4">
        <f>M7*'[2]Eurostat POM Portables GU'!M31</f>
        <v>81.047734991660803</v>
      </c>
      <c r="N40" s="4">
        <f>N7*'[2]Eurostat POM Portables GU'!N31</f>
        <v>94.194316670676969</v>
      </c>
      <c r="O40" s="4">
        <f>O7*'[2]Eurostat POM Portables GU'!O31</f>
        <v>93.756377071523332</v>
      </c>
      <c r="P40" s="4">
        <f>P7*'[2]Eurostat POM Portables GU'!P31</f>
        <v>120.41013221805292</v>
      </c>
      <c r="Q40" s="4">
        <f>Q7*'[2]Eurostat POM Portables GU'!Q31</f>
        <v>134.60956408172149</v>
      </c>
      <c r="R40" s="4">
        <f>R7*'[2]Eurostat POM Portables GU'!R31</f>
        <v>143.77694620390622</v>
      </c>
      <c r="S40" s="4">
        <f>S7*'[2]Eurostat POM Portables GU'!S31</f>
        <v>170.3189776218311</v>
      </c>
      <c r="T40" s="4">
        <f>T7*'[2]Eurostat POM Portables GU'!T31</f>
        <v>165.21250003693297</v>
      </c>
      <c r="U40" s="4">
        <f>U7*'[2]Eurostat POM Portables GU'!U31</f>
        <v>182.72988163428755</v>
      </c>
      <c r="V40" s="4">
        <f>V7*'[2]Eurostat POM Portables GU'!V31</f>
        <v>192.48190719492902</v>
      </c>
      <c r="W40" s="4">
        <f>$W$8*'[2]Eurostat POM Portables GU'!W31</f>
        <v>201.76777634559969</v>
      </c>
      <c r="X40" s="48">
        <f>'[3]others portable_Li-Primary'!AC40</f>
        <v>215.89152068979166</v>
      </c>
      <c r="Y40" s="48">
        <f>'[3]others portable_Li-Primary'!AD40</f>
        <v>231.00392713807707</v>
      </c>
      <c r="Z40" s="48">
        <f>'[3]others portable_Li-Primary'!AE40</f>
        <v>247.17420203774248</v>
      </c>
      <c r="AA40" s="48">
        <f>'[3]others portable_Li-Primary'!AF40</f>
        <v>264.47639618038443</v>
      </c>
      <c r="AB40" s="48">
        <f>'[3]others portable_Li-Primary'!AG40</f>
        <v>282.98974391301135</v>
      </c>
      <c r="AC40" s="48">
        <f>'[3]others portable_Li-Primary'!AH40</f>
        <v>302.79902598692217</v>
      </c>
      <c r="AD40" s="48">
        <f>'[3]others portable_Li-Primary'!AI40</f>
        <v>323.99495780600671</v>
      </c>
      <c r="AE40" s="48">
        <f>'[3]others portable_Li-Primary'!AJ40</f>
        <v>346.67460485242719</v>
      </c>
      <c r="AF40" s="48">
        <f>'[3]others portable_Li-Primary'!AK40</f>
        <v>364.00833509504855</v>
      </c>
      <c r="AG40" s="48">
        <f>'[3]others portable_Li-Primary'!AL40</f>
        <v>382.20875184980099</v>
      </c>
      <c r="AH40" s="48">
        <f>'[3]others portable_Li-Primary'!AM40</f>
        <v>401.31918944229102</v>
      </c>
      <c r="AI40" s="48">
        <f>'[3]others portable_Li-Primary'!AN40</f>
        <v>421.38514891440559</v>
      </c>
      <c r="AJ40" s="48">
        <f>'[3]others portable_Li-Primary'!AO40</f>
        <v>442.45440636012586</v>
      </c>
      <c r="AK40" s="48">
        <f>'[3]others portable_Li-Primary'!AP40</f>
        <v>464.57712667813217</v>
      </c>
      <c r="AL40" s="48">
        <f>'[3]others portable_Li-Primary'!AQ40</f>
        <v>487.80598301203878</v>
      </c>
      <c r="AM40" s="48">
        <f>'[3]others portable_Li-Primary'!AR40</f>
        <v>512.19628216264073</v>
      </c>
      <c r="AN40" s="48">
        <f>'[3]others portable_Li-Primary'!AS40</f>
        <v>537.80609627077274</v>
      </c>
      <c r="AO40" s="48">
        <f>'[3]others portable_Li-Primary'!AT40</f>
        <v>553.94027915889592</v>
      </c>
      <c r="AP40" s="48">
        <f>'[3]others portable_Li-Primary'!AU40</f>
        <v>570.55848753366274</v>
      </c>
      <c r="AQ40" s="48">
        <f>'[3]others portable_Li-Primary'!AV40</f>
        <v>587.67524215967262</v>
      </c>
      <c r="AR40" s="48">
        <f>'[3]others portable_Li-Primary'!AW40</f>
        <v>605.30549942446282</v>
      </c>
      <c r="AS40" s="48">
        <f>'[3]others portable_Li-Primary'!AX40</f>
        <v>623.46466440719666</v>
      </c>
      <c r="AT40" s="48">
        <f>'[3]others portable_Li-Primary'!AY40</f>
        <v>642.16860433941258</v>
      </c>
      <c r="AU40" s="48">
        <f>'[3]others portable_Li-Primary'!AZ40</f>
        <v>661.43366246959499</v>
      </c>
      <c r="AV40" s="48">
        <f>'[3]others portable_Li-Primary'!BA40</f>
        <v>668.04799909429096</v>
      </c>
      <c r="AW40" s="48">
        <f>'[3]others portable_Li-Primary'!BB40</f>
        <v>674.72847908523386</v>
      </c>
      <c r="AX40" s="48">
        <f>'[3]others portable_Li-Primary'!BC40</f>
        <v>681.47576387608615</v>
      </c>
      <c r="AY40" s="48">
        <f>'[3]others portable_Li-Primary'!BD40</f>
        <v>688.290521514847</v>
      </c>
      <c r="AZ40" s="48">
        <f>'[3]others portable_Li-Primary'!BE40</f>
        <v>695.17342672999553</v>
      </c>
    </row>
    <row r="41" spans="1:52" x14ac:dyDescent="0.35">
      <c r="A41" s="61" t="s">
        <v>29</v>
      </c>
      <c r="B41" s="23">
        <f t="shared" si="0"/>
        <v>3.2985217808793341</v>
      </c>
      <c r="C41" s="23">
        <f t="shared" si="0"/>
        <v>4.4200191863783083</v>
      </c>
      <c r="D41" s="23">
        <f t="shared" si="1"/>
        <v>5.9228257097469337</v>
      </c>
      <c r="E41" s="23">
        <f t="shared" si="1"/>
        <v>8.8842385646204001</v>
      </c>
      <c r="F41" s="23">
        <f t="shared" si="2"/>
        <v>13.3263578469306</v>
      </c>
      <c r="G41" s="23">
        <f t="shared" si="3"/>
        <v>16.258156573255331</v>
      </c>
      <c r="H41" s="23">
        <f t="shared" si="4"/>
        <v>19.184624756441291</v>
      </c>
      <c r="I41" s="23">
        <f t="shared" si="5"/>
        <v>22.829703460165135</v>
      </c>
      <c r="J41" s="23">
        <f t="shared" si="6"/>
        <v>30.820099671222934</v>
      </c>
      <c r="K41" s="23">
        <f t="shared" si="7"/>
        <v>22.80687375670497</v>
      </c>
      <c r="L41" s="23">
        <f t="shared" si="8"/>
        <v>38.315547911264346</v>
      </c>
      <c r="M41" s="4">
        <f>$M$8*'[2]Eurostat POM Portables GU'!M32</f>
        <v>50.193367763756292</v>
      </c>
      <c r="N41" s="4">
        <f>$N$8*'[2]Eurostat POM Portables GU'!N32</f>
        <v>58.896496046212896</v>
      </c>
      <c r="O41" s="4">
        <f>$O$8*'[2]Eurostat POM Portables GU'!O32</f>
        <v>60.242305413199404</v>
      </c>
      <c r="P41" s="4">
        <f>$P$8*'[2]Eurostat POM Portables GU'!P32</f>
        <v>76.292701623859003</v>
      </c>
      <c r="Q41" s="4">
        <f>$Q$8*'[2]Eurostat POM Portables GU'!Q32</f>
        <v>93.570543004895953</v>
      </c>
      <c r="R41" s="4">
        <f>$R$8*'[2]Eurostat POM Portables GU'!R32</f>
        <v>98.619824917874396</v>
      </c>
      <c r="S41" s="4">
        <f>$S$8*'[2]Eurostat POM Portables GU'!S32</f>
        <v>103.11896385562775</v>
      </c>
      <c r="T41" s="4">
        <f>$T$8*'[2]Eurostat POM Portables GU'!T32</f>
        <v>109.73871920211293</v>
      </c>
      <c r="U41" s="4">
        <f>$U$8*'[2]Eurostat POM Portables GU'!U32</f>
        <v>120.85505981363319</v>
      </c>
      <c r="V41" s="4">
        <f>$V$8*'[2]Eurostat POM Portables GU'!V32</f>
        <v>146.74262361169372</v>
      </c>
      <c r="W41" s="4">
        <f>$W$8*'[2]Eurostat POM Portables GU'!W32</f>
        <v>150.38803836914275</v>
      </c>
      <c r="X41" s="48">
        <f>'[3]others portable_Li-Primary'!AC41</f>
        <v>160.91520105498273</v>
      </c>
      <c r="Y41" s="48">
        <f>'[3]others portable_Li-Primary'!AD41</f>
        <v>172.17926512883153</v>
      </c>
      <c r="Z41" s="48">
        <f>'[3]others portable_Li-Primary'!AE41</f>
        <v>184.23181368784975</v>
      </c>
      <c r="AA41" s="48">
        <f>'[3]others portable_Li-Primary'!AF41</f>
        <v>197.12804064599925</v>
      </c>
      <c r="AB41" s="48">
        <f>'[3]others portable_Li-Primary'!AG41</f>
        <v>210.92700349121921</v>
      </c>
      <c r="AC41" s="48">
        <f>'[3]others portable_Li-Primary'!AH41</f>
        <v>225.69189373560457</v>
      </c>
      <c r="AD41" s="48">
        <f>'[3]others portable_Li-Primary'!AI41</f>
        <v>241.49032629709689</v>
      </c>
      <c r="AE41" s="48">
        <f>'[3]others portable_Li-Primary'!AJ41</f>
        <v>258.39464913789368</v>
      </c>
      <c r="AF41" s="48">
        <f>'[3]others portable_Li-Primary'!AK41</f>
        <v>271.31438159478836</v>
      </c>
      <c r="AG41" s="48">
        <f>'[3]others portable_Li-Primary'!AL41</f>
        <v>284.8801006745278</v>
      </c>
      <c r="AH41" s="48">
        <f>'[3]others portable_Li-Primary'!AM41</f>
        <v>299.12410570825421</v>
      </c>
      <c r="AI41" s="48">
        <f>'[3]others portable_Li-Primary'!AN41</f>
        <v>314.0803109936669</v>
      </c>
      <c r="AJ41" s="48">
        <f>'[3]others portable_Li-Primary'!AO41</f>
        <v>329.78432654335023</v>
      </c>
      <c r="AK41" s="48">
        <f>'[3]others portable_Li-Primary'!AP41</f>
        <v>346.27354287051776</v>
      </c>
      <c r="AL41" s="48">
        <f>'[3]others portable_Li-Primary'!AQ41</f>
        <v>363.58722001404362</v>
      </c>
      <c r="AM41" s="48">
        <f>'[3]others portable_Li-Primary'!AR41</f>
        <v>381.76658101474578</v>
      </c>
      <c r="AN41" s="48">
        <f>'[3]others portable_Li-Primary'!AS41</f>
        <v>400.85491006548307</v>
      </c>
      <c r="AO41" s="48">
        <f>'[3]others portable_Li-Primary'!AT41</f>
        <v>412.88055736744758</v>
      </c>
      <c r="AP41" s="48">
        <f>'[3]others portable_Li-Primary'!AU41</f>
        <v>425.26697408847099</v>
      </c>
      <c r="AQ41" s="48">
        <f>'[3]others portable_Li-Primary'!AV41</f>
        <v>438.02498331112514</v>
      </c>
      <c r="AR41" s="48">
        <f>'[3]others portable_Li-Primary'!AW41</f>
        <v>451.16573281045891</v>
      </c>
      <c r="AS41" s="48">
        <f>'[3]others portable_Li-Primary'!AX41</f>
        <v>464.70070479477266</v>
      </c>
      <c r="AT41" s="48">
        <f>'[3]others portable_Li-Primary'!AY41</f>
        <v>478.64172593861582</v>
      </c>
      <c r="AU41" s="48">
        <f>'[3]others portable_Li-Primary'!AZ41</f>
        <v>493.00097771677429</v>
      </c>
      <c r="AV41" s="48">
        <f>'[3]others portable_Li-Primary'!BA41</f>
        <v>497.93098749394204</v>
      </c>
      <c r="AW41" s="48">
        <f>'[3]others portable_Li-Primary'!BB41</f>
        <v>502.91029736888146</v>
      </c>
      <c r="AX41" s="48">
        <f>'[3]others portable_Li-Primary'!BC41</f>
        <v>507.93940034257025</v>
      </c>
      <c r="AY41" s="48">
        <f>'[3]others portable_Li-Primary'!BD41</f>
        <v>513.01879434599596</v>
      </c>
      <c r="AZ41" s="48">
        <f>'[3]others portable_Li-Primary'!BE41</f>
        <v>518.14898228945594</v>
      </c>
    </row>
    <row r="42" spans="1:52" x14ac:dyDescent="0.35">
      <c r="A42" s="61" t="s">
        <v>30</v>
      </c>
      <c r="B42" s="23">
        <f t="shared" si="0"/>
        <v>34.694260790734383</v>
      </c>
      <c r="C42" s="23">
        <f t="shared" si="0"/>
        <v>46.490309459584076</v>
      </c>
      <c r="D42" s="23">
        <f t="shared" si="1"/>
        <v>62.297014675842661</v>
      </c>
      <c r="E42" s="23">
        <f t="shared" si="1"/>
        <v>93.445522013763991</v>
      </c>
      <c r="F42" s="23">
        <f t="shared" si="2"/>
        <v>140.16828302064599</v>
      </c>
      <c r="G42" s="23">
        <f t="shared" si="3"/>
        <v>171.00530528518809</v>
      </c>
      <c r="H42" s="23">
        <f t="shared" si="4"/>
        <v>201.78626023652194</v>
      </c>
      <c r="I42" s="23">
        <f t="shared" si="5"/>
        <v>240.12564968146111</v>
      </c>
      <c r="J42" s="23">
        <f t="shared" si="6"/>
        <v>324.16962706997253</v>
      </c>
      <c r="K42" s="23">
        <f t="shared" si="7"/>
        <v>239.88552403177968</v>
      </c>
      <c r="L42" s="23">
        <f t="shared" si="8"/>
        <v>403.00768037338986</v>
      </c>
      <c r="M42" s="4">
        <f>$M$8*'[2]Eurostat POM Portables GU'!M33</f>
        <v>527.94006128914077</v>
      </c>
      <c r="N42" s="4">
        <f>$N$8*'[2]Eurostat POM Portables GU'!N33</f>
        <v>590.75276218021781</v>
      </c>
      <c r="O42" s="4">
        <f>$O$8*'[2]Eurostat POM Portables GU'!O33</f>
        <v>623.96214726415599</v>
      </c>
      <c r="P42" s="4">
        <f>$P$8*'[2]Eurostat POM Portables GU'!P33</f>
        <v>750.52999033937954</v>
      </c>
      <c r="Q42" s="4">
        <f>$Q$8*'[2]Eurostat POM Portables GU'!Q33</f>
        <v>878.96409064361217</v>
      </c>
      <c r="R42" s="4">
        <f>$R$8*'[2]Eurostat POM Portables GU'!R33</f>
        <v>930.45736782170763</v>
      </c>
      <c r="S42" s="4">
        <f>$S$8*'[2]Eurostat POM Portables GU'!S33</f>
        <v>962.44841566377829</v>
      </c>
      <c r="T42" s="4">
        <f>$T$8*'[2]Eurostat POM Portables GU'!T33</f>
        <v>922.7272254477316</v>
      </c>
      <c r="U42" s="4">
        <f>$U$8*'[2]Eurostat POM Portables GU'!U33</f>
        <v>933.90721493950684</v>
      </c>
      <c r="V42" s="4">
        <f>$V$8*'[2]Eurostat POM Portables GU'!V33</f>
        <v>1028.0589055893602</v>
      </c>
      <c r="W42" s="4">
        <f>$W$8*'[2]Eurostat POM Portables GU'!W33</f>
        <v>988.34677800240581</v>
      </c>
      <c r="X42" s="48">
        <f>'[3]others portable_Li-Primary'!AC42</f>
        <v>1057.5310524625743</v>
      </c>
      <c r="Y42" s="48">
        <f>'[3]others portable_Li-Primary'!AD42</f>
        <v>1131.5582261349546</v>
      </c>
      <c r="Z42" s="48">
        <f>'[3]others portable_Li-Primary'!AE42</f>
        <v>1210.7673019644014</v>
      </c>
      <c r="AA42" s="48">
        <f>'[3]others portable_Li-Primary'!AF42</f>
        <v>1295.5210131019096</v>
      </c>
      <c r="AB42" s="48">
        <f>'[3]others portable_Li-Primary'!AG42</f>
        <v>1386.2074840190432</v>
      </c>
      <c r="AC42" s="48">
        <f>'[3]others portable_Li-Primary'!AH42</f>
        <v>1483.2420079003764</v>
      </c>
      <c r="AD42" s="48">
        <f>'[3]others portable_Li-Primary'!AI42</f>
        <v>1587.0689484534028</v>
      </c>
      <c r="AE42" s="48">
        <f>'[3]others portable_Li-Primary'!AJ42</f>
        <v>1698.163774845141</v>
      </c>
      <c r="AF42" s="48">
        <f>'[3]others portable_Li-Primary'!AK42</f>
        <v>1783.0719635873982</v>
      </c>
      <c r="AG42" s="48">
        <f>'[3]others portable_Li-Primary'!AL42</f>
        <v>1872.2255617667681</v>
      </c>
      <c r="AH42" s="48">
        <f>'[3]others portable_Li-Primary'!AM42</f>
        <v>1965.8368398551065</v>
      </c>
      <c r="AI42" s="48">
        <f>'[3]others portable_Li-Primary'!AN42</f>
        <v>2064.128681847862</v>
      </c>
      <c r="AJ42" s="48">
        <f>'[3]others portable_Li-Primary'!AO42</f>
        <v>2167.335115940255</v>
      </c>
      <c r="AK42" s="48">
        <f>'[3]others portable_Li-Primary'!AP42</f>
        <v>2275.701871737268</v>
      </c>
      <c r="AL42" s="48">
        <f>'[3]others portable_Li-Primary'!AQ42</f>
        <v>2389.4869653241312</v>
      </c>
      <c r="AM42" s="48">
        <f>'[3]others portable_Li-Primary'!AR42</f>
        <v>2508.9613135903378</v>
      </c>
      <c r="AN42" s="48">
        <f>'[3]others portable_Li-Primary'!AS42</f>
        <v>2634.4093792698545</v>
      </c>
      <c r="AO42" s="48">
        <f>'[3]others portable_Li-Primary'!AT42</f>
        <v>2713.4416606479504</v>
      </c>
      <c r="AP42" s="48">
        <f>'[3]others portable_Li-Primary'!AU42</f>
        <v>2794.8449104673887</v>
      </c>
      <c r="AQ42" s="48">
        <f>'[3]others portable_Li-Primary'!AV42</f>
        <v>2878.6902577814103</v>
      </c>
      <c r="AR42" s="48">
        <f>'[3]others portable_Li-Primary'!AW42</f>
        <v>2965.0509655148526</v>
      </c>
      <c r="AS42" s="48">
        <f>'[3]others portable_Li-Primary'!AX42</f>
        <v>3054.0024944802981</v>
      </c>
      <c r="AT42" s="48">
        <f>'[3]others portable_Li-Primary'!AY42</f>
        <v>3145.6225693147071</v>
      </c>
      <c r="AU42" s="48">
        <f>'[3]others portable_Li-Primary'!AZ42</f>
        <v>3239.9912463941482</v>
      </c>
      <c r="AV42" s="48">
        <f>'[3]others portable_Li-Primary'!BA42</f>
        <v>3272.3911588580895</v>
      </c>
      <c r="AW42" s="48">
        <f>'[3]others portable_Li-Primary'!BB42</f>
        <v>3305.1150704466704</v>
      </c>
      <c r="AX42" s="48">
        <f>'[3]others portable_Li-Primary'!BC42</f>
        <v>3338.1662211511371</v>
      </c>
      <c r="AY42" s="48">
        <f>'[3]others portable_Li-Primary'!BD42</f>
        <v>3371.5478833626485</v>
      </c>
      <c r="AZ42" s="48">
        <f>'[3]others portable_Li-Primary'!BE42</f>
        <v>3405.263362196275</v>
      </c>
    </row>
    <row r="43" spans="1:52" x14ac:dyDescent="0.35">
      <c r="A43" s="61" t="s">
        <v>31</v>
      </c>
      <c r="B43" s="4">
        <f t="shared" ref="B43:L43" si="9">SUM(B12:B42)</f>
        <v>205.20051509873284</v>
      </c>
      <c r="C43" s="4">
        <f t="shared" si="9"/>
        <v>274.96869023230209</v>
      </c>
      <c r="D43" s="4">
        <f t="shared" si="9"/>
        <v>368.45804491128473</v>
      </c>
      <c r="E43" s="4">
        <f t="shared" si="9"/>
        <v>552.68706736692707</v>
      </c>
      <c r="F43" s="4">
        <f t="shared" si="9"/>
        <v>829.03060105039071</v>
      </c>
      <c r="G43" s="4">
        <f t="shared" si="9"/>
        <v>1011.4173332814767</v>
      </c>
      <c r="H43" s="4">
        <f t="shared" si="9"/>
        <v>1193.4724532721425</v>
      </c>
      <c r="I43" s="4">
        <f t="shared" si="9"/>
        <v>1420.2322193938496</v>
      </c>
      <c r="J43" s="4">
        <f t="shared" si="9"/>
        <v>1917.3134961816968</v>
      </c>
      <c r="K43" s="4">
        <f t="shared" si="9"/>
        <v>1418.8119871744557</v>
      </c>
      <c r="L43" s="4">
        <f t="shared" si="9"/>
        <v>2383.6041384530854</v>
      </c>
      <c r="M43" s="4">
        <f>SUM(M12:M42)</f>
        <v>3122.5214213735426</v>
      </c>
      <c r="N43" s="4">
        <f t="shared" ref="N43:AZ43" si="10">SUM(N12:N42)</f>
        <v>3607.8877177518084</v>
      </c>
      <c r="O43" s="4">
        <f t="shared" si="10"/>
        <v>3569.6325598199064</v>
      </c>
      <c r="P43" s="4">
        <f t="shared" si="10"/>
        <v>4327.9294554738462</v>
      </c>
      <c r="Q43" s="4">
        <f t="shared" si="10"/>
        <v>5159.4042261111417</v>
      </c>
      <c r="R43" s="4">
        <f t="shared" si="10"/>
        <v>5385.1951327965962</v>
      </c>
      <c r="S43" s="4">
        <f t="shared" si="10"/>
        <v>5915.1202685989683</v>
      </c>
      <c r="T43" s="4">
        <f t="shared" si="10"/>
        <v>5825.1074232882638</v>
      </c>
      <c r="U43" s="4">
        <f t="shared" si="10"/>
        <v>6410.938498532284</v>
      </c>
      <c r="V43" s="4">
        <f t="shared" si="10"/>
        <v>7258.3906724008466</v>
      </c>
      <c r="W43" s="4">
        <f t="shared" si="10"/>
        <v>6862.7670639583657</v>
      </c>
      <c r="X43" s="4">
        <f t="shared" si="10"/>
        <v>7343.1607584354515</v>
      </c>
      <c r="Y43" s="4">
        <f t="shared" si="10"/>
        <v>7857.1820115259343</v>
      </c>
      <c r="Z43" s="4">
        <f t="shared" si="10"/>
        <v>8407.1847523327469</v>
      </c>
      <c r="AA43" s="4">
        <f t="shared" si="10"/>
        <v>8995.6876849960408</v>
      </c>
      <c r="AB43" s="4">
        <f t="shared" si="10"/>
        <v>9625.3858229457637</v>
      </c>
      <c r="AC43" s="4">
        <f t="shared" si="10"/>
        <v>10299.162830551968</v>
      </c>
      <c r="AD43" s="4">
        <f t="shared" si="10"/>
        <v>11020.104228690605</v>
      </c>
      <c r="AE43" s="4">
        <f t="shared" si="10"/>
        <v>11791.51152469895</v>
      </c>
      <c r="AF43" s="4">
        <f t="shared" si="10"/>
        <v>12381.087100933893</v>
      </c>
      <c r="AG43" s="4">
        <f t="shared" si="10"/>
        <v>13000.141455980591</v>
      </c>
      <c r="AH43" s="4">
        <f t="shared" si="10"/>
        <v>13650.148528779619</v>
      </c>
      <c r="AI43" s="4">
        <f t="shared" si="10"/>
        <v>14332.655955218597</v>
      </c>
      <c r="AJ43" s="4">
        <f t="shared" si="10"/>
        <v>15049.288752979532</v>
      </c>
      <c r="AK43" s="4">
        <f t="shared" si="10"/>
        <v>15801.753190628513</v>
      </c>
      <c r="AL43" s="4">
        <f t="shared" si="10"/>
        <v>16591.840850159933</v>
      </c>
      <c r="AM43" s="4">
        <f t="shared" si="10"/>
        <v>17421.43289266793</v>
      </c>
      <c r="AN43" s="4">
        <f t="shared" si="10"/>
        <v>18292.504537301331</v>
      </c>
      <c r="AO43" s="4">
        <f t="shared" si="10"/>
        <v>18841.279673420369</v>
      </c>
      <c r="AP43" s="4">
        <f t="shared" si="10"/>
        <v>19406.518063622978</v>
      </c>
      <c r="AQ43" s="4">
        <f t="shared" si="10"/>
        <v>19988.713605531666</v>
      </c>
      <c r="AR43" s="4">
        <f t="shared" si="10"/>
        <v>20588.37501369762</v>
      </c>
      <c r="AS43" s="4">
        <f t="shared" si="10"/>
        <v>21206.026264108543</v>
      </c>
      <c r="AT43" s="4">
        <f t="shared" si="10"/>
        <v>21842.207052031801</v>
      </c>
      <c r="AU43" s="4">
        <f t="shared" si="10"/>
        <v>22497.473263592754</v>
      </c>
      <c r="AV43" s="4">
        <f t="shared" si="10"/>
        <v>22722.447996228686</v>
      </c>
      <c r="AW43" s="4">
        <f t="shared" si="10"/>
        <v>22949.672476190972</v>
      </c>
      <c r="AX43" s="4">
        <f t="shared" si="10"/>
        <v>23179.169200952878</v>
      </c>
      <c r="AY43" s="4">
        <f t="shared" si="10"/>
        <v>23410.960892962405</v>
      </c>
      <c r="AZ43" s="4">
        <f t="shared" si="10"/>
        <v>23645.070501892027</v>
      </c>
    </row>
    <row r="44" spans="1:52" x14ac:dyDescent="0.35">
      <c r="A44" s="58" t="s">
        <v>68</v>
      </c>
      <c r="B44" s="39">
        <f t="shared" ref="B44:L44" si="11">_xlfn.RRI(1,B43,C43)</f>
        <v>0.34000000000000052</v>
      </c>
      <c r="C44" s="39">
        <f t="shared" si="11"/>
        <v>0.33999999999999964</v>
      </c>
      <c r="D44" s="39">
        <f t="shared" si="11"/>
        <v>0.5</v>
      </c>
      <c r="E44" s="39">
        <f t="shared" si="11"/>
        <v>0.50000000000000022</v>
      </c>
      <c r="F44" s="39">
        <f t="shared" si="11"/>
        <v>0.21999999999999997</v>
      </c>
      <c r="G44" s="39">
        <f t="shared" si="11"/>
        <v>0.17999999999999994</v>
      </c>
      <c r="H44" s="39">
        <f t="shared" si="11"/>
        <v>0.18999999999999995</v>
      </c>
      <c r="I44" s="39">
        <f t="shared" si="11"/>
        <v>0.34999999999999987</v>
      </c>
      <c r="J44" s="39">
        <f t="shared" si="11"/>
        <v>-0.26</v>
      </c>
      <c r="K44" s="39">
        <f t="shared" si="11"/>
        <v>0.67999999999999994</v>
      </c>
      <c r="L44" s="39">
        <f t="shared" si="11"/>
        <v>0.31000000000000028</v>
      </c>
      <c r="M44" s="39">
        <f>_xlfn.RRI(1,M43,N43)</f>
        <v>0.15544050172272694</v>
      </c>
      <c r="N44" s="39">
        <f t="shared" ref="N44:AY44" si="12">_xlfn.RRI(1,N43,O43)</f>
        <v>-1.0603200799092494E-2</v>
      </c>
      <c r="O44" s="39">
        <f t="shared" si="12"/>
        <v>0.21242995825099631</v>
      </c>
      <c r="P44" s="39">
        <f t="shared" si="12"/>
        <v>0.19211837419985422</v>
      </c>
      <c r="Q44" s="39">
        <f t="shared" si="12"/>
        <v>4.3762980528401441E-2</v>
      </c>
      <c r="R44" s="39">
        <f t="shared" si="12"/>
        <v>9.8404073155131E-2</v>
      </c>
      <c r="S44" s="39">
        <f t="shared" si="12"/>
        <v>-1.5217415914355437E-2</v>
      </c>
      <c r="T44" s="39">
        <f t="shared" si="12"/>
        <v>0.10057000372249258</v>
      </c>
      <c r="U44" s="39">
        <f t="shared" si="12"/>
        <v>0.13218847350705021</v>
      </c>
      <c r="V44" s="39">
        <f t="shared" si="12"/>
        <v>-5.4505692280630735E-2</v>
      </c>
      <c r="W44" s="39">
        <f t="shared" si="12"/>
        <v>7.0000000000000062E-2</v>
      </c>
      <c r="X44" s="39">
        <f t="shared" si="12"/>
        <v>7.0000000000000062E-2</v>
      </c>
      <c r="Y44" s="39">
        <f t="shared" si="12"/>
        <v>6.9999999999999618E-2</v>
      </c>
      <c r="Z44" s="39">
        <f t="shared" si="12"/>
        <v>7.0000000000000284E-2</v>
      </c>
      <c r="AA44" s="39">
        <f t="shared" si="12"/>
        <v>7.0000000000000062E-2</v>
      </c>
      <c r="AB44" s="39">
        <f t="shared" si="12"/>
        <v>7.0000000000000062E-2</v>
      </c>
      <c r="AC44" s="39">
        <f t="shared" si="12"/>
        <v>6.999999999999984E-2</v>
      </c>
      <c r="AD44" s="39">
        <f t="shared" si="12"/>
        <v>7.0000000000000284E-2</v>
      </c>
      <c r="AE44" s="39">
        <f t="shared" si="12"/>
        <v>4.99999999999996E-2</v>
      </c>
      <c r="AF44" s="39">
        <f t="shared" si="12"/>
        <v>5.0000000000000266E-2</v>
      </c>
      <c r="AG44" s="39">
        <f t="shared" si="12"/>
        <v>4.9999999999999822E-2</v>
      </c>
      <c r="AH44" s="39">
        <f t="shared" si="12"/>
        <v>4.9999999999999822E-2</v>
      </c>
      <c r="AI44" s="39">
        <f t="shared" si="12"/>
        <v>5.0000000000000266E-2</v>
      </c>
      <c r="AJ44" s="39">
        <f t="shared" si="12"/>
        <v>5.0000000000000266E-2</v>
      </c>
      <c r="AK44" s="39">
        <f t="shared" si="12"/>
        <v>4.99999999999996E-2</v>
      </c>
      <c r="AL44" s="39">
        <f t="shared" si="12"/>
        <v>5.0000000000000044E-2</v>
      </c>
      <c r="AM44" s="39">
        <f t="shared" si="12"/>
        <v>5.0000000000000266E-2</v>
      </c>
      <c r="AN44" s="39">
        <f t="shared" si="12"/>
        <v>3.0000000000000027E-2</v>
      </c>
      <c r="AO44" s="39">
        <f t="shared" si="12"/>
        <v>2.9999999999999805E-2</v>
      </c>
      <c r="AP44" s="39">
        <f t="shared" si="12"/>
        <v>3.0000000000000027E-2</v>
      </c>
      <c r="AQ44" s="39">
        <f t="shared" si="12"/>
        <v>3.0000000000000249E-2</v>
      </c>
      <c r="AR44" s="39">
        <f t="shared" si="12"/>
        <v>2.9999999999999805E-2</v>
      </c>
      <c r="AS44" s="39">
        <f t="shared" si="12"/>
        <v>3.0000000000000027E-2</v>
      </c>
      <c r="AT44" s="39">
        <f t="shared" si="12"/>
        <v>3.0000000000000027E-2</v>
      </c>
      <c r="AU44" s="39">
        <f t="shared" si="12"/>
        <v>1.0000000000000231E-2</v>
      </c>
      <c r="AV44" s="39">
        <f t="shared" si="12"/>
        <v>1.0000000000000009E-2</v>
      </c>
      <c r="AW44" s="39">
        <f t="shared" si="12"/>
        <v>9.9999999999997868E-3</v>
      </c>
      <c r="AX44" s="39">
        <f t="shared" si="12"/>
        <v>1.0000000000000009E-2</v>
      </c>
      <c r="AY44" s="39">
        <f t="shared" si="12"/>
        <v>1.0000000000000009E-2</v>
      </c>
      <c r="AZ44" s="2"/>
    </row>
    <row r="45" spans="1:52" x14ac:dyDescent="0.35"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52" x14ac:dyDescent="0.35">
      <c r="A46" s="24" t="s">
        <v>47</v>
      </c>
      <c r="B46" s="24"/>
      <c r="C46" s="24"/>
      <c r="D46" s="6"/>
      <c r="E46" s="6"/>
      <c r="F46" s="6"/>
      <c r="G46" s="6"/>
      <c r="H46" s="6"/>
      <c r="I46" s="6"/>
      <c r="J46" s="6"/>
      <c r="K46" s="6"/>
      <c r="L46" s="6"/>
    </row>
    <row r="47" spans="1:52" x14ac:dyDescent="0.35">
      <c r="A47" s="48" t="s">
        <v>91</v>
      </c>
      <c r="B47" s="48"/>
      <c r="C47" s="48"/>
    </row>
    <row r="48" spans="1:52" x14ac:dyDescent="0.35">
      <c r="A48" s="38" t="s">
        <v>88</v>
      </c>
      <c r="B48" s="39">
        <f>_xlfn.RRI(5,Q43,V43)</f>
        <v>7.0651566934693655E-2</v>
      </c>
    </row>
  </sheetData>
  <mergeCells count="4">
    <mergeCell ref="M2:W2"/>
    <mergeCell ref="B10:L10"/>
    <mergeCell ref="M10:W10"/>
    <mergeCell ref="X10:AZ10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B7DB-A06A-4846-BAFD-BDD1992F8CFC}">
  <sheetPr>
    <tabColor theme="9"/>
  </sheetPr>
  <dimension ref="A1:AZ48"/>
  <sheetViews>
    <sheetView zoomScale="70" zoomScaleNormal="70" workbookViewId="0"/>
  </sheetViews>
  <sheetFormatPr baseColWidth="10" defaultRowHeight="14.5" x14ac:dyDescent="0.35"/>
  <cols>
    <col min="1" max="1" width="27.26953125" customWidth="1"/>
    <col min="2" max="12" width="10.36328125" style="6" customWidth="1"/>
    <col min="13" max="22" width="11.26953125" bestFit="1" customWidth="1"/>
  </cols>
  <sheetData>
    <row r="1" spans="1:52" x14ac:dyDescent="0.35">
      <c r="A1" s="61" t="s">
        <v>82</v>
      </c>
      <c r="B1" s="61" t="s">
        <v>69</v>
      </c>
      <c r="C1" s="61" t="s">
        <v>72</v>
      </c>
      <c r="D1" s="26"/>
      <c r="E1" s="26"/>
      <c r="F1" s="26"/>
      <c r="G1" s="26"/>
      <c r="H1" s="26"/>
      <c r="I1" s="26"/>
      <c r="J1" s="26"/>
      <c r="K1" s="26"/>
      <c r="L1" s="26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52" x14ac:dyDescent="0.35">
      <c r="A2" s="61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107" t="s">
        <v>84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1:52" x14ac:dyDescent="0.35">
      <c r="A3" s="55" t="s">
        <v>34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2">
        <v>2.564803010987677E-2</v>
      </c>
      <c r="N4" s="12">
        <v>2.4533916317483452E-2</v>
      </c>
      <c r="O4" s="12">
        <v>2.5907534774696973E-2</v>
      </c>
      <c r="P4" s="12">
        <v>2.4802110817941952E-2</v>
      </c>
      <c r="Q4" s="12">
        <v>2.2084805653710248E-2</v>
      </c>
      <c r="R4" s="12">
        <v>2.485193686417864E-2</v>
      </c>
      <c r="S4" s="12">
        <v>3.6294093784409086E-2</v>
      </c>
      <c r="T4" s="12">
        <v>3.4740686881781876E-2</v>
      </c>
      <c r="U4" s="12">
        <v>4.4641235048819748E-2</v>
      </c>
      <c r="V4" s="12">
        <v>4.0558918946916211E-2</v>
      </c>
      <c r="W4" s="2">
        <v>3.8315019064011614E-2</v>
      </c>
    </row>
    <row r="5" spans="1:52" x14ac:dyDescent="0.35">
      <c r="A5" s="8" t="s">
        <v>9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2">
        <v>2.4424514200298952E-2</v>
      </c>
      <c r="N5" s="12">
        <v>2.5853804673457159E-2</v>
      </c>
      <c r="O5" s="12">
        <v>2.9437516983182876E-2</v>
      </c>
      <c r="P5" s="12">
        <v>2.8446598845552826E-2</v>
      </c>
      <c r="Q5" s="12">
        <v>2.403769620172562E-2</v>
      </c>
      <c r="R5" s="12">
        <v>2.3550240513094602E-2</v>
      </c>
      <c r="S5" s="12">
        <v>2.7317197128517882E-2</v>
      </c>
      <c r="T5" s="12">
        <v>3.0357371589599079E-2</v>
      </c>
      <c r="U5" s="12">
        <v>2.9273790666504203E-2</v>
      </c>
      <c r="V5" s="12">
        <v>3.9236418712313891E-2</v>
      </c>
      <c r="W5" s="2"/>
    </row>
    <row r="6" spans="1:52" x14ac:dyDescent="0.35">
      <c r="A6" s="8" t="s">
        <v>27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12">
        <v>8.4247212829414095E-3</v>
      </c>
      <c r="N6" s="12">
        <v>8.5767271118822527E-3</v>
      </c>
      <c r="O6" s="12">
        <v>9.9827118980592745E-3</v>
      </c>
      <c r="P6" s="12">
        <v>9.1274221079522284E-3</v>
      </c>
      <c r="Q6" s="12">
        <v>4.7175502569386405E-3</v>
      </c>
      <c r="R6" s="12">
        <v>5.6443089220734322E-3</v>
      </c>
      <c r="S6" s="12">
        <v>8.5016055453748917E-3</v>
      </c>
      <c r="T6" s="12">
        <v>6.2227914335435779E-3</v>
      </c>
      <c r="U6" s="12">
        <v>6.9295652388807541E-3</v>
      </c>
      <c r="V6" s="12">
        <v>9.0637415112705712E-3</v>
      </c>
      <c r="W6" s="2">
        <v>6.5685301010836982E-3</v>
      </c>
    </row>
    <row r="7" spans="1:52" x14ac:dyDescent="0.35">
      <c r="A7" s="8" t="s">
        <v>28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12">
        <v>7.7435178696566229E-2</v>
      </c>
      <c r="N7" s="12">
        <v>8.7345766557935051E-2</v>
      </c>
      <c r="O7" s="12">
        <v>7.1359708633864177E-2</v>
      </c>
      <c r="P7" s="12">
        <v>6.3029661016949151E-2</v>
      </c>
      <c r="Q7" s="12">
        <v>5.7709182883394404E-2</v>
      </c>
      <c r="R7" s="12">
        <v>5.0184575476404265E-2</v>
      </c>
      <c r="S7" s="12">
        <v>0.10309965237543453</v>
      </c>
      <c r="T7" s="12">
        <v>0.103577961513134</v>
      </c>
      <c r="U7" s="12">
        <v>8.9596371361313668E-2</v>
      </c>
      <c r="V7" s="12">
        <v>3.851700914299324E-2</v>
      </c>
      <c r="W7" s="2">
        <v>3.5851128190190235E-2</v>
      </c>
    </row>
    <row r="8" spans="1:52" x14ac:dyDescent="0.35">
      <c r="A8" s="14" t="s">
        <v>32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15">
        <v>2.3686664146417669E-2</v>
      </c>
      <c r="N8" s="15">
        <v>2.4226901054333335E-2</v>
      </c>
      <c r="O8" s="15">
        <v>2.5542911384780785E-2</v>
      </c>
      <c r="P8" s="15">
        <v>2.4230820703198992E-2</v>
      </c>
      <c r="Q8" s="63">
        <v>2.0482841501815893E-2</v>
      </c>
      <c r="R8" s="63">
        <v>2.1307429135070579E-2</v>
      </c>
      <c r="S8" s="63">
        <v>3.0360078473186253E-2</v>
      </c>
      <c r="T8" s="63">
        <v>3.0255907690084884E-2</v>
      </c>
      <c r="U8" s="63">
        <v>3.3332499676152441E-2</v>
      </c>
      <c r="V8" s="63">
        <v>3.287225526257416E-2</v>
      </c>
      <c r="W8" s="43">
        <v>2.7459360302633455E-2</v>
      </c>
    </row>
    <row r="9" spans="1:52" x14ac:dyDescent="0.35">
      <c r="A9" s="61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61"/>
      <c r="N9" s="61"/>
      <c r="O9" s="61"/>
      <c r="P9" s="61"/>
      <c r="Q9" s="61"/>
      <c r="R9" s="61"/>
      <c r="S9" s="61"/>
      <c r="T9" s="61"/>
      <c r="U9" s="61"/>
      <c r="V9" s="7"/>
      <c r="X9" s="6" t="s">
        <v>78</v>
      </c>
    </row>
    <row r="10" spans="1:52" x14ac:dyDescent="0.35">
      <c r="A10" s="61"/>
      <c r="B10" s="108" t="s">
        <v>85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9" t="s">
        <v>86</v>
      </c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5" t="s">
        <v>79</v>
      </c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</row>
    <row r="11" spans="1:52" x14ac:dyDescent="0.35">
      <c r="A11" s="61"/>
      <c r="B11" s="5">
        <v>2000</v>
      </c>
      <c r="C11" s="5">
        <v>2001</v>
      </c>
      <c r="D11" s="5">
        <v>2002</v>
      </c>
      <c r="E11" s="5">
        <v>2003</v>
      </c>
      <c r="F11" s="5">
        <v>2004</v>
      </c>
      <c r="G11" s="5">
        <v>2005</v>
      </c>
      <c r="H11" s="5">
        <v>2006</v>
      </c>
      <c r="I11" s="5">
        <v>2007</v>
      </c>
      <c r="J11" s="5">
        <v>2008</v>
      </c>
      <c r="K11" s="5">
        <v>2009</v>
      </c>
      <c r="L11" s="5">
        <v>2010</v>
      </c>
      <c r="M11" s="57">
        <v>2011</v>
      </c>
      <c r="N11" s="57">
        <v>2012</v>
      </c>
      <c r="O11" s="57">
        <v>2013</v>
      </c>
      <c r="P11" s="57">
        <v>2014</v>
      </c>
      <c r="Q11" s="57">
        <v>2015</v>
      </c>
      <c r="R11" s="57">
        <v>2016</v>
      </c>
      <c r="S11" s="57">
        <v>2017</v>
      </c>
      <c r="T11" s="57">
        <v>2018</v>
      </c>
      <c r="U11" s="57">
        <v>2019</v>
      </c>
      <c r="V11" s="57">
        <v>2020</v>
      </c>
      <c r="W11" s="57">
        <v>2021</v>
      </c>
      <c r="X11" s="47">
        <v>2022</v>
      </c>
      <c r="Y11" s="47">
        <v>2023</v>
      </c>
      <c r="Z11" s="47">
        <v>2024</v>
      </c>
      <c r="AA11" s="47">
        <v>2025</v>
      </c>
      <c r="AB11" s="47">
        <v>2026</v>
      </c>
      <c r="AC11" s="47">
        <v>2027</v>
      </c>
      <c r="AD11" s="47">
        <v>2028</v>
      </c>
      <c r="AE11" s="47">
        <v>2029</v>
      </c>
      <c r="AF11" s="47">
        <v>2030</v>
      </c>
      <c r="AG11" s="47">
        <v>2031</v>
      </c>
      <c r="AH11" s="47">
        <v>2032</v>
      </c>
      <c r="AI11" s="47">
        <v>2033</v>
      </c>
      <c r="AJ11" s="47">
        <v>2034</v>
      </c>
      <c r="AK11" s="47">
        <v>2035</v>
      </c>
      <c r="AL11" s="47">
        <v>2036</v>
      </c>
      <c r="AM11" s="47">
        <v>2037</v>
      </c>
      <c r="AN11" s="47">
        <v>2038</v>
      </c>
      <c r="AO11" s="47">
        <v>2039</v>
      </c>
      <c r="AP11" s="47">
        <v>2040</v>
      </c>
      <c r="AQ11" s="47">
        <v>2041</v>
      </c>
      <c r="AR11" s="47">
        <v>2042</v>
      </c>
      <c r="AS11" s="47">
        <v>2043</v>
      </c>
      <c r="AT11" s="47">
        <v>2044</v>
      </c>
      <c r="AU11" s="47">
        <v>2045</v>
      </c>
      <c r="AV11" s="47">
        <v>2046</v>
      </c>
      <c r="AW11" s="47">
        <v>2047</v>
      </c>
      <c r="AX11" s="47">
        <v>2048</v>
      </c>
      <c r="AY11" s="47">
        <v>2049</v>
      </c>
      <c r="AZ11" s="47">
        <v>2050</v>
      </c>
    </row>
    <row r="12" spans="1:52" x14ac:dyDescent="0.35">
      <c r="A12" s="61" t="s">
        <v>0</v>
      </c>
      <c r="B12" s="23">
        <f t="shared" ref="B12:L27" si="0">C12/1.02</f>
        <v>68.845557810910876</v>
      </c>
      <c r="C12" s="23">
        <f t="shared" si="0"/>
        <v>70.222468967129089</v>
      </c>
      <c r="D12" s="23">
        <f t="shared" si="0"/>
        <v>71.626918346471669</v>
      </c>
      <c r="E12" s="23">
        <f t="shared" si="0"/>
        <v>73.059456713401104</v>
      </c>
      <c r="F12" s="23">
        <f t="shared" si="0"/>
        <v>74.52064584766913</v>
      </c>
      <c r="G12" s="23">
        <f t="shared" si="0"/>
        <v>76.011058764622518</v>
      </c>
      <c r="H12" s="23">
        <f t="shared" si="0"/>
        <v>77.531279939914967</v>
      </c>
      <c r="I12" s="23">
        <f t="shared" si="0"/>
        <v>79.081905538713272</v>
      </c>
      <c r="J12" s="23">
        <f t="shared" si="0"/>
        <v>80.663543649487536</v>
      </c>
      <c r="K12" s="23">
        <f t="shared" si="0"/>
        <v>82.276814522477295</v>
      </c>
      <c r="L12" s="23">
        <f>M12/1.02</f>
        <v>83.922350812926837</v>
      </c>
      <c r="M12" s="4">
        <f>$M$8*'[2]Eurostat POM Portables GU'!M3</f>
        <v>85.600797829185382</v>
      </c>
      <c r="N12" s="4">
        <f>$N$8*'[2]Eurostat POM Portables GU'!N3</f>
        <v>90.05574406626944</v>
      </c>
      <c r="O12" s="4">
        <f>$O$8*'[2]Eurostat POM Portables GU'!O3</f>
        <v>99.401465713620894</v>
      </c>
      <c r="P12" s="4">
        <f>$P$8*'[2]Eurostat POM Portables GU'!P3</f>
        <v>99.0224472719555</v>
      </c>
      <c r="Q12" s="4">
        <f>$Q$8*'[2]Eurostat POM Portables GU'!Q3</f>
        <v>93.141437743207661</v>
      </c>
      <c r="R12" s="4">
        <f>$R$8*'[2]Eurostat POM Portables GU'!R3</f>
        <v>100.31643492099172</v>
      </c>
      <c r="S12" s="4">
        <f>$S$8*'[2]Eurostat POM Portables GU'!S3</f>
        <v>144.07754497550823</v>
      </c>
      <c r="T12" s="4">
        <f>$T$8*'[2]Eurostat POM Portables GU'!T3</f>
        <v>164.87779172509985</v>
      </c>
      <c r="U12" s="4">
        <f>$U$8*'[2]Eurostat POM Portables GU'!U3</f>
        <v>192.01004942986876</v>
      </c>
      <c r="V12" s="4">
        <f>$V$8*'[2]Eurostat POM Portables GU'!V3</f>
        <v>208.63968181142209</v>
      </c>
      <c r="W12" s="4">
        <f>$W$8*'[2]Eurostat POM Portables GU'!W3</f>
        <v>168.57301289786679</v>
      </c>
      <c r="X12" s="48">
        <f>'[3]POM Portables Lead-acid'!AC12</f>
        <v>171.94447315582411</v>
      </c>
      <c r="Y12" s="48">
        <f>'[3]POM Portables Lead-acid'!AD12</f>
        <v>175.38336261894059</v>
      </c>
      <c r="Z12" s="48">
        <f>'[3]POM Portables Lead-acid'!AE12</f>
        <v>178.8910298713194</v>
      </c>
      <c r="AA12" s="48">
        <f>'[3]POM Portables Lead-acid'!AF12</f>
        <v>180.67994017003261</v>
      </c>
      <c r="AB12" s="48">
        <f>'[3]POM Portables Lead-acid'!AG12</f>
        <v>90.339970085016304</v>
      </c>
      <c r="AC12" s="48">
        <f>'[3]POM Portables Lead-acid'!AH12</f>
        <v>22.58499252125408</v>
      </c>
      <c r="AD12" s="48">
        <f>'[3]POM Portables Lead-acid'!AI12</f>
        <v>0</v>
      </c>
      <c r="AE12" s="48">
        <f>'[3]POM Portables Lead-acid'!AJ12</f>
        <v>0</v>
      </c>
      <c r="AF12" s="48">
        <f>'[3]POM Portables Lead-acid'!AK12</f>
        <v>0</v>
      </c>
      <c r="AG12" s="48">
        <f>'[3]POM Portables Lead-acid'!AL12</f>
        <v>0</v>
      </c>
      <c r="AH12" s="48">
        <f>'[3]POM Portables Lead-acid'!AM12</f>
        <v>0</v>
      </c>
      <c r="AI12" s="48">
        <f>'[3]POM Portables Lead-acid'!AN12</f>
        <v>0</v>
      </c>
      <c r="AJ12" s="48">
        <f>'[3]POM Portables Lead-acid'!AO12</f>
        <v>0</v>
      </c>
      <c r="AK12" s="48">
        <f>'[3]POM Portables Lead-acid'!AP12</f>
        <v>0</v>
      </c>
      <c r="AL12" s="48">
        <f>'[3]POM Portables Lead-acid'!AQ12</f>
        <v>0</v>
      </c>
      <c r="AM12" s="48">
        <f>'[3]POM Portables Lead-acid'!AR12</f>
        <v>0</v>
      </c>
      <c r="AN12" s="48">
        <f>'[3]POM Portables Lead-acid'!AS12</f>
        <v>0</v>
      </c>
      <c r="AO12" s="48">
        <f>'[3]POM Portables Lead-acid'!AT12</f>
        <v>0</v>
      </c>
      <c r="AP12" s="48">
        <f>'[3]POM Portables Lead-acid'!AU12</f>
        <v>0</v>
      </c>
      <c r="AQ12" s="48">
        <f>'[3]POM Portables Lead-acid'!AV12</f>
        <v>0</v>
      </c>
      <c r="AR12" s="48">
        <f>'[3]POM Portables Lead-acid'!AW12</f>
        <v>0</v>
      </c>
      <c r="AS12" s="48">
        <f>'[3]POM Portables Lead-acid'!AX12</f>
        <v>0</v>
      </c>
      <c r="AT12" s="48">
        <f>'[3]POM Portables Lead-acid'!AY12</f>
        <v>0</v>
      </c>
      <c r="AU12" s="48">
        <f>'[3]POM Portables Lead-acid'!AZ12</f>
        <v>0</v>
      </c>
      <c r="AV12" s="48">
        <f>'[3]POM Portables Lead-acid'!BA12</f>
        <v>0</v>
      </c>
      <c r="AW12" s="48">
        <f>'[3]POM Portables Lead-acid'!BB12</f>
        <v>0</v>
      </c>
      <c r="AX12" s="48">
        <f>'[3]POM Portables Lead-acid'!BC12</f>
        <v>0</v>
      </c>
      <c r="AY12" s="48">
        <f>'[3]POM Portables Lead-acid'!BD12</f>
        <v>0</v>
      </c>
      <c r="AZ12" s="48">
        <f>'[3]POM Portables Lead-acid'!BE12</f>
        <v>0</v>
      </c>
    </row>
    <row r="13" spans="1:52" x14ac:dyDescent="0.35">
      <c r="A13" s="61" t="s">
        <v>1</v>
      </c>
      <c r="B13" s="23">
        <f t="shared" si="0"/>
        <v>83.840407674964069</v>
      </c>
      <c r="C13" s="23">
        <f t="shared" si="0"/>
        <v>85.51721582846335</v>
      </c>
      <c r="D13" s="23">
        <f t="shared" si="0"/>
        <v>87.227560145032612</v>
      </c>
      <c r="E13" s="23">
        <f t="shared" si="0"/>
        <v>88.972111347933264</v>
      </c>
      <c r="F13" s="23">
        <f t="shared" si="0"/>
        <v>90.751553574891929</v>
      </c>
      <c r="G13" s="23">
        <f t="shared" si="0"/>
        <v>92.566584646389771</v>
      </c>
      <c r="H13" s="23">
        <f t="shared" si="0"/>
        <v>94.417916339317571</v>
      </c>
      <c r="I13" s="23">
        <f t="shared" si="0"/>
        <v>96.306274666103931</v>
      </c>
      <c r="J13" s="23">
        <f t="shared" si="0"/>
        <v>98.232400159426007</v>
      </c>
      <c r="K13" s="23">
        <f t="shared" si="0"/>
        <v>100.19704816261454</v>
      </c>
      <c r="L13" s="23">
        <f t="shared" si="0"/>
        <v>102.20098912586683</v>
      </c>
      <c r="M13" s="4">
        <f>$M$8*'[2]Eurostat POM Portables GU'!M4</f>
        <v>104.24500890838416</v>
      </c>
      <c r="N13" s="4">
        <f>$N$8*'[2]Eurostat POM Portables GU'!N4</f>
        <v>103.18237159040568</v>
      </c>
      <c r="O13" s="4">
        <f>$O$8*'[2]Eurostat POM Portables GU'!O4</f>
        <v>112.33772427026589</v>
      </c>
      <c r="P13" s="4">
        <f>$P$8*'[2]Eurostat POM Portables GU'!P4</f>
        <v>102.30252500890614</v>
      </c>
      <c r="Q13" s="4">
        <f>$Q$8*'[2]Eurostat POM Portables GU'!Q4</f>
        <v>93.524654297291363</v>
      </c>
      <c r="R13" s="4">
        <f>$R$8*'[2]Eurostat POM Portables GU'!R4</f>
        <v>97.694562584298609</v>
      </c>
      <c r="S13" s="4">
        <f>$S$8*'[2]Eurostat POM Portables GU'!S4</f>
        <v>145.3033355726694</v>
      </c>
      <c r="T13" s="4">
        <f>$T$8*'[2]Eurostat POM Portables GU'!T4</f>
        <v>148.85906583521762</v>
      </c>
      <c r="U13" s="4">
        <f>$U$8*'[2]Eurostat POM Portables GU'!U4</f>
        <v>180.42882074701316</v>
      </c>
      <c r="V13" s="4">
        <f>$V$8*'[2]Eurostat POM Portables GU'!V4</f>
        <v>184.44622427830362</v>
      </c>
      <c r="W13" s="4">
        <f>$W$8*'[2]Eurostat POM Portables GU'!W4</f>
        <v>171.31894892813014</v>
      </c>
      <c r="X13" s="48">
        <f>'[3]POM Portables Lead-acid'!AC13</f>
        <v>174.74532790669275</v>
      </c>
      <c r="Y13" s="48">
        <f>'[3]POM Portables Lead-acid'!AD13</f>
        <v>178.24023446482661</v>
      </c>
      <c r="Z13" s="48">
        <f>'[3]POM Portables Lead-acid'!AE13</f>
        <v>181.80503915412314</v>
      </c>
      <c r="AA13" s="48">
        <f>'[3]POM Portables Lead-acid'!AF13</f>
        <v>183.62308954566436</v>
      </c>
      <c r="AB13" s="48">
        <f>'[3]POM Portables Lead-acid'!AG13</f>
        <v>91.811544772832178</v>
      </c>
      <c r="AC13" s="48">
        <f>'[3]POM Portables Lead-acid'!AH13</f>
        <v>22.952886193208045</v>
      </c>
      <c r="AD13" s="48">
        <f>'[3]POM Portables Lead-acid'!AI13</f>
        <v>0</v>
      </c>
      <c r="AE13" s="48">
        <f>'[3]POM Portables Lead-acid'!AJ13</f>
        <v>0</v>
      </c>
      <c r="AF13" s="48">
        <f>'[3]POM Portables Lead-acid'!AK13</f>
        <v>0</v>
      </c>
      <c r="AG13" s="48">
        <f>'[3]POM Portables Lead-acid'!AL13</f>
        <v>0</v>
      </c>
      <c r="AH13" s="48">
        <f>'[3]POM Portables Lead-acid'!AM13</f>
        <v>0</v>
      </c>
      <c r="AI13" s="48">
        <f>'[3]POM Portables Lead-acid'!AN13</f>
        <v>0</v>
      </c>
      <c r="AJ13" s="48">
        <f>'[3]POM Portables Lead-acid'!AO13</f>
        <v>0</v>
      </c>
      <c r="AK13" s="48">
        <f>'[3]POM Portables Lead-acid'!AP13</f>
        <v>0</v>
      </c>
      <c r="AL13" s="48">
        <f>'[3]POM Portables Lead-acid'!AQ13</f>
        <v>0</v>
      </c>
      <c r="AM13" s="48">
        <f>'[3]POM Portables Lead-acid'!AR13</f>
        <v>0</v>
      </c>
      <c r="AN13" s="48">
        <f>'[3]POM Portables Lead-acid'!AS13</f>
        <v>0</v>
      </c>
      <c r="AO13" s="48">
        <f>'[3]POM Portables Lead-acid'!AT13</f>
        <v>0</v>
      </c>
      <c r="AP13" s="48">
        <f>'[3]POM Portables Lead-acid'!AU13</f>
        <v>0</v>
      </c>
      <c r="AQ13" s="48">
        <f>'[3]POM Portables Lead-acid'!AV13</f>
        <v>0</v>
      </c>
      <c r="AR13" s="48">
        <f>'[3]POM Portables Lead-acid'!AW13</f>
        <v>0</v>
      </c>
      <c r="AS13" s="48">
        <f>'[3]POM Portables Lead-acid'!AX13</f>
        <v>0</v>
      </c>
      <c r="AT13" s="48">
        <f>'[3]POM Portables Lead-acid'!AY13</f>
        <v>0</v>
      </c>
      <c r="AU13" s="48">
        <f>'[3]POM Portables Lead-acid'!AZ13</f>
        <v>0</v>
      </c>
      <c r="AV13" s="48">
        <f>'[3]POM Portables Lead-acid'!BA13</f>
        <v>0</v>
      </c>
      <c r="AW13" s="48">
        <f>'[3]POM Portables Lead-acid'!BB13</f>
        <v>0</v>
      </c>
      <c r="AX13" s="48">
        <f>'[3]POM Portables Lead-acid'!BC13</f>
        <v>0</v>
      </c>
      <c r="AY13" s="48">
        <f>'[3]POM Portables Lead-acid'!BD13</f>
        <v>0</v>
      </c>
      <c r="AZ13" s="48">
        <f>'[3]POM Portables Lead-acid'!BE13</f>
        <v>0</v>
      </c>
    </row>
    <row r="14" spans="1:52" x14ac:dyDescent="0.35">
      <c r="A14" s="61" t="s">
        <v>2</v>
      </c>
      <c r="B14" s="23">
        <f t="shared" si="0"/>
        <v>11.887392499245076</v>
      </c>
      <c r="C14" s="23">
        <f t="shared" si="0"/>
        <v>12.125140349229978</v>
      </c>
      <c r="D14" s="23">
        <f t="shared" si="0"/>
        <v>12.367643156214578</v>
      </c>
      <c r="E14" s="23">
        <f t="shared" si="0"/>
        <v>12.61499601933887</v>
      </c>
      <c r="F14" s="23">
        <f t="shared" si="0"/>
        <v>12.867295939725647</v>
      </c>
      <c r="G14" s="23">
        <f t="shared" si="0"/>
        <v>13.12464185852016</v>
      </c>
      <c r="H14" s="23">
        <f t="shared" si="0"/>
        <v>13.387134695690564</v>
      </c>
      <c r="I14" s="23">
        <f t="shared" si="0"/>
        <v>13.654877389604376</v>
      </c>
      <c r="J14" s="23">
        <f t="shared" si="0"/>
        <v>13.927974937396463</v>
      </c>
      <c r="K14" s="23">
        <f t="shared" si="0"/>
        <v>14.206534436144393</v>
      </c>
      <c r="L14" s="23">
        <f t="shared" si="0"/>
        <v>14.490665124867281</v>
      </c>
      <c r="M14" s="4">
        <f>$M$8*'[2]Eurostat POM Portables GU'!M5</f>
        <v>14.780478427364626</v>
      </c>
      <c r="N14" s="4">
        <f>$N$8*'[2]Eurostat POM Portables GU'!N5</f>
        <v>14.593873337812479</v>
      </c>
      <c r="O14" s="4">
        <f>$O$8*'[2]Eurostat POM Portables GU'!O5</f>
        <v>17.292551007496591</v>
      </c>
      <c r="P14" s="4">
        <f>$P$8*'[2]Eurostat POM Portables GU'!P5</f>
        <v>17.688499113335265</v>
      </c>
      <c r="Q14" s="4">
        <f>$Q$8*'[2]Eurostat POM Portables GU'!Q5</f>
        <v>15.566959541380079</v>
      </c>
      <c r="R14" s="4">
        <f>$R$8*'[2]Eurostat POM Portables GU'!R5</f>
        <v>15.980571851302935</v>
      </c>
      <c r="S14" s="4">
        <f>$S$8*'[2]Eurostat POM Portables GU'!S5</f>
        <v>24.743463955646796</v>
      </c>
      <c r="T14" s="4">
        <f>$T$8*'[2]Eurostat POM Portables GU'!T5</f>
        <v>20.876576306158569</v>
      </c>
      <c r="U14" s="4">
        <f>$U$8*'[2]Eurostat POM Portables GU'!U5</f>
        <v>31.399214694935601</v>
      </c>
      <c r="V14" s="4">
        <f>$V$8*'[2]Eurostat POM Portables GU'!V5</f>
        <v>30.899919946819711</v>
      </c>
      <c r="W14" s="4">
        <f>$W$8*'[2]Eurostat POM Portables GU'!W5</f>
        <v>27.514279023238721</v>
      </c>
      <c r="X14" s="48">
        <f>'[3]POM Portables Lead-acid'!AC14</f>
        <v>28.064564603703495</v>
      </c>
      <c r="Y14" s="48">
        <f>'[3]POM Portables Lead-acid'!AD14</f>
        <v>28.625855895777566</v>
      </c>
      <c r="Z14" s="48">
        <f>'[3]POM Portables Lead-acid'!AE14</f>
        <v>29.198373013693118</v>
      </c>
      <c r="AA14" s="48">
        <f>'[3]POM Portables Lead-acid'!AF14</f>
        <v>29.490356743830048</v>
      </c>
      <c r="AB14" s="48">
        <f>'[3]POM Portables Lead-acid'!AG14</f>
        <v>14.745178371915024</v>
      </c>
      <c r="AC14" s="48">
        <f>'[3]POM Portables Lead-acid'!AH14</f>
        <v>3.6862945929787561</v>
      </c>
      <c r="AD14" s="48">
        <f>'[3]POM Portables Lead-acid'!AI14</f>
        <v>0</v>
      </c>
      <c r="AE14" s="48">
        <f>'[3]POM Portables Lead-acid'!AJ14</f>
        <v>0</v>
      </c>
      <c r="AF14" s="48">
        <f>'[3]POM Portables Lead-acid'!AK14</f>
        <v>0</v>
      </c>
      <c r="AG14" s="48">
        <f>'[3]POM Portables Lead-acid'!AL14</f>
        <v>0</v>
      </c>
      <c r="AH14" s="48">
        <f>'[3]POM Portables Lead-acid'!AM14</f>
        <v>0</v>
      </c>
      <c r="AI14" s="48">
        <f>'[3]POM Portables Lead-acid'!AN14</f>
        <v>0</v>
      </c>
      <c r="AJ14" s="48">
        <f>'[3]POM Portables Lead-acid'!AO14</f>
        <v>0</v>
      </c>
      <c r="AK14" s="48">
        <f>'[3]POM Portables Lead-acid'!AP14</f>
        <v>0</v>
      </c>
      <c r="AL14" s="48">
        <f>'[3]POM Portables Lead-acid'!AQ14</f>
        <v>0</v>
      </c>
      <c r="AM14" s="48">
        <f>'[3]POM Portables Lead-acid'!AR14</f>
        <v>0</v>
      </c>
      <c r="AN14" s="48">
        <f>'[3]POM Portables Lead-acid'!AS14</f>
        <v>0</v>
      </c>
      <c r="AO14" s="48">
        <f>'[3]POM Portables Lead-acid'!AT14</f>
        <v>0</v>
      </c>
      <c r="AP14" s="48">
        <f>'[3]POM Portables Lead-acid'!AU14</f>
        <v>0</v>
      </c>
      <c r="AQ14" s="48">
        <f>'[3]POM Portables Lead-acid'!AV14</f>
        <v>0</v>
      </c>
      <c r="AR14" s="48">
        <f>'[3]POM Portables Lead-acid'!AW14</f>
        <v>0</v>
      </c>
      <c r="AS14" s="48">
        <f>'[3]POM Portables Lead-acid'!AX14</f>
        <v>0</v>
      </c>
      <c r="AT14" s="48">
        <f>'[3]POM Portables Lead-acid'!AY14</f>
        <v>0</v>
      </c>
      <c r="AU14" s="48">
        <f>'[3]POM Portables Lead-acid'!AZ14</f>
        <v>0</v>
      </c>
      <c r="AV14" s="48">
        <f>'[3]POM Portables Lead-acid'!BA14</f>
        <v>0</v>
      </c>
      <c r="AW14" s="48">
        <f>'[3]POM Portables Lead-acid'!BB14</f>
        <v>0</v>
      </c>
      <c r="AX14" s="48">
        <f>'[3]POM Portables Lead-acid'!BC14</f>
        <v>0</v>
      </c>
      <c r="AY14" s="48">
        <f>'[3]POM Portables Lead-acid'!BD14</f>
        <v>0</v>
      </c>
      <c r="AZ14" s="48">
        <f>'[3]POM Portables Lead-acid'!BE14</f>
        <v>0</v>
      </c>
    </row>
    <row r="15" spans="1:52" x14ac:dyDescent="0.35">
      <c r="A15" s="61" t="s">
        <v>3</v>
      </c>
      <c r="B15" s="23">
        <f t="shared" si="0"/>
        <v>6.3197493392621178</v>
      </c>
      <c r="C15" s="23">
        <f t="shared" si="0"/>
        <v>6.4461443260473601</v>
      </c>
      <c r="D15" s="23">
        <f t="shared" si="0"/>
        <v>6.5750672125683076</v>
      </c>
      <c r="E15" s="23">
        <f t="shared" si="0"/>
        <v>6.7065685568196738</v>
      </c>
      <c r="F15" s="23">
        <f t="shared" si="0"/>
        <v>6.8406999279560674</v>
      </c>
      <c r="G15" s="23">
        <f t="shared" si="0"/>
        <v>6.9775139265151891</v>
      </c>
      <c r="H15" s="23">
        <f t="shared" si="0"/>
        <v>7.1170642050454926</v>
      </c>
      <c r="I15" s="23">
        <f t="shared" si="0"/>
        <v>7.2594054891464026</v>
      </c>
      <c r="J15" s="23">
        <f t="shared" si="0"/>
        <v>7.4045935989293312</v>
      </c>
      <c r="K15" s="23">
        <f t="shared" si="0"/>
        <v>7.5526854709079183</v>
      </c>
      <c r="L15" s="23">
        <f t="shared" si="0"/>
        <v>7.7037391803260764</v>
      </c>
      <c r="M15" s="4">
        <f>$M$8*'[2]Eurostat POM Portables GU'!M6</f>
        <v>7.8578139639325979</v>
      </c>
      <c r="N15" s="4">
        <f>$N$8*'[2]Eurostat POM Portables GU'!N6</f>
        <v>9.8555033489028006</v>
      </c>
      <c r="O15" s="4">
        <f>$O$8*'[2]Eurostat POM Portables GU'!O6</f>
        <v>10.053179062822021</v>
      </c>
      <c r="P15" s="4">
        <f>$P$8*'[2]Eurostat POM Portables GU'!P6</f>
        <v>8.4080947840100499</v>
      </c>
      <c r="Q15" s="4">
        <f>$Q$8*'[2]Eurostat POM Portables GU'!Q6</f>
        <v>5.448435839483027</v>
      </c>
      <c r="R15" s="4">
        <f>$R$8*'[2]Eurostat POM Portables GU'!R6</f>
        <v>8.4164345083528787</v>
      </c>
      <c r="S15" s="4">
        <f>$S$8*'[2]Eurostat POM Portables GU'!S6</f>
        <v>17.244524572769791</v>
      </c>
      <c r="T15" s="4">
        <f>$T$8*'[2]Eurostat POM Portables GU'!T6</f>
        <v>20.392481783117212</v>
      </c>
      <c r="U15" s="4">
        <f>$U$8*'[2]Eurostat POM Portables GU'!U6</f>
        <v>30.199244706594111</v>
      </c>
      <c r="V15" s="4">
        <f>$V$8*'[2]Eurostat POM Portables GU'!V6</f>
        <v>34.581612536228015</v>
      </c>
      <c r="W15" s="4">
        <f>$W$8*'[2]Eurostat POM Portables GU'!W6</f>
        <v>28.804868957462496</v>
      </c>
      <c r="X15" s="48">
        <f>'[3]POM Portables Lead-acid'!AC15</f>
        <v>29.380966336611746</v>
      </c>
      <c r="Y15" s="48">
        <f>'[3]POM Portables Lead-acid'!AD15</f>
        <v>29.96858566334398</v>
      </c>
      <c r="Z15" s="48">
        <f>'[3]POM Portables Lead-acid'!AE15</f>
        <v>30.56795737661086</v>
      </c>
      <c r="AA15" s="48">
        <f>'[3]POM Portables Lead-acid'!AF15</f>
        <v>30.873636950376969</v>
      </c>
      <c r="AB15" s="48">
        <f>'[3]POM Portables Lead-acid'!AG15</f>
        <v>15.436818475188485</v>
      </c>
      <c r="AC15" s="48">
        <f>'[3]POM Portables Lead-acid'!AH15</f>
        <v>3.8592046187971221</v>
      </c>
      <c r="AD15" s="48">
        <f>'[3]POM Portables Lead-acid'!AI15</f>
        <v>0</v>
      </c>
      <c r="AE15" s="48">
        <f>'[3]POM Portables Lead-acid'!AJ15</f>
        <v>0</v>
      </c>
      <c r="AF15" s="48">
        <f>'[3]POM Portables Lead-acid'!AK15</f>
        <v>0</v>
      </c>
      <c r="AG15" s="48">
        <f>'[3]POM Portables Lead-acid'!AL15</f>
        <v>0</v>
      </c>
      <c r="AH15" s="48">
        <f>'[3]POM Portables Lead-acid'!AM15</f>
        <v>0</v>
      </c>
      <c r="AI15" s="48">
        <f>'[3]POM Portables Lead-acid'!AN15</f>
        <v>0</v>
      </c>
      <c r="AJ15" s="48">
        <f>'[3]POM Portables Lead-acid'!AO15</f>
        <v>0</v>
      </c>
      <c r="AK15" s="48">
        <f>'[3]POM Portables Lead-acid'!AP15</f>
        <v>0</v>
      </c>
      <c r="AL15" s="48">
        <f>'[3]POM Portables Lead-acid'!AQ15</f>
        <v>0</v>
      </c>
      <c r="AM15" s="48">
        <f>'[3]POM Portables Lead-acid'!AR15</f>
        <v>0</v>
      </c>
      <c r="AN15" s="48">
        <f>'[3]POM Portables Lead-acid'!AS15</f>
        <v>0</v>
      </c>
      <c r="AO15" s="48">
        <f>'[3]POM Portables Lead-acid'!AT15</f>
        <v>0</v>
      </c>
      <c r="AP15" s="48">
        <f>'[3]POM Portables Lead-acid'!AU15</f>
        <v>0</v>
      </c>
      <c r="AQ15" s="48">
        <f>'[3]POM Portables Lead-acid'!AV15</f>
        <v>0</v>
      </c>
      <c r="AR15" s="48">
        <f>'[3]POM Portables Lead-acid'!AW15</f>
        <v>0</v>
      </c>
      <c r="AS15" s="48">
        <f>'[3]POM Portables Lead-acid'!AX15</f>
        <v>0</v>
      </c>
      <c r="AT15" s="48">
        <f>'[3]POM Portables Lead-acid'!AY15</f>
        <v>0</v>
      </c>
      <c r="AU15" s="48">
        <f>'[3]POM Portables Lead-acid'!AZ15</f>
        <v>0</v>
      </c>
      <c r="AV15" s="48">
        <f>'[3]POM Portables Lead-acid'!BA15</f>
        <v>0</v>
      </c>
      <c r="AW15" s="48">
        <f>'[3]POM Portables Lead-acid'!BB15</f>
        <v>0</v>
      </c>
      <c r="AX15" s="48">
        <f>'[3]POM Portables Lead-acid'!BC15</f>
        <v>0</v>
      </c>
      <c r="AY15" s="48">
        <f>'[3]POM Portables Lead-acid'!BD15</f>
        <v>0</v>
      </c>
      <c r="AZ15" s="48">
        <f>'[3]POM Portables Lead-acid'!BE15</f>
        <v>0</v>
      </c>
    </row>
    <row r="16" spans="1:52" x14ac:dyDescent="0.35">
      <c r="A16" s="61" t="s">
        <v>4</v>
      </c>
      <c r="B16" s="23">
        <f t="shared" si="0"/>
        <v>5.2502650204999082</v>
      </c>
      <c r="C16" s="23">
        <f t="shared" si="0"/>
        <v>5.3552703209099066</v>
      </c>
      <c r="D16" s="23">
        <f t="shared" si="0"/>
        <v>5.4623757273281051</v>
      </c>
      <c r="E16" s="23">
        <f t="shared" si="0"/>
        <v>5.5716232418746676</v>
      </c>
      <c r="F16" s="23">
        <f t="shared" si="0"/>
        <v>5.6830557067121612</v>
      </c>
      <c r="G16" s="23">
        <f t="shared" si="0"/>
        <v>5.7967168208464042</v>
      </c>
      <c r="H16" s="23">
        <f t="shared" si="0"/>
        <v>5.9126511572633325</v>
      </c>
      <c r="I16" s="23">
        <f t="shared" si="0"/>
        <v>6.0309041804085988</v>
      </c>
      <c r="J16" s="23">
        <f t="shared" si="0"/>
        <v>6.151522264016771</v>
      </c>
      <c r="K16" s="23">
        <f t="shared" si="0"/>
        <v>6.2745527092971063</v>
      </c>
      <c r="L16" s="23">
        <f t="shared" si="0"/>
        <v>6.4000437634830485</v>
      </c>
      <c r="M16" s="4">
        <f>$M$8*'[2]Eurostat POM Portables GU'!M7</f>
        <v>6.5280446387527098</v>
      </c>
      <c r="N16" s="4">
        <f>$N$8*'[2]Eurostat POM Portables GU'!N7</f>
        <v>6.2505404720180007</v>
      </c>
      <c r="O16" s="4">
        <f>$O$8*'[2]Eurostat POM Portables GU'!O7</f>
        <v>5.1136908592331132</v>
      </c>
      <c r="P16" s="4">
        <f>$P$8*'[2]Eurostat POM Portables GU'!P7</f>
        <v>4.6038559336078082</v>
      </c>
      <c r="Q16" s="4">
        <f>$Q$8*'[2]Eurostat POM Portables GU'!Q7</f>
        <v>4.2194653493740741</v>
      </c>
      <c r="R16" s="4">
        <f>$R$8*'[2]Eurostat POM Portables GU'!R7</f>
        <v>4.4958675474998921</v>
      </c>
      <c r="S16" s="4">
        <f>$S$8*'[2]Eurostat POM Portables GU'!S7</f>
        <v>7.0738982842523965</v>
      </c>
      <c r="T16" s="4">
        <f>$T$8*'[2]Eurostat POM Portables GU'!T7</f>
        <v>6.1116933533971469</v>
      </c>
      <c r="U16" s="4">
        <f>$U$8*'[2]Eurostat POM Portables GU'!U7</f>
        <v>5.8331874433266773</v>
      </c>
      <c r="V16" s="4">
        <f>$V$8*'[2]Eurostat POM Portables GU'!V7</f>
        <v>6.6730678183025542</v>
      </c>
      <c r="W16" s="4">
        <f>$W$8*'[2]Eurostat POM Portables GU'!W7</f>
        <v>5.4094939796187909</v>
      </c>
      <c r="X16" s="48">
        <f>'[3]POM Portables Lead-acid'!AC16</f>
        <v>5.517683859211167</v>
      </c>
      <c r="Y16" s="48">
        <f>'[3]POM Portables Lead-acid'!AD16</f>
        <v>5.6280375363953903</v>
      </c>
      <c r="Z16" s="48">
        <f>'[3]POM Portables Lead-acid'!AE16</f>
        <v>5.7405982871232979</v>
      </c>
      <c r="AA16" s="48">
        <f>'[3]POM Portables Lead-acid'!AF16</f>
        <v>5.7980042699945304</v>
      </c>
      <c r="AB16" s="48">
        <f>'[3]POM Portables Lead-acid'!AG16</f>
        <v>2.8990021349972652</v>
      </c>
      <c r="AC16" s="48">
        <f>'[3]POM Portables Lead-acid'!AH16</f>
        <v>0.72475053374931608</v>
      </c>
      <c r="AD16" s="48">
        <f>'[3]POM Portables Lead-acid'!AI16</f>
        <v>0</v>
      </c>
      <c r="AE16" s="48">
        <f>'[3]POM Portables Lead-acid'!AJ16</f>
        <v>0</v>
      </c>
      <c r="AF16" s="48">
        <f>'[3]POM Portables Lead-acid'!AK16</f>
        <v>0</v>
      </c>
      <c r="AG16" s="48">
        <f>'[3]POM Portables Lead-acid'!AL16</f>
        <v>0</v>
      </c>
      <c r="AH16" s="48">
        <f>'[3]POM Portables Lead-acid'!AM16</f>
        <v>0</v>
      </c>
      <c r="AI16" s="48">
        <f>'[3]POM Portables Lead-acid'!AN16</f>
        <v>0</v>
      </c>
      <c r="AJ16" s="48">
        <f>'[3]POM Portables Lead-acid'!AO16</f>
        <v>0</v>
      </c>
      <c r="AK16" s="48">
        <f>'[3]POM Portables Lead-acid'!AP16</f>
        <v>0</v>
      </c>
      <c r="AL16" s="48">
        <f>'[3]POM Portables Lead-acid'!AQ16</f>
        <v>0</v>
      </c>
      <c r="AM16" s="48">
        <f>'[3]POM Portables Lead-acid'!AR16</f>
        <v>0</v>
      </c>
      <c r="AN16" s="48">
        <f>'[3]POM Portables Lead-acid'!AS16</f>
        <v>0</v>
      </c>
      <c r="AO16" s="48">
        <f>'[3]POM Portables Lead-acid'!AT16</f>
        <v>0</v>
      </c>
      <c r="AP16" s="48">
        <f>'[3]POM Portables Lead-acid'!AU16</f>
        <v>0</v>
      </c>
      <c r="AQ16" s="48">
        <f>'[3]POM Portables Lead-acid'!AV16</f>
        <v>0</v>
      </c>
      <c r="AR16" s="48">
        <f>'[3]POM Portables Lead-acid'!AW16</f>
        <v>0</v>
      </c>
      <c r="AS16" s="48">
        <f>'[3]POM Portables Lead-acid'!AX16</f>
        <v>0</v>
      </c>
      <c r="AT16" s="48">
        <f>'[3]POM Portables Lead-acid'!AY16</f>
        <v>0</v>
      </c>
      <c r="AU16" s="48">
        <f>'[3]POM Portables Lead-acid'!AZ16</f>
        <v>0</v>
      </c>
      <c r="AV16" s="48">
        <f>'[3]POM Portables Lead-acid'!BA16</f>
        <v>0</v>
      </c>
      <c r="AW16" s="48">
        <f>'[3]POM Portables Lead-acid'!BB16</f>
        <v>0</v>
      </c>
      <c r="AX16" s="48">
        <f>'[3]POM Portables Lead-acid'!BC16</f>
        <v>0</v>
      </c>
      <c r="AY16" s="48">
        <f>'[3]POM Portables Lead-acid'!BD16</f>
        <v>0</v>
      </c>
      <c r="AZ16" s="48">
        <f>'[3]POM Portables Lead-acid'!BE16</f>
        <v>0</v>
      </c>
    </row>
    <row r="17" spans="1:52" x14ac:dyDescent="0.35">
      <c r="A17" s="61" t="s">
        <v>5</v>
      </c>
      <c r="B17" s="23">
        <f t="shared" si="0"/>
        <v>64.50053449349997</v>
      </c>
      <c r="C17" s="23">
        <f t="shared" si="0"/>
        <v>65.790545183369971</v>
      </c>
      <c r="D17" s="23">
        <f t="shared" si="0"/>
        <v>67.106356087037369</v>
      </c>
      <c r="E17" s="23">
        <f t="shared" si="0"/>
        <v>68.448483208778114</v>
      </c>
      <c r="F17" s="23">
        <f t="shared" si="0"/>
        <v>69.81745287295368</v>
      </c>
      <c r="G17" s="23">
        <f t="shared" si="0"/>
        <v>71.213801930412757</v>
      </c>
      <c r="H17" s="23">
        <f t="shared" si="0"/>
        <v>72.638077969021012</v>
      </c>
      <c r="I17" s="23">
        <f t="shared" si="0"/>
        <v>74.090839528401432</v>
      </c>
      <c r="J17" s="23">
        <f t="shared" si="0"/>
        <v>75.572656318969464</v>
      </c>
      <c r="K17" s="23">
        <f t="shared" si="0"/>
        <v>77.084109445348858</v>
      </c>
      <c r="L17" s="23">
        <f t="shared" si="0"/>
        <v>78.625791634255833</v>
      </c>
      <c r="M17" s="4">
        <f>$M$8*'[2]Eurostat POM Portables GU'!M8</f>
        <v>80.198307466940946</v>
      </c>
      <c r="N17" s="4">
        <f>$N$8*'[2]Eurostat POM Portables GU'!N8</f>
        <v>90.577723067052489</v>
      </c>
      <c r="O17" s="4">
        <f>$O$8*'[2]Eurostat POM Portables GU'!O8</f>
        <v>93.768027693530257</v>
      </c>
      <c r="P17" s="4">
        <f>$P$8*'[2]Eurostat POM Portables GU'!P8</f>
        <v>96.220589012403195</v>
      </c>
      <c r="Q17" s="4">
        <f>$Q$8*'[2]Eurostat POM Portables GU'!Q8</f>
        <v>81.21446655470001</v>
      </c>
      <c r="R17" s="4">
        <f>$R$8*'[2]Eurostat POM Portables GU'!R8</f>
        <v>86.231165709630631</v>
      </c>
      <c r="S17" s="4">
        <f>$S$8*'[2]Eurostat POM Portables GU'!S8</f>
        <v>123.38335891502894</v>
      </c>
      <c r="T17" s="4">
        <f>$T$8*'[2]Eurostat POM Portables GU'!T8</f>
        <v>122.47591432946361</v>
      </c>
      <c r="U17" s="4">
        <f>$U$8*'[2]Eurostat POM Portables GU'!U8</f>
        <v>143.09642110972243</v>
      </c>
      <c r="V17" s="4">
        <f>$V$8*'[2]Eurostat POM Portables GU'!V8</f>
        <v>163.14500286815556</v>
      </c>
      <c r="W17" s="4">
        <f>$W$8*'[2]Eurostat POM Portables GU'!W8</f>
        <v>142.95342973550976</v>
      </c>
      <c r="X17" s="48">
        <f>'[3]POM Portables Lead-acid'!AC17</f>
        <v>145.81249833021997</v>
      </c>
      <c r="Y17" s="48">
        <f>'[3]POM Portables Lead-acid'!AD17</f>
        <v>148.72874829682436</v>
      </c>
      <c r="Z17" s="48">
        <f>'[3]POM Portables Lead-acid'!AE17</f>
        <v>151.70332326276085</v>
      </c>
      <c r="AA17" s="48">
        <f>'[3]POM Portables Lead-acid'!AF17</f>
        <v>153.22035649538844</v>
      </c>
      <c r="AB17" s="48">
        <f>'[3]POM Portables Lead-acid'!AG17</f>
        <v>76.610178247694222</v>
      </c>
      <c r="AC17" s="48">
        <f>'[3]POM Portables Lead-acid'!AH17</f>
        <v>19.152544561923555</v>
      </c>
      <c r="AD17" s="48">
        <f>'[3]POM Portables Lead-acid'!AI17</f>
        <v>0</v>
      </c>
      <c r="AE17" s="48">
        <f>'[3]POM Portables Lead-acid'!AJ17</f>
        <v>0</v>
      </c>
      <c r="AF17" s="48">
        <f>'[3]POM Portables Lead-acid'!AK17</f>
        <v>0</v>
      </c>
      <c r="AG17" s="48">
        <f>'[3]POM Portables Lead-acid'!AL17</f>
        <v>0</v>
      </c>
      <c r="AH17" s="48">
        <f>'[3]POM Portables Lead-acid'!AM17</f>
        <v>0</v>
      </c>
      <c r="AI17" s="48">
        <f>'[3]POM Portables Lead-acid'!AN17</f>
        <v>0</v>
      </c>
      <c r="AJ17" s="48">
        <f>'[3]POM Portables Lead-acid'!AO17</f>
        <v>0</v>
      </c>
      <c r="AK17" s="48">
        <f>'[3]POM Portables Lead-acid'!AP17</f>
        <v>0</v>
      </c>
      <c r="AL17" s="48">
        <f>'[3]POM Portables Lead-acid'!AQ17</f>
        <v>0</v>
      </c>
      <c r="AM17" s="48">
        <f>'[3]POM Portables Lead-acid'!AR17</f>
        <v>0</v>
      </c>
      <c r="AN17" s="48">
        <f>'[3]POM Portables Lead-acid'!AS17</f>
        <v>0</v>
      </c>
      <c r="AO17" s="48">
        <f>'[3]POM Portables Lead-acid'!AT17</f>
        <v>0</v>
      </c>
      <c r="AP17" s="48">
        <f>'[3]POM Portables Lead-acid'!AU17</f>
        <v>0</v>
      </c>
      <c r="AQ17" s="48">
        <f>'[3]POM Portables Lead-acid'!AV17</f>
        <v>0</v>
      </c>
      <c r="AR17" s="48">
        <f>'[3]POM Portables Lead-acid'!AW17</f>
        <v>0</v>
      </c>
      <c r="AS17" s="48">
        <f>'[3]POM Portables Lead-acid'!AX17</f>
        <v>0</v>
      </c>
      <c r="AT17" s="48">
        <f>'[3]POM Portables Lead-acid'!AY17</f>
        <v>0</v>
      </c>
      <c r="AU17" s="48">
        <f>'[3]POM Portables Lead-acid'!AZ17</f>
        <v>0</v>
      </c>
      <c r="AV17" s="48">
        <f>'[3]POM Portables Lead-acid'!BA17</f>
        <v>0</v>
      </c>
      <c r="AW17" s="48">
        <f>'[3]POM Portables Lead-acid'!BB17</f>
        <v>0</v>
      </c>
      <c r="AX17" s="48">
        <f>'[3]POM Portables Lead-acid'!BC17</f>
        <v>0</v>
      </c>
      <c r="AY17" s="48">
        <f>'[3]POM Portables Lead-acid'!BD17</f>
        <v>0</v>
      </c>
      <c r="AZ17" s="48">
        <f>'[3]POM Portables Lead-acid'!BE17</f>
        <v>0</v>
      </c>
    </row>
    <row r="18" spans="1:52" x14ac:dyDescent="0.35">
      <c r="A18" s="61" t="s">
        <v>6</v>
      </c>
      <c r="B18" s="23">
        <f t="shared" si="0"/>
        <v>64.42814332122893</v>
      </c>
      <c r="C18" s="23">
        <f t="shared" si="0"/>
        <v>65.716706187653514</v>
      </c>
      <c r="D18" s="23">
        <f t="shared" si="0"/>
        <v>67.031040311406585</v>
      </c>
      <c r="E18" s="23">
        <f t="shared" si="0"/>
        <v>68.371661117634716</v>
      </c>
      <c r="F18" s="23">
        <f t="shared" si="0"/>
        <v>69.739094339987417</v>
      </c>
      <c r="G18" s="23">
        <f t="shared" si="0"/>
        <v>71.133876226787166</v>
      </c>
      <c r="H18" s="23">
        <f t="shared" si="0"/>
        <v>72.556553751322909</v>
      </c>
      <c r="I18" s="23">
        <f t="shared" si="0"/>
        <v>74.007684826349362</v>
      </c>
      <c r="J18" s="23">
        <f t="shared" si="0"/>
        <v>75.487838522876345</v>
      </c>
      <c r="K18" s="23">
        <f t="shared" si="0"/>
        <v>76.997595293333873</v>
      </c>
      <c r="L18" s="23">
        <f t="shared" si="0"/>
        <v>78.537547199200546</v>
      </c>
      <c r="M18" s="4">
        <f>$M$8*'[2]Eurostat POM Portables GU'!M9</f>
        <v>80.108298143184555</v>
      </c>
      <c r="N18" s="4">
        <f>$N$8*'[2]Eurostat POM Portables GU'!N9</f>
        <v>89.736441505250667</v>
      </c>
      <c r="O18" s="4">
        <f>$O$8*'[2]Eurostat POM Portables GU'!O9</f>
        <v>80.000398457133414</v>
      </c>
      <c r="P18" s="4">
        <f>$P$8*'[2]Eurostat POM Portables GU'!P9</f>
        <v>85.21979641315086</v>
      </c>
      <c r="Q18" s="4">
        <f>$Q$8*'[2]Eurostat POM Portables GU'!Q9</f>
        <v>75.561202300198829</v>
      </c>
      <c r="R18" s="4">
        <f>$R$8*'[2]Eurostat POM Portables GU'!R9</f>
        <v>83.908655933907937</v>
      </c>
      <c r="S18" s="4">
        <f>$S$8*'[2]Eurostat POM Portables GU'!S9</f>
        <v>112.18048995842321</v>
      </c>
      <c r="T18" s="4">
        <f>$T$8*'[2]Eurostat POM Portables GU'!T9</f>
        <v>135.39518691312986</v>
      </c>
      <c r="U18" s="4">
        <f>$U$8*'[2]Eurostat POM Portables GU'!U9</f>
        <v>134.46330369359896</v>
      </c>
      <c r="V18" s="4">
        <f>$V$8*'[2]Eurostat POM Portables GU'!V9</f>
        <v>162.12596295501575</v>
      </c>
      <c r="W18" s="4">
        <f>$W$8*'[2]Eurostat POM Portables GU'!W9</f>
        <v>140.4271685876675</v>
      </c>
      <c r="X18" s="48">
        <f>'[3]POM Portables Lead-acid'!AC18</f>
        <v>143.23571195942085</v>
      </c>
      <c r="Y18" s="48">
        <f>'[3]POM Portables Lead-acid'!AD18</f>
        <v>146.10042619860928</v>
      </c>
      <c r="Z18" s="48">
        <f>'[3]POM Portables Lead-acid'!AE18</f>
        <v>149.02243472258147</v>
      </c>
      <c r="AA18" s="48">
        <f>'[3]POM Portables Lead-acid'!AF18</f>
        <v>150.51265906980728</v>
      </c>
      <c r="AB18" s="48">
        <f>'[3]POM Portables Lead-acid'!AG18</f>
        <v>75.256329534903642</v>
      </c>
      <c r="AC18" s="48">
        <f>'[3]POM Portables Lead-acid'!AH18</f>
        <v>18.814082383725911</v>
      </c>
      <c r="AD18" s="48">
        <f>'[3]POM Portables Lead-acid'!AI18</f>
        <v>0</v>
      </c>
      <c r="AE18" s="48">
        <f>'[3]POM Portables Lead-acid'!AJ18</f>
        <v>0</v>
      </c>
      <c r="AF18" s="48">
        <f>'[3]POM Portables Lead-acid'!AK18</f>
        <v>0</v>
      </c>
      <c r="AG18" s="48">
        <f>'[3]POM Portables Lead-acid'!AL18</f>
        <v>0</v>
      </c>
      <c r="AH18" s="48">
        <f>'[3]POM Portables Lead-acid'!AM18</f>
        <v>0</v>
      </c>
      <c r="AI18" s="48">
        <f>'[3]POM Portables Lead-acid'!AN18</f>
        <v>0</v>
      </c>
      <c r="AJ18" s="48">
        <f>'[3]POM Portables Lead-acid'!AO18</f>
        <v>0</v>
      </c>
      <c r="AK18" s="48">
        <f>'[3]POM Portables Lead-acid'!AP18</f>
        <v>0</v>
      </c>
      <c r="AL18" s="48">
        <f>'[3]POM Portables Lead-acid'!AQ18</f>
        <v>0</v>
      </c>
      <c r="AM18" s="48">
        <f>'[3]POM Portables Lead-acid'!AR18</f>
        <v>0</v>
      </c>
      <c r="AN18" s="48">
        <f>'[3]POM Portables Lead-acid'!AS18</f>
        <v>0</v>
      </c>
      <c r="AO18" s="48">
        <f>'[3]POM Portables Lead-acid'!AT18</f>
        <v>0</v>
      </c>
      <c r="AP18" s="48">
        <f>'[3]POM Portables Lead-acid'!AU18</f>
        <v>0</v>
      </c>
      <c r="AQ18" s="48">
        <f>'[3]POM Portables Lead-acid'!AV18</f>
        <v>0</v>
      </c>
      <c r="AR18" s="48">
        <f>'[3]POM Portables Lead-acid'!AW18</f>
        <v>0</v>
      </c>
      <c r="AS18" s="48">
        <f>'[3]POM Portables Lead-acid'!AX18</f>
        <v>0</v>
      </c>
      <c r="AT18" s="48">
        <f>'[3]POM Portables Lead-acid'!AY18</f>
        <v>0</v>
      </c>
      <c r="AU18" s="48">
        <f>'[3]POM Portables Lead-acid'!AZ18</f>
        <v>0</v>
      </c>
      <c r="AV18" s="48">
        <f>'[3]POM Portables Lead-acid'!BA18</f>
        <v>0</v>
      </c>
      <c r="AW18" s="48">
        <f>'[3]POM Portables Lead-acid'!BB18</f>
        <v>0</v>
      </c>
      <c r="AX18" s="48">
        <f>'[3]POM Portables Lead-acid'!BC18</f>
        <v>0</v>
      </c>
      <c r="AY18" s="48">
        <f>'[3]POM Portables Lead-acid'!BD18</f>
        <v>0</v>
      </c>
      <c r="AZ18" s="48">
        <f>'[3]POM Portables Lead-acid'!BE18</f>
        <v>0</v>
      </c>
    </row>
    <row r="19" spans="1:52" x14ac:dyDescent="0.35">
      <c r="A19" s="61" t="s">
        <v>7</v>
      </c>
      <c r="B19" s="23">
        <f t="shared" si="0"/>
        <v>9.0893212885012975</v>
      </c>
      <c r="C19" s="23">
        <f t="shared" si="0"/>
        <v>9.2711077142713236</v>
      </c>
      <c r="D19" s="23">
        <f t="shared" si="0"/>
        <v>9.4565298685567498</v>
      </c>
      <c r="E19" s="23">
        <f t="shared" si="0"/>
        <v>9.6456604659278842</v>
      </c>
      <c r="F19" s="23">
        <f t="shared" si="0"/>
        <v>9.8385736752464421</v>
      </c>
      <c r="G19" s="23">
        <f t="shared" si="0"/>
        <v>10.035345148751372</v>
      </c>
      <c r="H19" s="23">
        <f t="shared" si="0"/>
        <v>10.2360520517264</v>
      </c>
      <c r="I19" s="23">
        <f t="shared" si="0"/>
        <v>10.440773092760928</v>
      </c>
      <c r="J19" s="23">
        <f t="shared" si="0"/>
        <v>10.649588554616146</v>
      </c>
      <c r="K19" s="23">
        <f t="shared" si="0"/>
        <v>10.862580325708469</v>
      </c>
      <c r="L19" s="23">
        <f t="shared" si="0"/>
        <v>11.079831932222639</v>
      </c>
      <c r="M19" s="4">
        <f>$M$8*'[2]Eurostat POM Portables GU'!M10</f>
        <v>11.301428570867092</v>
      </c>
      <c r="N19" s="4">
        <f>$N$8*'[2]Eurostat POM Portables GU'!N10</f>
        <v>12.614172118157629</v>
      </c>
      <c r="O19" s="4">
        <f>$O$8*'[2]Eurostat POM Portables GU'!O10</f>
        <v>11.904197222142932</v>
      </c>
      <c r="P19" s="4">
        <f>$P$8*'[2]Eurostat POM Portables GU'!P10</f>
        <v>10.867571547026154</v>
      </c>
      <c r="Q19" s="4">
        <f>$Q$8*'[2]Eurostat POM Portables GU'!Q10</f>
        <v>9.504038456842574</v>
      </c>
      <c r="R19" s="4">
        <f>$R$8*'[2]Eurostat POM Portables GU'!R10</f>
        <v>10.206258555698808</v>
      </c>
      <c r="S19" s="4">
        <f>$S$8*'[2]Eurostat POM Portables GU'!S10</f>
        <v>14.846078373388078</v>
      </c>
      <c r="T19" s="4">
        <f>$T$8*'[2]Eurostat POM Portables GU'!T10</f>
        <v>14.613603414310999</v>
      </c>
      <c r="U19" s="4">
        <f>$U$8*'[2]Eurostat POM Portables GU'!U10</f>
        <v>15.832937346172409</v>
      </c>
      <c r="V19" s="4">
        <f>$V$8*'[2]Eurostat POM Portables GU'!V10</f>
        <v>17.816762352315195</v>
      </c>
      <c r="W19" s="4">
        <f>$W$8*'[2]Eurostat POM Portables GU'!W10</f>
        <v>14.278867357369396</v>
      </c>
      <c r="X19" s="48">
        <f>'[3]POM Portables Lead-acid'!AC19</f>
        <v>14.564444704516784</v>
      </c>
      <c r="Y19" s="48">
        <f>'[3]POM Portables Lead-acid'!AD19</f>
        <v>14.85573359860712</v>
      </c>
      <c r="Z19" s="48">
        <f>'[3]POM Portables Lead-acid'!AE19</f>
        <v>15.152848270579263</v>
      </c>
      <c r="AA19" s="48">
        <f>'[3]POM Portables Lead-acid'!AF19</f>
        <v>15.304376753285055</v>
      </c>
      <c r="AB19" s="48">
        <f>'[3]POM Portables Lead-acid'!AG19</f>
        <v>7.6521883766425276</v>
      </c>
      <c r="AC19" s="48">
        <f>'[3]POM Portables Lead-acid'!AH19</f>
        <v>1.9130470941606319</v>
      </c>
      <c r="AD19" s="48">
        <f>'[3]POM Portables Lead-acid'!AI19</f>
        <v>0</v>
      </c>
      <c r="AE19" s="48">
        <f>'[3]POM Portables Lead-acid'!AJ19</f>
        <v>0</v>
      </c>
      <c r="AF19" s="48">
        <f>'[3]POM Portables Lead-acid'!AK19</f>
        <v>0</v>
      </c>
      <c r="AG19" s="48">
        <f>'[3]POM Portables Lead-acid'!AL19</f>
        <v>0</v>
      </c>
      <c r="AH19" s="48">
        <f>'[3]POM Portables Lead-acid'!AM19</f>
        <v>0</v>
      </c>
      <c r="AI19" s="48">
        <f>'[3]POM Portables Lead-acid'!AN19</f>
        <v>0</v>
      </c>
      <c r="AJ19" s="48">
        <f>'[3]POM Portables Lead-acid'!AO19</f>
        <v>0</v>
      </c>
      <c r="AK19" s="48">
        <f>'[3]POM Portables Lead-acid'!AP19</f>
        <v>0</v>
      </c>
      <c r="AL19" s="48">
        <f>'[3]POM Portables Lead-acid'!AQ19</f>
        <v>0</v>
      </c>
      <c r="AM19" s="48">
        <f>'[3]POM Portables Lead-acid'!AR19</f>
        <v>0</v>
      </c>
      <c r="AN19" s="48">
        <f>'[3]POM Portables Lead-acid'!AS19</f>
        <v>0</v>
      </c>
      <c r="AO19" s="48">
        <f>'[3]POM Portables Lead-acid'!AT19</f>
        <v>0</v>
      </c>
      <c r="AP19" s="48">
        <f>'[3]POM Portables Lead-acid'!AU19</f>
        <v>0</v>
      </c>
      <c r="AQ19" s="48">
        <f>'[3]POM Portables Lead-acid'!AV19</f>
        <v>0</v>
      </c>
      <c r="AR19" s="48">
        <f>'[3]POM Portables Lead-acid'!AW19</f>
        <v>0</v>
      </c>
      <c r="AS19" s="48">
        <f>'[3]POM Portables Lead-acid'!AX19</f>
        <v>0</v>
      </c>
      <c r="AT19" s="48">
        <f>'[3]POM Portables Lead-acid'!AY19</f>
        <v>0</v>
      </c>
      <c r="AU19" s="48">
        <f>'[3]POM Portables Lead-acid'!AZ19</f>
        <v>0</v>
      </c>
      <c r="AV19" s="48">
        <f>'[3]POM Portables Lead-acid'!BA19</f>
        <v>0</v>
      </c>
      <c r="AW19" s="48">
        <f>'[3]POM Portables Lead-acid'!BB19</f>
        <v>0</v>
      </c>
      <c r="AX19" s="48">
        <f>'[3]POM Portables Lead-acid'!BC19</f>
        <v>0</v>
      </c>
      <c r="AY19" s="48">
        <f>'[3]POM Portables Lead-acid'!BD19</f>
        <v>0</v>
      </c>
      <c r="AZ19" s="48">
        <f>'[3]POM Portables Lead-acid'!BE19</f>
        <v>0</v>
      </c>
    </row>
    <row r="20" spans="1:52" x14ac:dyDescent="0.35">
      <c r="A20" s="61" t="s">
        <v>8</v>
      </c>
      <c r="B20" s="23">
        <f t="shared" si="0"/>
        <v>52.636002364445737</v>
      </c>
      <c r="C20" s="23">
        <f t="shared" si="0"/>
        <v>53.688722411734652</v>
      </c>
      <c r="D20" s="23">
        <f t="shared" si="0"/>
        <v>54.762496859969346</v>
      </c>
      <c r="E20" s="23">
        <f t="shared" si="0"/>
        <v>55.857746797168737</v>
      </c>
      <c r="F20" s="23">
        <f t="shared" si="0"/>
        <v>56.974901733112112</v>
      </c>
      <c r="G20" s="23">
        <f t="shared" si="0"/>
        <v>58.114399767774358</v>
      </c>
      <c r="H20" s="23">
        <f t="shared" si="0"/>
        <v>59.27668776312985</v>
      </c>
      <c r="I20" s="23">
        <f t="shared" si="0"/>
        <v>60.462221518392447</v>
      </c>
      <c r="J20" s="23">
        <f t="shared" si="0"/>
        <v>61.6714659487603</v>
      </c>
      <c r="K20" s="23">
        <f t="shared" si="0"/>
        <v>62.904895267735505</v>
      </c>
      <c r="L20" s="23">
        <f t="shared" si="0"/>
        <v>64.162993173090214</v>
      </c>
      <c r="M20" s="4">
        <f>$M$8*'[2]Eurostat POM Portables GU'!M11</f>
        <v>65.446253036552022</v>
      </c>
      <c r="N20" s="4">
        <f>$N$8*'[2]Eurostat POM Portables GU'!N11</f>
        <v>66.67243170152534</v>
      </c>
      <c r="O20" s="4">
        <f>$O$8*'[2]Eurostat POM Portables GU'!O11</f>
        <v>69.04248947306246</v>
      </c>
      <c r="P20" s="4">
        <f>$P$8*'[2]Eurostat POM Portables GU'!P11</f>
        <v>64.235905684180523</v>
      </c>
      <c r="Q20" s="4">
        <f>$Q$8*'[2]Eurostat POM Portables GU'!Q11</f>
        <v>58.662858061200716</v>
      </c>
      <c r="R20" s="4">
        <f>$R$8*'[2]Eurostat POM Portables GU'!R11</f>
        <v>64.476280562723574</v>
      </c>
      <c r="S20" s="4">
        <f>$S$8*'[2]Eurostat POM Portables GU'!S11</f>
        <v>96.545049544732279</v>
      </c>
      <c r="T20" s="4">
        <f>$T$8*'[2]Eurostat POM Portables GU'!T11</f>
        <v>104.68544060769369</v>
      </c>
      <c r="U20" s="4">
        <f>$U$8*'[2]Eurostat POM Portables GU'!U11</f>
        <v>120.53031882896722</v>
      </c>
      <c r="V20" s="4">
        <f>$V$8*'[2]Eurostat POM Portables GU'!V11</f>
        <v>119.1947975820939</v>
      </c>
      <c r="W20" s="4">
        <f>$W$8*'[2]Eurostat POM Portables GU'!W11</f>
        <v>111.64975899050764</v>
      </c>
      <c r="X20" s="48">
        <f>'[3]POM Portables Lead-acid'!AC20</f>
        <v>113.88275417031778</v>
      </c>
      <c r="Y20" s="48">
        <f>'[3]POM Portables Lead-acid'!AD20</f>
        <v>116.16040925372414</v>
      </c>
      <c r="Z20" s="48">
        <f>'[3]POM Portables Lead-acid'!AE20</f>
        <v>118.48361743879862</v>
      </c>
      <c r="AA20" s="48">
        <f>'[3]POM Portables Lead-acid'!AF20</f>
        <v>119.6684536131866</v>
      </c>
      <c r="AB20" s="48">
        <f>'[3]POM Portables Lead-acid'!AG20</f>
        <v>59.8342268065933</v>
      </c>
      <c r="AC20" s="48">
        <f>'[3]POM Portables Lead-acid'!AH20</f>
        <v>14.958556701648327</v>
      </c>
      <c r="AD20" s="48">
        <f>'[3]POM Portables Lead-acid'!AI20</f>
        <v>0</v>
      </c>
      <c r="AE20" s="48">
        <f>'[3]POM Portables Lead-acid'!AJ20</f>
        <v>0</v>
      </c>
      <c r="AF20" s="48">
        <f>'[3]POM Portables Lead-acid'!AK20</f>
        <v>0</v>
      </c>
      <c r="AG20" s="48">
        <f>'[3]POM Portables Lead-acid'!AL20</f>
        <v>0</v>
      </c>
      <c r="AH20" s="48">
        <f>'[3]POM Portables Lead-acid'!AM20</f>
        <v>0</v>
      </c>
      <c r="AI20" s="48">
        <f>'[3]POM Portables Lead-acid'!AN20</f>
        <v>0</v>
      </c>
      <c r="AJ20" s="48">
        <f>'[3]POM Portables Lead-acid'!AO20</f>
        <v>0</v>
      </c>
      <c r="AK20" s="48">
        <f>'[3]POM Portables Lead-acid'!AP20</f>
        <v>0</v>
      </c>
      <c r="AL20" s="48">
        <f>'[3]POM Portables Lead-acid'!AQ20</f>
        <v>0</v>
      </c>
      <c r="AM20" s="48">
        <f>'[3]POM Portables Lead-acid'!AR20</f>
        <v>0</v>
      </c>
      <c r="AN20" s="48">
        <f>'[3]POM Portables Lead-acid'!AS20</f>
        <v>0</v>
      </c>
      <c r="AO20" s="48">
        <f>'[3]POM Portables Lead-acid'!AT20</f>
        <v>0</v>
      </c>
      <c r="AP20" s="48">
        <f>'[3]POM Portables Lead-acid'!AU20</f>
        <v>0</v>
      </c>
      <c r="AQ20" s="48">
        <f>'[3]POM Portables Lead-acid'!AV20</f>
        <v>0</v>
      </c>
      <c r="AR20" s="48">
        <f>'[3]POM Portables Lead-acid'!AW20</f>
        <v>0</v>
      </c>
      <c r="AS20" s="48">
        <f>'[3]POM Portables Lead-acid'!AX20</f>
        <v>0</v>
      </c>
      <c r="AT20" s="48">
        <f>'[3]POM Portables Lead-acid'!AY20</f>
        <v>0</v>
      </c>
      <c r="AU20" s="48">
        <f>'[3]POM Portables Lead-acid'!AZ20</f>
        <v>0</v>
      </c>
      <c r="AV20" s="48">
        <f>'[3]POM Portables Lead-acid'!BA20</f>
        <v>0</v>
      </c>
      <c r="AW20" s="48">
        <f>'[3]POM Portables Lead-acid'!BB20</f>
        <v>0</v>
      </c>
      <c r="AX20" s="48">
        <f>'[3]POM Portables Lead-acid'!BC20</f>
        <v>0</v>
      </c>
      <c r="AY20" s="48">
        <f>'[3]POM Portables Lead-acid'!BD20</f>
        <v>0</v>
      </c>
      <c r="AZ20" s="48">
        <f>'[3]POM Portables Lead-acid'!BE20</f>
        <v>0</v>
      </c>
    </row>
    <row r="21" spans="1:52" x14ac:dyDescent="0.35">
      <c r="A21" s="61" t="s">
        <v>9</v>
      </c>
      <c r="B21" s="23">
        <f t="shared" si="0"/>
        <v>657.24005281137022</v>
      </c>
      <c r="C21" s="23">
        <f t="shared" si="0"/>
        <v>670.3848538675976</v>
      </c>
      <c r="D21" s="23">
        <f t="shared" si="0"/>
        <v>683.79255094494954</v>
      </c>
      <c r="E21" s="23">
        <f t="shared" si="0"/>
        <v>697.46840196384858</v>
      </c>
      <c r="F21" s="23">
        <f t="shared" si="0"/>
        <v>711.41777000312561</v>
      </c>
      <c r="G21" s="23">
        <f t="shared" si="0"/>
        <v>725.64612540318808</v>
      </c>
      <c r="H21" s="23">
        <f t="shared" si="0"/>
        <v>740.15904791125183</v>
      </c>
      <c r="I21" s="23">
        <f t="shared" si="0"/>
        <v>754.96222886947692</v>
      </c>
      <c r="J21" s="23">
        <f t="shared" si="0"/>
        <v>770.06147344686644</v>
      </c>
      <c r="K21" s="23">
        <f t="shared" si="0"/>
        <v>785.46270291580379</v>
      </c>
      <c r="L21" s="23">
        <f t="shared" si="0"/>
        <v>801.17195697411989</v>
      </c>
      <c r="M21" s="4">
        <f>M5*'[2]Eurostat POM Portables GU'!M12</f>
        <v>817.19539611360233</v>
      </c>
      <c r="N21" s="4">
        <f>N5*'[2]Eurostat POM Portables GU'!N12</f>
        <v>862.30194727381661</v>
      </c>
      <c r="O21" s="4">
        <f>O5*'[2]Eurostat POM Portables GU'!O12</f>
        <v>948.68285981703457</v>
      </c>
      <c r="P21" s="4">
        <f>P5*'[2]Eurostat POM Portables GU'!P12</f>
        <v>863.72408074752047</v>
      </c>
      <c r="Q21" s="4">
        <f>Q5*'[2]Eurostat POM Portables GU'!Q12</f>
        <v>755</v>
      </c>
      <c r="R21" s="4">
        <f>R5*'[2]Eurostat POM Portables GU'!R12</f>
        <v>705</v>
      </c>
      <c r="S21" s="4">
        <f>S5*'[2]Eurostat POM Portables GU'!S12</f>
        <v>860</v>
      </c>
      <c r="T21" s="4">
        <f>T5*'[2]Eurostat POM Portables GU'!T12</f>
        <v>951.06609453054955</v>
      </c>
      <c r="U21" s="4">
        <f>U5*'[2]Eurostat POM Portables GU'!U12</f>
        <v>966.12291336663827</v>
      </c>
      <c r="V21" s="4">
        <f>V5*'[2]Eurostat POM Portables GU'!V12</f>
        <v>1383.7900151458864</v>
      </c>
      <c r="W21" s="4">
        <f>$W$8*'[2]Eurostat POM Portables GU'!W12</f>
        <v>1035.0531272474655</v>
      </c>
      <c r="X21" s="48">
        <f>'[3]POM Portables Lead-acid'!AC21</f>
        <v>1055.7541897924148</v>
      </c>
      <c r="Y21" s="48">
        <f>'[3]POM Portables Lead-acid'!AD21</f>
        <v>1076.869273588263</v>
      </c>
      <c r="Z21" s="48">
        <f>'[3]POM Portables Lead-acid'!AE21</f>
        <v>1098.4066590600282</v>
      </c>
      <c r="AA21" s="48">
        <f>'[3]POM Portables Lead-acid'!AF21</f>
        <v>1109.3907256506286</v>
      </c>
      <c r="AB21" s="48">
        <f>'[3]POM Portables Lead-acid'!AG21</f>
        <v>554.69536282531431</v>
      </c>
      <c r="AC21" s="48">
        <f>'[3]POM Portables Lead-acid'!AH21</f>
        <v>138.67384070632858</v>
      </c>
      <c r="AD21" s="48">
        <f>'[3]POM Portables Lead-acid'!AI21</f>
        <v>0</v>
      </c>
      <c r="AE21" s="48">
        <f>'[3]POM Portables Lead-acid'!AJ21</f>
        <v>0</v>
      </c>
      <c r="AF21" s="48">
        <f>'[3]POM Portables Lead-acid'!AK21</f>
        <v>0</v>
      </c>
      <c r="AG21" s="48">
        <f>'[3]POM Portables Lead-acid'!AL21</f>
        <v>0</v>
      </c>
      <c r="AH21" s="48">
        <f>'[3]POM Portables Lead-acid'!AM21</f>
        <v>0</v>
      </c>
      <c r="AI21" s="48">
        <f>'[3]POM Portables Lead-acid'!AN21</f>
        <v>0</v>
      </c>
      <c r="AJ21" s="48">
        <f>'[3]POM Portables Lead-acid'!AO21</f>
        <v>0</v>
      </c>
      <c r="AK21" s="48">
        <f>'[3]POM Portables Lead-acid'!AP21</f>
        <v>0</v>
      </c>
      <c r="AL21" s="48">
        <f>'[3]POM Portables Lead-acid'!AQ21</f>
        <v>0</v>
      </c>
      <c r="AM21" s="48">
        <f>'[3]POM Portables Lead-acid'!AR21</f>
        <v>0</v>
      </c>
      <c r="AN21" s="48">
        <f>'[3]POM Portables Lead-acid'!AS21</f>
        <v>0</v>
      </c>
      <c r="AO21" s="48">
        <f>'[3]POM Portables Lead-acid'!AT21</f>
        <v>0</v>
      </c>
      <c r="AP21" s="48">
        <f>'[3]POM Portables Lead-acid'!AU21</f>
        <v>0</v>
      </c>
      <c r="AQ21" s="48">
        <f>'[3]POM Portables Lead-acid'!AV21</f>
        <v>0</v>
      </c>
      <c r="AR21" s="48">
        <f>'[3]POM Portables Lead-acid'!AW21</f>
        <v>0</v>
      </c>
      <c r="AS21" s="48">
        <f>'[3]POM Portables Lead-acid'!AX21</f>
        <v>0</v>
      </c>
      <c r="AT21" s="48">
        <f>'[3]POM Portables Lead-acid'!AY21</f>
        <v>0</v>
      </c>
      <c r="AU21" s="48">
        <f>'[3]POM Portables Lead-acid'!AZ21</f>
        <v>0</v>
      </c>
      <c r="AV21" s="48">
        <f>'[3]POM Portables Lead-acid'!BA21</f>
        <v>0</v>
      </c>
      <c r="AW21" s="48">
        <f>'[3]POM Portables Lead-acid'!BB21</f>
        <v>0</v>
      </c>
      <c r="AX21" s="48">
        <f>'[3]POM Portables Lead-acid'!BC21</f>
        <v>0</v>
      </c>
      <c r="AY21" s="48">
        <f>'[3]POM Portables Lead-acid'!BD21</f>
        <v>0</v>
      </c>
      <c r="AZ21" s="48">
        <f>'[3]POM Portables Lead-acid'!BE21</f>
        <v>0</v>
      </c>
    </row>
    <row r="22" spans="1:52" x14ac:dyDescent="0.35">
      <c r="A22" s="61" t="s">
        <v>10</v>
      </c>
      <c r="B22" s="23">
        <f t="shared" si="0"/>
        <v>893.94941332571068</v>
      </c>
      <c r="C22" s="23">
        <f t="shared" si="0"/>
        <v>911.82840159222496</v>
      </c>
      <c r="D22" s="23">
        <f t="shared" si="0"/>
        <v>930.06496962406948</v>
      </c>
      <c r="E22" s="23">
        <f t="shared" si="0"/>
        <v>948.66626901655093</v>
      </c>
      <c r="F22" s="23">
        <f t="shared" si="0"/>
        <v>967.63959439688199</v>
      </c>
      <c r="G22" s="23">
        <f t="shared" si="0"/>
        <v>986.99238628481964</v>
      </c>
      <c r="H22" s="23">
        <f t="shared" si="0"/>
        <v>1006.7322340105161</v>
      </c>
      <c r="I22" s="23">
        <f t="shared" si="0"/>
        <v>1026.8668786907265</v>
      </c>
      <c r="J22" s="23">
        <f t="shared" si="0"/>
        <v>1047.404216264541</v>
      </c>
      <c r="K22" s="23">
        <f t="shared" si="0"/>
        <v>1068.3523005898319</v>
      </c>
      <c r="L22" s="23">
        <f t="shared" si="0"/>
        <v>1089.7193466016286</v>
      </c>
      <c r="M22" s="4">
        <f>M4*'[2]Eurostat POM Portables GU'!M13</f>
        <v>1111.5137335336613</v>
      </c>
      <c r="N22" s="4">
        <f>N4*'[2]Eurostat POM Portables GU'!N13</f>
        <v>1068.4141507256938</v>
      </c>
      <c r="O22" s="4">
        <f>O4*'[2]Eurostat POM Portables GU'!O13</f>
        <v>1099.5398957530149</v>
      </c>
      <c r="P22" s="4">
        <f>P4*'[2]Eurostat POM Portables GU'!P13</f>
        <v>1091.1484036939314</v>
      </c>
      <c r="Q22" s="4">
        <f>Q4*'[2]Eurostat POM Portables GU'!Q13</f>
        <v>969.56713780918733</v>
      </c>
      <c r="R22" s="4">
        <f>R4*'[2]Eurostat POM Portables GU'!R13</f>
        <v>1131.0364986256341</v>
      </c>
      <c r="S22" s="4">
        <f>S4*'[2]Eurostat POM Portables GU'!S13</f>
        <v>1838.0417915238293</v>
      </c>
      <c r="T22" s="4">
        <f>T4*'[2]Eurostat POM Portables GU'!T13</f>
        <v>1812.0394870668608</v>
      </c>
      <c r="U22" s="4">
        <f>U4*'[2]Eurostat POM Portables GU'!U13</f>
        <v>2495.668245404268</v>
      </c>
      <c r="V22" s="4">
        <f>V4*'[2]Eurostat POM Portables GU'!V13</f>
        <v>2651.2554137220191</v>
      </c>
      <c r="W22" s="4">
        <f>W4*'[2]Eurostat POM Portables GU'!W13</f>
        <v>2421.9306700552384</v>
      </c>
      <c r="X22" s="48">
        <f>'[3]POM Portables Lead-acid'!AC22</f>
        <v>2470.3692834563431</v>
      </c>
      <c r="Y22" s="48">
        <f>'[3]POM Portables Lead-acid'!AD22</f>
        <v>2519.7766691254701</v>
      </c>
      <c r="Z22" s="48">
        <f>'[3]POM Portables Lead-acid'!AE22</f>
        <v>2570.1722025079794</v>
      </c>
      <c r="AA22" s="48">
        <f>'[3]POM Portables Lead-acid'!AF22</f>
        <v>2595.8739245330594</v>
      </c>
      <c r="AB22" s="48">
        <f>'[3]POM Portables Lead-acid'!AG22</f>
        <v>1297.9369622665297</v>
      </c>
      <c r="AC22" s="48">
        <f>'[3]POM Portables Lead-acid'!AH22</f>
        <v>324.48424056663248</v>
      </c>
      <c r="AD22" s="48">
        <f>'[3]POM Portables Lead-acid'!AI22</f>
        <v>0</v>
      </c>
      <c r="AE22" s="48">
        <f>'[3]POM Portables Lead-acid'!AJ22</f>
        <v>0</v>
      </c>
      <c r="AF22" s="48">
        <f>'[3]POM Portables Lead-acid'!AK22</f>
        <v>0</v>
      </c>
      <c r="AG22" s="48">
        <f>'[3]POM Portables Lead-acid'!AL22</f>
        <v>0</v>
      </c>
      <c r="AH22" s="48">
        <f>'[3]POM Portables Lead-acid'!AM22</f>
        <v>0</v>
      </c>
      <c r="AI22" s="48">
        <f>'[3]POM Portables Lead-acid'!AN22</f>
        <v>0</v>
      </c>
      <c r="AJ22" s="48">
        <f>'[3]POM Portables Lead-acid'!AO22</f>
        <v>0</v>
      </c>
      <c r="AK22" s="48">
        <f>'[3]POM Portables Lead-acid'!AP22</f>
        <v>0</v>
      </c>
      <c r="AL22" s="48">
        <f>'[3]POM Portables Lead-acid'!AQ22</f>
        <v>0</v>
      </c>
      <c r="AM22" s="48">
        <f>'[3]POM Portables Lead-acid'!AR22</f>
        <v>0</v>
      </c>
      <c r="AN22" s="48">
        <f>'[3]POM Portables Lead-acid'!AS22</f>
        <v>0</v>
      </c>
      <c r="AO22" s="48">
        <f>'[3]POM Portables Lead-acid'!AT22</f>
        <v>0</v>
      </c>
      <c r="AP22" s="48">
        <f>'[3]POM Portables Lead-acid'!AU22</f>
        <v>0</v>
      </c>
      <c r="AQ22" s="48">
        <f>'[3]POM Portables Lead-acid'!AV22</f>
        <v>0</v>
      </c>
      <c r="AR22" s="48">
        <f>'[3]POM Portables Lead-acid'!AW22</f>
        <v>0</v>
      </c>
      <c r="AS22" s="48">
        <f>'[3]POM Portables Lead-acid'!AX22</f>
        <v>0</v>
      </c>
      <c r="AT22" s="48">
        <f>'[3]POM Portables Lead-acid'!AY22</f>
        <v>0</v>
      </c>
      <c r="AU22" s="48">
        <f>'[3]POM Portables Lead-acid'!AZ22</f>
        <v>0</v>
      </c>
      <c r="AV22" s="48">
        <f>'[3]POM Portables Lead-acid'!BA22</f>
        <v>0</v>
      </c>
      <c r="AW22" s="48">
        <f>'[3]POM Portables Lead-acid'!BB22</f>
        <v>0</v>
      </c>
      <c r="AX22" s="48">
        <f>'[3]POM Portables Lead-acid'!BC22</f>
        <v>0</v>
      </c>
      <c r="AY22" s="48">
        <f>'[3]POM Portables Lead-acid'!BD22</f>
        <v>0</v>
      </c>
      <c r="AZ22" s="48">
        <f>'[3]POM Portables Lead-acid'!BE22</f>
        <v>0</v>
      </c>
    </row>
    <row r="23" spans="1:52" x14ac:dyDescent="0.35">
      <c r="A23" s="61" t="s">
        <v>11</v>
      </c>
      <c r="B23" s="23">
        <f t="shared" si="0"/>
        <v>35.243070710902863</v>
      </c>
      <c r="C23" s="23">
        <f t="shared" si="0"/>
        <v>35.947932125120921</v>
      </c>
      <c r="D23" s="23">
        <f t="shared" si="0"/>
        <v>36.666890767623343</v>
      </c>
      <c r="E23" s="23">
        <f t="shared" si="0"/>
        <v>37.400228582975814</v>
      </c>
      <c r="F23" s="23">
        <f t="shared" si="0"/>
        <v>38.148233154635328</v>
      </c>
      <c r="G23" s="23">
        <f t="shared" si="0"/>
        <v>38.911197817728038</v>
      </c>
      <c r="H23" s="23">
        <f t="shared" si="0"/>
        <v>39.689421774082597</v>
      </c>
      <c r="I23" s="23">
        <f t="shared" si="0"/>
        <v>40.483210209564248</v>
      </c>
      <c r="J23" s="23">
        <f t="shared" si="0"/>
        <v>41.292874413755534</v>
      </c>
      <c r="K23" s="23">
        <f t="shared" si="0"/>
        <v>42.118731902030646</v>
      </c>
      <c r="L23" s="23">
        <f t="shared" si="0"/>
        <v>42.961106540071263</v>
      </c>
      <c r="M23" s="4">
        <f>$M$8*'[2]Eurostat POM Portables GU'!M14</f>
        <v>43.820328670872691</v>
      </c>
      <c r="N23" s="4">
        <f>$N$8*'[2]Eurostat POM Portables GU'!N14</f>
        <v>38.496545775335669</v>
      </c>
      <c r="O23" s="4">
        <f>$O$8*'[2]Eurostat POM Portables GU'!O14</f>
        <v>40.536600367647104</v>
      </c>
      <c r="P23" s="4">
        <f>$P$8*'[2]Eurostat POM Portables GU'!P14</f>
        <v>37.194309779410453</v>
      </c>
      <c r="Q23" s="4">
        <f>$Q$8*'[2]Eurostat POM Portables GU'!Q14</f>
        <v>34.308759515541617</v>
      </c>
      <c r="R23" s="4">
        <f>$R$8*'[2]Eurostat POM Portables GU'!R14</f>
        <v>34.070579186977852</v>
      </c>
      <c r="S23" s="4">
        <f>$S$8*'[2]Eurostat POM Portables GU'!S14</f>
        <v>51.369252776631143</v>
      </c>
      <c r="T23" s="4">
        <f>$T$8*'[2]Eurostat POM Portables GU'!T14</f>
        <v>49.801224057879722</v>
      </c>
      <c r="U23" s="4">
        <f>$U$8*'[2]Eurostat POM Portables GU'!U14</f>
        <v>59.931834417722087</v>
      </c>
      <c r="V23" s="4">
        <f>$V$8*'[2]Eurostat POM Portables GU'!V14</f>
        <v>60.813672235762198</v>
      </c>
      <c r="W23" s="4">
        <f>$W$8*'[2]Eurostat POM Portables GU'!W14</f>
        <v>78.863282789163279</v>
      </c>
      <c r="X23" s="48">
        <f>'[3]POM Portables Lead-acid'!AC23</f>
        <v>80.440548444946543</v>
      </c>
      <c r="Y23" s="48">
        <f>'[3]POM Portables Lead-acid'!AD23</f>
        <v>82.04935941384548</v>
      </c>
      <c r="Z23" s="48">
        <f>'[3]POM Portables Lead-acid'!AE23</f>
        <v>83.690346602122389</v>
      </c>
      <c r="AA23" s="48">
        <f>'[3]POM Portables Lead-acid'!AF23</f>
        <v>84.527250068143616</v>
      </c>
      <c r="AB23" s="48">
        <f>'[3]POM Portables Lead-acid'!AG23</f>
        <v>42.263625034071808</v>
      </c>
      <c r="AC23" s="48">
        <f>'[3]POM Portables Lead-acid'!AH23</f>
        <v>10.565906258517952</v>
      </c>
      <c r="AD23" s="48">
        <f>'[3]POM Portables Lead-acid'!AI23</f>
        <v>0</v>
      </c>
      <c r="AE23" s="48">
        <f>'[3]POM Portables Lead-acid'!AJ23</f>
        <v>0</v>
      </c>
      <c r="AF23" s="48">
        <f>'[3]POM Portables Lead-acid'!AK23</f>
        <v>0</v>
      </c>
      <c r="AG23" s="48">
        <f>'[3]POM Portables Lead-acid'!AL23</f>
        <v>0</v>
      </c>
      <c r="AH23" s="48">
        <f>'[3]POM Portables Lead-acid'!AM23</f>
        <v>0</v>
      </c>
      <c r="AI23" s="48">
        <f>'[3]POM Portables Lead-acid'!AN23</f>
        <v>0</v>
      </c>
      <c r="AJ23" s="48">
        <f>'[3]POM Portables Lead-acid'!AO23</f>
        <v>0</v>
      </c>
      <c r="AK23" s="48">
        <f>'[3]POM Portables Lead-acid'!AP23</f>
        <v>0</v>
      </c>
      <c r="AL23" s="48">
        <f>'[3]POM Portables Lead-acid'!AQ23</f>
        <v>0</v>
      </c>
      <c r="AM23" s="48">
        <f>'[3]POM Portables Lead-acid'!AR23</f>
        <v>0</v>
      </c>
      <c r="AN23" s="48">
        <f>'[3]POM Portables Lead-acid'!AS23</f>
        <v>0</v>
      </c>
      <c r="AO23" s="48">
        <f>'[3]POM Portables Lead-acid'!AT23</f>
        <v>0</v>
      </c>
      <c r="AP23" s="48">
        <f>'[3]POM Portables Lead-acid'!AU23</f>
        <v>0</v>
      </c>
      <c r="AQ23" s="48">
        <f>'[3]POM Portables Lead-acid'!AV23</f>
        <v>0</v>
      </c>
      <c r="AR23" s="48">
        <f>'[3]POM Portables Lead-acid'!AW23</f>
        <v>0</v>
      </c>
      <c r="AS23" s="48">
        <f>'[3]POM Portables Lead-acid'!AX23</f>
        <v>0</v>
      </c>
      <c r="AT23" s="48">
        <f>'[3]POM Portables Lead-acid'!AY23</f>
        <v>0</v>
      </c>
      <c r="AU23" s="48">
        <f>'[3]POM Portables Lead-acid'!AZ23</f>
        <v>0</v>
      </c>
      <c r="AV23" s="48">
        <f>'[3]POM Portables Lead-acid'!BA23</f>
        <v>0</v>
      </c>
      <c r="AW23" s="48">
        <f>'[3]POM Portables Lead-acid'!BB23</f>
        <v>0</v>
      </c>
      <c r="AX23" s="48">
        <f>'[3]POM Portables Lead-acid'!BC23</f>
        <v>0</v>
      </c>
      <c r="AY23" s="48">
        <f>'[3]POM Portables Lead-acid'!BD23</f>
        <v>0</v>
      </c>
      <c r="AZ23" s="48">
        <f>'[3]POM Portables Lead-acid'!BE23</f>
        <v>0</v>
      </c>
    </row>
    <row r="24" spans="1:52" x14ac:dyDescent="0.35">
      <c r="A24" s="61" t="s">
        <v>12</v>
      </c>
      <c r="B24" s="23">
        <f t="shared" si="0"/>
        <v>38.919780249932195</v>
      </c>
      <c r="C24" s="23">
        <f t="shared" si="0"/>
        <v>39.698175854930838</v>
      </c>
      <c r="D24" s="23">
        <f t="shared" si="0"/>
        <v>40.492139372029456</v>
      </c>
      <c r="E24" s="23">
        <f t="shared" si="0"/>
        <v>41.301982159470043</v>
      </c>
      <c r="F24" s="23">
        <f t="shared" si="0"/>
        <v>42.128021802659447</v>
      </c>
      <c r="G24" s="23">
        <f t="shared" si="0"/>
        <v>42.970582238712637</v>
      </c>
      <c r="H24" s="23">
        <f t="shared" si="0"/>
        <v>43.829993883486893</v>
      </c>
      <c r="I24" s="23">
        <f t="shared" si="0"/>
        <v>44.706593761156633</v>
      </c>
      <c r="J24" s="23">
        <f t="shared" si="0"/>
        <v>45.600725636379764</v>
      </c>
      <c r="K24" s="23">
        <f t="shared" si="0"/>
        <v>46.512740149107358</v>
      </c>
      <c r="L24" s="23">
        <f t="shared" si="0"/>
        <v>47.442994952089506</v>
      </c>
      <c r="M24" s="4">
        <f>$M$8*'[2]Eurostat POM Portables GU'!M15</f>
        <v>48.391854851131299</v>
      </c>
      <c r="N24" s="4">
        <f>$N$8*'[2]Eurostat POM Portables GU'!N15</f>
        <v>38.021698514670739</v>
      </c>
      <c r="O24" s="4">
        <f>$O$8*'[2]Eurostat POM Portables GU'!O15</f>
        <v>39.532763950225224</v>
      </c>
      <c r="P24" s="4">
        <f>$P$8*'[2]Eurostat POM Portables GU'!P15</f>
        <v>38.517667975175428</v>
      </c>
      <c r="Q24" s="4">
        <f>$Q$8*'[2]Eurostat POM Portables GU'!Q15</f>
        <v>36.951046069275868</v>
      </c>
      <c r="R24" s="4">
        <f>$R$8*'[2]Eurostat POM Portables GU'!R15</f>
        <v>35.881710663458854</v>
      </c>
      <c r="S24" s="4">
        <f>$S$8*'[2]Eurostat POM Portables GU'!S15</f>
        <v>71.558704961299995</v>
      </c>
      <c r="T24" s="4">
        <f>$T$8*'[2]Eurostat POM Portables GU'!T15</f>
        <v>85.987289655221232</v>
      </c>
      <c r="U24" s="4">
        <f>$U$8*'[2]Eurostat POM Portables GU'!U15</f>
        <v>97.330899054365133</v>
      </c>
      <c r="V24" s="4">
        <f>$V$8*'[2]Eurostat POM Portables GU'!V15</f>
        <v>82.410743943273417</v>
      </c>
      <c r="W24" s="4">
        <f>$W$8*'[2]Eurostat POM Portables GU'!W15</f>
        <v>87.128550240255947</v>
      </c>
      <c r="X24" s="48">
        <f>'[3]POM Portables Lead-acid'!AC24</f>
        <v>88.871121245061062</v>
      </c>
      <c r="Y24" s="48">
        <f>'[3]POM Portables Lead-acid'!AD24</f>
        <v>90.64854366996228</v>
      </c>
      <c r="Z24" s="48">
        <f>'[3]POM Portables Lead-acid'!AE24</f>
        <v>92.461514543361531</v>
      </c>
      <c r="AA24" s="48">
        <f>'[3]POM Portables Lead-acid'!AF24</f>
        <v>93.386129688795151</v>
      </c>
      <c r="AB24" s="48">
        <f>'[3]POM Portables Lead-acid'!AG24</f>
        <v>46.693064844397576</v>
      </c>
      <c r="AC24" s="48">
        <f>'[3]POM Portables Lead-acid'!AH24</f>
        <v>11.673266211099396</v>
      </c>
      <c r="AD24" s="48">
        <f>'[3]POM Portables Lead-acid'!AI24</f>
        <v>0</v>
      </c>
      <c r="AE24" s="48">
        <f>'[3]POM Portables Lead-acid'!AJ24</f>
        <v>0</v>
      </c>
      <c r="AF24" s="48">
        <f>'[3]POM Portables Lead-acid'!AK24</f>
        <v>0</v>
      </c>
      <c r="AG24" s="48">
        <f>'[3]POM Portables Lead-acid'!AL24</f>
        <v>0</v>
      </c>
      <c r="AH24" s="48">
        <f>'[3]POM Portables Lead-acid'!AM24</f>
        <v>0</v>
      </c>
      <c r="AI24" s="48">
        <f>'[3]POM Portables Lead-acid'!AN24</f>
        <v>0</v>
      </c>
      <c r="AJ24" s="48">
        <f>'[3]POM Portables Lead-acid'!AO24</f>
        <v>0</v>
      </c>
      <c r="AK24" s="48">
        <f>'[3]POM Portables Lead-acid'!AP24</f>
        <v>0</v>
      </c>
      <c r="AL24" s="48">
        <f>'[3]POM Portables Lead-acid'!AQ24</f>
        <v>0</v>
      </c>
      <c r="AM24" s="48">
        <f>'[3]POM Portables Lead-acid'!AR24</f>
        <v>0</v>
      </c>
      <c r="AN24" s="48">
        <f>'[3]POM Portables Lead-acid'!AS24</f>
        <v>0</v>
      </c>
      <c r="AO24" s="48">
        <f>'[3]POM Portables Lead-acid'!AT24</f>
        <v>0</v>
      </c>
      <c r="AP24" s="48">
        <f>'[3]POM Portables Lead-acid'!AU24</f>
        <v>0</v>
      </c>
      <c r="AQ24" s="48">
        <f>'[3]POM Portables Lead-acid'!AV24</f>
        <v>0</v>
      </c>
      <c r="AR24" s="48">
        <f>'[3]POM Portables Lead-acid'!AW24</f>
        <v>0</v>
      </c>
      <c r="AS24" s="48">
        <f>'[3]POM Portables Lead-acid'!AX24</f>
        <v>0</v>
      </c>
      <c r="AT24" s="48">
        <f>'[3]POM Portables Lead-acid'!AY24</f>
        <v>0</v>
      </c>
      <c r="AU24" s="48">
        <f>'[3]POM Portables Lead-acid'!AZ24</f>
        <v>0</v>
      </c>
      <c r="AV24" s="48">
        <f>'[3]POM Portables Lead-acid'!BA24</f>
        <v>0</v>
      </c>
      <c r="AW24" s="48">
        <f>'[3]POM Portables Lead-acid'!BB24</f>
        <v>0</v>
      </c>
      <c r="AX24" s="48">
        <f>'[3]POM Portables Lead-acid'!BC24</f>
        <v>0</v>
      </c>
      <c r="AY24" s="48">
        <f>'[3]POM Portables Lead-acid'!BD24</f>
        <v>0</v>
      </c>
      <c r="AZ24" s="48">
        <f>'[3]POM Portables Lead-acid'!BE24</f>
        <v>0</v>
      </c>
    </row>
    <row r="25" spans="1:52" x14ac:dyDescent="0.35">
      <c r="A25" s="61" t="s">
        <v>13</v>
      </c>
      <c r="B25" s="23">
        <f t="shared" si="0"/>
        <v>3.5681227806227604</v>
      </c>
      <c r="C25" s="23">
        <f t="shared" si="0"/>
        <v>3.6394852362352159</v>
      </c>
      <c r="D25" s="23">
        <f t="shared" si="0"/>
        <v>3.7122749409599205</v>
      </c>
      <c r="E25" s="23">
        <f t="shared" si="0"/>
        <v>3.7865204397791188</v>
      </c>
      <c r="F25" s="23">
        <f t="shared" si="0"/>
        <v>3.8622508485747011</v>
      </c>
      <c r="G25" s="23">
        <f t="shared" si="0"/>
        <v>3.9394958655461951</v>
      </c>
      <c r="H25" s="23">
        <f t="shared" si="0"/>
        <v>4.0182857828571192</v>
      </c>
      <c r="I25" s="23">
        <f t="shared" si="0"/>
        <v>4.0986514985142612</v>
      </c>
      <c r="J25" s="23">
        <f t="shared" si="0"/>
        <v>4.1806245284845467</v>
      </c>
      <c r="K25" s="23">
        <f t="shared" si="0"/>
        <v>4.2642370190542378</v>
      </c>
      <c r="L25" s="23">
        <f t="shared" si="0"/>
        <v>4.3495217594353228</v>
      </c>
      <c r="M25" s="4">
        <f>$M$8*'[2]Eurostat POM Portables GU'!M16</f>
        <v>4.4365121946240293</v>
      </c>
      <c r="N25" s="4">
        <f>$N$8*'[2]Eurostat POM Portables GU'!N16</f>
        <v>4.009552124492167</v>
      </c>
      <c r="O25" s="4">
        <f>$O$8*'[2]Eurostat POM Portables GU'!O16</f>
        <v>5.261839745264842</v>
      </c>
      <c r="P25" s="4">
        <f>$P$8*'[2]Eurostat POM Portables GU'!P16</f>
        <v>4.4705864197402141</v>
      </c>
      <c r="Q25" s="4">
        <f>$Q$8*'[2]Eurostat POM Portables GU'!Q16</f>
        <v>3.4718416345577938</v>
      </c>
      <c r="R25" s="4">
        <f>$R$8*'[2]Eurostat POM Portables GU'!R16</f>
        <v>4.7174648105046266</v>
      </c>
      <c r="S25" s="4">
        <f>$S$8*'[2]Eurostat POM Portables GU'!S16</f>
        <v>8.0059526933792142</v>
      </c>
      <c r="T25" s="4">
        <f>$T$8*'[2]Eurostat POM Portables GU'!T16</f>
        <v>7.709205279433629</v>
      </c>
      <c r="U25" s="4">
        <f>$U$8*'[2]Eurostat POM Portables GU'!U16</f>
        <v>5.6331924452697626</v>
      </c>
      <c r="V25" s="4">
        <f>$V$8*'[2]Eurostat POM Portables GU'!V16</f>
        <v>10.249569190870623</v>
      </c>
      <c r="W25" s="4">
        <f>$W$8*'[2]Eurostat POM Portables GU'!W16</f>
        <v>9.3334365668651103</v>
      </c>
      <c r="X25" s="48">
        <f>'[3]POM Portables Lead-acid'!AC25</f>
        <v>9.520105298202413</v>
      </c>
      <c r="Y25" s="48">
        <f>'[3]POM Portables Lead-acid'!AD25</f>
        <v>9.7105074041664619</v>
      </c>
      <c r="Z25" s="48">
        <f>'[3]POM Portables Lead-acid'!AE25</f>
        <v>9.9047175522497906</v>
      </c>
      <c r="AA25" s="48">
        <f>'[3]POM Portables Lead-acid'!AF25</f>
        <v>10.003764727772289</v>
      </c>
      <c r="AB25" s="48">
        <f>'[3]POM Portables Lead-acid'!AG25</f>
        <v>5.0018823638861445</v>
      </c>
      <c r="AC25" s="48">
        <f>'[3]POM Portables Lead-acid'!AH25</f>
        <v>1.2504705909715361</v>
      </c>
      <c r="AD25" s="48">
        <f>'[3]POM Portables Lead-acid'!AI25</f>
        <v>0</v>
      </c>
      <c r="AE25" s="48">
        <f>'[3]POM Portables Lead-acid'!AJ25</f>
        <v>0</v>
      </c>
      <c r="AF25" s="48">
        <f>'[3]POM Portables Lead-acid'!AK25</f>
        <v>0</v>
      </c>
      <c r="AG25" s="48">
        <f>'[3]POM Portables Lead-acid'!AL25</f>
        <v>0</v>
      </c>
      <c r="AH25" s="48">
        <f>'[3]POM Portables Lead-acid'!AM25</f>
        <v>0</v>
      </c>
      <c r="AI25" s="48">
        <f>'[3]POM Portables Lead-acid'!AN25</f>
        <v>0</v>
      </c>
      <c r="AJ25" s="48">
        <f>'[3]POM Portables Lead-acid'!AO25</f>
        <v>0</v>
      </c>
      <c r="AK25" s="48">
        <f>'[3]POM Portables Lead-acid'!AP25</f>
        <v>0</v>
      </c>
      <c r="AL25" s="48">
        <f>'[3]POM Portables Lead-acid'!AQ25</f>
        <v>0</v>
      </c>
      <c r="AM25" s="48">
        <f>'[3]POM Portables Lead-acid'!AR25</f>
        <v>0</v>
      </c>
      <c r="AN25" s="48">
        <f>'[3]POM Portables Lead-acid'!AS25</f>
        <v>0</v>
      </c>
      <c r="AO25" s="48">
        <f>'[3]POM Portables Lead-acid'!AT25</f>
        <v>0</v>
      </c>
      <c r="AP25" s="48">
        <f>'[3]POM Portables Lead-acid'!AU25</f>
        <v>0</v>
      </c>
      <c r="AQ25" s="48">
        <f>'[3]POM Portables Lead-acid'!AV25</f>
        <v>0</v>
      </c>
      <c r="AR25" s="48">
        <f>'[3]POM Portables Lead-acid'!AW25</f>
        <v>0</v>
      </c>
      <c r="AS25" s="48">
        <f>'[3]POM Portables Lead-acid'!AX25</f>
        <v>0</v>
      </c>
      <c r="AT25" s="48">
        <f>'[3]POM Portables Lead-acid'!AY25</f>
        <v>0</v>
      </c>
      <c r="AU25" s="48">
        <f>'[3]POM Portables Lead-acid'!AZ25</f>
        <v>0</v>
      </c>
      <c r="AV25" s="48">
        <f>'[3]POM Portables Lead-acid'!BA25</f>
        <v>0</v>
      </c>
      <c r="AW25" s="48">
        <f>'[3]POM Portables Lead-acid'!BB25</f>
        <v>0</v>
      </c>
      <c r="AX25" s="48">
        <f>'[3]POM Portables Lead-acid'!BC25</f>
        <v>0</v>
      </c>
      <c r="AY25" s="48">
        <f>'[3]POM Portables Lead-acid'!BD25</f>
        <v>0</v>
      </c>
      <c r="AZ25" s="48">
        <f>'[3]POM Portables Lead-acid'!BE25</f>
        <v>0</v>
      </c>
    </row>
    <row r="26" spans="1:52" x14ac:dyDescent="0.35">
      <c r="A26" s="61" t="s">
        <v>14</v>
      </c>
      <c r="B26" s="23">
        <f t="shared" si="0"/>
        <v>39.929446600028321</v>
      </c>
      <c r="C26" s="23">
        <f t="shared" si="0"/>
        <v>40.72803553202889</v>
      </c>
      <c r="D26" s="23">
        <f t="shared" si="0"/>
        <v>41.542596242669468</v>
      </c>
      <c r="E26" s="23">
        <f t="shared" si="0"/>
        <v>42.373448167522859</v>
      </c>
      <c r="F26" s="23">
        <f t="shared" si="0"/>
        <v>43.220917130873318</v>
      </c>
      <c r="G26" s="23">
        <f t="shared" si="0"/>
        <v>44.085335473490787</v>
      </c>
      <c r="H26" s="23">
        <f t="shared" si="0"/>
        <v>44.967042182960604</v>
      </c>
      <c r="I26" s="23">
        <f t="shared" si="0"/>
        <v>45.866383026619815</v>
      </c>
      <c r="J26" s="23">
        <f t="shared" si="0"/>
        <v>46.783710687152215</v>
      </c>
      <c r="K26" s="23">
        <f t="shared" si="0"/>
        <v>47.719384900895264</v>
      </c>
      <c r="L26" s="23">
        <f t="shared" si="0"/>
        <v>48.673772598913168</v>
      </c>
      <c r="M26" s="4">
        <f>$M$8*'[2]Eurostat POM Portables GU'!M17</f>
        <v>49.647248050891434</v>
      </c>
      <c r="N26" s="4">
        <f>$N$8*'[2]Eurostat POM Portables GU'!N17</f>
        <v>47.266683957004339</v>
      </c>
      <c r="O26" s="4">
        <f>$O$8*'[2]Eurostat POM Portables GU'!O17</f>
        <v>48.86358947908564</v>
      </c>
      <c r="P26" s="4">
        <f>$P$8*'[2]Eurostat POM Portables GU'!P17</f>
        <v>57.620891632207204</v>
      </c>
      <c r="Q26" s="4">
        <f>$Q$8*'[2]Eurostat POM Portables GU'!Q17</f>
        <v>55.365120579408355</v>
      </c>
      <c r="R26" s="4">
        <f>$R$8*'[2]Eurostat POM Portables GU'!R17</f>
        <v>41.933020537818898</v>
      </c>
      <c r="S26" s="4">
        <f>$S$8*'[2]Eurostat POM Portables GU'!S17</f>
        <v>90.806994713300085</v>
      </c>
      <c r="T26" s="4">
        <f>$T$8*'[2]Eurostat POM Portables GU'!T17</f>
        <v>70.677800364038291</v>
      </c>
      <c r="U26" s="4">
        <f>$U$8*'[2]Eurostat POM Portables GU'!U17</f>
        <v>88.86444413662241</v>
      </c>
      <c r="V26" s="4">
        <f>$V$8*'[2]Eurostat POM Portables GU'!V17</f>
        <v>116.46640039530025</v>
      </c>
      <c r="W26" s="4">
        <f>$W$8*'[2]Eurostat POM Portables GU'!W17</f>
        <v>101.37995823732271</v>
      </c>
      <c r="X26" s="48">
        <f>'[3]POM Portables Lead-acid'!AC26</f>
        <v>103.40755740206916</v>
      </c>
      <c r="Y26" s="48">
        <f>'[3]POM Portables Lead-acid'!AD26</f>
        <v>105.47570855011054</v>
      </c>
      <c r="Z26" s="48">
        <f>'[3]POM Portables Lead-acid'!AE26</f>
        <v>107.58522272111276</v>
      </c>
      <c r="AA26" s="48">
        <f>'[3]POM Portables Lead-acid'!AF26</f>
        <v>108.66107494832389</v>
      </c>
      <c r="AB26" s="48">
        <f>'[3]POM Portables Lead-acid'!AG26</f>
        <v>54.330537474161943</v>
      </c>
      <c r="AC26" s="48">
        <f>'[3]POM Portables Lead-acid'!AH26</f>
        <v>13.582634368540482</v>
      </c>
      <c r="AD26" s="48">
        <f>'[3]POM Portables Lead-acid'!AI26</f>
        <v>0</v>
      </c>
      <c r="AE26" s="48">
        <f>'[3]POM Portables Lead-acid'!AJ26</f>
        <v>0</v>
      </c>
      <c r="AF26" s="48">
        <f>'[3]POM Portables Lead-acid'!AK26</f>
        <v>0</v>
      </c>
      <c r="AG26" s="48">
        <f>'[3]POM Portables Lead-acid'!AL26</f>
        <v>0</v>
      </c>
      <c r="AH26" s="48">
        <f>'[3]POM Portables Lead-acid'!AM26</f>
        <v>0</v>
      </c>
      <c r="AI26" s="48">
        <f>'[3]POM Portables Lead-acid'!AN26</f>
        <v>0</v>
      </c>
      <c r="AJ26" s="48">
        <f>'[3]POM Portables Lead-acid'!AO26</f>
        <v>0</v>
      </c>
      <c r="AK26" s="48">
        <f>'[3]POM Portables Lead-acid'!AP26</f>
        <v>0</v>
      </c>
      <c r="AL26" s="48">
        <f>'[3]POM Portables Lead-acid'!AQ26</f>
        <v>0</v>
      </c>
      <c r="AM26" s="48">
        <f>'[3]POM Portables Lead-acid'!AR26</f>
        <v>0</v>
      </c>
      <c r="AN26" s="48">
        <f>'[3]POM Portables Lead-acid'!AS26</f>
        <v>0</v>
      </c>
      <c r="AO26" s="48">
        <f>'[3]POM Portables Lead-acid'!AT26</f>
        <v>0</v>
      </c>
      <c r="AP26" s="48">
        <f>'[3]POM Portables Lead-acid'!AU26</f>
        <v>0</v>
      </c>
      <c r="AQ26" s="48">
        <f>'[3]POM Portables Lead-acid'!AV26</f>
        <v>0</v>
      </c>
      <c r="AR26" s="48">
        <f>'[3]POM Portables Lead-acid'!AW26</f>
        <v>0</v>
      </c>
      <c r="AS26" s="48">
        <f>'[3]POM Portables Lead-acid'!AX26</f>
        <v>0</v>
      </c>
      <c r="AT26" s="48">
        <f>'[3]POM Portables Lead-acid'!AY26</f>
        <v>0</v>
      </c>
      <c r="AU26" s="48">
        <f>'[3]POM Portables Lead-acid'!AZ26</f>
        <v>0</v>
      </c>
      <c r="AV26" s="48">
        <f>'[3]POM Portables Lead-acid'!BA26</f>
        <v>0</v>
      </c>
      <c r="AW26" s="48">
        <f>'[3]POM Portables Lead-acid'!BB26</f>
        <v>0</v>
      </c>
      <c r="AX26" s="48">
        <f>'[3]POM Portables Lead-acid'!BC26</f>
        <v>0</v>
      </c>
      <c r="AY26" s="48">
        <f>'[3]POM Portables Lead-acid'!BD26</f>
        <v>0</v>
      </c>
      <c r="AZ26" s="48">
        <f>'[3]POM Portables Lead-acid'!BE26</f>
        <v>0</v>
      </c>
    </row>
    <row r="27" spans="1:52" x14ac:dyDescent="0.35">
      <c r="A27" s="61" t="s">
        <v>15</v>
      </c>
      <c r="B27" s="23">
        <f t="shared" si="0"/>
        <v>562.11834804915372</v>
      </c>
      <c r="C27" s="23">
        <f t="shared" si="0"/>
        <v>573.3607150101368</v>
      </c>
      <c r="D27" s="23">
        <f t="shared" si="0"/>
        <v>584.82792931033953</v>
      </c>
      <c r="E27" s="23">
        <f t="shared" si="0"/>
        <v>596.52448789654636</v>
      </c>
      <c r="F27" s="23">
        <f t="shared" si="0"/>
        <v>608.45497765447726</v>
      </c>
      <c r="G27" s="23">
        <f t="shared" si="0"/>
        <v>620.62407720756687</v>
      </c>
      <c r="H27" s="23">
        <f t="shared" si="0"/>
        <v>633.03655875171819</v>
      </c>
      <c r="I27" s="23">
        <f t="shared" si="0"/>
        <v>645.69728992675255</v>
      </c>
      <c r="J27" s="23">
        <f t="shared" si="0"/>
        <v>658.61123572528766</v>
      </c>
      <c r="K27" s="23">
        <f t="shared" si="0"/>
        <v>671.78346043979343</v>
      </c>
      <c r="L27" s="23">
        <f t="shared" si="0"/>
        <v>685.21912964858927</v>
      </c>
      <c r="M27" s="4">
        <f>$M$8*'[2]Eurostat POM Portables GU'!M18</f>
        <v>698.92351224156107</v>
      </c>
      <c r="N27" s="4">
        <f>$N$8*'[2]Eurostat POM Portables GU'!N18</f>
        <v>713.07008800938047</v>
      </c>
      <c r="O27" s="4">
        <f>$O$8*'[2]Eurostat POM Portables GU'!O18</f>
        <v>677.75650468567187</v>
      </c>
      <c r="P27" s="4">
        <f>$P$8*'[2]Eurostat POM Portables GU'!P18</f>
        <v>595.29412840238115</v>
      </c>
      <c r="Q27" s="4">
        <f>$Q$8*'[2]Eurostat POM Portables GU'!Q18</f>
        <v>502.32356051730568</v>
      </c>
      <c r="R27" s="4">
        <f>$R$8*'[2]Eurostat POM Portables GU'!R18</f>
        <v>525.27153141263796</v>
      </c>
      <c r="S27" s="4">
        <f>$S$8*'[2]Eurostat POM Portables GU'!S18</f>
        <v>777.44771326729619</v>
      </c>
      <c r="T27" s="4">
        <f>$T$8*'[2]Eurostat POM Portables GU'!T18</f>
        <v>733.187992136258</v>
      </c>
      <c r="U27" s="4">
        <f>$U$8*'[2]Eurostat POM Portables GU'!U18</f>
        <v>858.18166991719033</v>
      </c>
      <c r="V27" s="4">
        <f>$V$8*'[2]Eurostat POM Portables GU'!V18</f>
        <v>925.82908834677266</v>
      </c>
      <c r="W27" s="4">
        <f>$W$8*'[2]Eurostat POM Portables GU'!W18</f>
        <v>888.4750619520081</v>
      </c>
      <c r="X27" s="48">
        <f>'[3]POM Portables Lead-acid'!AC27</f>
        <v>906.24456319104831</v>
      </c>
      <c r="Y27" s="48">
        <f>'[3]POM Portables Lead-acid'!AD27</f>
        <v>924.36945445486924</v>
      </c>
      <c r="Z27" s="48">
        <f>'[3]POM Portables Lead-acid'!AE27</f>
        <v>942.85684354396665</v>
      </c>
      <c r="AA27" s="48">
        <f>'[3]POM Portables Lead-acid'!AF27</f>
        <v>952.28541197940626</v>
      </c>
      <c r="AB27" s="48">
        <f>'[3]POM Portables Lead-acid'!AG27</f>
        <v>476.14270598970313</v>
      </c>
      <c r="AC27" s="48">
        <f>'[3]POM Portables Lead-acid'!AH27</f>
        <v>119.03567649742581</v>
      </c>
      <c r="AD27" s="48">
        <f>'[3]POM Portables Lead-acid'!AI27</f>
        <v>0</v>
      </c>
      <c r="AE27" s="48">
        <f>'[3]POM Portables Lead-acid'!AJ27</f>
        <v>0</v>
      </c>
      <c r="AF27" s="48">
        <f>'[3]POM Portables Lead-acid'!AK27</f>
        <v>0</v>
      </c>
      <c r="AG27" s="48">
        <f>'[3]POM Portables Lead-acid'!AL27</f>
        <v>0</v>
      </c>
      <c r="AH27" s="48">
        <f>'[3]POM Portables Lead-acid'!AM27</f>
        <v>0</v>
      </c>
      <c r="AI27" s="48">
        <f>'[3]POM Portables Lead-acid'!AN27</f>
        <v>0</v>
      </c>
      <c r="AJ27" s="48">
        <f>'[3]POM Portables Lead-acid'!AO27</f>
        <v>0</v>
      </c>
      <c r="AK27" s="48">
        <f>'[3]POM Portables Lead-acid'!AP27</f>
        <v>0</v>
      </c>
      <c r="AL27" s="48">
        <f>'[3]POM Portables Lead-acid'!AQ27</f>
        <v>0</v>
      </c>
      <c r="AM27" s="48">
        <f>'[3]POM Portables Lead-acid'!AR27</f>
        <v>0</v>
      </c>
      <c r="AN27" s="48">
        <f>'[3]POM Portables Lead-acid'!AS27</f>
        <v>0</v>
      </c>
      <c r="AO27" s="48">
        <f>'[3]POM Portables Lead-acid'!AT27</f>
        <v>0</v>
      </c>
      <c r="AP27" s="48">
        <f>'[3]POM Portables Lead-acid'!AU27</f>
        <v>0</v>
      </c>
      <c r="AQ27" s="48">
        <f>'[3]POM Portables Lead-acid'!AV27</f>
        <v>0</v>
      </c>
      <c r="AR27" s="48">
        <f>'[3]POM Portables Lead-acid'!AW27</f>
        <v>0</v>
      </c>
      <c r="AS27" s="48">
        <f>'[3]POM Portables Lead-acid'!AX27</f>
        <v>0</v>
      </c>
      <c r="AT27" s="48">
        <f>'[3]POM Portables Lead-acid'!AY27</f>
        <v>0</v>
      </c>
      <c r="AU27" s="48">
        <f>'[3]POM Portables Lead-acid'!AZ27</f>
        <v>0</v>
      </c>
      <c r="AV27" s="48">
        <f>'[3]POM Portables Lead-acid'!BA27</f>
        <v>0</v>
      </c>
      <c r="AW27" s="48">
        <f>'[3]POM Portables Lead-acid'!BB27</f>
        <v>0</v>
      </c>
      <c r="AX27" s="48">
        <f>'[3]POM Portables Lead-acid'!BC27</f>
        <v>0</v>
      </c>
      <c r="AY27" s="48">
        <f>'[3]POM Portables Lead-acid'!BD27</f>
        <v>0</v>
      </c>
      <c r="AZ27" s="48">
        <f>'[3]POM Portables Lead-acid'!BE27</f>
        <v>0</v>
      </c>
    </row>
    <row r="28" spans="1:52" x14ac:dyDescent="0.35">
      <c r="A28" s="61" t="s">
        <v>16</v>
      </c>
      <c r="B28" s="23">
        <f t="shared" ref="B28:L43" si="1">C28/1.02</f>
        <v>21.928562451568133</v>
      </c>
      <c r="C28" s="23">
        <f t="shared" si="1"/>
        <v>22.367133700599496</v>
      </c>
      <c r="D28" s="23">
        <f t="shared" si="1"/>
        <v>22.814476374611488</v>
      </c>
      <c r="E28" s="23">
        <f t="shared" si="1"/>
        <v>23.270765902103719</v>
      </c>
      <c r="F28" s="23">
        <f t="shared" si="1"/>
        <v>23.736181220145795</v>
      </c>
      <c r="G28" s="23">
        <f t="shared" si="1"/>
        <v>24.210904844548711</v>
      </c>
      <c r="H28" s="23">
        <f t="shared" si="1"/>
        <v>24.695122941439685</v>
      </c>
      <c r="I28" s="23">
        <f t="shared" si="1"/>
        <v>25.189025400268481</v>
      </c>
      <c r="J28" s="23">
        <f t="shared" si="1"/>
        <v>25.692805908273851</v>
      </c>
      <c r="K28" s="23">
        <f t="shared" si="1"/>
        <v>26.206662026439329</v>
      </c>
      <c r="L28" s="23">
        <f t="shared" si="1"/>
        <v>26.730795266968116</v>
      </c>
      <c r="M28" s="4">
        <f>$M$8*'[2]Eurostat POM Portables GU'!M19</f>
        <v>27.265411172307477</v>
      </c>
      <c r="N28" s="4">
        <f>$N$8*'[2]Eurostat POM Portables GU'!N19</f>
        <v>11.690569969263279</v>
      </c>
      <c r="O28" s="4">
        <f>$O$8*'[2]Eurostat POM Portables GU'!O19</f>
        <v>13.168699050246504</v>
      </c>
      <c r="P28" s="4">
        <f>$P$8*'[2]Eurostat POM Portables GU'!P19</f>
        <v>13.399595387227638</v>
      </c>
      <c r="Q28" s="4">
        <f>$Q$8*'[2]Eurostat POM Portables GU'!Q19</f>
        <v>10.425520530326267</v>
      </c>
      <c r="R28" s="4">
        <f>$R$8*'[2]Eurostat POM Portables GU'!R19</f>
        <v>9.063562438614106</v>
      </c>
      <c r="S28" s="4">
        <f>$S$8*'[2]Eurostat POM Portables GU'!S19</f>
        <v>14.895808181927157</v>
      </c>
      <c r="T28" s="4">
        <f>$T$8*'[2]Eurostat POM Portables GU'!T19</f>
        <v>15.787320841332463</v>
      </c>
      <c r="U28" s="4">
        <f>$U$8*'[2]Eurostat POM Portables GU'!U19</f>
        <v>18.839162159464919</v>
      </c>
      <c r="V28" s="4">
        <f>$V$8*'[2]Eurostat POM Portables GU'!V19</f>
        <v>21.913105569605612</v>
      </c>
      <c r="W28" s="4">
        <f>$W$8*'[2]Eurostat POM Portables GU'!W19</f>
        <v>18.809661807303918</v>
      </c>
      <c r="X28" s="48">
        <f>'[3]POM Portables Lead-acid'!AC28</f>
        <v>19.185855043449997</v>
      </c>
      <c r="Y28" s="48">
        <f>'[3]POM Portables Lead-acid'!AD28</f>
        <v>19.569572144318997</v>
      </c>
      <c r="Z28" s="48">
        <f>'[3]POM Portables Lead-acid'!AE28</f>
        <v>19.960963587205377</v>
      </c>
      <c r="AA28" s="48">
        <f>'[3]POM Portables Lead-acid'!AF28</f>
        <v>20.160573223077431</v>
      </c>
      <c r="AB28" s="48">
        <f>'[3]POM Portables Lead-acid'!AG28</f>
        <v>10.080286611538716</v>
      </c>
      <c r="AC28" s="48">
        <f>'[3]POM Portables Lead-acid'!AH28</f>
        <v>2.5200716528846794</v>
      </c>
      <c r="AD28" s="48">
        <f>'[3]POM Portables Lead-acid'!AI28</f>
        <v>0</v>
      </c>
      <c r="AE28" s="48">
        <f>'[3]POM Portables Lead-acid'!AJ28</f>
        <v>0</v>
      </c>
      <c r="AF28" s="48">
        <f>'[3]POM Portables Lead-acid'!AK28</f>
        <v>0</v>
      </c>
      <c r="AG28" s="48">
        <f>'[3]POM Portables Lead-acid'!AL28</f>
        <v>0</v>
      </c>
      <c r="AH28" s="48">
        <f>'[3]POM Portables Lead-acid'!AM28</f>
        <v>0</v>
      </c>
      <c r="AI28" s="48">
        <f>'[3]POM Portables Lead-acid'!AN28</f>
        <v>0</v>
      </c>
      <c r="AJ28" s="48">
        <f>'[3]POM Portables Lead-acid'!AO28</f>
        <v>0</v>
      </c>
      <c r="AK28" s="48">
        <f>'[3]POM Portables Lead-acid'!AP28</f>
        <v>0</v>
      </c>
      <c r="AL28" s="48">
        <f>'[3]POM Portables Lead-acid'!AQ28</f>
        <v>0</v>
      </c>
      <c r="AM28" s="48">
        <f>'[3]POM Portables Lead-acid'!AR28</f>
        <v>0</v>
      </c>
      <c r="AN28" s="48">
        <f>'[3]POM Portables Lead-acid'!AS28</f>
        <v>0</v>
      </c>
      <c r="AO28" s="48">
        <f>'[3]POM Portables Lead-acid'!AT28</f>
        <v>0</v>
      </c>
      <c r="AP28" s="48">
        <f>'[3]POM Portables Lead-acid'!AU28</f>
        <v>0</v>
      </c>
      <c r="AQ28" s="48">
        <f>'[3]POM Portables Lead-acid'!AV28</f>
        <v>0</v>
      </c>
      <c r="AR28" s="48">
        <f>'[3]POM Portables Lead-acid'!AW28</f>
        <v>0</v>
      </c>
      <c r="AS28" s="48">
        <f>'[3]POM Portables Lead-acid'!AX28</f>
        <v>0</v>
      </c>
      <c r="AT28" s="48">
        <f>'[3]POM Portables Lead-acid'!AY28</f>
        <v>0</v>
      </c>
      <c r="AU28" s="48">
        <f>'[3]POM Portables Lead-acid'!AZ28</f>
        <v>0</v>
      </c>
      <c r="AV28" s="48">
        <f>'[3]POM Portables Lead-acid'!BA28</f>
        <v>0</v>
      </c>
      <c r="AW28" s="48">
        <f>'[3]POM Portables Lead-acid'!BB28</f>
        <v>0</v>
      </c>
      <c r="AX28" s="48">
        <f>'[3]POM Portables Lead-acid'!BC28</f>
        <v>0</v>
      </c>
      <c r="AY28" s="48">
        <f>'[3]POM Portables Lead-acid'!BD28</f>
        <v>0</v>
      </c>
      <c r="AZ28" s="48">
        <f>'[3]POM Portables Lead-acid'!BE28</f>
        <v>0</v>
      </c>
    </row>
    <row r="29" spans="1:52" x14ac:dyDescent="0.35">
      <c r="A29" s="61" t="s">
        <v>17</v>
      </c>
      <c r="B29" s="23">
        <f t="shared" si="1"/>
        <v>13.487618412604991</v>
      </c>
      <c r="C29" s="23">
        <f t="shared" si="1"/>
        <v>13.757370780857091</v>
      </c>
      <c r="D29" s="23">
        <f t="shared" si="1"/>
        <v>14.032518196474232</v>
      </c>
      <c r="E29" s="23">
        <f t="shared" si="1"/>
        <v>14.313168560403717</v>
      </c>
      <c r="F29" s="23">
        <f t="shared" si="1"/>
        <v>14.599431931611791</v>
      </c>
      <c r="G29" s="23">
        <f t="shared" si="1"/>
        <v>14.891420570244028</v>
      </c>
      <c r="H29" s="23">
        <f t="shared" si="1"/>
        <v>15.189248981648909</v>
      </c>
      <c r="I29" s="23">
        <f t="shared" si="1"/>
        <v>15.493033961281887</v>
      </c>
      <c r="J29" s="23">
        <f t="shared" si="1"/>
        <v>15.802894640507525</v>
      </c>
      <c r="K29" s="23">
        <f t="shared" si="1"/>
        <v>16.118952533317675</v>
      </c>
      <c r="L29" s="23">
        <f t="shared" si="1"/>
        <v>16.441331583984027</v>
      </c>
      <c r="M29" s="4">
        <f>$M$8*'[2]Eurostat POM Portables GU'!M20</f>
        <v>16.770158215663709</v>
      </c>
      <c r="N29" s="4">
        <f>$N$8*'[2]Eurostat POM Portables GU'!N20</f>
        <v>18.945436624488668</v>
      </c>
      <c r="O29" s="4">
        <f>$O$8*'[2]Eurostat POM Portables GU'!O20</f>
        <v>20.306614550900726</v>
      </c>
      <c r="P29" s="4">
        <f>$P$8*'[2]Eurostat POM Portables GU'!P20</f>
        <v>16.622343002394508</v>
      </c>
      <c r="Q29" s="4">
        <f>$Q$8*'[2]Eurostat POM Portables GU'!Q20</f>
        <v>14.338091465478634</v>
      </c>
      <c r="R29" s="4">
        <f>$R$8*'[2]Eurostat POM Portables GU'!R20</f>
        <v>15.930648544839464</v>
      </c>
      <c r="S29" s="4">
        <f>$S$8*'[2]Eurostat POM Portables GU'!S20</f>
        <v>25.244769571396045</v>
      </c>
      <c r="T29" s="4">
        <f>$T$8*'[2]Eurostat POM Portables GU'!T20</f>
        <v>23.056151384336903</v>
      </c>
      <c r="U29" s="4">
        <f>$U$8*'[2]Eurostat POM Portables GU'!U20</f>
        <v>24.999874744609471</v>
      </c>
      <c r="V29" s="4">
        <f>$V$8*'[2]Eurostat POM Portables GU'!V20</f>
        <v>26.856632549523088</v>
      </c>
      <c r="W29" s="4">
        <f>$W$8*'[2]Eurostat POM Portables GU'!W20</f>
        <v>25.50974572114648</v>
      </c>
      <c r="X29" s="48">
        <f>'[3]POM Portables Lead-acid'!AC29</f>
        <v>26.019940635569409</v>
      </c>
      <c r="Y29" s="48">
        <f>'[3]POM Portables Lead-acid'!AD29</f>
        <v>26.540339448280797</v>
      </c>
      <c r="Z29" s="48">
        <f>'[3]POM Portables Lead-acid'!AE29</f>
        <v>27.071146237246413</v>
      </c>
      <c r="AA29" s="48">
        <f>'[3]POM Portables Lead-acid'!AF29</f>
        <v>27.341857699618878</v>
      </c>
      <c r="AB29" s="48">
        <f>'[3]POM Portables Lead-acid'!AG29</f>
        <v>13.670928849809439</v>
      </c>
      <c r="AC29" s="48">
        <f>'[3]POM Portables Lead-acid'!AH29</f>
        <v>3.4177322124523606</v>
      </c>
      <c r="AD29" s="48">
        <f>'[3]POM Portables Lead-acid'!AI29</f>
        <v>0</v>
      </c>
      <c r="AE29" s="48">
        <f>'[3]POM Portables Lead-acid'!AJ29</f>
        <v>0</v>
      </c>
      <c r="AF29" s="48">
        <f>'[3]POM Portables Lead-acid'!AK29</f>
        <v>0</v>
      </c>
      <c r="AG29" s="48">
        <f>'[3]POM Portables Lead-acid'!AL29</f>
        <v>0</v>
      </c>
      <c r="AH29" s="48">
        <f>'[3]POM Portables Lead-acid'!AM29</f>
        <v>0</v>
      </c>
      <c r="AI29" s="48">
        <f>'[3]POM Portables Lead-acid'!AN29</f>
        <v>0</v>
      </c>
      <c r="AJ29" s="48">
        <f>'[3]POM Portables Lead-acid'!AO29</f>
        <v>0</v>
      </c>
      <c r="AK29" s="48">
        <f>'[3]POM Portables Lead-acid'!AP29</f>
        <v>0</v>
      </c>
      <c r="AL29" s="48">
        <f>'[3]POM Portables Lead-acid'!AQ29</f>
        <v>0</v>
      </c>
      <c r="AM29" s="48">
        <f>'[3]POM Portables Lead-acid'!AR29</f>
        <v>0</v>
      </c>
      <c r="AN29" s="48">
        <f>'[3]POM Portables Lead-acid'!AS29</f>
        <v>0</v>
      </c>
      <c r="AO29" s="48">
        <f>'[3]POM Portables Lead-acid'!AT29</f>
        <v>0</v>
      </c>
      <c r="AP29" s="48">
        <f>'[3]POM Portables Lead-acid'!AU29</f>
        <v>0</v>
      </c>
      <c r="AQ29" s="48">
        <f>'[3]POM Portables Lead-acid'!AV29</f>
        <v>0</v>
      </c>
      <c r="AR29" s="48">
        <f>'[3]POM Portables Lead-acid'!AW29</f>
        <v>0</v>
      </c>
      <c r="AS29" s="48">
        <f>'[3]POM Portables Lead-acid'!AX29</f>
        <v>0</v>
      </c>
      <c r="AT29" s="48">
        <f>'[3]POM Portables Lead-acid'!AY29</f>
        <v>0</v>
      </c>
      <c r="AU29" s="48">
        <f>'[3]POM Portables Lead-acid'!AZ29</f>
        <v>0</v>
      </c>
      <c r="AV29" s="48">
        <f>'[3]POM Portables Lead-acid'!BA29</f>
        <v>0</v>
      </c>
      <c r="AW29" s="48">
        <f>'[3]POM Portables Lead-acid'!BB29</f>
        <v>0</v>
      </c>
      <c r="AX29" s="48">
        <f>'[3]POM Portables Lead-acid'!BC29</f>
        <v>0</v>
      </c>
      <c r="AY29" s="48">
        <f>'[3]POM Portables Lead-acid'!BD29</f>
        <v>0</v>
      </c>
      <c r="AZ29" s="48">
        <f>'[3]POM Portables Lead-acid'!BE29</f>
        <v>0</v>
      </c>
    </row>
    <row r="30" spans="1:52" x14ac:dyDescent="0.35">
      <c r="A30" s="61" t="s">
        <v>18</v>
      </c>
      <c r="B30" s="23">
        <f t="shared" si="1"/>
        <v>3.4804913615578137</v>
      </c>
      <c r="C30" s="23">
        <f t="shared" si="1"/>
        <v>3.55010118878897</v>
      </c>
      <c r="D30" s="23">
        <f t="shared" si="1"/>
        <v>3.6211032125647495</v>
      </c>
      <c r="E30" s="23">
        <f t="shared" si="1"/>
        <v>3.6935252768160445</v>
      </c>
      <c r="F30" s="23">
        <f t="shared" si="1"/>
        <v>3.7673957823523656</v>
      </c>
      <c r="G30" s="23">
        <f t="shared" si="1"/>
        <v>3.842743697999413</v>
      </c>
      <c r="H30" s="23">
        <f t="shared" si="1"/>
        <v>3.9195985719594013</v>
      </c>
      <c r="I30" s="23">
        <f t="shared" si="1"/>
        <v>3.9979905433985894</v>
      </c>
      <c r="J30" s="23">
        <f t="shared" si="1"/>
        <v>4.0779503542665614</v>
      </c>
      <c r="K30" s="23">
        <f t="shared" si="1"/>
        <v>4.1595093613518923</v>
      </c>
      <c r="L30" s="23">
        <f t="shared" si="1"/>
        <v>4.2426995485789298</v>
      </c>
      <c r="M30" s="4">
        <f>$M$8*'[2]Eurostat POM Portables GU'!M21</f>
        <v>4.3275535395505083</v>
      </c>
      <c r="N30" s="4">
        <f>$N$8*'[2]Eurostat POM Portables GU'!N21</f>
        <v>4.5231624268440331</v>
      </c>
      <c r="O30" s="4">
        <f>$O$8*'[2]Eurostat POM Portables GU'!O21</f>
        <v>4.6641356188609713</v>
      </c>
      <c r="P30" s="4">
        <f>$P$8*'[2]Eurostat POM Portables GU'!P21</f>
        <v>4.1458934223173474</v>
      </c>
      <c r="Q30" s="4">
        <f>$Q$8*'[2]Eurostat POM Portables GU'!Q21</f>
        <v>3.5230487383123337</v>
      </c>
      <c r="R30" s="4">
        <f>$R$8*'[2]Eurostat POM Portables GU'!R21</f>
        <v>4.1762561104738332</v>
      </c>
      <c r="S30" s="4">
        <f>$S$8*'[2]Eurostat POM Portables GU'!S21</f>
        <v>6.1023757731104364</v>
      </c>
      <c r="T30" s="4">
        <f>$T$8*'[2]Eurostat POM Portables GU'!T21</f>
        <v>6.3234847072277409</v>
      </c>
      <c r="U30" s="4">
        <f>$U$8*'[2]Eurostat POM Portables GU'!U21</f>
        <v>8.0664649216288904</v>
      </c>
      <c r="V30" s="4">
        <f>$V$8*'[2]Eurostat POM Portables GU'!V21</f>
        <v>8.5796586235318557</v>
      </c>
      <c r="W30" s="4">
        <f>$W$8*'[2]Eurostat POM Portables GU'!W21</f>
        <v>7.8259176862505351</v>
      </c>
      <c r="X30" s="48">
        <f>'[3]POM Portables Lead-acid'!AC30</f>
        <v>7.9824360399755454</v>
      </c>
      <c r="Y30" s="48">
        <f>'[3]POM Portables Lead-acid'!AD30</f>
        <v>8.1420847607750559</v>
      </c>
      <c r="Z30" s="48">
        <f>'[3]POM Portables Lead-acid'!AE30</f>
        <v>8.3049264559905573</v>
      </c>
      <c r="AA30" s="48">
        <f>'[3]POM Portables Lead-acid'!AF30</f>
        <v>8.3879757205504628</v>
      </c>
      <c r="AB30" s="48">
        <f>'[3]POM Portables Lead-acid'!AG30</f>
        <v>4.1939878602752314</v>
      </c>
      <c r="AC30" s="48">
        <f>'[3]POM Portables Lead-acid'!AH30</f>
        <v>1.0484969650688081</v>
      </c>
      <c r="AD30" s="48">
        <f>'[3]POM Portables Lead-acid'!AI30</f>
        <v>0</v>
      </c>
      <c r="AE30" s="48">
        <f>'[3]POM Portables Lead-acid'!AJ30</f>
        <v>0</v>
      </c>
      <c r="AF30" s="48">
        <f>'[3]POM Portables Lead-acid'!AK30</f>
        <v>0</v>
      </c>
      <c r="AG30" s="48">
        <f>'[3]POM Portables Lead-acid'!AL30</f>
        <v>0</v>
      </c>
      <c r="AH30" s="48">
        <f>'[3]POM Portables Lead-acid'!AM30</f>
        <v>0</v>
      </c>
      <c r="AI30" s="48">
        <f>'[3]POM Portables Lead-acid'!AN30</f>
        <v>0</v>
      </c>
      <c r="AJ30" s="48">
        <f>'[3]POM Portables Lead-acid'!AO30</f>
        <v>0</v>
      </c>
      <c r="AK30" s="48">
        <f>'[3]POM Portables Lead-acid'!AP30</f>
        <v>0</v>
      </c>
      <c r="AL30" s="48">
        <f>'[3]POM Portables Lead-acid'!AQ30</f>
        <v>0</v>
      </c>
      <c r="AM30" s="48">
        <f>'[3]POM Portables Lead-acid'!AR30</f>
        <v>0</v>
      </c>
      <c r="AN30" s="48">
        <f>'[3]POM Portables Lead-acid'!AS30</f>
        <v>0</v>
      </c>
      <c r="AO30" s="48">
        <f>'[3]POM Portables Lead-acid'!AT30</f>
        <v>0</v>
      </c>
      <c r="AP30" s="48">
        <f>'[3]POM Portables Lead-acid'!AU30</f>
        <v>0</v>
      </c>
      <c r="AQ30" s="48">
        <f>'[3]POM Portables Lead-acid'!AV30</f>
        <v>0</v>
      </c>
      <c r="AR30" s="48">
        <f>'[3]POM Portables Lead-acid'!AW30</f>
        <v>0</v>
      </c>
      <c r="AS30" s="48">
        <f>'[3]POM Portables Lead-acid'!AX30</f>
        <v>0</v>
      </c>
      <c r="AT30" s="48">
        <f>'[3]POM Portables Lead-acid'!AY30</f>
        <v>0</v>
      </c>
      <c r="AU30" s="48">
        <f>'[3]POM Portables Lead-acid'!AZ30</f>
        <v>0</v>
      </c>
      <c r="AV30" s="48">
        <f>'[3]POM Portables Lead-acid'!BA30</f>
        <v>0</v>
      </c>
      <c r="AW30" s="48">
        <f>'[3]POM Portables Lead-acid'!BB30</f>
        <v>0</v>
      </c>
      <c r="AX30" s="48">
        <f>'[3]POM Portables Lead-acid'!BC30</f>
        <v>0</v>
      </c>
      <c r="AY30" s="48">
        <f>'[3]POM Portables Lead-acid'!BD30</f>
        <v>0</v>
      </c>
      <c r="AZ30" s="48">
        <f>'[3]POM Portables Lead-acid'!BE30</f>
        <v>0</v>
      </c>
    </row>
    <row r="31" spans="1:52" x14ac:dyDescent="0.35">
      <c r="A31" s="61" t="s">
        <v>19</v>
      </c>
      <c r="B31" s="23">
        <f t="shared" si="1"/>
        <v>1.663282434469691</v>
      </c>
      <c r="C31" s="23">
        <f t="shared" si="1"/>
        <v>1.6965480831590849</v>
      </c>
      <c r="D31" s="23">
        <f t="shared" si="1"/>
        <v>1.7304790448222667</v>
      </c>
      <c r="E31" s="23">
        <f t="shared" si="1"/>
        <v>1.7650886257187119</v>
      </c>
      <c r="F31" s="23">
        <f t="shared" si="1"/>
        <v>1.8003903982330862</v>
      </c>
      <c r="G31" s="23">
        <f t="shared" si="1"/>
        <v>1.836398206197748</v>
      </c>
      <c r="H31" s="23">
        <f t="shared" si="1"/>
        <v>1.873126170321703</v>
      </c>
      <c r="I31" s="23">
        <f t="shared" si="1"/>
        <v>1.9105886937281371</v>
      </c>
      <c r="J31" s="23">
        <f t="shared" si="1"/>
        <v>1.9488004676027</v>
      </c>
      <c r="K31" s="23">
        <f t="shared" si="1"/>
        <v>1.9877764769547541</v>
      </c>
      <c r="L31" s="23">
        <f t="shared" si="1"/>
        <v>2.0275320064938493</v>
      </c>
      <c r="M31" s="4">
        <f>$M$8*'[2]Eurostat POM Portables GU'!M22</f>
        <v>2.0680826466237265</v>
      </c>
      <c r="N31" s="4">
        <f>$N$8*'[2]Eurostat POM Portables GU'!N22</f>
        <v>2.5261389729353367</v>
      </c>
      <c r="O31" s="4">
        <f>$O$8*'[2]Eurostat POM Portables GU'!O22</f>
        <v>2.2728082550177944</v>
      </c>
      <c r="P31" s="4">
        <f>$P$8*'[2]Eurostat POM Portables GU'!P22</f>
        <v>2.4872937451833765</v>
      </c>
      <c r="Q31" s="4">
        <f>$Q$8*'[2]Eurostat POM Portables GU'!Q22</f>
        <v>1.5136819869841946</v>
      </c>
      <c r="R31" s="4">
        <f>$R$8*'[2]Eurostat POM Portables GU'!R22</f>
        <v>1.6065801567843219</v>
      </c>
      <c r="S31" s="4">
        <f>$S$8*'[2]Eurostat POM Portables GU'!S22</f>
        <v>2.0675213440239837</v>
      </c>
      <c r="T31" s="4">
        <f>$T$8*'[2]Eurostat POM Portables GU'!T22</f>
        <v>2.4356005690518332</v>
      </c>
      <c r="U31" s="4">
        <f>$U$8*'[2]Eurostat POM Portables GU'!U22</f>
        <v>5.7198569444277583</v>
      </c>
      <c r="V31" s="4">
        <f>$V$8*'[2]Eurostat POM Portables GU'!V22</f>
        <v>4.7040197280743623</v>
      </c>
      <c r="W31" s="4">
        <f>$W$8*'[2]Eurostat POM Portables GU'!W22</f>
        <v>4.5033350896318867</v>
      </c>
      <c r="X31" s="48">
        <f>'[3]POM Portables Lead-acid'!AC31</f>
        <v>4.5934017914245242</v>
      </c>
      <c r="Y31" s="48">
        <f>'[3]POM Portables Lead-acid'!AD31</f>
        <v>4.6852698272530144</v>
      </c>
      <c r="Z31" s="48">
        <f>'[3]POM Portables Lead-acid'!AE31</f>
        <v>4.7789752237980752</v>
      </c>
      <c r="AA31" s="48">
        <f>'[3]POM Portables Lead-acid'!AF31</f>
        <v>4.8267649760360563</v>
      </c>
      <c r="AB31" s="48">
        <f>'[3]POM Portables Lead-acid'!AG31</f>
        <v>2.4133824880180281</v>
      </c>
      <c r="AC31" s="48">
        <f>'[3]POM Portables Lead-acid'!AH31</f>
        <v>0.60334562200450703</v>
      </c>
      <c r="AD31" s="48">
        <f>'[3]POM Portables Lead-acid'!AI31</f>
        <v>0</v>
      </c>
      <c r="AE31" s="48">
        <f>'[3]POM Portables Lead-acid'!AJ31</f>
        <v>0</v>
      </c>
      <c r="AF31" s="48">
        <f>'[3]POM Portables Lead-acid'!AK31</f>
        <v>0</v>
      </c>
      <c r="AG31" s="48">
        <f>'[3]POM Portables Lead-acid'!AL31</f>
        <v>0</v>
      </c>
      <c r="AH31" s="48">
        <f>'[3]POM Portables Lead-acid'!AM31</f>
        <v>0</v>
      </c>
      <c r="AI31" s="48">
        <f>'[3]POM Portables Lead-acid'!AN31</f>
        <v>0</v>
      </c>
      <c r="AJ31" s="48">
        <f>'[3]POM Portables Lead-acid'!AO31</f>
        <v>0</v>
      </c>
      <c r="AK31" s="48">
        <f>'[3]POM Portables Lead-acid'!AP31</f>
        <v>0</v>
      </c>
      <c r="AL31" s="48">
        <f>'[3]POM Portables Lead-acid'!AQ31</f>
        <v>0</v>
      </c>
      <c r="AM31" s="48">
        <f>'[3]POM Portables Lead-acid'!AR31</f>
        <v>0</v>
      </c>
      <c r="AN31" s="48">
        <f>'[3]POM Portables Lead-acid'!AS31</f>
        <v>0</v>
      </c>
      <c r="AO31" s="48">
        <f>'[3]POM Portables Lead-acid'!AT31</f>
        <v>0</v>
      </c>
      <c r="AP31" s="48">
        <f>'[3]POM Portables Lead-acid'!AU31</f>
        <v>0</v>
      </c>
      <c r="AQ31" s="48">
        <f>'[3]POM Portables Lead-acid'!AV31</f>
        <v>0</v>
      </c>
      <c r="AR31" s="48">
        <f>'[3]POM Portables Lead-acid'!AW31</f>
        <v>0</v>
      </c>
      <c r="AS31" s="48">
        <f>'[3]POM Portables Lead-acid'!AX31</f>
        <v>0</v>
      </c>
      <c r="AT31" s="48">
        <f>'[3]POM Portables Lead-acid'!AY31</f>
        <v>0</v>
      </c>
      <c r="AU31" s="48">
        <f>'[3]POM Portables Lead-acid'!AZ31</f>
        <v>0</v>
      </c>
      <c r="AV31" s="48">
        <f>'[3]POM Portables Lead-acid'!BA31</f>
        <v>0</v>
      </c>
      <c r="AW31" s="48">
        <f>'[3]POM Portables Lead-acid'!BB31</f>
        <v>0</v>
      </c>
      <c r="AX31" s="48">
        <f>'[3]POM Portables Lead-acid'!BC31</f>
        <v>0</v>
      </c>
      <c r="AY31" s="48">
        <f>'[3]POM Portables Lead-acid'!BD31</f>
        <v>0</v>
      </c>
      <c r="AZ31" s="48">
        <f>'[3]POM Portables Lead-acid'!BE31</f>
        <v>0</v>
      </c>
    </row>
    <row r="32" spans="1:52" x14ac:dyDescent="0.35">
      <c r="A32" s="61" t="s">
        <v>20</v>
      </c>
      <c r="B32" s="23">
        <f t="shared" si="1"/>
        <v>148.15424914523871</v>
      </c>
      <c r="C32" s="23">
        <f t="shared" si="1"/>
        <v>151.11733412814348</v>
      </c>
      <c r="D32" s="23">
        <f t="shared" si="1"/>
        <v>154.13968081070635</v>
      </c>
      <c r="E32" s="23">
        <f t="shared" si="1"/>
        <v>157.22247442692048</v>
      </c>
      <c r="F32" s="23">
        <f t="shared" si="1"/>
        <v>160.3669239154589</v>
      </c>
      <c r="G32" s="23">
        <f t="shared" si="1"/>
        <v>163.57426239376807</v>
      </c>
      <c r="H32" s="23">
        <f t="shared" si="1"/>
        <v>166.84574764164344</v>
      </c>
      <c r="I32" s="23">
        <f t="shared" si="1"/>
        <v>170.18266259447631</v>
      </c>
      <c r="J32" s="23">
        <f t="shared" si="1"/>
        <v>173.58631584636584</v>
      </c>
      <c r="K32" s="23">
        <f t="shared" si="1"/>
        <v>177.05804216329315</v>
      </c>
      <c r="L32" s="23">
        <f t="shared" si="1"/>
        <v>180.59920300655901</v>
      </c>
      <c r="M32" s="4">
        <f>$M$8*'[2]Eurostat POM Portables GU'!M23</f>
        <v>184.2111870666902</v>
      </c>
      <c r="N32" s="4">
        <f>$N$8*'[2]Eurostat POM Portables GU'!N23</f>
        <v>179.86051342737068</v>
      </c>
      <c r="O32" s="4">
        <f>$O$8*'[2]Eurostat POM Portables GU'!O23</f>
        <v>173.41082539127675</v>
      </c>
      <c r="P32" s="4">
        <f>$P$8*'[2]Eurostat POM Portables GU'!P23</f>
        <v>186.50462695252264</v>
      </c>
      <c r="Q32" s="4">
        <f>$Q$8*'[2]Eurostat POM Portables GU'!Q23</f>
        <v>170.00758446507191</v>
      </c>
      <c r="R32" s="4">
        <f>$R$8*'[2]Eurostat POM Portables GU'!R23</f>
        <v>187.07922780591969</v>
      </c>
      <c r="S32" s="4">
        <f>$S$8*'[2]Eurostat POM Portables GU'!S23</f>
        <v>269.90109762662581</v>
      </c>
      <c r="T32" s="4">
        <f>$T$8*'[2]Eurostat POM Portables GU'!T23</f>
        <v>289.85159567101317</v>
      </c>
      <c r="U32" s="4">
        <f>$U$8*'[2]Eurostat POM Portables GU'!U23</f>
        <v>291.99269716309539</v>
      </c>
      <c r="V32" s="4">
        <f>$V$8*'[2]Eurostat POM Portables GU'!V23</f>
        <v>357.97885980943261</v>
      </c>
      <c r="W32" s="4">
        <f>$W$8*'[2]Eurostat POM Portables GU'!W23</f>
        <v>325.97006615256174</v>
      </c>
      <c r="X32" s="48">
        <f>'[3]POM Portables Lead-acid'!AC32</f>
        <v>332.48946747561297</v>
      </c>
      <c r="Y32" s="48">
        <f>'[3]POM Portables Lead-acid'!AD32</f>
        <v>339.13925682512524</v>
      </c>
      <c r="Z32" s="48">
        <f>'[3]POM Portables Lead-acid'!AE32</f>
        <v>345.92204196162777</v>
      </c>
      <c r="AA32" s="48">
        <f>'[3]POM Portables Lead-acid'!AF32</f>
        <v>349.38126238124403</v>
      </c>
      <c r="AB32" s="48">
        <f>'[3]POM Portables Lead-acid'!AG32</f>
        <v>174.69063119062201</v>
      </c>
      <c r="AC32" s="48">
        <f>'[3]POM Portables Lead-acid'!AH32</f>
        <v>43.672657797655518</v>
      </c>
      <c r="AD32" s="48">
        <f>'[3]POM Portables Lead-acid'!AI32</f>
        <v>0</v>
      </c>
      <c r="AE32" s="48">
        <f>'[3]POM Portables Lead-acid'!AJ32</f>
        <v>0</v>
      </c>
      <c r="AF32" s="48">
        <f>'[3]POM Portables Lead-acid'!AK32</f>
        <v>0</v>
      </c>
      <c r="AG32" s="48">
        <f>'[3]POM Portables Lead-acid'!AL32</f>
        <v>0</v>
      </c>
      <c r="AH32" s="48">
        <f>'[3]POM Portables Lead-acid'!AM32</f>
        <v>0</v>
      </c>
      <c r="AI32" s="48">
        <f>'[3]POM Portables Lead-acid'!AN32</f>
        <v>0</v>
      </c>
      <c r="AJ32" s="48">
        <f>'[3]POM Portables Lead-acid'!AO32</f>
        <v>0</v>
      </c>
      <c r="AK32" s="48">
        <f>'[3]POM Portables Lead-acid'!AP32</f>
        <v>0</v>
      </c>
      <c r="AL32" s="48">
        <f>'[3]POM Portables Lead-acid'!AQ32</f>
        <v>0</v>
      </c>
      <c r="AM32" s="48">
        <f>'[3]POM Portables Lead-acid'!AR32</f>
        <v>0</v>
      </c>
      <c r="AN32" s="48">
        <f>'[3]POM Portables Lead-acid'!AS32</f>
        <v>0</v>
      </c>
      <c r="AO32" s="48">
        <f>'[3]POM Portables Lead-acid'!AT32</f>
        <v>0</v>
      </c>
      <c r="AP32" s="48">
        <f>'[3]POM Portables Lead-acid'!AU32</f>
        <v>0</v>
      </c>
      <c r="AQ32" s="48">
        <f>'[3]POM Portables Lead-acid'!AV32</f>
        <v>0</v>
      </c>
      <c r="AR32" s="48">
        <f>'[3]POM Portables Lead-acid'!AW32</f>
        <v>0</v>
      </c>
      <c r="AS32" s="48">
        <f>'[3]POM Portables Lead-acid'!AX32</f>
        <v>0</v>
      </c>
      <c r="AT32" s="48">
        <f>'[3]POM Portables Lead-acid'!AY32</f>
        <v>0</v>
      </c>
      <c r="AU32" s="48">
        <f>'[3]POM Portables Lead-acid'!AZ32</f>
        <v>0</v>
      </c>
      <c r="AV32" s="48">
        <f>'[3]POM Portables Lead-acid'!BA32</f>
        <v>0</v>
      </c>
      <c r="AW32" s="48">
        <f>'[3]POM Portables Lead-acid'!BB32</f>
        <v>0</v>
      </c>
      <c r="AX32" s="48">
        <f>'[3]POM Portables Lead-acid'!BC32</f>
        <v>0</v>
      </c>
      <c r="AY32" s="48">
        <f>'[3]POM Portables Lead-acid'!BD32</f>
        <v>0</v>
      </c>
      <c r="AZ32" s="48">
        <f>'[3]POM Portables Lead-acid'!BE32</f>
        <v>0</v>
      </c>
    </row>
    <row r="33" spans="1:52" x14ac:dyDescent="0.35">
      <c r="A33" s="61" t="s">
        <v>21</v>
      </c>
      <c r="B33" s="23">
        <f t="shared" si="1"/>
        <v>52.403207594668856</v>
      </c>
      <c r="C33" s="23">
        <f t="shared" si="1"/>
        <v>53.451271746562234</v>
      </c>
      <c r="D33" s="23">
        <f t="shared" si="1"/>
        <v>54.520297181493483</v>
      </c>
      <c r="E33" s="23">
        <f t="shared" si="1"/>
        <v>55.610703125123351</v>
      </c>
      <c r="F33" s="23">
        <f t="shared" si="1"/>
        <v>56.722917187625818</v>
      </c>
      <c r="G33" s="23">
        <f t="shared" si="1"/>
        <v>57.857375531378338</v>
      </c>
      <c r="H33" s="23">
        <f t="shared" si="1"/>
        <v>59.014523042005905</v>
      </c>
      <c r="I33" s="23">
        <f t="shared" si="1"/>
        <v>60.194813502846024</v>
      </c>
      <c r="J33" s="23">
        <f t="shared" si="1"/>
        <v>61.398709772902947</v>
      </c>
      <c r="K33" s="23">
        <f t="shared" si="1"/>
        <v>62.626683968361007</v>
      </c>
      <c r="L33" s="23">
        <f t="shared" si="1"/>
        <v>63.879217647728225</v>
      </c>
      <c r="M33" s="4">
        <f>$M$8*'[2]Eurostat POM Portables GU'!M24</f>
        <v>65.156802000682788</v>
      </c>
      <c r="N33" s="4">
        <f>$N$8*'[2]Eurostat POM Portables GU'!N24</f>
        <v>65.073456231939332</v>
      </c>
      <c r="O33" s="4">
        <f>$O$8*'[2]Eurostat POM Portables GU'!O24</f>
        <v>74.661929977714237</v>
      </c>
      <c r="P33" s="4">
        <f>$P$8*'[2]Eurostat POM Portables GU'!P24</f>
        <v>75.229429037221905</v>
      </c>
      <c r="Q33" s="4">
        <f>$Q$8*'[2]Eurostat POM Portables GU'!Q24</f>
        <v>40.248783551068229</v>
      </c>
      <c r="R33" s="4">
        <f>$R$8*'[2]Eurostat POM Portables GU'!R24</f>
        <v>47.515566971207392</v>
      </c>
      <c r="S33" s="4">
        <f>$S$8*'[2]Eurostat POM Portables GU'!S24</f>
        <v>109.26592242499733</v>
      </c>
      <c r="T33" s="4">
        <f>$T$8*'[2]Eurostat POM Portables GU'!T24</f>
        <v>94.458943808445014</v>
      </c>
      <c r="U33" s="4">
        <f>$U$8*'[2]Eurostat POM Portables GU'!U24</f>
        <v>145.56302608575771</v>
      </c>
      <c r="V33" s="4">
        <f>$V$8*'[2]Eurostat POM Portables GU'!V24</f>
        <v>115.90757205583648</v>
      </c>
      <c r="W33" s="4">
        <f>$W$8*'[2]Eurostat POM Portables GU'!W24</f>
        <v>96.931541868296094</v>
      </c>
      <c r="X33" s="48">
        <f>'[3]POM Portables Lead-acid'!AC33</f>
        <v>98.870172705662014</v>
      </c>
      <c r="Y33" s="48">
        <f>'[3]POM Portables Lead-acid'!AD33</f>
        <v>100.84757615977526</v>
      </c>
      <c r="Z33" s="48">
        <f>'[3]POM Portables Lead-acid'!AE33</f>
        <v>102.86452768297076</v>
      </c>
      <c r="AA33" s="48">
        <f>'[3]POM Portables Lead-acid'!AF33</f>
        <v>103.89317295980047</v>
      </c>
      <c r="AB33" s="48">
        <f>'[3]POM Portables Lead-acid'!AG33</f>
        <v>51.946586479900233</v>
      </c>
      <c r="AC33" s="48">
        <f>'[3]POM Portables Lead-acid'!AH33</f>
        <v>12.986646619975062</v>
      </c>
      <c r="AD33" s="48">
        <f>'[3]POM Portables Lead-acid'!AI33</f>
        <v>0</v>
      </c>
      <c r="AE33" s="48">
        <f>'[3]POM Portables Lead-acid'!AJ33</f>
        <v>0</v>
      </c>
      <c r="AF33" s="48">
        <f>'[3]POM Portables Lead-acid'!AK33</f>
        <v>0</v>
      </c>
      <c r="AG33" s="48">
        <f>'[3]POM Portables Lead-acid'!AL33</f>
        <v>0</v>
      </c>
      <c r="AH33" s="48">
        <f>'[3]POM Portables Lead-acid'!AM33</f>
        <v>0</v>
      </c>
      <c r="AI33" s="48">
        <f>'[3]POM Portables Lead-acid'!AN33</f>
        <v>0</v>
      </c>
      <c r="AJ33" s="48">
        <f>'[3]POM Portables Lead-acid'!AO33</f>
        <v>0</v>
      </c>
      <c r="AK33" s="48">
        <f>'[3]POM Portables Lead-acid'!AP33</f>
        <v>0</v>
      </c>
      <c r="AL33" s="48">
        <f>'[3]POM Portables Lead-acid'!AQ33</f>
        <v>0</v>
      </c>
      <c r="AM33" s="48">
        <f>'[3]POM Portables Lead-acid'!AR33</f>
        <v>0</v>
      </c>
      <c r="AN33" s="48">
        <f>'[3]POM Portables Lead-acid'!AS33</f>
        <v>0</v>
      </c>
      <c r="AO33" s="48">
        <f>'[3]POM Portables Lead-acid'!AT33</f>
        <v>0</v>
      </c>
      <c r="AP33" s="48">
        <f>'[3]POM Portables Lead-acid'!AU33</f>
        <v>0</v>
      </c>
      <c r="AQ33" s="48">
        <f>'[3]POM Portables Lead-acid'!AV33</f>
        <v>0</v>
      </c>
      <c r="AR33" s="48">
        <f>'[3]POM Portables Lead-acid'!AW33</f>
        <v>0</v>
      </c>
      <c r="AS33" s="48">
        <f>'[3]POM Portables Lead-acid'!AX33</f>
        <v>0</v>
      </c>
      <c r="AT33" s="48">
        <f>'[3]POM Portables Lead-acid'!AY33</f>
        <v>0</v>
      </c>
      <c r="AU33" s="48">
        <f>'[3]POM Portables Lead-acid'!AZ33</f>
        <v>0</v>
      </c>
      <c r="AV33" s="48">
        <f>'[3]POM Portables Lead-acid'!BA33</f>
        <v>0</v>
      </c>
      <c r="AW33" s="48">
        <f>'[3]POM Portables Lead-acid'!BB33</f>
        <v>0</v>
      </c>
      <c r="AX33" s="48">
        <f>'[3]POM Portables Lead-acid'!BC33</f>
        <v>0</v>
      </c>
      <c r="AY33" s="48">
        <f>'[3]POM Portables Lead-acid'!BD33</f>
        <v>0</v>
      </c>
      <c r="AZ33" s="48">
        <f>'[3]POM Portables Lead-acid'!BE33</f>
        <v>0</v>
      </c>
    </row>
    <row r="34" spans="1:52" x14ac:dyDescent="0.35">
      <c r="A34" s="61" t="s">
        <v>22</v>
      </c>
      <c r="B34" s="23">
        <f t="shared" si="1"/>
        <v>190.46498430681456</v>
      </c>
      <c r="C34" s="23">
        <f t="shared" si="1"/>
        <v>194.27428399295084</v>
      </c>
      <c r="D34" s="23">
        <f t="shared" si="1"/>
        <v>198.15976967280986</v>
      </c>
      <c r="E34" s="23">
        <f t="shared" si="1"/>
        <v>202.12296506626606</v>
      </c>
      <c r="F34" s="23">
        <f t="shared" si="1"/>
        <v>206.16542436759138</v>
      </c>
      <c r="G34" s="23">
        <f t="shared" si="1"/>
        <v>210.28873285494322</v>
      </c>
      <c r="H34" s="23">
        <f t="shared" si="1"/>
        <v>214.49450751204208</v>
      </c>
      <c r="I34" s="23">
        <f t="shared" si="1"/>
        <v>218.78439766228291</v>
      </c>
      <c r="J34" s="23">
        <f t="shared" si="1"/>
        <v>223.16008561552857</v>
      </c>
      <c r="K34" s="23">
        <f t="shared" si="1"/>
        <v>227.62328732783914</v>
      </c>
      <c r="L34" s="23">
        <f t="shared" si="1"/>
        <v>232.17575307439591</v>
      </c>
      <c r="M34" s="4">
        <f>$M$8*'[2]Eurostat POM Portables GU'!M25</f>
        <v>236.81926813588385</v>
      </c>
      <c r="N34" s="4">
        <f>$N$8*'[2]Eurostat POM Portables GU'!N25</f>
        <v>256.780924274879</v>
      </c>
      <c r="O34" s="4">
        <f>$O$8*'[2]Eurostat POM Portables GU'!O25</f>
        <v>287.71535383817076</v>
      </c>
      <c r="P34" s="4">
        <f>$P$8*'[2]Eurostat POM Portables GU'!P25</f>
        <v>285.89945347704491</v>
      </c>
      <c r="Q34" s="4">
        <f>$Q$8*'[2]Eurostat POM Portables GU'!Q25</f>
        <v>252.02088183834275</v>
      </c>
      <c r="R34" s="4">
        <f>$R$8*'[2]Eurostat POM Portables GU'!R25</f>
        <v>273.01208950765931</v>
      </c>
      <c r="S34" s="4">
        <f>$S$8*'[2]Eurostat POM Portables GU'!S25</f>
        <v>407.61441358099864</v>
      </c>
      <c r="T34" s="4">
        <f>$T$8*'[2]Eurostat POM Portables GU'!T25</f>
        <v>403.55329677035218</v>
      </c>
      <c r="U34" s="4">
        <f>$U$8*'[2]Eurostat POM Portables GU'!U25</f>
        <v>646.65049371735734</v>
      </c>
      <c r="V34" s="4">
        <f>$V$8*'[2]Eurostat POM Portables GU'!V25</f>
        <v>642.88269617016283</v>
      </c>
      <c r="W34" s="4">
        <f>$W$8*'[2]Eurostat POM Portables GU'!W25</f>
        <v>572.41782486869704</v>
      </c>
      <c r="X34" s="48">
        <f>'[3]POM Portables Lead-acid'!AC34</f>
        <v>583.86618136607103</v>
      </c>
      <c r="Y34" s="48">
        <f>'[3]POM Portables Lead-acid'!AD34</f>
        <v>595.5435049933925</v>
      </c>
      <c r="Z34" s="48">
        <f>'[3]POM Portables Lead-acid'!AE34</f>
        <v>607.4543750932603</v>
      </c>
      <c r="AA34" s="48">
        <f>'[3]POM Portables Lead-acid'!AF34</f>
        <v>613.52891884419284</v>
      </c>
      <c r="AB34" s="48">
        <f>'[3]POM Portables Lead-acid'!AG34</f>
        <v>306.76445942209642</v>
      </c>
      <c r="AC34" s="48">
        <f>'[3]POM Portables Lead-acid'!AH34</f>
        <v>76.69111485552412</v>
      </c>
      <c r="AD34" s="48">
        <f>'[3]POM Portables Lead-acid'!AI34</f>
        <v>0</v>
      </c>
      <c r="AE34" s="48">
        <f>'[3]POM Portables Lead-acid'!AJ34</f>
        <v>0</v>
      </c>
      <c r="AF34" s="48">
        <f>'[3]POM Portables Lead-acid'!AK34</f>
        <v>0</v>
      </c>
      <c r="AG34" s="48">
        <f>'[3]POM Portables Lead-acid'!AL34</f>
        <v>0</v>
      </c>
      <c r="AH34" s="48">
        <f>'[3]POM Portables Lead-acid'!AM34</f>
        <v>0</v>
      </c>
      <c r="AI34" s="48">
        <f>'[3]POM Portables Lead-acid'!AN34</f>
        <v>0</v>
      </c>
      <c r="AJ34" s="48">
        <f>'[3]POM Portables Lead-acid'!AO34</f>
        <v>0</v>
      </c>
      <c r="AK34" s="48">
        <f>'[3]POM Portables Lead-acid'!AP34</f>
        <v>0</v>
      </c>
      <c r="AL34" s="48">
        <f>'[3]POM Portables Lead-acid'!AQ34</f>
        <v>0</v>
      </c>
      <c r="AM34" s="48">
        <f>'[3]POM Portables Lead-acid'!AR34</f>
        <v>0</v>
      </c>
      <c r="AN34" s="48">
        <f>'[3]POM Portables Lead-acid'!AS34</f>
        <v>0</v>
      </c>
      <c r="AO34" s="48">
        <f>'[3]POM Portables Lead-acid'!AT34</f>
        <v>0</v>
      </c>
      <c r="AP34" s="48">
        <f>'[3]POM Portables Lead-acid'!AU34</f>
        <v>0</v>
      </c>
      <c r="AQ34" s="48">
        <f>'[3]POM Portables Lead-acid'!AV34</f>
        <v>0</v>
      </c>
      <c r="AR34" s="48">
        <f>'[3]POM Portables Lead-acid'!AW34</f>
        <v>0</v>
      </c>
      <c r="AS34" s="48">
        <f>'[3]POM Portables Lead-acid'!AX34</f>
        <v>0</v>
      </c>
      <c r="AT34" s="48">
        <f>'[3]POM Portables Lead-acid'!AY34</f>
        <v>0</v>
      </c>
      <c r="AU34" s="48">
        <f>'[3]POM Portables Lead-acid'!AZ34</f>
        <v>0</v>
      </c>
      <c r="AV34" s="48">
        <f>'[3]POM Portables Lead-acid'!BA34</f>
        <v>0</v>
      </c>
      <c r="AW34" s="48">
        <f>'[3]POM Portables Lead-acid'!BB34</f>
        <v>0</v>
      </c>
      <c r="AX34" s="48">
        <f>'[3]POM Portables Lead-acid'!BC34</f>
        <v>0</v>
      </c>
      <c r="AY34" s="48">
        <f>'[3]POM Portables Lead-acid'!BD34</f>
        <v>0</v>
      </c>
      <c r="AZ34" s="48">
        <f>'[3]POM Portables Lead-acid'!BE34</f>
        <v>0</v>
      </c>
    </row>
    <row r="35" spans="1:52" x14ac:dyDescent="0.35">
      <c r="A35" s="61" t="s">
        <v>23</v>
      </c>
      <c r="B35" s="23">
        <f t="shared" si="1"/>
        <v>32.385524437045881</v>
      </c>
      <c r="C35" s="23">
        <f t="shared" si="1"/>
        <v>33.0332349257868</v>
      </c>
      <c r="D35" s="23">
        <f t="shared" si="1"/>
        <v>33.693899624302539</v>
      </c>
      <c r="E35" s="23">
        <f t="shared" si="1"/>
        <v>34.367777616788587</v>
      </c>
      <c r="F35" s="23">
        <f t="shared" si="1"/>
        <v>35.05513316912436</v>
      </c>
      <c r="G35" s="23">
        <f t="shared" si="1"/>
        <v>35.756235832506846</v>
      </c>
      <c r="H35" s="23">
        <f t="shared" si="1"/>
        <v>36.471360549156984</v>
      </c>
      <c r="I35" s="23">
        <f t="shared" si="1"/>
        <v>37.200787760140123</v>
      </c>
      <c r="J35" s="23">
        <f t="shared" si="1"/>
        <v>37.944803515342926</v>
      </c>
      <c r="K35" s="23">
        <f t="shared" si="1"/>
        <v>38.703699585649787</v>
      </c>
      <c r="L35" s="23">
        <f t="shared" si="1"/>
        <v>39.477773577362782</v>
      </c>
      <c r="M35" s="4">
        <f>$M$8*'[2]Eurostat POM Portables GU'!M26</f>
        <v>40.267329048910035</v>
      </c>
      <c r="N35" s="4">
        <f>$N$8*'[2]Eurostat POM Portables GU'!N26</f>
        <v>41.92150277738677</v>
      </c>
      <c r="O35" s="4">
        <f>$O$8*'[2]Eurostat POM Portables GU'!O26</f>
        <v>44.106988521011765</v>
      </c>
      <c r="P35" s="4">
        <f>$P$8*'[2]Eurostat POM Portables GU'!P26</f>
        <v>44.100093679822166</v>
      </c>
      <c r="Q35" s="4">
        <f>$Q$8*'[2]Eurostat POM Portables GU'!Q26</f>
        <v>31.686955803309186</v>
      </c>
      <c r="R35" s="4">
        <f>$R$8*'[2]Eurostat POM Portables GU'!R26</f>
        <v>37.884609002155493</v>
      </c>
      <c r="S35" s="4">
        <f>$S$8*'[2]Eurostat POM Portables GU'!S26</f>
        <v>68.036935858410388</v>
      </c>
      <c r="T35" s="4">
        <f>$T$8*'[2]Eurostat POM Portables GU'!T26</f>
        <v>74.308509286848476</v>
      </c>
      <c r="U35" s="4">
        <f>$U$8*'[2]Eurostat POM Portables GU'!U26</f>
        <v>86.197844162530217</v>
      </c>
      <c r="V35" s="4">
        <f>$V$8*'[2]Eurostat POM Portables GU'!V26</f>
        <v>79.945324798580359</v>
      </c>
      <c r="W35" s="4">
        <f>$W$8*'[2]Eurostat POM Portables GU'!W26</f>
        <v>78.808364068558021</v>
      </c>
      <c r="X35" s="48">
        <f>'[3]POM Portables Lead-acid'!AC35</f>
        <v>80.384531349929176</v>
      </c>
      <c r="Y35" s="48">
        <f>'[3]POM Portables Lead-acid'!AD35</f>
        <v>81.992221976927766</v>
      </c>
      <c r="Z35" s="48">
        <f>'[3]POM Portables Lead-acid'!AE35</f>
        <v>83.632066416466316</v>
      </c>
      <c r="AA35" s="48">
        <f>'[3]POM Portables Lead-acid'!AF35</f>
        <v>84.468387080630976</v>
      </c>
      <c r="AB35" s="48">
        <f>'[3]POM Portables Lead-acid'!AG35</f>
        <v>42.234193540315488</v>
      </c>
      <c r="AC35" s="48">
        <f>'[3]POM Portables Lead-acid'!AH35</f>
        <v>10.558548385078872</v>
      </c>
      <c r="AD35" s="48">
        <f>'[3]POM Portables Lead-acid'!AI35</f>
        <v>0</v>
      </c>
      <c r="AE35" s="48">
        <f>'[3]POM Portables Lead-acid'!AJ35</f>
        <v>0</v>
      </c>
      <c r="AF35" s="48">
        <f>'[3]POM Portables Lead-acid'!AK35</f>
        <v>0</v>
      </c>
      <c r="AG35" s="48">
        <f>'[3]POM Portables Lead-acid'!AL35</f>
        <v>0</v>
      </c>
      <c r="AH35" s="48">
        <f>'[3]POM Portables Lead-acid'!AM35</f>
        <v>0</v>
      </c>
      <c r="AI35" s="48">
        <f>'[3]POM Portables Lead-acid'!AN35</f>
        <v>0</v>
      </c>
      <c r="AJ35" s="48">
        <f>'[3]POM Portables Lead-acid'!AO35</f>
        <v>0</v>
      </c>
      <c r="AK35" s="48">
        <f>'[3]POM Portables Lead-acid'!AP35</f>
        <v>0</v>
      </c>
      <c r="AL35" s="48">
        <f>'[3]POM Portables Lead-acid'!AQ35</f>
        <v>0</v>
      </c>
      <c r="AM35" s="48">
        <f>'[3]POM Portables Lead-acid'!AR35</f>
        <v>0</v>
      </c>
      <c r="AN35" s="48">
        <f>'[3]POM Portables Lead-acid'!AS35</f>
        <v>0</v>
      </c>
      <c r="AO35" s="48">
        <f>'[3]POM Portables Lead-acid'!AT35</f>
        <v>0</v>
      </c>
      <c r="AP35" s="48">
        <f>'[3]POM Portables Lead-acid'!AU35</f>
        <v>0</v>
      </c>
      <c r="AQ35" s="48">
        <f>'[3]POM Portables Lead-acid'!AV35</f>
        <v>0</v>
      </c>
      <c r="AR35" s="48">
        <f>'[3]POM Portables Lead-acid'!AW35</f>
        <v>0</v>
      </c>
      <c r="AS35" s="48">
        <f>'[3]POM Portables Lead-acid'!AX35</f>
        <v>0</v>
      </c>
      <c r="AT35" s="48">
        <f>'[3]POM Portables Lead-acid'!AY35</f>
        <v>0</v>
      </c>
      <c r="AU35" s="48">
        <f>'[3]POM Portables Lead-acid'!AZ35</f>
        <v>0</v>
      </c>
      <c r="AV35" s="48">
        <f>'[3]POM Portables Lead-acid'!BA35</f>
        <v>0</v>
      </c>
      <c r="AW35" s="48">
        <f>'[3]POM Portables Lead-acid'!BB35</f>
        <v>0</v>
      </c>
      <c r="AX35" s="48">
        <f>'[3]POM Portables Lead-acid'!BC35</f>
        <v>0</v>
      </c>
      <c r="AY35" s="48">
        <f>'[3]POM Portables Lead-acid'!BD35</f>
        <v>0</v>
      </c>
      <c r="AZ35" s="48">
        <f>'[3]POM Portables Lead-acid'!BE35</f>
        <v>0</v>
      </c>
    </row>
    <row r="36" spans="1:52" x14ac:dyDescent="0.35">
      <c r="A36" s="61" t="s">
        <v>24</v>
      </c>
      <c r="B36" s="23">
        <f t="shared" si="1"/>
        <v>51.367442321938157</v>
      </c>
      <c r="C36" s="23">
        <f t="shared" si="1"/>
        <v>52.394791168376919</v>
      </c>
      <c r="D36" s="23">
        <f t="shared" si="1"/>
        <v>53.442686991744459</v>
      </c>
      <c r="E36" s="23">
        <f t="shared" si="1"/>
        <v>54.511540731579352</v>
      </c>
      <c r="F36" s="23">
        <f t="shared" si="1"/>
        <v>55.601771546210941</v>
      </c>
      <c r="G36" s="23">
        <f t="shared" si="1"/>
        <v>56.713806977135164</v>
      </c>
      <c r="H36" s="23">
        <f t="shared" si="1"/>
        <v>57.84808311667787</v>
      </c>
      <c r="I36" s="23">
        <f t="shared" si="1"/>
        <v>59.005044779011428</v>
      </c>
      <c r="J36" s="23">
        <f t="shared" si="1"/>
        <v>60.185145674591659</v>
      </c>
      <c r="K36" s="23">
        <f t="shared" si="1"/>
        <v>61.388848588083491</v>
      </c>
      <c r="L36" s="23">
        <f t="shared" si="1"/>
        <v>62.616625559845161</v>
      </c>
      <c r="M36" s="4">
        <f>$M$8*'[2]Eurostat POM Portables GU'!M27</f>
        <v>63.868958071042066</v>
      </c>
      <c r="N36" s="4">
        <f>$N$8*'[2]Eurostat POM Portables GU'!N27</f>
        <v>66.371049052409433</v>
      </c>
      <c r="O36" s="4">
        <f>$O$8*'[2]Eurostat POM Portables GU'!O27</f>
        <v>44.368037075364221</v>
      </c>
      <c r="P36" s="4">
        <f>$P$8*'[2]Eurostat POM Portables GU'!P27</f>
        <v>42.088935561456651</v>
      </c>
      <c r="Q36" s="4">
        <f>$Q$8*'[2]Eurostat POM Portables GU'!Q27</f>
        <v>54.19759861380485</v>
      </c>
      <c r="R36" s="4">
        <f>$R$8*'[2]Eurostat POM Portables GU'!R27</f>
        <v>49.859384176065156</v>
      </c>
      <c r="S36" s="4">
        <f>$S$8*'[2]Eurostat POM Portables GU'!S27</f>
        <v>110.05528446530016</v>
      </c>
      <c r="T36" s="4">
        <f>$T$8*'[2]Eurostat POM Portables GU'!T27</f>
        <v>84.777053347617837</v>
      </c>
      <c r="U36" s="4">
        <f>$U$8*'[2]Eurostat POM Portables GU'!U27</f>
        <v>142.52976861522785</v>
      </c>
      <c r="V36" s="4">
        <f>$V$8*'[2]Eurostat POM Portables GU'!V27</f>
        <v>163.17787512341812</v>
      </c>
      <c r="W36" s="4">
        <f>$W$8*'[2]Eurostat POM Portables GU'!W27</f>
        <v>188.75564272030238</v>
      </c>
      <c r="X36" s="48">
        <f>'[3]POM Portables Lead-acid'!AC36</f>
        <v>192.53075557470842</v>
      </c>
      <c r="Y36" s="48">
        <f>'[3]POM Portables Lead-acid'!AD36</f>
        <v>196.38137068620259</v>
      </c>
      <c r="Z36" s="48">
        <f>'[3]POM Portables Lead-acid'!AE36</f>
        <v>200.30899809992664</v>
      </c>
      <c r="AA36" s="48">
        <f>'[3]POM Portables Lead-acid'!AF36</f>
        <v>202.31208808092592</v>
      </c>
      <c r="AB36" s="48">
        <f>'[3]POM Portables Lead-acid'!AG36</f>
        <v>101.15604404046296</v>
      </c>
      <c r="AC36" s="48">
        <f>'[3]POM Portables Lead-acid'!AH36</f>
        <v>25.289011010115743</v>
      </c>
      <c r="AD36" s="48">
        <f>'[3]POM Portables Lead-acid'!AI36</f>
        <v>0</v>
      </c>
      <c r="AE36" s="48">
        <f>'[3]POM Portables Lead-acid'!AJ36</f>
        <v>0</v>
      </c>
      <c r="AF36" s="48">
        <f>'[3]POM Portables Lead-acid'!AK36</f>
        <v>0</v>
      </c>
      <c r="AG36" s="48">
        <f>'[3]POM Portables Lead-acid'!AL36</f>
        <v>0</v>
      </c>
      <c r="AH36" s="48">
        <f>'[3]POM Portables Lead-acid'!AM36</f>
        <v>0</v>
      </c>
      <c r="AI36" s="48">
        <f>'[3]POM Portables Lead-acid'!AN36</f>
        <v>0</v>
      </c>
      <c r="AJ36" s="48">
        <f>'[3]POM Portables Lead-acid'!AO36</f>
        <v>0</v>
      </c>
      <c r="AK36" s="48">
        <f>'[3]POM Portables Lead-acid'!AP36</f>
        <v>0</v>
      </c>
      <c r="AL36" s="48">
        <f>'[3]POM Portables Lead-acid'!AQ36</f>
        <v>0</v>
      </c>
      <c r="AM36" s="48">
        <f>'[3]POM Portables Lead-acid'!AR36</f>
        <v>0</v>
      </c>
      <c r="AN36" s="48">
        <f>'[3]POM Portables Lead-acid'!AS36</f>
        <v>0</v>
      </c>
      <c r="AO36" s="48">
        <f>'[3]POM Portables Lead-acid'!AT36</f>
        <v>0</v>
      </c>
      <c r="AP36" s="48">
        <f>'[3]POM Portables Lead-acid'!AU36</f>
        <v>0</v>
      </c>
      <c r="AQ36" s="48">
        <f>'[3]POM Portables Lead-acid'!AV36</f>
        <v>0</v>
      </c>
      <c r="AR36" s="48">
        <f>'[3]POM Portables Lead-acid'!AW36</f>
        <v>0</v>
      </c>
      <c r="AS36" s="48">
        <f>'[3]POM Portables Lead-acid'!AX36</f>
        <v>0</v>
      </c>
      <c r="AT36" s="48">
        <f>'[3]POM Portables Lead-acid'!AY36</f>
        <v>0</v>
      </c>
      <c r="AU36" s="48">
        <f>'[3]POM Portables Lead-acid'!AZ36</f>
        <v>0</v>
      </c>
      <c r="AV36" s="48">
        <f>'[3]POM Portables Lead-acid'!BA36</f>
        <v>0</v>
      </c>
      <c r="AW36" s="48">
        <f>'[3]POM Portables Lead-acid'!BB36</f>
        <v>0</v>
      </c>
      <c r="AX36" s="48">
        <f>'[3]POM Portables Lead-acid'!BC36</f>
        <v>0</v>
      </c>
      <c r="AY36" s="48">
        <f>'[3]POM Portables Lead-acid'!BD36</f>
        <v>0</v>
      </c>
      <c r="AZ36" s="48">
        <f>'[3]POM Portables Lead-acid'!BE36</f>
        <v>0</v>
      </c>
    </row>
    <row r="37" spans="1:52" x14ac:dyDescent="0.35">
      <c r="A37" s="61" t="s">
        <v>25</v>
      </c>
      <c r="B37" s="23">
        <f t="shared" si="1"/>
        <v>18.669302322532335</v>
      </c>
      <c r="C37" s="23">
        <f t="shared" si="1"/>
        <v>19.042688368982983</v>
      </c>
      <c r="D37" s="23">
        <f t="shared" si="1"/>
        <v>19.423542136362641</v>
      </c>
      <c r="E37" s="23">
        <f t="shared" si="1"/>
        <v>19.812012979089893</v>
      </c>
      <c r="F37" s="23">
        <f t="shared" si="1"/>
        <v>20.208253238671691</v>
      </c>
      <c r="G37" s="23">
        <f t="shared" si="1"/>
        <v>20.612418303445125</v>
      </c>
      <c r="H37" s="23">
        <f t="shared" si="1"/>
        <v>21.024666669514026</v>
      </c>
      <c r="I37" s="23">
        <f t="shared" si="1"/>
        <v>21.445160002904306</v>
      </c>
      <c r="J37" s="23">
        <f t="shared" si="1"/>
        <v>21.874063202962393</v>
      </c>
      <c r="K37" s="23">
        <f t="shared" si="1"/>
        <v>22.311544467021641</v>
      </c>
      <c r="L37" s="23">
        <f t="shared" si="1"/>
        <v>22.757775356362075</v>
      </c>
      <c r="M37" s="4">
        <f>$M$8*'[2]Eurostat POM Portables GU'!M28</f>
        <v>23.212930863489316</v>
      </c>
      <c r="N37" s="4">
        <f>$N$8*'[2]Eurostat POM Portables GU'!N28</f>
        <v>24.226901054333336</v>
      </c>
      <c r="O37" s="4">
        <f>$O$8*'[2]Eurostat POM Portables GU'!O28</f>
        <v>24.265765815541744</v>
      </c>
      <c r="P37" s="4">
        <f>$P$8*'[2]Eurostat POM Portables GU'!P28</f>
        <v>20.402351032093552</v>
      </c>
      <c r="Q37" s="4">
        <f>$Q$8*'[2]Eurostat POM Portables GU'!Q28</f>
        <v>19.233388170205124</v>
      </c>
      <c r="R37" s="4">
        <f>$R$8*'[2]Eurostat POM Portables GU'!R28</f>
        <v>26.335982410947235</v>
      </c>
      <c r="S37" s="4">
        <f>$S$8*'[2]Eurostat POM Portables GU'!S28</f>
        <v>44.325714570851929</v>
      </c>
      <c r="T37" s="4">
        <f>$T$8*'[2]Eurostat POM Portables GU'!T28</f>
        <v>46.412562396590211</v>
      </c>
      <c r="U37" s="4">
        <f>$U$8*'[2]Eurostat POM Portables GU'!U28</f>
        <v>58.265209433914464</v>
      </c>
      <c r="V37" s="4">
        <f>$V$8*'[2]Eurostat POM Portables GU'!V28</f>
        <v>66.730678183025546</v>
      </c>
      <c r="W37" s="4">
        <f>$W$8*'[2]Eurostat POM Portables GU'!W28</f>
        <v>62.332747886977941</v>
      </c>
      <c r="X37" s="48">
        <f>'[3]POM Portables Lead-acid'!AC37</f>
        <v>63.579402844717499</v>
      </c>
      <c r="Y37" s="48">
        <f>'[3]POM Portables Lead-acid'!AD37</f>
        <v>64.850990901611851</v>
      </c>
      <c r="Z37" s="48">
        <f>'[3]POM Portables Lead-acid'!AE37</f>
        <v>66.148010719644091</v>
      </c>
      <c r="AA37" s="48">
        <f>'[3]POM Portables Lead-acid'!AF37</f>
        <v>66.809490826840531</v>
      </c>
      <c r="AB37" s="48">
        <f>'[3]POM Portables Lead-acid'!AG37</f>
        <v>33.404745413420265</v>
      </c>
      <c r="AC37" s="48">
        <f>'[3]POM Portables Lead-acid'!AH37</f>
        <v>8.3511863533550681</v>
      </c>
      <c r="AD37" s="48">
        <f>'[3]POM Portables Lead-acid'!AI37</f>
        <v>0</v>
      </c>
      <c r="AE37" s="48">
        <f>'[3]POM Portables Lead-acid'!AJ37</f>
        <v>0</v>
      </c>
      <c r="AF37" s="48">
        <f>'[3]POM Portables Lead-acid'!AK37</f>
        <v>0</v>
      </c>
      <c r="AG37" s="48">
        <f>'[3]POM Portables Lead-acid'!AL37</f>
        <v>0</v>
      </c>
      <c r="AH37" s="48">
        <f>'[3]POM Portables Lead-acid'!AM37</f>
        <v>0</v>
      </c>
      <c r="AI37" s="48">
        <f>'[3]POM Portables Lead-acid'!AN37</f>
        <v>0</v>
      </c>
      <c r="AJ37" s="48">
        <f>'[3]POM Portables Lead-acid'!AO37</f>
        <v>0</v>
      </c>
      <c r="AK37" s="48">
        <f>'[3]POM Portables Lead-acid'!AP37</f>
        <v>0</v>
      </c>
      <c r="AL37" s="48">
        <f>'[3]POM Portables Lead-acid'!AQ37</f>
        <v>0</v>
      </c>
      <c r="AM37" s="48">
        <f>'[3]POM Portables Lead-acid'!AR37</f>
        <v>0</v>
      </c>
      <c r="AN37" s="48">
        <f>'[3]POM Portables Lead-acid'!AS37</f>
        <v>0</v>
      </c>
      <c r="AO37" s="48">
        <f>'[3]POM Portables Lead-acid'!AT37</f>
        <v>0</v>
      </c>
      <c r="AP37" s="48">
        <f>'[3]POM Portables Lead-acid'!AU37</f>
        <v>0</v>
      </c>
      <c r="AQ37" s="48">
        <f>'[3]POM Portables Lead-acid'!AV37</f>
        <v>0</v>
      </c>
      <c r="AR37" s="48">
        <f>'[3]POM Portables Lead-acid'!AW37</f>
        <v>0</v>
      </c>
      <c r="AS37" s="48">
        <f>'[3]POM Portables Lead-acid'!AX37</f>
        <v>0</v>
      </c>
      <c r="AT37" s="48">
        <f>'[3]POM Portables Lead-acid'!AY37</f>
        <v>0</v>
      </c>
      <c r="AU37" s="48">
        <f>'[3]POM Portables Lead-acid'!AZ37</f>
        <v>0</v>
      </c>
      <c r="AV37" s="48">
        <f>'[3]POM Portables Lead-acid'!BA37</f>
        <v>0</v>
      </c>
      <c r="AW37" s="48">
        <f>'[3]POM Portables Lead-acid'!BB37</f>
        <v>0</v>
      </c>
      <c r="AX37" s="48">
        <f>'[3]POM Portables Lead-acid'!BC37</f>
        <v>0</v>
      </c>
      <c r="AY37" s="48">
        <f>'[3]POM Portables Lead-acid'!BD37</f>
        <v>0</v>
      </c>
      <c r="AZ37" s="48">
        <f>'[3]POM Portables Lead-acid'!BE37</f>
        <v>0</v>
      </c>
    </row>
    <row r="38" spans="1:52" x14ac:dyDescent="0.35">
      <c r="A38" s="61" t="s">
        <v>26</v>
      </c>
      <c r="B38" s="23">
        <f t="shared" si="1"/>
        <v>12.763706689894553</v>
      </c>
      <c r="C38" s="23">
        <f t="shared" si="1"/>
        <v>13.018980823692445</v>
      </c>
      <c r="D38" s="23">
        <f t="shared" si="1"/>
        <v>13.279360440166293</v>
      </c>
      <c r="E38" s="23">
        <f t="shared" si="1"/>
        <v>13.54494764896962</v>
      </c>
      <c r="F38" s="23">
        <f t="shared" si="1"/>
        <v>13.815846601949012</v>
      </c>
      <c r="G38" s="23">
        <f t="shared" si="1"/>
        <v>14.092163533987993</v>
      </c>
      <c r="H38" s="23">
        <f t="shared" si="1"/>
        <v>14.374006804667752</v>
      </c>
      <c r="I38" s="23">
        <f t="shared" si="1"/>
        <v>14.661486940761108</v>
      </c>
      <c r="J38" s="23">
        <f t="shared" si="1"/>
        <v>14.954716679576331</v>
      </c>
      <c r="K38" s="23">
        <f t="shared" si="1"/>
        <v>15.253811013167857</v>
      </c>
      <c r="L38" s="23">
        <f t="shared" si="1"/>
        <v>15.558887233431214</v>
      </c>
      <c r="M38" s="4">
        <f>$M$8*'[2]Eurostat POM Portables GU'!M29</f>
        <v>15.870064978099839</v>
      </c>
      <c r="N38" s="4">
        <f>$N$8*'[2]Eurostat POM Portables GU'!N29</f>
        <v>17.491822561228666</v>
      </c>
      <c r="O38" s="4">
        <f>$O$8*'[2]Eurostat POM Portables GU'!O29</f>
        <v>18.390896197042164</v>
      </c>
      <c r="P38" s="4">
        <f>$P$8*'[2]Eurostat POM Portables GU'!P29</f>
        <v>17.421960085600077</v>
      </c>
      <c r="Q38" s="4">
        <f>$Q$8*'[2]Eurostat POM Portables GU'!Q29</f>
        <v>13.580123915703936</v>
      </c>
      <c r="R38" s="4">
        <f>$R$8*'[2]Eurostat POM Portables GU'!R29</f>
        <v>18.580078205781543</v>
      </c>
      <c r="S38" s="4">
        <f>$S$8*'[2]Eurostat POM Portables GU'!S29</f>
        <v>23.984461993817138</v>
      </c>
      <c r="T38" s="4">
        <f>$T$8*'[2]Eurostat POM Portables GU'!T29</f>
        <v>24.900612028939861</v>
      </c>
      <c r="U38" s="4">
        <f>$U$8*'[2]Eurostat POM Portables GU'!U29</f>
        <v>27.765972230234983</v>
      </c>
      <c r="V38" s="4">
        <f>$V$8*'[2]Eurostat POM Portables GU'!V29</f>
        <v>27.152482846886254</v>
      </c>
      <c r="W38" s="4">
        <f>$W$8*'[2]Eurostat POM Portables GU'!W29</f>
        <v>24.274074507527974</v>
      </c>
      <c r="X38" s="48">
        <f>'[3]POM Portables Lead-acid'!AC38</f>
        <v>24.759555997678532</v>
      </c>
      <c r="Y38" s="48">
        <f>'[3]POM Portables Lead-acid'!AD38</f>
        <v>25.254747117632103</v>
      </c>
      <c r="Z38" s="48">
        <f>'[3]POM Portables Lead-acid'!AE38</f>
        <v>25.759842059984745</v>
      </c>
      <c r="AA38" s="48">
        <f>'[3]POM Portables Lead-acid'!AF38</f>
        <v>26.017440480584593</v>
      </c>
      <c r="AB38" s="48">
        <f>'[3]POM Portables Lead-acid'!AG38</f>
        <v>13.008720240292297</v>
      </c>
      <c r="AC38" s="48">
        <f>'[3]POM Portables Lead-acid'!AH38</f>
        <v>3.2521800600730746</v>
      </c>
      <c r="AD38" s="48">
        <f>'[3]POM Portables Lead-acid'!AI38</f>
        <v>0</v>
      </c>
      <c r="AE38" s="48">
        <f>'[3]POM Portables Lead-acid'!AJ38</f>
        <v>0</v>
      </c>
      <c r="AF38" s="48">
        <f>'[3]POM Portables Lead-acid'!AK38</f>
        <v>0</v>
      </c>
      <c r="AG38" s="48">
        <f>'[3]POM Portables Lead-acid'!AL38</f>
        <v>0</v>
      </c>
      <c r="AH38" s="48">
        <f>'[3]POM Portables Lead-acid'!AM38</f>
        <v>0</v>
      </c>
      <c r="AI38" s="48">
        <f>'[3]POM Portables Lead-acid'!AN38</f>
        <v>0</v>
      </c>
      <c r="AJ38" s="48">
        <f>'[3]POM Portables Lead-acid'!AO38</f>
        <v>0</v>
      </c>
      <c r="AK38" s="48">
        <f>'[3]POM Portables Lead-acid'!AP38</f>
        <v>0</v>
      </c>
      <c r="AL38" s="48">
        <f>'[3]POM Portables Lead-acid'!AQ38</f>
        <v>0</v>
      </c>
      <c r="AM38" s="48">
        <f>'[3]POM Portables Lead-acid'!AR38</f>
        <v>0</v>
      </c>
      <c r="AN38" s="48">
        <f>'[3]POM Portables Lead-acid'!AS38</f>
        <v>0</v>
      </c>
      <c r="AO38" s="48">
        <f>'[3]POM Portables Lead-acid'!AT38</f>
        <v>0</v>
      </c>
      <c r="AP38" s="48">
        <f>'[3]POM Portables Lead-acid'!AU38</f>
        <v>0</v>
      </c>
      <c r="AQ38" s="48">
        <f>'[3]POM Portables Lead-acid'!AV38</f>
        <v>0</v>
      </c>
      <c r="AR38" s="48">
        <f>'[3]POM Portables Lead-acid'!AW38</f>
        <v>0</v>
      </c>
      <c r="AS38" s="48">
        <f>'[3]POM Portables Lead-acid'!AX38</f>
        <v>0</v>
      </c>
      <c r="AT38" s="48">
        <f>'[3]POM Portables Lead-acid'!AY38</f>
        <v>0</v>
      </c>
      <c r="AU38" s="48">
        <f>'[3]POM Portables Lead-acid'!AZ38</f>
        <v>0</v>
      </c>
      <c r="AV38" s="48">
        <f>'[3]POM Portables Lead-acid'!BA38</f>
        <v>0</v>
      </c>
      <c r="AW38" s="48">
        <f>'[3]POM Portables Lead-acid'!BB38</f>
        <v>0</v>
      </c>
      <c r="AX38" s="48">
        <f>'[3]POM Portables Lead-acid'!BC38</f>
        <v>0</v>
      </c>
      <c r="AY38" s="48">
        <f>'[3]POM Portables Lead-acid'!BD38</f>
        <v>0</v>
      </c>
      <c r="AZ38" s="48">
        <f>'[3]POM Portables Lead-acid'!BE38</f>
        <v>0</v>
      </c>
    </row>
    <row r="39" spans="1:52" x14ac:dyDescent="0.35">
      <c r="A39" s="61" t="s">
        <v>27</v>
      </c>
      <c r="B39" s="23">
        <f t="shared" si="1"/>
        <v>74.961051920766309</v>
      </c>
      <c r="C39" s="23">
        <f t="shared" si="1"/>
        <v>76.460272959181637</v>
      </c>
      <c r="D39" s="23">
        <f t="shared" si="1"/>
        <v>77.989478418365266</v>
      </c>
      <c r="E39" s="23">
        <f t="shared" si="1"/>
        <v>79.549267986732573</v>
      </c>
      <c r="F39" s="23">
        <f t="shared" si="1"/>
        <v>81.140253346467233</v>
      </c>
      <c r="G39" s="23">
        <f t="shared" si="1"/>
        <v>82.763058413396578</v>
      </c>
      <c r="H39" s="23">
        <f t="shared" si="1"/>
        <v>84.418319581664505</v>
      </c>
      <c r="I39" s="23">
        <f t="shared" si="1"/>
        <v>86.1066859732978</v>
      </c>
      <c r="J39" s="23">
        <f t="shared" si="1"/>
        <v>87.828819692763759</v>
      </c>
      <c r="K39" s="23">
        <f t="shared" si="1"/>
        <v>89.585396086619042</v>
      </c>
      <c r="L39" s="23">
        <f t="shared" si="1"/>
        <v>91.377104008351424</v>
      </c>
      <c r="M39" s="4">
        <f>M6*'[2]Eurostat POM Portables GU'!M30</f>
        <v>93.204646088518459</v>
      </c>
      <c r="N39" s="4">
        <f>N6*'[2]Eurostat POM Portables GU'!N30</f>
        <v>90.175708854330011</v>
      </c>
      <c r="O39" s="4">
        <f>O6*'[2]Eurostat POM Portables GU'!O30</f>
        <v>106.03636578118561</v>
      </c>
      <c r="P39" s="4">
        <f>P6*'[2]Eurostat POM Portables GU'!P30</f>
        <v>98.713070097503348</v>
      </c>
      <c r="Q39" s="4">
        <f>Q6*'[2]Eurostat POM Portables GU'!Q30</f>
        <v>59.766644205155636</v>
      </c>
      <c r="R39" s="4">
        <f>R6*'[2]Eurostat POM Portables GU'!R30</f>
        <v>67.251940806504948</v>
      </c>
      <c r="S39" s="4">
        <f>S6*'[2]Eurostat POM Portables GU'!S30</f>
        <v>102.16379383877008</v>
      </c>
      <c r="T39" s="4">
        <f>T6*'[2]Eurostat POM Portables GU'!T30</f>
        <v>79.489937772085668</v>
      </c>
      <c r="U39" s="4">
        <f>U6*'[2]Eurostat POM Portables GU'!U30</f>
        <v>89.724010713028008</v>
      </c>
      <c r="V39" s="4">
        <f>V6*'[2]Eurostat POM Portables GU'!V30</f>
        <v>130.19158306789049</v>
      </c>
      <c r="W39" s="4">
        <f>W6*'[2]Eurostat POM Portables GU'!W30</f>
        <v>102.12093748154825</v>
      </c>
      <c r="X39" s="48">
        <f>'[3]POM Portables Lead-acid'!AC39</f>
        <v>104.16335623117922</v>
      </c>
      <c r="Y39" s="48">
        <f>'[3]POM Portables Lead-acid'!AD39</f>
        <v>106.24662335580281</v>
      </c>
      <c r="Z39" s="48">
        <f>'[3]POM Portables Lead-acid'!AE39</f>
        <v>108.37155582291886</v>
      </c>
      <c r="AA39" s="48">
        <f>'[3]POM Portables Lead-acid'!AF39</f>
        <v>109.45527138114805</v>
      </c>
      <c r="AB39" s="48">
        <f>'[3]POM Portables Lead-acid'!AG39</f>
        <v>54.727635690574026</v>
      </c>
      <c r="AC39" s="48">
        <f>'[3]POM Portables Lead-acid'!AH39</f>
        <v>13.681908922643508</v>
      </c>
      <c r="AD39" s="48">
        <f>'[3]POM Portables Lead-acid'!AI39</f>
        <v>0</v>
      </c>
      <c r="AE39" s="48">
        <f>'[3]POM Portables Lead-acid'!AJ39</f>
        <v>0</v>
      </c>
      <c r="AF39" s="48">
        <f>'[3]POM Portables Lead-acid'!AK39</f>
        <v>0</v>
      </c>
      <c r="AG39" s="48">
        <f>'[3]POM Portables Lead-acid'!AL39</f>
        <v>0</v>
      </c>
      <c r="AH39" s="48">
        <f>'[3]POM Portables Lead-acid'!AM39</f>
        <v>0</v>
      </c>
      <c r="AI39" s="48">
        <f>'[3]POM Portables Lead-acid'!AN39</f>
        <v>0</v>
      </c>
      <c r="AJ39" s="48">
        <f>'[3]POM Portables Lead-acid'!AO39</f>
        <v>0</v>
      </c>
      <c r="AK39" s="48">
        <f>'[3]POM Portables Lead-acid'!AP39</f>
        <v>0</v>
      </c>
      <c r="AL39" s="48">
        <f>'[3]POM Portables Lead-acid'!AQ39</f>
        <v>0</v>
      </c>
      <c r="AM39" s="48">
        <f>'[3]POM Portables Lead-acid'!AR39</f>
        <v>0</v>
      </c>
      <c r="AN39" s="48">
        <f>'[3]POM Portables Lead-acid'!AS39</f>
        <v>0</v>
      </c>
      <c r="AO39" s="48">
        <f>'[3]POM Portables Lead-acid'!AT39</f>
        <v>0</v>
      </c>
      <c r="AP39" s="48">
        <f>'[3]POM Portables Lead-acid'!AU39</f>
        <v>0</v>
      </c>
      <c r="AQ39" s="48">
        <f>'[3]POM Portables Lead-acid'!AV39</f>
        <v>0</v>
      </c>
      <c r="AR39" s="48">
        <f>'[3]POM Portables Lead-acid'!AW39</f>
        <v>0</v>
      </c>
      <c r="AS39" s="48">
        <f>'[3]POM Portables Lead-acid'!AX39</f>
        <v>0</v>
      </c>
      <c r="AT39" s="48">
        <f>'[3]POM Portables Lead-acid'!AY39</f>
        <v>0</v>
      </c>
      <c r="AU39" s="48">
        <f>'[3]POM Portables Lead-acid'!AZ39</f>
        <v>0</v>
      </c>
      <c r="AV39" s="48">
        <f>'[3]POM Portables Lead-acid'!BA39</f>
        <v>0</v>
      </c>
      <c r="AW39" s="48">
        <f>'[3]POM Portables Lead-acid'!BB39</f>
        <v>0</v>
      </c>
      <c r="AX39" s="48">
        <f>'[3]POM Portables Lead-acid'!BC39</f>
        <v>0</v>
      </c>
      <c r="AY39" s="48">
        <f>'[3]POM Portables Lead-acid'!BD39</f>
        <v>0</v>
      </c>
      <c r="AZ39" s="48">
        <f>'[3]POM Portables Lead-acid'!BE39</f>
        <v>0</v>
      </c>
    </row>
    <row r="40" spans="1:52" x14ac:dyDescent="0.35">
      <c r="A40" s="61" t="s">
        <v>28</v>
      </c>
      <c r="B40" s="23">
        <f t="shared" si="1"/>
        <v>355.48426327923397</v>
      </c>
      <c r="C40" s="23">
        <f t="shared" si="1"/>
        <v>362.59394854481866</v>
      </c>
      <c r="D40" s="23">
        <f t="shared" si="1"/>
        <v>369.84582751571503</v>
      </c>
      <c r="E40" s="23">
        <f t="shared" si="1"/>
        <v>377.24274406602933</v>
      </c>
      <c r="F40" s="23">
        <f t="shared" si="1"/>
        <v>384.78759894734992</v>
      </c>
      <c r="G40" s="23">
        <f t="shared" si="1"/>
        <v>392.48335092629691</v>
      </c>
      <c r="H40" s="23">
        <f t="shared" si="1"/>
        <v>400.33301794482287</v>
      </c>
      <c r="I40" s="23">
        <f t="shared" si="1"/>
        <v>408.33967830371932</v>
      </c>
      <c r="J40" s="23">
        <f t="shared" si="1"/>
        <v>416.5064718697937</v>
      </c>
      <c r="K40" s="23">
        <f t="shared" si="1"/>
        <v>424.8366013071896</v>
      </c>
      <c r="L40" s="23">
        <f t="shared" si="1"/>
        <v>433.33333333333337</v>
      </c>
      <c r="M40" s="4">
        <f>M7*'[2]Eurostat POM Portables GU'!M31</f>
        <v>442.00000000000006</v>
      </c>
      <c r="N40" s="4">
        <f>N7*'[2]Eurostat POM Portables GU'!N31</f>
        <v>492.7</v>
      </c>
      <c r="O40" s="4">
        <f>O7*'[2]Eurostat POM Portables GU'!O31</f>
        <v>399.7</v>
      </c>
      <c r="P40" s="4">
        <f>P7*'[2]Eurostat POM Portables GU'!P31</f>
        <v>380.8</v>
      </c>
      <c r="Q40" s="4">
        <f>Q7*'[2]Eurostat POM Portables GU'!Q31</f>
        <v>335.4</v>
      </c>
      <c r="R40" s="4">
        <f>R7*'[2]Eurostat POM Portables GU'!R31</f>
        <v>301.8</v>
      </c>
      <c r="S40" s="4">
        <f>S7*'[2]Eurostat POM Portables GU'!S31</f>
        <v>711.8</v>
      </c>
      <c r="T40" s="4">
        <f>T7*'[2]Eurostat POM Portables GU'!T31</f>
        <v>707.80000000000121</v>
      </c>
      <c r="U40" s="4">
        <f>U7*'[2]Eurostat POM Portables GU'!U31</f>
        <v>661.75879887466272</v>
      </c>
      <c r="V40" s="4">
        <f>V7*'[2]Eurostat POM Portables GU'!V31</f>
        <v>291.1115551027429</v>
      </c>
      <c r="W40" s="4">
        <f>W7*'[2]Eurostat POM Portables GU'!W31</f>
        <v>318.17876268793833</v>
      </c>
      <c r="X40" s="48">
        <f>'[3]POM Portables Lead-acid'!AC40</f>
        <v>324.5423379416971</v>
      </c>
      <c r="Y40" s="48">
        <f>'[3]POM Portables Lead-acid'!AD40</f>
        <v>331.03318470053102</v>
      </c>
      <c r="Z40" s="48">
        <f>'[3]POM Portables Lead-acid'!AE40</f>
        <v>337.65384839454163</v>
      </c>
      <c r="AA40" s="48">
        <f>'[3]POM Portables Lead-acid'!AF40</f>
        <v>341.03038687848704</v>
      </c>
      <c r="AB40" s="48">
        <f>'[3]POM Portables Lead-acid'!AG40</f>
        <v>170.51519343924352</v>
      </c>
      <c r="AC40" s="48">
        <f>'[3]POM Portables Lead-acid'!AH40</f>
        <v>42.628798359810872</v>
      </c>
      <c r="AD40" s="48">
        <f>'[3]POM Portables Lead-acid'!AI40</f>
        <v>0</v>
      </c>
      <c r="AE40" s="48">
        <f>'[3]POM Portables Lead-acid'!AJ40</f>
        <v>0</v>
      </c>
      <c r="AF40" s="48">
        <f>'[3]POM Portables Lead-acid'!AK40</f>
        <v>0</v>
      </c>
      <c r="AG40" s="48">
        <f>'[3]POM Portables Lead-acid'!AL40</f>
        <v>0</v>
      </c>
      <c r="AH40" s="48">
        <f>'[3]POM Portables Lead-acid'!AM40</f>
        <v>0</v>
      </c>
      <c r="AI40" s="48">
        <f>'[3]POM Portables Lead-acid'!AN40</f>
        <v>0</v>
      </c>
      <c r="AJ40" s="48">
        <f>'[3]POM Portables Lead-acid'!AO40</f>
        <v>0</v>
      </c>
      <c r="AK40" s="48">
        <f>'[3]POM Portables Lead-acid'!AP40</f>
        <v>0</v>
      </c>
      <c r="AL40" s="48">
        <f>'[3]POM Portables Lead-acid'!AQ40</f>
        <v>0</v>
      </c>
      <c r="AM40" s="48">
        <f>'[3]POM Portables Lead-acid'!AR40</f>
        <v>0</v>
      </c>
      <c r="AN40" s="48">
        <f>'[3]POM Portables Lead-acid'!AS40</f>
        <v>0</v>
      </c>
      <c r="AO40" s="48">
        <f>'[3]POM Portables Lead-acid'!AT40</f>
        <v>0</v>
      </c>
      <c r="AP40" s="48">
        <f>'[3]POM Portables Lead-acid'!AU40</f>
        <v>0</v>
      </c>
      <c r="AQ40" s="48">
        <f>'[3]POM Portables Lead-acid'!AV40</f>
        <v>0</v>
      </c>
      <c r="AR40" s="48">
        <f>'[3]POM Portables Lead-acid'!AW40</f>
        <v>0</v>
      </c>
      <c r="AS40" s="48">
        <f>'[3]POM Portables Lead-acid'!AX40</f>
        <v>0</v>
      </c>
      <c r="AT40" s="48">
        <f>'[3]POM Portables Lead-acid'!AY40</f>
        <v>0</v>
      </c>
      <c r="AU40" s="48">
        <f>'[3]POM Portables Lead-acid'!AZ40</f>
        <v>0</v>
      </c>
      <c r="AV40" s="48">
        <f>'[3]POM Portables Lead-acid'!BA40</f>
        <v>0</v>
      </c>
      <c r="AW40" s="48">
        <f>'[3]POM Portables Lead-acid'!BB40</f>
        <v>0</v>
      </c>
      <c r="AX40" s="48">
        <f>'[3]POM Portables Lead-acid'!BC40</f>
        <v>0</v>
      </c>
      <c r="AY40" s="48">
        <f>'[3]POM Portables Lead-acid'!BD40</f>
        <v>0</v>
      </c>
      <c r="AZ40" s="48">
        <f>'[3]POM Portables Lead-acid'!BE40</f>
        <v>0</v>
      </c>
    </row>
    <row r="41" spans="1:52" x14ac:dyDescent="0.35">
      <c r="A41" s="61" t="s">
        <v>29</v>
      </c>
      <c r="B41" s="23">
        <f t="shared" si="1"/>
        <v>67.34284052056303</v>
      </c>
      <c r="C41" s="23">
        <f t="shared" si="1"/>
        <v>68.689697330974298</v>
      </c>
      <c r="D41" s="23">
        <f t="shared" si="1"/>
        <v>70.063491277593783</v>
      </c>
      <c r="E41" s="23">
        <f t="shared" si="1"/>
        <v>71.464761103145662</v>
      </c>
      <c r="F41" s="23">
        <f t="shared" si="1"/>
        <v>72.894056325208581</v>
      </c>
      <c r="G41" s="23">
        <f t="shared" si="1"/>
        <v>74.351937451712757</v>
      </c>
      <c r="H41" s="23">
        <f t="shared" si="1"/>
        <v>75.838976200747013</v>
      </c>
      <c r="I41" s="23">
        <f t="shared" si="1"/>
        <v>77.355755724761948</v>
      </c>
      <c r="J41" s="23">
        <f t="shared" si="1"/>
        <v>78.90287083925719</v>
      </c>
      <c r="K41" s="23">
        <f t="shared" si="1"/>
        <v>80.480928256042333</v>
      </c>
      <c r="L41" s="23">
        <f t="shared" si="1"/>
        <v>82.090546821163187</v>
      </c>
      <c r="M41" s="4">
        <f>$M$8*'[2]Eurostat POM Portables GU'!M32</f>
        <v>83.732357757586456</v>
      </c>
      <c r="N41" s="4">
        <f>$N$8*'[2]Eurostat POM Portables GU'!N32</f>
        <v>85.448280018633668</v>
      </c>
      <c r="O41" s="4">
        <f>$O$8*'[2]Eurostat POM Portables GU'!O32</f>
        <v>91.928938073826046</v>
      </c>
      <c r="P41" s="4">
        <f>$P$8*'[2]Eurostat POM Portables GU'!P32</f>
        <v>92.755581651845745</v>
      </c>
      <c r="Q41" s="4">
        <f>$Q$8*'[2]Eurostat POM Portables GU'!Q32</f>
        <v>82.7506796673362</v>
      </c>
      <c r="R41" s="4">
        <f>$R$8*'[2]Eurostat POM Portables GU'!R32</f>
        <v>87.893145182166137</v>
      </c>
      <c r="S41" s="4">
        <f>$S$8*'[2]Eurostat POM Portables GU'!S32</f>
        <v>126.90512801791854</v>
      </c>
      <c r="T41" s="4">
        <f>$T$8*'[2]Eurostat POM Portables GU'!T32</f>
        <v>137.33156500529529</v>
      </c>
      <c r="U41" s="4">
        <f>$U$8*'[2]Eurostat POM Portables GU'!U32</f>
        <v>162.82926091800468</v>
      </c>
      <c r="V41" s="4">
        <f>$V$8*'[2]Eurostat POM Portables GU'!V32</f>
        <v>189.40993482295232</v>
      </c>
      <c r="W41" s="4">
        <f>$W$8*'[2]Eurostat POM Portables GU'!W32</f>
        <v>181.64366840192031</v>
      </c>
      <c r="X41" s="48">
        <f>'[3]POM Portables Lead-acid'!AC41</f>
        <v>185.27654176995873</v>
      </c>
      <c r="Y41" s="48">
        <f>'[3]POM Portables Lead-acid'!AD41</f>
        <v>188.9820726053579</v>
      </c>
      <c r="Z41" s="48">
        <f>'[3]POM Portables Lead-acid'!AE41</f>
        <v>192.76171405746507</v>
      </c>
      <c r="AA41" s="48">
        <f>'[3]POM Portables Lead-acid'!AF41</f>
        <v>194.68933119803972</v>
      </c>
      <c r="AB41" s="48">
        <f>'[3]POM Portables Lead-acid'!AG41</f>
        <v>97.344665599019862</v>
      </c>
      <c r="AC41" s="48">
        <f>'[3]POM Portables Lead-acid'!AH41</f>
        <v>24.336166399754973</v>
      </c>
      <c r="AD41" s="48">
        <f>'[3]POM Portables Lead-acid'!AI41</f>
        <v>0</v>
      </c>
      <c r="AE41" s="48">
        <f>'[3]POM Portables Lead-acid'!AJ41</f>
        <v>0</v>
      </c>
      <c r="AF41" s="48">
        <f>'[3]POM Portables Lead-acid'!AK41</f>
        <v>0</v>
      </c>
      <c r="AG41" s="48">
        <f>'[3]POM Portables Lead-acid'!AL41</f>
        <v>0</v>
      </c>
      <c r="AH41" s="48">
        <f>'[3]POM Portables Lead-acid'!AM41</f>
        <v>0</v>
      </c>
      <c r="AI41" s="48">
        <f>'[3]POM Portables Lead-acid'!AN41</f>
        <v>0</v>
      </c>
      <c r="AJ41" s="48">
        <f>'[3]POM Portables Lead-acid'!AO41</f>
        <v>0</v>
      </c>
      <c r="AK41" s="48">
        <f>'[3]POM Portables Lead-acid'!AP41</f>
        <v>0</v>
      </c>
      <c r="AL41" s="48">
        <f>'[3]POM Portables Lead-acid'!AQ41</f>
        <v>0</v>
      </c>
      <c r="AM41" s="48">
        <f>'[3]POM Portables Lead-acid'!AR41</f>
        <v>0</v>
      </c>
      <c r="AN41" s="48">
        <f>'[3]POM Portables Lead-acid'!AS41</f>
        <v>0</v>
      </c>
      <c r="AO41" s="48">
        <f>'[3]POM Portables Lead-acid'!AT41</f>
        <v>0</v>
      </c>
      <c r="AP41" s="48">
        <f>'[3]POM Portables Lead-acid'!AU41</f>
        <v>0</v>
      </c>
      <c r="AQ41" s="48">
        <f>'[3]POM Portables Lead-acid'!AV41</f>
        <v>0</v>
      </c>
      <c r="AR41" s="48">
        <f>'[3]POM Portables Lead-acid'!AW41</f>
        <v>0</v>
      </c>
      <c r="AS41" s="48">
        <f>'[3]POM Portables Lead-acid'!AX41</f>
        <v>0</v>
      </c>
      <c r="AT41" s="48">
        <f>'[3]POM Portables Lead-acid'!AY41</f>
        <v>0</v>
      </c>
      <c r="AU41" s="48">
        <f>'[3]POM Portables Lead-acid'!AZ41</f>
        <v>0</v>
      </c>
      <c r="AV41" s="48">
        <f>'[3]POM Portables Lead-acid'!BA41</f>
        <v>0</v>
      </c>
      <c r="AW41" s="48">
        <f>'[3]POM Portables Lead-acid'!BB41</f>
        <v>0</v>
      </c>
      <c r="AX41" s="48">
        <f>'[3]POM Portables Lead-acid'!BC41</f>
        <v>0</v>
      </c>
      <c r="AY41" s="48">
        <f>'[3]POM Portables Lead-acid'!BD41</f>
        <v>0</v>
      </c>
      <c r="AZ41" s="48">
        <f>'[3]POM Portables Lead-acid'!BE41</f>
        <v>0</v>
      </c>
    </row>
    <row r="42" spans="1:52" x14ac:dyDescent="0.35">
      <c r="A42" s="61" t="s">
        <v>30</v>
      </c>
      <c r="B42" s="23">
        <f t="shared" si="1"/>
        <v>708.32034063040169</v>
      </c>
      <c r="C42" s="23">
        <f t="shared" si="1"/>
        <v>722.48674744300979</v>
      </c>
      <c r="D42" s="23">
        <f t="shared" si="1"/>
        <v>736.93648239186996</v>
      </c>
      <c r="E42" s="23">
        <f t="shared" si="1"/>
        <v>751.67521203970739</v>
      </c>
      <c r="F42" s="23">
        <f t="shared" si="1"/>
        <v>766.70871628050156</v>
      </c>
      <c r="G42" s="23">
        <f t="shared" si="1"/>
        <v>782.04289060611165</v>
      </c>
      <c r="H42" s="23">
        <f t="shared" si="1"/>
        <v>797.6837484182339</v>
      </c>
      <c r="I42" s="23">
        <f t="shared" si="1"/>
        <v>813.63742338659858</v>
      </c>
      <c r="J42" s="23">
        <f t="shared" si="1"/>
        <v>829.91017185433054</v>
      </c>
      <c r="K42" s="23">
        <f t="shared" si="1"/>
        <v>846.50837529141722</v>
      </c>
      <c r="L42" s="23">
        <f t="shared" si="1"/>
        <v>863.43854279724553</v>
      </c>
      <c r="M42" s="4">
        <f>$M$8*'[2]Eurostat POM Portables GU'!M33</f>
        <v>880.70731365319045</v>
      </c>
      <c r="N42" s="4">
        <f>$N$8*'[2]Eurostat POM Portables GU'!N33</f>
        <v>857.07658066701572</v>
      </c>
      <c r="O42" s="4">
        <f>$O$8*'[2]Eurostat POM Portables GU'!O33</f>
        <v>952.1577436790825</v>
      </c>
      <c r="P42" s="4">
        <f>$P$8*'[2]Eurostat POM Portables GU'!P33</f>
        <v>912.48368873219147</v>
      </c>
      <c r="Q42" s="4">
        <f>$Q$8*'[2]Eurostat POM Portables GU'!Q33</f>
        <v>777.32664114319891</v>
      </c>
      <c r="R42" s="4">
        <f>$R$8*'[2]Eurostat POM Portables GU'!R33</f>
        <v>829.25339386753569</v>
      </c>
      <c r="S42" s="4">
        <f>$S$8*'[2]Eurostat POM Portables GU'!S33</f>
        <v>1184.4537108756922</v>
      </c>
      <c r="T42" s="4">
        <f>$T$8*'[2]Eurostat POM Portables GU'!T33</f>
        <v>1154.7389550842418</v>
      </c>
      <c r="U42" s="4">
        <f>$U$8*'[2]Eurostat POM Portables GU'!U33</f>
        <v>1258.2627637526346</v>
      </c>
      <c r="V42" s="4">
        <f>$V$8*'[2]Eurostat POM Portables GU'!V33</f>
        <v>1326.9802972659886</v>
      </c>
      <c r="W42" s="4">
        <f>$W$8*'[2]Eurostat POM Portables GU'!W33</f>
        <v>1193.7580698333747</v>
      </c>
      <c r="X42" s="48">
        <f>'[3]POM Portables Lead-acid'!AC42</f>
        <v>1217.6332312300422</v>
      </c>
      <c r="Y42" s="48">
        <f>'[3]POM Portables Lead-acid'!AD42</f>
        <v>1241.9858958546431</v>
      </c>
      <c r="Z42" s="48">
        <f>'[3]POM Portables Lead-acid'!AE42</f>
        <v>1266.825613771736</v>
      </c>
      <c r="AA42" s="48">
        <f>'[3]POM Portables Lead-acid'!AF42</f>
        <v>1279.4938699094535</v>
      </c>
      <c r="AB42" s="48">
        <f>'[3]POM Portables Lead-acid'!AG42</f>
        <v>639.74693495472673</v>
      </c>
      <c r="AC42" s="48">
        <f>'[3]POM Portables Lead-acid'!AH42</f>
        <v>159.93673373868171</v>
      </c>
      <c r="AD42" s="48">
        <f>'[3]POM Portables Lead-acid'!AI42</f>
        <v>0</v>
      </c>
      <c r="AE42" s="48">
        <f>'[3]POM Portables Lead-acid'!AJ42</f>
        <v>0</v>
      </c>
      <c r="AF42" s="48">
        <f>'[3]POM Portables Lead-acid'!AK42</f>
        <v>0</v>
      </c>
      <c r="AG42" s="48">
        <f>'[3]POM Portables Lead-acid'!AL42</f>
        <v>0</v>
      </c>
      <c r="AH42" s="48">
        <f>'[3]POM Portables Lead-acid'!AM42</f>
        <v>0</v>
      </c>
      <c r="AI42" s="48">
        <f>'[3]POM Portables Lead-acid'!AN42</f>
        <v>0</v>
      </c>
      <c r="AJ42" s="48">
        <f>'[3]POM Portables Lead-acid'!AO42</f>
        <v>0</v>
      </c>
      <c r="AK42" s="48">
        <f>'[3]POM Portables Lead-acid'!AP42</f>
        <v>0</v>
      </c>
      <c r="AL42" s="48">
        <f>'[3]POM Portables Lead-acid'!AQ42</f>
        <v>0</v>
      </c>
      <c r="AM42" s="48">
        <f>'[3]POM Portables Lead-acid'!AR42</f>
        <v>0</v>
      </c>
      <c r="AN42" s="48">
        <f>'[3]POM Portables Lead-acid'!AS42</f>
        <v>0</v>
      </c>
      <c r="AO42" s="48">
        <f>'[3]POM Portables Lead-acid'!AT42</f>
        <v>0</v>
      </c>
      <c r="AP42" s="48">
        <f>'[3]POM Portables Lead-acid'!AU42</f>
        <v>0</v>
      </c>
      <c r="AQ42" s="48">
        <f>'[3]POM Portables Lead-acid'!AV42</f>
        <v>0</v>
      </c>
      <c r="AR42" s="48">
        <f>'[3]POM Portables Lead-acid'!AW42</f>
        <v>0</v>
      </c>
      <c r="AS42" s="48">
        <f>'[3]POM Portables Lead-acid'!AX42</f>
        <v>0</v>
      </c>
      <c r="AT42" s="48">
        <f>'[3]POM Portables Lead-acid'!AY42</f>
        <v>0</v>
      </c>
      <c r="AU42" s="48">
        <f>'[3]POM Portables Lead-acid'!AZ42</f>
        <v>0</v>
      </c>
      <c r="AV42" s="48">
        <f>'[3]POM Portables Lead-acid'!BA42</f>
        <v>0</v>
      </c>
      <c r="AW42" s="48">
        <f>'[3]POM Portables Lead-acid'!BB42</f>
        <v>0</v>
      </c>
      <c r="AX42" s="48">
        <f>'[3]POM Portables Lead-acid'!BC42</f>
        <v>0</v>
      </c>
      <c r="AY42" s="48">
        <f>'[3]POM Portables Lead-acid'!BD42</f>
        <v>0</v>
      </c>
      <c r="AZ42" s="48">
        <f>'[3]POM Portables Lead-acid'!BE42</f>
        <v>0</v>
      </c>
    </row>
    <row r="43" spans="1:52" x14ac:dyDescent="0.35">
      <c r="A43" s="61" t="s">
        <v>31</v>
      </c>
      <c r="B43" s="23">
        <f t="shared" si="1"/>
        <v>4350.642476169578</v>
      </c>
      <c r="C43" s="23">
        <f t="shared" si="1"/>
        <v>4437.6553256929692</v>
      </c>
      <c r="D43" s="23">
        <f t="shared" si="1"/>
        <v>4526.4084322068284</v>
      </c>
      <c r="E43" s="23">
        <f t="shared" si="1"/>
        <v>4616.9366008509651</v>
      </c>
      <c r="F43" s="23">
        <f t="shared" si="1"/>
        <v>4709.2753328679846</v>
      </c>
      <c r="G43" s="23">
        <f t="shared" si="1"/>
        <v>4803.4608395253445</v>
      </c>
      <c r="H43" s="23">
        <f t="shared" si="1"/>
        <v>4899.5300563158517</v>
      </c>
      <c r="I43" s="23">
        <f t="shared" si="1"/>
        <v>4997.5206574421691</v>
      </c>
      <c r="J43" s="23">
        <f t="shared" si="1"/>
        <v>5097.4710705910129</v>
      </c>
      <c r="K43" s="23">
        <f t="shared" si="1"/>
        <v>5199.4204920028333</v>
      </c>
      <c r="L43" s="23">
        <f t="shared" si="1"/>
        <v>5303.4089018428904</v>
      </c>
      <c r="M43" s="4">
        <f>SUM(M12:M42)</f>
        <v>5409.4770798797481</v>
      </c>
      <c r="N43" s="4">
        <f t="shared" ref="N43:AZ43" si="2">SUM(N12:N42)</f>
        <v>5469.9315145008459</v>
      </c>
      <c r="O43" s="4">
        <f t="shared" si="2"/>
        <v>5616.2428793824938</v>
      </c>
      <c r="P43" s="4">
        <f t="shared" si="2"/>
        <v>5369.5936692833684</v>
      </c>
      <c r="Q43" s="4">
        <f t="shared" si="2"/>
        <v>4659.8506083632528</v>
      </c>
      <c r="R43" s="4">
        <f t="shared" si="2"/>
        <v>4906.8795025980944</v>
      </c>
      <c r="S43" s="4">
        <f t="shared" si="2"/>
        <v>7589.4450922119941</v>
      </c>
      <c r="T43" s="4">
        <f t="shared" si="2"/>
        <v>7593.9824360312095</v>
      </c>
      <c r="U43" s="4">
        <f t="shared" si="2"/>
        <v>9054.6919011788559</v>
      </c>
      <c r="V43" s="4">
        <f t="shared" si="2"/>
        <v>9611.8602108461928</v>
      </c>
      <c r="W43" s="4">
        <f t="shared" si="2"/>
        <v>8634.9342763277273</v>
      </c>
      <c r="X43" s="4">
        <f t="shared" si="2"/>
        <v>8807.6329618542786</v>
      </c>
      <c r="Y43" s="4">
        <f t="shared" si="2"/>
        <v>8983.7856210913651</v>
      </c>
      <c r="Z43" s="4">
        <f t="shared" si="2"/>
        <v>9163.4613335131926</v>
      </c>
      <c r="AA43" s="4">
        <f t="shared" si="2"/>
        <v>9255.095946848327</v>
      </c>
      <c r="AB43" s="4">
        <f t="shared" si="2"/>
        <v>4627.5479734241635</v>
      </c>
      <c r="AC43" s="4">
        <f t="shared" si="2"/>
        <v>1156.8869933560409</v>
      </c>
      <c r="AD43" s="4">
        <f t="shared" si="2"/>
        <v>0</v>
      </c>
      <c r="AE43" s="4">
        <f t="shared" si="2"/>
        <v>0</v>
      </c>
      <c r="AF43" s="4">
        <f t="shared" si="2"/>
        <v>0</v>
      </c>
      <c r="AG43" s="4">
        <f t="shared" si="2"/>
        <v>0</v>
      </c>
      <c r="AH43" s="4">
        <f t="shared" si="2"/>
        <v>0</v>
      </c>
      <c r="AI43" s="4">
        <f t="shared" si="2"/>
        <v>0</v>
      </c>
      <c r="AJ43" s="4">
        <f t="shared" si="2"/>
        <v>0</v>
      </c>
      <c r="AK43" s="4">
        <f t="shared" si="2"/>
        <v>0</v>
      </c>
      <c r="AL43" s="4">
        <f t="shared" si="2"/>
        <v>0</v>
      </c>
      <c r="AM43" s="4">
        <f t="shared" si="2"/>
        <v>0</v>
      </c>
      <c r="AN43" s="4">
        <f t="shared" si="2"/>
        <v>0</v>
      </c>
      <c r="AO43" s="4">
        <f t="shared" si="2"/>
        <v>0</v>
      </c>
      <c r="AP43" s="4">
        <f t="shared" si="2"/>
        <v>0</v>
      </c>
      <c r="AQ43" s="4">
        <f t="shared" si="2"/>
        <v>0</v>
      </c>
      <c r="AR43" s="4">
        <f t="shared" si="2"/>
        <v>0</v>
      </c>
      <c r="AS43" s="4">
        <f t="shared" si="2"/>
        <v>0</v>
      </c>
      <c r="AT43" s="4">
        <f t="shared" si="2"/>
        <v>0</v>
      </c>
      <c r="AU43" s="4">
        <f t="shared" si="2"/>
        <v>0</v>
      </c>
      <c r="AV43" s="4">
        <f t="shared" si="2"/>
        <v>0</v>
      </c>
      <c r="AW43" s="4">
        <f t="shared" si="2"/>
        <v>0</v>
      </c>
      <c r="AX43" s="4">
        <f t="shared" si="2"/>
        <v>0</v>
      </c>
      <c r="AY43" s="4">
        <f t="shared" si="2"/>
        <v>0</v>
      </c>
      <c r="AZ43" s="4">
        <f t="shared" si="2"/>
        <v>0</v>
      </c>
    </row>
    <row r="44" spans="1:52" x14ac:dyDescent="0.35">
      <c r="A44" s="58" t="s">
        <v>68</v>
      </c>
      <c r="B44" s="39">
        <f t="shared" ref="B44:L44" si="3">_xlfn.RRI(1,B43,C43)</f>
        <v>2.0000000000000018E-2</v>
      </c>
      <c r="C44" s="39">
        <f t="shared" si="3"/>
        <v>2.0000000000000018E-2</v>
      </c>
      <c r="D44" s="39">
        <f t="shared" si="3"/>
        <v>2.0000000000000018E-2</v>
      </c>
      <c r="E44" s="39">
        <f t="shared" si="3"/>
        <v>2.0000000000000018E-2</v>
      </c>
      <c r="F44" s="39">
        <f t="shared" si="3"/>
        <v>2.0000000000000018E-2</v>
      </c>
      <c r="G44" s="39">
        <f t="shared" si="3"/>
        <v>2.0000000000000018E-2</v>
      </c>
      <c r="H44" s="39">
        <f t="shared" si="3"/>
        <v>2.0000000000000018E-2</v>
      </c>
      <c r="I44" s="39">
        <f t="shared" si="3"/>
        <v>2.0000000000000018E-2</v>
      </c>
      <c r="J44" s="39">
        <f t="shared" si="3"/>
        <v>2.0000000000000018E-2</v>
      </c>
      <c r="K44" s="39">
        <f t="shared" si="3"/>
        <v>2.0000000000000018E-2</v>
      </c>
      <c r="L44" s="39">
        <f t="shared" si="3"/>
        <v>2.0000000000000018E-2</v>
      </c>
      <c r="M44" s="39">
        <f>_xlfn.RRI(1,M43,N43)</f>
        <v>1.1175652235583922E-2</v>
      </c>
      <c r="N44" s="39">
        <f t="shared" ref="N44:AZ44" si="4">_xlfn.RRI(1,N43,O43)</f>
        <v>2.6748299223450012E-2</v>
      </c>
      <c r="O44" s="39">
        <f t="shared" si="4"/>
        <v>-4.3917119575541674E-2</v>
      </c>
      <c r="P44" s="39">
        <f t="shared" si="4"/>
        <v>-0.13217816926822301</v>
      </c>
      <c r="Q44" s="39">
        <f t="shared" si="4"/>
        <v>5.3012191805352549E-2</v>
      </c>
      <c r="R44" s="39">
        <f t="shared" si="4"/>
        <v>0.54669481657202601</v>
      </c>
      <c r="S44" s="39">
        <f t="shared" si="4"/>
        <v>5.9784921876193664E-4</v>
      </c>
      <c r="T44" s="39">
        <f t="shared" si="4"/>
        <v>0.1923509143525286</v>
      </c>
      <c r="U44" s="39">
        <f t="shared" si="4"/>
        <v>6.1533657439498013E-2</v>
      </c>
      <c r="V44" s="39">
        <f t="shared" si="4"/>
        <v>-0.1016375512219877</v>
      </c>
      <c r="W44" s="39">
        <f t="shared" si="4"/>
        <v>1.9999999999999574E-2</v>
      </c>
      <c r="X44" s="39">
        <f t="shared" si="4"/>
        <v>2.0000000000000018E-2</v>
      </c>
      <c r="Y44" s="39">
        <f t="shared" si="4"/>
        <v>2.0000000000000018E-2</v>
      </c>
      <c r="Z44" s="39">
        <f t="shared" si="4"/>
        <v>1.0000000000000231E-2</v>
      </c>
      <c r="AA44" s="39">
        <f t="shared" si="4"/>
        <v>-0.5</v>
      </c>
      <c r="AB44" s="39">
        <f t="shared" si="4"/>
        <v>-0.75</v>
      </c>
      <c r="AC44" s="39">
        <f t="shared" si="4"/>
        <v>-1</v>
      </c>
      <c r="AD44" s="39">
        <f t="shared" si="4"/>
        <v>0</v>
      </c>
      <c r="AE44" s="39">
        <f t="shared" si="4"/>
        <v>0</v>
      </c>
      <c r="AF44" s="39">
        <f t="shared" si="4"/>
        <v>0</v>
      </c>
      <c r="AG44" s="39">
        <f t="shared" si="4"/>
        <v>0</v>
      </c>
      <c r="AH44" s="39">
        <f t="shared" si="4"/>
        <v>0</v>
      </c>
      <c r="AI44" s="39">
        <f t="shared" si="4"/>
        <v>0</v>
      </c>
      <c r="AJ44" s="39">
        <f t="shared" si="4"/>
        <v>0</v>
      </c>
      <c r="AK44" s="39">
        <f t="shared" si="4"/>
        <v>0</v>
      </c>
      <c r="AL44" s="39">
        <f t="shared" si="4"/>
        <v>0</v>
      </c>
      <c r="AM44" s="39">
        <f t="shared" si="4"/>
        <v>0</v>
      </c>
      <c r="AN44" s="39">
        <f t="shared" si="4"/>
        <v>0</v>
      </c>
      <c r="AO44" s="39">
        <f t="shared" si="4"/>
        <v>0</v>
      </c>
      <c r="AP44" s="39">
        <f t="shared" si="4"/>
        <v>0</v>
      </c>
      <c r="AQ44" s="39">
        <f t="shared" si="4"/>
        <v>0</v>
      </c>
      <c r="AR44" s="39">
        <f t="shared" si="4"/>
        <v>0</v>
      </c>
      <c r="AS44" s="39">
        <f t="shared" si="4"/>
        <v>0</v>
      </c>
      <c r="AT44" s="39">
        <f t="shared" si="4"/>
        <v>0</v>
      </c>
      <c r="AU44" s="39">
        <f t="shared" si="4"/>
        <v>0</v>
      </c>
      <c r="AV44" s="39">
        <f t="shared" si="4"/>
        <v>0</v>
      </c>
      <c r="AW44" s="39">
        <f t="shared" si="4"/>
        <v>0</v>
      </c>
      <c r="AX44" s="39">
        <f t="shared" si="4"/>
        <v>0</v>
      </c>
      <c r="AY44" s="39">
        <f t="shared" si="4"/>
        <v>0</v>
      </c>
      <c r="AZ44" s="39">
        <f t="shared" si="4"/>
        <v>0</v>
      </c>
    </row>
    <row r="45" spans="1:52" x14ac:dyDescent="0.35">
      <c r="M45" s="2"/>
      <c r="N45" s="2"/>
      <c r="O45" s="2"/>
      <c r="P45" s="2"/>
      <c r="Q45" s="2"/>
      <c r="R45" s="2"/>
      <c r="S45" s="2"/>
      <c r="T45" s="2"/>
      <c r="U45" s="2"/>
    </row>
    <row r="46" spans="1:52" x14ac:dyDescent="0.35">
      <c r="A46" s="24" t="s">
        <v>92</v>
      </c>
      <c r="B46" s="24"/>
      <c r="C46" s="24"/>
      <c r="D46" s="24"/>
      <c r="M46" s="2"/>
    </row>
    <row r="47" spans="1:52" x14ac:dyDescent="0.35">
      <c r="A47" s="48" t="s">
        <v>91</v>
      </c>
      <c r="B47" s="48"/>
      <c r="C47" s="48"/>
      <c r="D47" s="48"/>
    </row>
    <row r="48" spans="1:52" x14ac:dyDescent="0.35">
      <c r="A48" s="38" t="s">
        <v>88</v>
      </c>
      <c r="B48" s="39">
        <f>_xlfn.RRI(5,Q43,V43)</f>
        <v>0.15581171079530143</v>
      </c>
    </row>
  </sheetData>
  <mergeCells count="4">
    <mergeCell ref="M2:W2"/>
    <mergeCell ref="B10:L10"/>
    <mergeCell ref="M10:W10"/>
    <mergeCell ref="X10:AZ10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4F1B-0AE0-47AD-834A-2879823938DF}">
  <sheetPr>
    <tabColor theme="9"/>
  </sheetPr>
  <dimension ref="A1:BI48"/>
  <sheetViews>
    <sheetView zoomScale="70" zoomScaleNormal="70" workbookViewId="0"/>
  </sheetViews>
  <sheetFormatPr baseColWidth="10" defaultRowHeight="14.5" x14ac:dyDescent="0.35"/>
  <cols>
    <col min="1" max="1" width="27.26953125" customWidth="1"/>
    <col min="2" max="3" width="10.08984375" customWidth="1"/>
    <col min="4" max="4" width="12" customWidth="1"/>
    <col min="5" max="12" width="11" customWidth="1"/>
    <col min="13" max="22" width="11.26953125" bestFit="1" customWidth="1"/>
  </cols>
  <sheetData>
    <row r="1" spans="1:61" x14ac:dyDescent="0.35">
      <c r="A1" s="61" t="s">
        <v>82</v>
      </c>
      <c r="B1" s="61" t="s">
        <v>69</v>
      </c>
      <c r="C1" s="61" t="s">
        <v>71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61" x14ac:dyDescent="0.3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107" t="s">
        <v>84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1:61" x14ac:dyDescent="0.35">
      <c r="A3" s="55" t="s">
        <v>33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</row>
    <row r="4" spans="1:61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2">
        <v>8.022218175195775E-2</v>
      </c>
      <c r="N4" s="12">
        <v>6.4796259185036745E-2</v>
      </c>
      <c r="O4" s="12">
        <v>7.2633624279061157E-2</v>
      </c>
      <c r="P4" s="12">
        <v>6.7575491058340667E-2</v>
      </c>
      <c r="Q4" s="12">
        <v>6.1837455830388695E-2</v>
      </c>
      <c r="R4" s="12">
        <v>4.7068491597948368E-2</v>
      </c>
      <c r="S4" s="12">
        <v>4.3999500719944011E-2</v>
      </c>
      <c r="T4" s="12">
        <v>4.4429613487736379E-2</v>
      </c>
      <c r="U4" s="12">
        <v>3.8299526378719577E-2</v>
      </c>
      <c r="V4" s="12">
        <v>3.7999234603581622E-2</v>
      </c>
      <c r="W4" s="2">
        <v>3.0931816435384365E-2</v>
      </c>
    </row>
    <row r="5" spans="1:61" x14ac:dyDescent="0.35">
      <c r="A5" s="8" t="s">
        <v>9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2">
        <v>5.868460388639761E-2</v>
      </c>
      <c r="N5" s="12">
        <v>5.2127022168963449E-2</v>
      </c>
      <c r="O5" s="12">
        <v>6.3434075058120223E-2</v>
      </c>
      <c r="P5" s="12">
        <v>5.4469496444175147E-2</v>
      </c>
      <c r="Q5" s="12">
        <v>5.5429972300932856E-2</v>
      </c>
      <c r="R5" s="12">
        <v>5.2946285408872258E-2</v>
      </c>
      <c r="S5" s="13">
        <v>5.657200940219808E-2</v>
      </c>
      <c r="T5" s="13">
        <v>4.6496733700525171E-2</v>
      </c>
      <c r="U5" s="13">
        <v>4.4717923723650542E-2</v>
      </c>
      <c r="V5" s="13">
        <v>4.1865515960334922E-2</v>
      </c>
      <c r="W5" s="2"/>
    </row>
    <row r="6" spans="1:61" x14ac:dyDescent="0.35">
      <c r="A6" s="8" t="s">
        <v>27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12">
        <v>3.8656264167938305E-2</v>
      </c>
      <c r="N6" s="12">
        <v>4.096572637042889E-2</v>
      </c>
      <c r="O6" s="12">
        <v>3.4861724769697816E-2</v>
      </c>
      <c r="P6" s="12">
        <v>3.6901262570015261E-2</v>
      </c>
      <c r="Q6" s="12">
        <v>3.2433504156328952E-2</v>
      </c>
      <c r="R6" s="12">
        <v>4.13566281392964E-2</v>
      </c>
      <c r="S6" s="12">
        <v>4.5173049139832611E-2</v>
      </c>
      <c r="T6" s="12">
        <v>4.7478199876154779E-2</v>
      </c>
      <c r="U6" s="12">
        <v>4.2566137811304902E-2</v>
      </c>
      <c r="V6" s="12">
        <v>3.6408195852338544E-2</v>
      </c>
      <c r="W6" s="2">
        <v>2.9668018540051355E-2</v>
      </c>
    </row>
    <row r="7" spans="1:61" x14ac:dyDescent="0.35">
      <c r="A7" s="8" t="s">
        <v>28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12">
        <v>6.6853538892782061E-2</v>
      </c>
      <c r="N7" s="12">
        <v>5.9867394695787834E-2</v>
      </c>
      <c r="O7" s="12">
        <v>6.2379490109262296E-2</v>
      </c>
      <c r="P7" s="12">
        <v>6.9534560381355928E-2</v>
      </c>
      <c r="Q7" s="12">
        <v>5.4577676835458278E-2</v>
      </c>
      <c r="R7" s="12">
        <v>5.1847417606172459E-2</v>
      </c>
      <c r="S7" s="12">
        <v>3.909327925840092E-2</v>
      </c>
      <c r="T7" s="12">
        <v>4.2481890685593E-2</v>
      </c>
      <c r="U7" s="13">
        <v>6.1721306769248432E-2</v>
      </c>
      <c r="V7" s="13">
        <v>5.3786204797755935E-2</v>
      </c>
      <c r="W7" s="2">
        <v>4.1968226937641448E-2</v>
      </c>
    </row>
    <row r="8" spans="1:61" x14ac:dyDescent="0.35">
      <c r="A8" s="14" t="s">
        <v>32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15">
        <v>6.2999895383725538E-2</v>
      </c>
      <c r="N8" s="15">
        <v>5.4949430698674973E-2</v>
      </c>
      <c r="O8" s="15">
        <v>6.0471810232332356E-2</v>
      </c>
      <c r="P8" s="15">
        <v>5.6390363037035762E-2</v>
      </c>
      <c r="Q8" s="15">
        <v>5.2725471816537868E-2</v>
      </c>
      <c r="R8" s="15">
        <v>4.7915784118655248E-2</v>
      </c>
      <c r="S8" s="15">
        <v>4.8105004840643679E-2</v>
      </c>
      <c r="T8" s="15">
        <v>4.5693507160245096E-2</v>
      </c>
      <c r="U8" s="15">
        <v>4.2505400264707408E-2</v>
      </c>
      <c r="V8" s="16">
        <v>3.9675108901314961E-2</v>
      </c>
      <c r="W8" s="43">
        <v>3.1322017735416936E-2</v>
      </c>
    </row>
    <row r="9" spans="1:61" x14ac:dyDescent="0.35">
      <c r="A9" s="61"/>
      <c r="B9" s="26"/>
      <c r="C9" s="26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7"/>
      <c r="X9" s="6" t="s">
        <v>78</v>
      </c>
    </row>
    <row r="10" spans="1:61" x14ac:dyDescent="0.35">
      <c r="A10" s="61"/>
      <c r="B10" s="108" t="s">
        <v>85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9" t="s">
        <v>86</v>
      </c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5" t="s">
        <v>79</v>
      </c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</row>
    <row r="11" spans="1:61" x14ac:dyDescent="0.35">
      <c r="A11" s="61"/>
      <c r="B11" s="5">
        <v>2000</v>
      </c>
      <c r="C11" s="5">
        <v>2001</v>
      </c>
      <c r="D11" s="5">
        <v>2002</v>
      </c>
      <c r="E11" s="5">
        <v>2003</v>
      </c>
      <c r="F11" s="5">
        <v>2004</v>
      </c>
      <c r="G11" s="5">
        <v>2005</v>
      </c>
      <c r="H11" s="5">
        <v>2006</v>
      </c>
      <c r="I11" s="5">
        <v>2007</v>
      </c>
      <c r="J11" s="5">
        <v>2008</v>
      </c>
      <c r="K11" s="5">
        <v>2009</v>
      </c>
      <c r="L11" s="5">
        <v>2010</v>
      </c>
      <c r="M11" s="57">
        <v>2011</v>
      </c>
      <c r="N11" s="57">
        <v>2012</v>
      </c>
      <c r="O11" s="57">
        <v>2013</v>
      </c>
      <c r="P11" s="57">
        <v>2014</v>
      </c>
      <c r="Q11" s="57">
        <v>2015</v>
      </c>
      <c r="R11" s="57">
        <v>2016</v>
      </c>
      <c r="S11" s="57">
        <v>2017</v>
      </c>
      <c r="T11" s="57">
        <v>2018</v>
      </c>
      <c r="U11" s="57">
        <v>2019</v>
      </c>
      <c r="V11" s="57">
        <v>2020</v>
      </c>
      <c r="W11" s="57">
        <v>2021</v>
      </c>
      <c r="X11" s="47">
        <v>2022</v>
      </c>
      <c r="Y11" s="47">
        <v>2023</v>
      </c>
      <c r="Z11" s="47">
        <v>2024</v>
      </c>
      <c r="AA11" s="47">
        <v>2025</v>
      </c>
      <c r="AB11" s="47">
        <v>2026</v>
      </c>
      <c r="AC11" s="47">
        <v>2027</v>
      </c>
      <c r="AD11" s="47">
        <v>2028</v>
      </c>
      <c r="AE11" s="47">
        <v>2029</v>
      </c>
      <c r="AF11" s="47">
        <v>2030</v>
      </c>
      <c r="AG11" s="47">
        <v>2031</v>
      </c>
      <c r="AH11" s="47">
        <v>2032</v>
      </c>
      <c r="AI11" s="47">
        <v>2033</v>
      </c>
      <c r="AJ11" s="47">
        <v>2034</v>
      </c>
      <c r="AK11" s="47">
        <v>2035</v>
      </c>
      <c r="AL11" s="47">
        <v>2036</v>
      </c>
      <c r="AM11" s="47">
        <v>2037</v>
      </c>
      <c r="AN11" s="47">
        <v>2038</v>
      </c>
      <c r="AO11" s="47">
        <v>2039</v>
      </c>
      <c r="AP11" s="47">
        <v>2040</v>
      </c>
      <c r="AQ11" s="47">
        <v>2041</v>
      </c>
      <c r="AR11" s="47">
        <v>2042</v>
      </c>
      <c r="AS11" s="47">
        <v>2043</v>
      </c>
      <c r="AT11" s="47">
        <v>2044</v>
      </c>
      <c r="AU11" s="47">
        <v>2045</v>
      </c>
      <c r="AV11" s="47">
        <v>2046</v>
      </c>
      <c r="AW11" s="47">
        <v>2047</v>
      </c>
      <c r="AX11" s="47">
        <v>2048</v>
      </c>
      <c r="AY11" s="47">
        <v>2049</v>
      </c>
      <c r="AZ11" s="47">
        <v>2050</v>
      </c>
    </row>
    <row r="12" spans="1:61" x14ac:dyDescent="0.35">
      <c r="A12" s="61" t="s">
        <v>0</v>
      </c>
      <c r="B12" s="23">
        <f>C12/1.14</f>
        <v>81.322174884061937</v>
      </c>
      <c r="C12" s="23">
        <f>D12/1.14</f>
        <v>92.707279367830594</v>
      </c>
      <c r="D12" s="23">
        <f>E12/1.14</f>
        <v>105.68629847932687</v>
      </c>
      <c r="E12" s="23">
        <f>F12/1.06</f>
        <v>120.48238026643261</v>
      </c>
      <c r="F12" s="23">
        <f>G12/1.24</f>
        <v>127.71132308241857</v>
      </c>
      <c r="G12" s="23">
        <f>H12/1.14</f>
        <v>158.36204062219903</v>
      </c>
      <c r="H12" s="23">
        <f>I12/(1-0.21)</f>
        <v>180.5327263093069</v>
      </c>
      <c r="I12" s="23">
        <f>J12/1.16</f>
        <v>142.62085378435245</v>
      </c>
      <c r="J12" s="23">
        <f>K12/(1-0.14)</f>
        <v>165.44019038984882</v>
      </c>
      <c r="K12" s="23">
        <f>L12/1.26</f>
        <v>142.27856373526998</v>
      </c>
      <c r="L12" s="23">
        <f>M12/1.27</f>
        <v>179.27099030644018</v>
      </c>
      <c r="M12" s="4">
        <f>$M$8*'[2]Eurostat POM Portables GU'!M3</f>
        <v>227.67415768917903</v>
      </c>
      <c r="N12" s="4">
        <f>$N$8*'[2]Eurostat POM Portables GU'!N3</f>
        <v>204.25690667118852</v>
      </c>
      <c r="O12" s="4">
        <f>$O$8*'[2]Eurostat POM Portables GU'!O3</f>
        <v>235.3289521660125</v>
      </c>
      <c r="P12" s="4">
        <f>$P$8*'[2]Eurostat POM Portables GU'!P3</f>
        <v>230.44666207876753</v>
      </c>
      <c r="Q12" s="4">
        <f>$Q$8*'[2]Eurostat POM Portables GU'!Q3</f>
        <v>239.75805555327548</v>
      </c>
      <c r="R12" s="4">
        <f>$R$8*'[2]Eurostat POM Portables GU'!R3</f>
        <v>225.58989208678392</v>
      </c>
      <c r="S12" s="4">
        <f>$S$8*'[2]Eurostat POM Portables GU'!S3</f>
        <v>228.28830974847929</v>
      </c>
      <c r="T12" s="4">
        <f>$T$8*'[2]Eurostat POM Portables GU'!T3</f>
        <v>249.00408323314505</v>
      </c>
      <c r="U12" s="4">
        <f>$U$8*'[2]Eurostat POM Portables GU'!U3</f>
        <v>244.85004380580258</v>
      </c>
      <c r="V12" s="4">
        <f>$V$8*'[2]Eurostat POM Portables GU'!V3</f>
        <v>251.81728575916563</v>
      </c>
      <c r="W12" s="4">
        <f>$W$8*'[2]Eurostat POM Portables GU'!W3</f>
        <v>192.28586687772457</v>
      </c>
      <c r="X12" s="67">
        <f>'[3]POM Portables NiMH'!AD12</f>
        <v>188.44014954017007</v>
      </c>
      <c r="Y12" s="67">
        <f>'[3]POM Portables NiMH'!AE12</f>
        <v>184.67134654936666</v>
      </c>
      <c r="Z12" s="67">
        <f>'[3]POM Portables NiMH'!AF12</f>
        <v>180.97791961837933</v>
      </c>
      <c r="AA12" s="67">
        <f>'[3]POM Portables NiMH'!AG12</f>
        <v>177.35836122601174</v>
      </c>
      <c r="AB12" s="67">
        <f>'[3]POM Portables NiMH'!AH12</f>
        <v>173.81119400149151</v>
      </c>
      <c r="AC12" s="67">
        <f>'[3]POM Portables NiMH'!AI12</f>
        <v>170.33497012146168</v>
      </c>
      <c r="AD12" s="67">
        <f>'[3]POM Portables NiMH'!AJ12</f>
        <v>166.92827071903244</v>
      </c>
      <c r="AE12" s="67">
        <f>'[3]POM Portables NiMH'!AK12</f>
        <v>163.5897053046518</v>
      </c>
      <c r="AF12" s="67">
        <f>'[3]POM Portables NiMH'!AL12</f>
        <v>160.31791119855876</v>
      </c>
      <c r="AG12" s="67">
        <f>'[3]POM Portables NiMH'!AM12</f>
        <v>157.1115529745876</v>
      </c>
      <c r="AH12" s="67">
        <f>'[3]POM Portables NiMH'!AN12</f>
        <v>153.96932191509583</v>
      </c>
      <c r="AI12" s="67">
        <f>'[3]POM Portables NiMH'!AO12</f>
        <v>150.88993547679391</v>
      </c>
      <c r="AJ12" s="67">
        <f>'[3]POM Portables NiMH'!AP12</f>
        <v>147.87213676725804</v>
      </c>
      <c r="AK12" s="67">
        <f>'[3]POM Portables NiMH'!AQ12</f>
        <v>144.91469403191289</v>
      </c>
      <c r="AL12" s="67">
        <f>'[3]POM Portables NiMH'!AR12</f>
        <v>142.01640015127464</v>
      </c>
      <c r="AM12" s="67">
        <f>'[3]POM Portables NiMH'!AS12</f>
        <v>139.17607214824915</v>
      </c>
      <c r="AN12" s="67">
        <f>'[3]POM Portables NiMH'!AT12</f>
        <v>136.39255070528415</v>
      </c>
      <c r="AO12" s="67">
        <f>'[3]POM Portables NiMH'!AU12</f>
        <v>133.66469969117847</v>
      </c>
      <c r="AP12" s="67">
        <f>'[3]POM Portables NiMH'!AV12</f>
        <v>132.32805269426669</v>
      </c>
      <c r="AQ12" s="67">
        <f>'[3]POM Portables NiMH'!AW12</f>
        <v>131.00477216732403</v>
      </c>
      <c r="AR12" s="67">
        <f>'[3]POM Portables NiMH'!AX12</f>
        <v>129.69472444565079</v>
      </c>
      <c r="AS12" s="67">
        <f>'[3]POM Portables NiMH'!AY12</f>
        <v>128.39777720119429</v>
      </c>
      <c r="AT12" s="67">
        <f>'[3]POM Portables NiMH'!AZ12</f>
        <v>127.11379942918235</v>
      </c>
      <c r="AU12" s="67">
        <f>'[3]POM Portables NiMH'!BA12</f>
        <v>125.84266143489053</v>
      </c>
      <c r="AV12" s="67">
        <f>'[3]POM Portables NiMH'!BB12</f>
        <v>124.58423482054162</v>
      </c>
      <c r="AW12" s="67">
        <f>'[3]POM Portables NiMH'!BC12</f>
        <v>123.33839247233621</v>
      </c>
      <c r="AX12" s="67">
        <f>'[3]POM Portables NiMH'!BD12</f>
        <v>122.10500854761285</v>
      </c>
      <c r="AY12" s="67">
        <f>'[3]POM Portables NiMH'!BE12</f>
        <v>120.88395846213673</v>
      </c>
      <c r="AZ12" s="67">
        <f>'[3]POM Portables NiMH'!BF12</f>
        <v>119.67511887751536</v>
      </c>
      <c r="BA12" s="6"/>
      <c r="BB12" s="6"/>
      <c r="BC12" s="6"/>
      <c r="BD12" s="6"/>
      <c r="BE12" s="6"/>
      <c r="BF12" s="6"/>
      <c r="BG12" s="6"/>
      <c r="BH12" s="6"/>
      <c r="BI12" s="6"/>
    </row>
    <row r="13" spans="1:61" x14ac:dyDescent="0.35">
      <c r="A13" s="61" t="s">
        <v>1</v>
      </c>
      <c r="B13" s="23">
        <f t="shared" ref="B13:D28" si="0">C13/1.14</f>
        <v>99.034484026127259</v>
      </c>
      <c r="C13" s="23">
        <f t="shared" si="0"/>
        <v>112.89931178978507</v>
      </c>
      <c r="D13" s="23">
        <f t="shared" si="0"/>
        <v>128.70521544035498</v>
      </c>
      <c r="E13" s="23">
        <f t="shared" ref="E13:E42" si="1">F13/1.06</f>
        <v>146.72394560200468</v>
      </c>
      <c r="F13" s="23">
        <f t="shared" ref="F13:F42" si="2">G13/1.24</f>
        <v>155.52738233812497</v>
      </c>
      <c r="G13" s="23">
        <f t="shared" ref="G13:G42" si="3">H13/1.14</f>
        <v>192.85395409927497</v>
      </c>
      <c r="H13" s="23">
        <f t="shared" ref="H13:H42" si="4">I13/(1-0.21)</f>
        <v>219.85350767317345</v>
      </c>
      <c r="I13" s="23">
        <f t="shared" ref="I13:I42" si="5">J13/1.16</f>
        <v>173.68427106180704</v>
      </c>
      <c r="J13" s="23">
        <f t="shared" ref="J13:J42" si="6">K13/(1-0.14)</f>
        <v>201.47375443169614</v>
      </c>
      <c r="K13" s="23">
        <f t="shared" ref="K13:K42" si="7">L13/1.26</f>
        <v>173.26742881125867</v>
      </c>
      <c r="L13" s="23">
        <f t="shared" ref="L13:L42" si="8">M13/1.27</f>
        <v>218.31696030218592</v>
      </c>
      <c r="M13" s="4">
        <f>$M$8*'[2]Eurostat POM Portables GU'!M4</f>
        <v>277.26253958377612</v>
      </c>
      <c r="N13" s="4">
        <f>$N$8*'[2]Eurostat POM Portables GU'!N4</f>
        <v>234.02962534565671</v>
      </c>
      <c r="O13" s="4">
        <f>$O$8*'[2]Eurostat POM Portables GU'!O4</f>
        <v>265.95502140179769</v>
      </c>
      <c r="P13" s="4">
        <f>$P$8*'[2]Eurostat POM Portables GU'!P4</f>
        <v>238.08011274236497</v>
      </c>
      <c r="Q13" s="4">
        <f>$Q$8*'[2]Eurostat POM Portables GU'!Q4</f>
        <v>240.74450431431191</v>
      </c>
      <c r="R13" s="4">
        <f>$R$8*'[2]Eurostat POM Portables GU'!R4</f>
        <v>219.69387018403432</v>
      </c>
      <c r="S13" s="4">
        <f>$S$8*'[2]Eurostat POM Portables GU'!S4</f>
        <v>230.23055316732064</v>
      </c>
      <c r="T13" s="4">
        <f>$T$8*'[2]Eurostat POM Portables GU'!T4</f>
        <v>224.81205522840588</v>
      </c>
      <c r="U13" s="4">
        <f>$U$8*'[2]Eurostat POM Portables GU'!U4</f>
        <v>230.08173163286119</v>
      </c>
      <c r="V13" s="4">
        <f>$V$8*'[2]Eurostat POM Portables GU'!V4</f>
        <v>222.61703604527824</v>
      </c>
      <c r="W13" s="4">
        <f>$W$8*'[2]Eurostat POM Portables GU'!W4</f>
        <v>195.41806865126625</v>
      </c>
      <c r="X13" s="67">
        <f>'[3]POM Portables NiMH'!AD13</f>
        <v>191.50970727824094</v>
      </c>
      <c r="Y13" s="67">
        <f>'[3]POM Portables NiMH'!AE13</f>
        <v>187.67951313267611</v>
      </c>
      <c r="Z13" s="67">
        <f>'[3]POM Portables NiMH'!AF13</f>
        <v>183.92592287002259</v>
      </c>
      <c r="AA13" s="67">
        <f>'[3]POM Portables NiMH'!AG13</f>
        <v>180.24740441262213</v>
      </c>
      <c r="AB13" s="67">
        <f>'[3]POM Portables NiMH'!AH13</f>
        <v>176.64245632436968</v>
      </c>
      <c r="AC13" s="67">
        <f>'[3]POM Portables NiMH'!AI13</f>
        <v>173.10960719788227</v>
      </c>
      <c r="AD13" s="67">
        <f>'[3]POM Portables NiMH'!AJ13</f>
        <v>169.64741505392462</v>
      </c>
      <c r="AE13" s="67">
        <f>'[3]POM Portables NiMH'!AK13</f>
        <v>166.25446675284613</v>
      </c>
      <c r="AF13" s="67">
        <f>'[3]POM Portables NiMH'!AL13</f>
        <v>162.9293774177892</v>
      </c>
      <c r="AG13" s="67">
        <f>'[3]POM Portables NiMH'!AM13</f>
        <v>159.67078986943341</v>
      </c>
      <c r="AH13" s="67">
        <f>'[3]POM Portables NiMH'!AN13</f>
        <v>156.47737407204474</v>
      </c>
      <c r="AI13" s="67">
        <f>'[3]POM Portables NiMH'!AO13</f>
        <v>153.34782659060386</v>
      </c>
      <c r="AJ13" s="67">
        <f>'[3]POM Portables NiMH'!AP13</f>
        <v>150.28087005879178</v>
      </c>
      <c r="AK13" s="67">
        <f>'[3]POM Portables NiMH'!AQ13</f>
        <v>147.27525265761594</v>
      </c>
      <c r="AL13" s="67">
        <f>'[3]POM Portables NiMH'!AR13</f>
        <v>144.32974760446362</v>
      </c>
      <c r="AM13" s="67">
        <f>'[3]POM Portables NiMH'!AS13</f>
        <v>141.44315265237435</v>
      </c>
      <c r="AN13" s="67">
        <f>'[3]POM Portables NiMH'!AT13</f>
        <v>138.61428959932687</v>
      </c>
      <c r="AO13" s="67">
        <f>'[3]POM Portables NiMH'!AU13</f>
        <v>135.84200380734032</v>
      </c>
      <c r="AP13" s="67">
        <f>'[3]POM Portables NiMH'!AV13</f>
        <v>134.48358376926691</v>
      </c>
      <c r="AQ13" s="67">
        <f>'[3]POM Portables NiMH'!AW13</f>
        <v>133.13874793157424</v>
      </c>
      <c r="AR13" s="67">
        <f>'[3]POM Portables NiMH'!AX13</f>
        <v>131.80736045225851</v>
      </c>
      <c r="AS13" s="67">
        <f>'[3]POM Portables NiMH'!AY13</f>
        <v>130.48928684773591</v>
      </c>
      <c r="AT13" s="67">
        <f>'[3]POM Portables NiMH'!AZ13</f>
        <v>129.18439397925854</v>
      </c>
      <c r="AU13" s="67">
        <f>'[3]POM Portables NiMH'!BA13</f>
        <v>127.89255003946596</v>
      </c>
      <c r="AV13" s="67">
        <f>'[3]POM Portables NiMH'!BB13</f>
        <v>126.6136245390713</v>
      </c>
      <c r="AW13" s="67">
        <f>'[3]POM Portables NiMH'!BC13</f>
        <v>125.34748829368058</v>
      </c>
      <c r="AX13" s="67">
        <f>'[3]POM Portables NiMH'!BD13</f>
        <v>124.09401341074378</v>
      </c>
      <c r="AY13" s="67">
        <f>'[3]POM Portables NiMH'!BE13</f>
        <v>122.85307327663635</v>
      </c>
      <c r="AZ13" s="67">
        <f>'[3]POM Portables NiMH'!BF13</f>
        <v>121.62454254386999</v>
      </c>
    </row>
    <row r="14" spans="1:61" x14ac:dyDescent="0.35">
      <c r="A14" s="61" t="s">
        <v>2</v>
      </c>
      <c r="B14" s="23">
        <f t="shared" si="0"/>
        <v>14.041699166621997</v>
      </c>
      <c r="C14" s="23">
        <f t="shared" si="0"/>
        <v>16.007537049949075</v>
      </c>
      <c r="D14" s="23">
        <f t="shared" si="0"/>
        <v>18.248592236941946</v>
      </c>
      <c r="E14" s="23">
        <f t="shared" si="1"/>
        <v>20.803395150113815</v>
      </c>
      <c r="F14" s="23">
        <f t="shared" si="2"/>
        <v>22.051598859120645</v>
      </c>
      <c r="G14" s="23">
        <f t="shared" si="3"/>
        <v>27.3439825853096</v>
      </c>
      <c r="H14" s="23">
        <f t="shared" si="4"/>
        <v>31.172140147252943</v>
      </c>
      <c r="I14" s="23">
        <f t="shared" si="5"/>
        <v>24.625990716329827</v>
      </c>
      <c r="J14" s="23">
        <f t="shared" si="6"/>
        <v>28.566149230942596</v>
      </c>
      <c r="K14" s="23">
        <f t="shared" si="7"/>
        <v>24.566888338610632</v>
      </c>
      <c r="L14" s="23">
        <f t="shared" si="8"/>
        <v>30.954279306649397</v>
      </c>
      <c r="M14" s="4">
        <f>$M$8*'[2]Eurostat POM Portables GU'!M5</f>
        <v>39.311934719444736</v>
      </c>
      <c r="N14" s="4">
        <f>$N$8*'[2]Eurostat POM Portables GU'!N5</f>
        <v>33.100602912559928</v>
      </c>
      <c r="O14" s="4">
        <f>$O$8*'[2]Eurostat POM Portables GU'!O5</f>
        <v>40.939415527289007</v>
      </c>
      <c r="P14" s="4">
        <f>$P$8*'[2]Eurostat POM Portables GU'!P5</f>
        <v>41.16496501703611</v>
      </c>
      <c r="Q14" s="4">
        <f>$Q$8*'[2]Eurostat POM Portables GU'!Q5</f>
        <v>40.071358580568777</v>
      </c>
      <c r="R14" s="4">
        <f>$R$8*'[2]Eurostat POM Portables GU'!R5</f>
        <v>35.936838088991436</v>
      </c>
      <c r="S14" s="4">
        <f>$S$8*'[2]Eurostat POM Portables GU'!S5</f>
        <v>39.2055789451246</v>
      </c>
      <c r="T14" s="4">
        <f>$T$8*'[2]Eurostat POM Portables GU'!T5</f>
        <v>31.528519940569115</v>
      </c>
      <c r="U14" s="4">
        <f>$U$8*'[2]Eurostat POM Portables GU'!U5</f>
        <v>40.040087049354376</v>
      </c>
      <c r="V14" s="4">
        <f>$V$8*'[2]Eurostat POM Portables GU'!V5</f>
        <v>37.29460236723606</v>
      </c>
      <c r="W14" s="4">
        <f>$W$8*'[2]Eurostat POM Portables GU'!W5</f>
        <v>31.384661770887771</v>
      </c>
      <c r="X14" s="67">
        <f>'[3]POM Portables NiMH'!AD14</f>
        <v>30.756968535470016</v>
      </c>
      <c r="Y14" s="67">
        <f>'[3]POM Portables NiMH'!AE14</f>
        <v>30.141829164760615</v>
      </c>
      <c r="Z14" s="67">
        <f>'[3]POM Portables NiMH'!AF14</f>
        <v>29.538992581465404</v>
      </c>
      <c r="AA14" s="67">
        <f>'[3]POM Portables NiMH'!AG14</f>
        <v>28.948212729836097</v>
      </c>
      <c r="AB14" s="67">
        <f>'[3]POM Portables NiMH'!AH14</f>
        <v>28.369248475239374</v>
      </c>
      <c r="AC14" s="67">
        <f>'[3]POM Portables NiMH'!AI14</f>
        <v>27.801863505734588</v>
      </c>
      <c r="AD14" s="67">
        <f>'[3]POM Portables NiMH'!AJ14</f>
        <v>27.245826235619894</v>
      </c>
      <c r="AE14" s="67">
        <f>'[3]POM Portables NiMH'!AK14</f>
        <v>26.700909710907496</v>
      </c>
      <c r="AF14" s="67">
        <f>'[3]POM Portables NiMH'!AL14</f>
        <v>26.166891516689347</v>
      </c>
      <c r="AG14" s="67">
        <f>'[3]POM Portables NiMH'!AM14</f>
        <v>25.64355368635556</v>
      </c>
      <c r="AH14" s="67">
        <f>'[3]POM Portables NiMH'!AN14</f>
        <v>25.130682612628448</v>
      </c>
      <c r="AI14" s="67">
        <f>'[3]POM Portables NiMH'!AO14</f>
        <v>24.628068960375877</v>
      </c>
      <c r="AJ14" s="67">
        <f>'[3]POM Portables NiMH'!AP14</f>
        <v>24.135507581168358</v>
      </c>
      <c r="AK14" s="67">
        <f>'[3]POM Portables NiMH'!AQ14</f>
        <v>23.652797429544989</v>
      </c>
      <c r="AL14" s="67">
        <f>'[3]POM Portables NiMH'!AR14</f>
        <v>23.179741480954089</v>
      </c>
      <c r="AM14" s="67">
        <f>'[3]POM Portables NiMH'!AS14</f>
        <v>22.716146651335006</v>
      </c>
      <c r="AN14" s="67">
        <f>'[3]POM Portables NiMH'!AT14</f>
        <v>22.261823718308307</v>
      </c>
      <c r="AO14" s="67">
        <f>'[3]POM Portables NiMH'!AU14</f>
        <v>21.816587243942141</v>
      </c>
      <c r="AP14" s="67">
        <f>'[3]POM Portables NiMH'!AV14</f>
        <v>21.59842137150272</v>
      </c>
      <c r="AQ14" s="67">
        <f>'[3]POM Portables NiMH'!AW14</f>
        <v>21.382437157787692</v>
      </c>
      <c r="AR14" s="67">
        <f>'[3]POM Portables NiMH'!AX14</f>
        <v>21.168612786209813</v>
      </c>
      <c r="AS14" s="67">
        <f>'[3]POM Portables NiMH'!AY14</f>
        <v>20.956926658347715</v>
      </c>
      <c r="AT14" s="67">
        <f>'[3]POM Portables NiMH'!AZ14</f>
        <v>20.74735739176424</v>
      </c>
      <c r="AU14" s="67">
        <f>'[3]POM Portables NiMH'!BA14</f>
        <v>20.539883817846597</v>
      </c>
      <c r="AV14" s="67">
        <f>'[3]POM Portables NiMH'!BB14</f>
        <v>20.33448497966813</v>
      </c>
      <c r="AW14" s="67">
        <f>'[3]POM Portables NiMH'!BC14</f>
        <v>20.131140129871447</v>
      </c>
      <c r="AX14" s="67">
        <f>'[3]POM Portables NiMH'!BD14</f>
        <v>19.929828728572733</v>
      </c>
      <c r="AY14" s="67">
        <f>'[3]POM Portables NiMH'!BE14</f>
        <v>19.730530441287005</v>
      </c>
      <c r="AZ14" s="67">
        <f>'[3]POM Portables NiMH'!BF14</f>
        <v>19.533225136874137</v>
      </c>
    </row>
    <row r="15" spans="1:61" x14ac:dyDescent="0.35">
      <c r="A15" s="61" t="s">
        <v>3</v>
      </c>
      <c r="B15" s="23">
        <f t="shared" si="0"/>
        <v>7.4650533357935611</v>
      </c>
      <c r="C15" s="23">
        <f t="shared" si="0"/>
        <v>8.5101608028046591</v>
      </c>
      <c r="D15" s="23">
        <f t="shared" si="0"/>
        <v>9.7015833151973112</v>
      </c>
      <c r="E15" s="23">
        <f t="shared" si="1"/>
        <v>11.059804979324934</v>
      </c>
      <c r="F15" s="23">
        <f t="shared" si="2"/>
        <v>11.72339327808443</v>
      </c>
      <c r="G15" s="23">
        <f t="shared" si="3"/>
        <v>14.537007664824692</v>
      </c>
      <c r="H15" s="23">
        <f t="shared" si="4"/>
        <v>16.572188737900149</v>
      </c>
      <c r="I15" s="23">
        <f t="shared" si="5"/>
        <v>13.092029102941117</v>
      </c>
      <c r="J15" s="23">
        <f t="shared" si="6"/>
        <v>15.186753759411694</v>
      </c>
      <c r="K15" s="23">
        <f t="shared" si="7"/>
        <v>13.060608233094056</v>
      </c>
      <c r="L15" s="23">
        <f t="shared" si="8"/>
        <v>16.456366373698511</v>
      </c>
      <c r="M15" s="4">
        <f>$M$8*'[2]Eurostat POM Portables GU'!M6</f>
        <v>20.899585294597109</v>
      </c>
      <c r="N15" s="4">
        <f>$N$8*'[2]Eurostat POM Portables GU'!N6</f>
        <v>22.353428408220978</v>
      </c>
      <c r="O15" s="4">
        <f>$O$8*'[2]Eurostat POM Portables GU'!O6</f>
        <v>23.800495071241368</v>
      </c>
      <c r="P15" s="4">
        <f>$P$8*'[2]Eurostat POM Portables GU'!P6</f>
        <v>19.567455973851409</v>
      </c>
      <c r="Q15" s="4">
        <f>$Q$8*'[2]Eurostat POM Portables GU'!Q6</f>
        <v>14.024975503199073</v>
      </c>
      <c r="R15" s="4">
        <f>$R$8*'[2]Eurostat POM Portables GU'!R6</f>
        <v>18.926734726868823</v>
      </c>
      <c r="S15" s="4">
        <f>$S$8*'[2]Eurostat POM Portables GU'!S6</f>
        <v>27.323642749485611</v>
      </c>
      <c r="T15" s="4">
        <f>$T$8*'[2]Eurostat POM Portables GU'!T6</f>
        <v>30.797423826005193</v>
      </c>
      <c r="U15" s="4">
        <f>$U$8*'[2]Eurostat POM Portables GU'!U6</f>
        <v>38.509892639824912</v>
      </c>
      <c r="V15" s="4">
        <f>$V$8*'[2]Eurostat POM Portables GU'!V6</f>
        <v>41.738214564183338</v>
      </c>
      <c r="W15" s="4">
        <f>$W$8*'[2]Eurostat POM Portables GU'!W6</f>
        <v>32.856796604452363</v>
      </c>
      <c r="X15" s="67">
        <f>'[3]POM Portables NiMH'!AD15</f>
        <v>32.199660672363315</v>
      </c>
      <c r="Y15" s="67">
        <f>'[3]POM Portables NiMH'!AE15</f>
        <v>31.555667458916048</v>
      </c>
      <c r="Z15" s="67">
        <f>'[3]POM Portables NiMH'!AF15</f>
        <v>30.924554109737727</v>
      </c>
      <c r="AA15" s="67">
        <f>'[3]POM Portables NiMH'!AG15</f>
        <v>30.306063027542972</v>
      </c>
      <c r="AB15" s="67">
        <f>'[3]POM Portables NiMH'!AH15</f>
        <v>29.699941766992112</v>
      </c>
      <c r="AC15" s="67">
        <f>'[3]POM Portables NiMH'!AI15</f>
        <v>29.105942931652269</v>
      </c>
      <c r="AD15" s="67">
        <f>'[3]POM Portables NiMH'!AJ15</f>
        <v>28.523824073019224</v>
      </c>
      <c r="AE15" s="67">
        <f>'[3]POM Portables NiMH'!AK15</f>
        <v>27.953347591558838</v>
      </c>
      <c r="AF15" s="67">
        <f>'[3]POM Portables NiMH'!AL15</f>
        <v>27.394280639727661</v>
      </c>
      <c r="AG15" s="67">
        <f>'[3]POM Portables NiMH'!AM15</f>
        <v>26.846395026933109</v>
      </c>
      <c r="AH15" s="67">
        <f>'[3]POM Portables NiMH'!AN15</f>
        <v>26.309467126394448</v>
      </c>
      <c r="AI15" s="67">
        <f>'[3]POM Portables NiMH'!AO15</f>
        <v>25.783277783866559</v>
      </c>
      <c r="AJ15" s="67">
        <f>'[3]POM Portables NiMH'!AP15</f>
        <v>25.267612228189229</v>
      </c>
      <c r="AK15" s="67">
        <f>'[3]POM Portables NiMH'!AQ15</f>
        <v>24.762259983625444</v>
      </c>
      <c r="AL15" s="67">
        <f>'[3]POM Portables NiMH'!AR15</f>
        <v>24.267014783952934</v>
      </c>
      <c r="AM15" s="67">
        <f>'[3]POM Portables NiMH'!AS15</f>
        <v>23.781674488273875</v>
      </c>
      <c r="AN15" s="67">
        <f>'[3]POM Portables NiMH'!AT15</f>
        <v>23.306040998508397</v>
      </c>
      <c r="AO15" s="67">
        <f>'[3]POM Portables NiMH'!AU15</f>
        <v>22.839920178538229</v>
      </c>
      <c r="AP15" s="67">
        <f>'[3]POM Portables NiMH'!AV15</f>
        <v>22.611520976752846</v>
      </c>
      <c r="AQ15" s="67">
        <f>'[3]POM Portables NiMH'!AW15</f>
        <v>22.385405766985318</v>
      </c>
      <c r="AR15" s="67">
        <f>'[3]POM Portables NiMH'!AX15</f>
        <v>22.161551709315464</v>
      </c>
      <c r="AS15" s="67">
        <f>'[3]POM Portables NiMH'!AY15</f>
        <v>21.939936192222309</v>
      </c>
      <c r="AT15" s="67">
        <f>'[3]POM Portables NiMH'!AZ15</f>
        <v>21.720536830300084</v>
      </c>
      <c r="AU15" s="67">
        <f>'[3]POM Portables NiMH'!BA15</f>
        <v>21.503331461997082</v>
      </c>
      <c r="AV15" s="67">
        <f>'[3]POM Portables NiMH'!BB15</f>
        <v>21.288298147377112</v>
      </c>
      <c r="AW15" s="67">
        <f>'[3]POM Portables NiMH'!BC15</f>
        <v>21.07541516590334</v>
      </c>
      <c r="AX15" s="67">
        <f>'[3]POM Portables NiMH'!BD15</f>
        <v>20.864661014244309</v>
      </c>
      <c r="AY15" s="67">
        <f>'[3]POM Portables NiMH'!BE15</f>
        <v>20.656014404101867</v>
      </c>
      <c r="AZ15" s="67">
        <f>'[3]POM Portables NiMH'!BF15</f>
        <v>20.44945426006085</v>
      </c>
    </row>
    <row r="16" spans="1:61" x14ac:dyDescent="0.35">
      <c r="A16" s="61" t="s">
        <v>4</v>
      </c>
      <c r="B16" s="23">
        <f t="shared" si="0"/>
        <v>6.2017504652580495</v>
      </c>
      <c r="C16" s="23">
        <f t="shared" si="0"/>
        <v>7.0699955303941762</v>
      </c>
      <c r="D16" s="23">
        <f t="shared" si="0"/>
        <v>8.05979490464936</v>
      </c>
      <c r="E16" s="23">
        <f t="shared" si="1"/>
        <v>9.1881661913002688</v>
      </c>
      <c r="F16" s="23">
        <f t="shared" si="2"/>
        <v>9.7394561627782856</v>
      </c>
      <c r="G16" s="23">
        <f t="shared" si="3"/>
        <v>12.076925641845074</v>
      </c>
      <c r="H16" s="23">
        <f t="shared" si="4"/>
        <v>13.767695231703383</v>
      </c>
      <c r="I16" s="23">
        <f t="shared" si="5"/>
        <v>10.876479233045673</v>
      </c>
      <c r="J16" s="23">
        <f t="shared" si="6"/>
        <v>12.61671591033298</v>
      </c>
      <c r="K16" s="23">
        <f t="shared" si="7"/>
        <v>10.850375682886362</v>
      </c>
      <c r="L16" s="23">
        <f t="shared" si="8"/>
        <v>13.671473360436817</v>
      </c>
      <c r="M16" s="4">
        <f>$M$8*'[2]Eurostat POM Portables GU'!M7</f>
        <v>17.362771167754758</v>
      </c>
      <c r="N16" s="4">
        <f>$N$8*'[2]Eurostat POM Portables GU'!N7</f>
        <v>14.176953120258142</v>
      </c>
      <c r="O16" s="4">
        <f>$O$8*'[2]Eurostat POM Portables GU'!O7</f>
        <v>12.106456408512937</v>
      </c>
      <c r="P16" s="4">
        <f>$P$8*'[2]Eurostat POM Portables GU'!P7</f>
        <v>10.714168977036795</v>
      </c>
      <c r="Q16" s="4">
        <f>$Q$8*'[2]Eurostat POM Portables GU'!Q7</f>
        <v>10.8614471942068</v>
      </c>
      <c r="R16" s="4">
        <f>$R$8*'[2]Eurostat POM Portables GU'!R7</f>
        <v>10.110230449036257</v>
      </c>
      <c r="S16" s="4">
        <f>$S$8*'[2]Eurostat POM Portables GU'!S7</f>
        <v>11.208466127869977</v>
      </c>
      <c r="T16" s="4">
        <f>$T$8*'[2]Eurostat POM Portables GU'!T7</f>
        <v>9.2300884463695088</v>
      </c>
      <c r="U16" s="4">
        <f>$U$8*'[2]Eurostat POM Portables GU'!U7</f>
        <v>7.4384450463237961</v>
      </c>
      <c r="V16" s="4">
        <f>$V$8*'[2]Eurostat POM Portables GU'!V7</f>
        <v>8.0540471069669373</v>
      </c>
      <c r="W16" s="4">
        <f>$W$8*'[2]Eurostat POM Portables GU'!W7</f>
        <v>6.1704374938771362</v>
      </c>
      <c r="X16" s="67">
        <f>'[3]POM Portables NiMH'!AD16</f>
        <v>6.0470287439995936</v>
      </c>
      <c r="Y16" s="67">
        <f>'[3]POM Portables NiMH'!AE16</f>
        <v>5.9260881691196019</v>
      </c>
      <c r="Z16" s="67">
        <f>'[3]POM Portables NiMH'!AF16</f>
        <v>5.8075664057372096</v>
      </c>
      <c r="AA16" s="67">
        <f>'[3]POM Portables NiMH'!AG16</f>
        <v>5.691415077622465</v>
      </c>
      <c r="AB16" s="67">
        <f>'[3]POM Portables NiMH'!AH16</f>
        <v>5.5775867760700155</v>
      </c>
      <c r="AC16" s="67">
        <f>'[3]POM Portables NiMH'!AI16</f>
        <v>5.4660350405486149</v>
      </c>
      <c r="AD16" s="67">
        <f>'[3]POM Portables NiMH'!AJ16</f>
        <v>5.3567143397376427</v>
      </c>
      <c r="AE16" s="67">
        <f>'[3]POM Portables NiMH'!AK16</f>
        <v>5.24958005294289</v>
      </c>
      <c r="AF16" s="67">
        <f>'[3]POM Portables NiMH'!AL16</f>
        <v>5.1445884518840321</v>
      </c>
      <c r="AG16" s="67">
        <f>'[3]POM Portables NiMH'!AM16</f>
        <v>5.0416966828463519</v>
      </c>
      <c r="AH16" s="67">
        <f>'[3]POM Portables NiMH'!AN16</f>
        <v>4.9408627491894253</v>
      </c>
      <c r="AI16" s="67">
        <f>'[3]POM Portables NiMH'!AO16</f>
        <v>4.842045494205637</v>
      </c>
      <c r="AJ16" s="67">
        <f>'[3]POM Portables NiMH'!AP16</f>
        <v>4.7452045843215247</v>
      </c>
      <c r="AK16" s="67">
        <f>'[3]POM Portables NiMH'!AQ16</f>
        <v>4.6503004926350942</v>
      </c>
      <c r="AL16" s="67">
        <f>'[3]POM Portables NiMH'!AR16</f>
        <v>4.5572944827823925</v>
      </c>
      <c r="AM16" s="67">
        <f>'[3]POM Portables NiMH'!AS16</f>
        <v>4.4661485931267446</v>
      </c>
      <c r="AN16" s="67">
        <f>'[3]POM Portables NiMH'!AT16</f>
        <v>4.37682562126421</v>
      </c>
      <c r="AO16" s="67">
        <f>'[3]POM Portables NiMH'!AU16</f>
        <v>4.2892891088389256</v>
      </c>
      <c r="AP16" s="67">
        <f>'[3]POM Portables NiMH'!AV16</f>
        <v>4.2463962177505366</v>
      </c>
      <c r="AQ16" s="67">
        <f>'[3]POM Portables NiMH'!AW16</f>
        <v>4.2039322555730312</v>
      </c>
      <c r="AR16" s="67">
        <f>'[3]POM Portables NiMH'!AX16</f>
        <v>4.1618929330173007</v>
      </c>
      <c r="AS16" s="67">
        <f>'[3]POM Portables NiMH'!AY16</f>
        <v>4.1202740036871273</v>
      </c>
      <c r="AT16" s="67">
        <f>'[3]POM Portables NiMH'!AZ16</f>
        <v>4.0790712636502562</v>
      </c>
      <c r="AU16" s="67">
        <f>'[3]POM Portables NiMH'!BA16</f>
        <v>4.038280551013754</v>
      </c>
      <c r="AV16" s="67">
        <f>'[3]POM Portables NiMH'!BB16</f>
        <v>3.9978977455036167</v>
      </c>
      <c r="AW16" s="67">
        <f>'[3]POM Portables NiMH'!BC16</f>
        <v>3.9579187680485806</v>
      </c>
      <c r="AX16" s="67">
        <f>'[3]POM Portables NiMH'!BD16</f>
        <v>3.9183395803680949</v>
      </c>
      <c r="AY16" s="67">
        <f>'[3]POM Portables NiMH'!BE16</f>
        <v>3.879156184564414</v>
      </c>
      <c r="AZ16" s="67">
        <f>'[3]POM Portables NiMH'!BF16</f>
        <v>3.84036462271877</v>
      </c>
    </row>
    <row r="17" spans="1:52" x14ac:dyDescent="0.35">
      <c r="A17" s="61" t="s">
        <v>5</v>
      </c>
      <c r="B17" s="23">
        <f t="shared" si="0"/>
        <v>76.189719612738401</v>
      </c>
      <c r="C17" s="23">
        <f t="shared" si="0"/>
        <v>86.856280358521772</v>
      </c>
      <c r="D17" s="23">
        <f t="shared" si="0"/>
        <v>99.016159608714815</v>
      </c>
      <c r="E17" s="23">
        <f t="shared" si="1"/>
        <v>112.87842195393488</v>
      </c>
      <c r="F17" s="23">
        <f t="shared" si="2"/>
        <v>119.65112727117098</v>
      </c>
      <c r="G17" s="23">
        <f t="shared" si="3"/>
        <v>148.36739781625201</v>
      </c>
      <c r="H17" s="23">
        <f t="shared" si="4"/>
        <v>169.13883351052726</v>
      </c>
      <c r="I17" s="23">
        <f t="shared" si="5"/>
        <v>133.61967847331655</v>
      </c>
      <c r="J17" s="23">
        <f t="shared" si="6"/>
        <v>154.99882702904719</v>
      </c>
      <c r="K17" s="23">
        <f t="shared" si="7"/>
        <v>133.29899124498058</v>
      </c>
      <c r="L17" s="23">
        <f t="shared" si="8"/>
        <v>167.95672896867555</v>
      </c>
      <c r="M17" s="4">
        <f>$M$8*'[2]Eurostat POM Portables GU'!M8</f>
        <v>213.30504579021795</v>
      </c>
      <c r="N17" s="4">
        <f>$N$8*'[2]Eurostat POM Portables GU'!N8</f>
        <v>205.44081578384663</v>
      </c>
      <c r="O17" s="4">
        <f>$O$8*'[2]Eurostat POM Portables GU'!O8</f>
        <v>221.99201536289209</v>
      </c>
      <c r="P17" s="4">
        <f>$P$8*'[2]Eurostat POM Portables GU'!P8</f>
        <v>223.92613162006901</v>
      </c>
      <c r="Q17" s="4">
        <f>$Q$8*'[2]Eurostat POM Portables GU'!Q8</f>
        <v>209.05649575257266</v>
      </c>
      <c r="R17" s="4">
        <f>$R$8*'[2]Eurostat POM Portables GU'!R8</f>
        <v>193.91517832819778</v>
      </c>
      <c r="S17" s="4">
        <f>$S$8*'[2]Eurostat POM Portables GU'!S8</f>
        <v>195.4987396723759</v>
      </c>
      <c r="T17" s="4">
        <f>$T$8*'[2]Eurostat POM Portables GU'!T8</f>
        <v>184.96731698467215</v>
      </c>
      <c r="U17" s="4">
        <f>$U$8*'[2]Eurostat POM Portables GU'!U8</f>
        <v>182.4756833363889</v>
      </c>
      <c r="V17" s="4">
        <f>$V$8*'[2]Eurostat POM Portables GU'!V8</f>
        <v>196.90756547722614</v>
      </c>
      <c r="W17" s="4">
        <f>$W$8*'[2]Eurostat POM Portables GU'!W8</f>
        <v>163.06242433058057</v>
      </c>
      <c r="X17" s="67">
        <f>'[3]POM Portables NiMH'!AD17</f>
        <v>159.80117584396896</v>
      </c>
      <c r="Y17" s="67">
        <f>'[3]POM Portables NiMH'!AE17</f>
        <v>156.60515232708957</v>
      </c>
      <c r="Z17" s="67">
        <f>'[3]POM Portables NiMH'!AF17</f>
        <v>153.47304928054777</v>
      </c>
      <c r="AA17" s="67">
        <f>'[3]POM Portables NiMH'!AG17</f>
        <v>150.40358829493681</v>
      </c>
      <c r="AB17" s="67">
        <f>'[3]POM Portables NiMH'!AH17</f>
        <v>147.39551652903808</v>
      </c>
      <c r="AC17" s="67">
        <f>'[3]POM Portables NiMH'!AI17</f>
        <v>144.44760619845732</v>
      </c>
      <c r="AD17" s="67">
        <f>'[3]POM Portables NiMH'!AJ17</f>
        <v>141.55865407448817</v>
      </c>
      <c r="AE17" s="67">
        <f>'[3]POM Portables NiMH'!AK17</f>
        <v>138.72748099299841</v>
      </c>
      <c r="AF17" s="67">
        <f>'[3]POM Portables NiMH'!AL17</f>
        <v>135.95293137313843</v>
      </c>
      <c r="AG17" s="67">
        <f>'[3]POM Portables NiMH'!AM17</f>
        <v>133.23387274567565</v>
      </c>
      <c r="AH17" s="67">
        <f>'[3]POM Portables NiMH'!AN17</f>
        <v>130.56919529076214</v>
      </c>
      <c r="AI17" s="67">
        <f>'[3]POM Portables NiMH'!AO17</f>
        <v>127.95781138494689</v>
      </c>
      <c r="AJ17" s="67">
        <f>'[3]POM Portables NiMH'!AP17</f>
        <v>125.39865515724796</v>
      </c>
      <c r="AK17" s="67">
        <f>'[3]POM Portables NiMH'!AQ17</f>
        <v>122.890682054103</v>
      </c>
      <c r="AL17" s="67">
        <f>'[3]POM Portables NiMH'!AR17</f>
        <v>120.43286841302094</v>
      </c>
      <c r="AM17" s="67">
        <f>'[3]POM Portables NiMH'!AS17</f>
        <v>118.02421104476052</v>
      </c>
      <c r="AN17" s="67">
        <f>'[3]POM Portables NiMH'!AT17</f>
        <v>115.6637268238653</v>
      </c>
      <c r="AO17" s="67">
        <f>'[3]POM Portables NiMH'!AU17</f>
        <v>113.35045228738799</v>
      </c>
      <c r="AP17" s="67">
        <f>'[3]POM Portables NiMH'!AV17</f>
        <v>112.21694776451412</v>
      </c>
      <c r="AQ17" s="67">
        <f>'[3]POM Portables NiMH'!AW17</f>
        <v>111.09477828686897</v>
      </c>
      <c r="AR17" s="67">
        <f>'[3]POM Portables NiMH'!AX17</f>
        <v>109.98383050400028</v>
      </c>
      <c r="AS17" s="67">
        <f>'[3]POM Portables NiMH'!AY17</f>
        <v>108.88399219896027</v>
      </c>
      <c r="AT17" s="67">
        <f>'[3]POM Portables NiMH'!AZ17</f>
        <v>107.79515227697067</v>
      </c>
      <c r="AU17" s="67">
        <f>'[3]POM Portables NiMH'!BA17</f>
        <v>106.71720075420096</v>
      </c>
      <c r="AV17" s="67">
        <f>'[3]POM Portables NiMH'!BB17</f>
        <v>105.65002874665895</v>
      </c>
      <c r="AW17" s="67">
        <f>'[3]POM Portables NiMH'!BC17</f>
        <v>104.59352845919236</v>
      </c>
      <c r="AX17" s="67">
        <f>'[3]POM Portables NiMH'!BD17</f>
        <v>103.54759317460044</v>
      </c>
      <c r="AY17" s="67">
        <f>'[3]POM Portables NiMH'!BE17</f>
        <v>102.51211724285443</v>
      </c>
      <c r="AZ17" s="67">
        <f>'[3]POM Portables NiMH'!BF17</f>
        <v>101.48699607042589</v>
      </c>
    </row>
    <row r="18" spans="1:52" x14ac:dyDescent="0.35">
      <c r="A18" s="61" t="s">
        <v>6</v>
      </c>
      <c r="B18" s="23">
        <f t="shared" si="0"/>
        <v>76.104209265249338</v>
      </c>
      <c r="C18" s="23">
        <f t="shared" si="0"/>
        <v>86.758798562384243</v>
      </c>
      <c r="D18" s="23">
        <f t="shared" si="0"/>
        <v>98.905030361118023</v>
      </c>
      <c r="E18" s="23">
        <f t="shared" si="1"/>
        <v>112.75173461167454</v>
      </c>
      <c r="F18" s="23">
        <f t="shared" si="2"/>
        <v>119.51683868837502</v>
      </c>
      <c r="G18" s="23">
        <f t="shared" si="3"/>
        <v>148.20087997358502</v>
      </c>
      <c r="H18" s="23">
        <f t="shared" si="4"/>
        <v>168.94900316988691</v>
      </c>
      <c r="I18" s="23">
        <f t="shared" si="5"/>
        <v>133.46971250421066</v>
      </c>
      <c r="J18" s="23">
        <f t="shared" si="6"/>
        <v>154.82486650488437</v>
      </c>
      <c r="K18" s="23">
        <f t="shared" si="7"/>
        <v>133.14938519420056</v>
      </c>
      <c r="L18" s="23">
        <f t="shared" si="8"/>
        <v>167.76822534469272</v>
      </c>
      <c r="M18" s="4">
        <f>$M$8*'[2]Eurostat POM Portables GU'!M9</f>
        <v>213.06564618775977</v>
      </c>
      <c r="N18" s="4">
        <f>$N$8*'[2]Eurostat POM Portables GU'!N9</f>
        <v>203.53269130789209</v>
      </c>
      <c r="O18" s="4">
        <f>$O$8*'[2]Eurostat POM Portables GU'!O9</f>
        <v>189.39770964766493</v>
      </c>
      <c r="P18" s="4">
        <f>$P$8*'[2]Eurostat POM Portables GU'!P9</f>
        <v>198.32490680125477</v>
      </c>
      <c r="Q18" s="4">
        <f>$Q$8*'[2]Eurostat POM Portables GU'!Q9</f>
        <v>194.5042655312082</v>
      </c>
      <c r="R18" s="4">
        <f>$R$8*'[2]Eurostat POM Portables GU'!R9</f>
        <v>188.69235785926438</v>
      </c>
      <c r="S18" s="4">
        <f>$S$8*'[2]Eurostat POM Portables GU'!S9</f>
        <v>177.74799288617839</v>
      </c>
      <c r="T18" s="4">
        <f>$T$8*'[2]Eurostat POM Portables GU'!T9</f>
        <v>204.47844454209681</v>
      </c>
      <c r="U18" s="4">
        <f>$U$8*'[2]Eurostat POM Portables GU'!U9</f>
        <v>171.46678466782967</v>
      </c>
      <c r="V18" s="4">
        <f>$V$8*'[2]Eurostat POM Portables GU'!V9</f>
        <v>195.6776371012854</v>
      </c>
      <c r="W18" s="4">
        <f>$W$8*'[2]Eurostat POM Portables GU'!W9</f>
        <v>160.18079869892222</v>
      </c>
      <c r="X18" s="67">
        <f>'[3]POM Portables NiMH'!AD18</f>
        <v>156.97718272494376</v>
      </c>
      <c r="Y18" s="67">
        <f>'[3]POM Portables NiMH'!AE18</f>
        <v>153.83763907044488</v>
      </c>
      <c r="Z18" s="67">
        <f>'[3]POM Portables NiMH'!AF18</f>
        <v>150.76088628903599</v>
      </c>
      <c r="AA18" s="67">
        <f>'[3]POM Portables NiMH'!AG18</f>
        <v>147.74566856325526</v>
      </c>
      <c r="AB18" s="67">
        <f>'[3]POM Portables NiMH'!AH18</f>
        <v>144.79075519199017</v>
      </c>
      <c r="AC18" s="67">
        <f>'[3]POM Portables NiMH'!AI18</f>
        <v>141.89494008815038</v>
      </c>
      <c r="AD18" s="67">
        <f>'[3]POM Portables NiMH'!AJ18</f>
        <v>139.05704128638737</v>
      </c>
      <c r="AE18" s="67">
        <f>'[3]POM Portables NiMH'!AK18</f>
        <v>136.27590046065961</v>
      </c>
      <c r="AF18" s="67">
        <f>'[3]POM Portables NiMH'!AL18</f>
        <v>133.55038245144641</v>
      </c>
      <c r="AG18" s="67">
        <f>'[3]POM Portables NiMH'!AM18</f>
        <v>130.87937480241749</v>
      </c>
      <c r="AH18" s="67">
        <f>'[3]POM Portables NiMH'!AN18</f>
        <v>128.26178730636914</v>
      </c>
      <c r="AI18" s="67">
        <f>'[3]POM Portables NiMH'!AO18</f>
        <v>125.69655156024176</v>
      </c>
      <c r="AJ18" s="67">
        <f>'[3]POM Portables NiMH'!AP18</f>
        <v>123.18262052903692</v>
      </c>
      <c r="AK18" s="67">
        <f>'[3]POM Portables NiMH'!AQ18</f>
        <v>120.71896811845619</v>
      </c>
      <c r="AL18" s="67">
        <f>'[3]POM Portables NiMH'!AR18</f>
        <v>118.30458875608707</v>
      </c>
      <c r="AM18" s="67">
        <f>'[3]POM Portables NiMH'!AS18</f>
        <v>115.93849698096533</v>
      </c>
      <c r="AN18" s="67">
        <f>'[3]POM Portables NiMH'!AT18</f>
        <v>113.61972704134602</v>
      </c>
      <c r="AO18" s="67">
        <f>'[3]POM Portables NiMH'!AU18</f>
        <v>111.3473325005191</v>
      </c>
      <c r="AP18" s="67">
        <f>'[3]POM Portables NiMH'!AV18</f>
        <v>110.23385917551391</v>
      </c>
      <c r="AQ18" s="67">
        <f>'[3]POM Portables NiMH'!AW18</f>
        <v>109.13152058375877</v>
      </c>
      <c r="AR18" s="67">
        <f>'[3]POM Portables NiMH'!AX18</f>
        <v>108.04020537792118</v>
      </c>
      <c r="AS18" s="67">
        <f>'[3]POM Portables NiMH'!AY18</f>
        <v>106.95980332414197</v>
      </c>
      <c r="AT18" s="67">
        <f>'[3]POM Portables NiMH'!AZ18</f>
        <v>105.89020529090055</v>
      </c>
      <c r="AU18" s="67">
        <f>'[3]POM Portables NiMH'!BA18</f>
        <v>104.83130323799155</v>
      </c>
      <c r="AV18" s="67">
        <f>'[3]POM Portables NiMH'!BB18</f>
        <v>103.78299020561164</v>
      </c>
      <c r="AW18" s="67">
        <f>'[3]POM Portables NiMH'!BC18</f>
        <v>102.74516030355552</v>
      </c>
      <c r="AX18" s="67">
        <f>'[3]POM Portables NiMH'!BD18</f>
        <v>101.71770870051996</v>
      </c>
      <c r="AY18" s="67">
        <f>'[3]POM Portables NiMH'!BE18</f>
        <v>100.70053161351477</v>
      </c>
      <c r="AZ18" s="67">
        <f>'[3]POM Portables NiMH'!BF18</f>
        <v>99.69352629737962</v>
      </c>
    </row>
    <row r="19" spans="1:52" x14ac:dyDescent="0.35">
      <c r="A19" s="61" t="s">
        <v>7</v>
      </c>
      <c r="B19" s="23">
        <f t="shared" si="0"/>
        <v>10.736544214386255</v>
      </c>
      <c r="C19" s="23">
        <f t="shared" si="0"/>
        <v>12.239660404400329</v>
      </c>
      <c r="D19" s="23">
        <f t="shared" si="0"/>
        <v>13.953212861016373</v>
      </c>
      <c r="E19" s="23">
        <f t="shared" si="1"/>
        <v>15.906662661558665</v>
      </c>
      <c r="F19" s="23">
        <f t="shared" si="2"/>
        <v>16.861062421252186</v>
      </c>
      <c r="G19" s="23">
        <f t="shared" si="3"/>
        <v>20.907717402352709</v>
      </c>
      <c r="H19" s="23">
        <f t="shared" si="4"/>
        <v>23.834797838682086</v>
      </c>
      <c r="I19" s="23">
        <f t="shared" si="5"/>
        <v>18.829490292558848</v>
      </c>
      <c r="J19" s="23">
        <f t="shared" si="6"/>
        <v>21.84220873936826</v>
      </c>
      <c r="K19" s="23">
        <f t="shared" si="7"/>
        <v>18.784299515856702</v>
      </c>
      <c r="L19" s="23">
        <f t="shared" si="8"/>
        <v>23.668217389979446</v>
      </c>
      <c r="M19" s="4">
        <f>$M$8*'[2]Eurostat POM Portables GU'!M10</f>
        <v>30.058636085273896</v>
      </c>
      <c r="N19" s="4">
        <f>$N$8*'[2]Eurostat POM Portables GU'!N10</f>
        <v>28.610410183017702</v>
      </c>
      <c r="O19" s="4">
        <f>$O$8*'[2]Eurostat POM Portables GU'!O10</f>
        <v>28.1827057433478</v>
      </c>
      <c r="P19" s="4">
        <f>$P$8*'[2]Eurostat POM Portables GU'!P10</f>
        <v>25.291190602836615</v>
      </c>
      <c r="Q19" s="4">
        <f>$Q$8*'[2]Eurostat POM Portables GU'!Q10</f>
        <v>24.464618922873569</v>
      </c>
      <c r="R19" s="4">
        <f>$R$8*'[2]Eurostat POM Portables GU'!R10</f>
        <v>22.951660592835864</v>
      </c>
      <c r="S19" s="4">
        <f>$S$8*'[2]Eurostat POM Portables GU'!S10</f>
        <v>23.523347367074759</v>
      </c>
      <c r="T19" s="4">
        <f>$T$8*'[2]Eurostat POM Portables GU'!T10</f>
        <v>22.069963958398382</v>
      </c>
      <c r="U19" s="4">
        <f>$U$8*'[2]Eurostat POM Portables GU'!U10</f>
        <v>20.19006512573602</v>
      </c>
      <c r="V19" s="4">
        <f>$V$8*'[2]Eurostat POM Portables GU'!V10</f>
        <v>21.503909024512708</v>
      </c>
      <c r="W19" s="4">
        <f>$W$8*'[2]Eurostat POM Portables GU'!W10</f>
        <v>16.287449222416807</v>
      </c>
      <c r="X19" s="67">
        <f>'[3]POM Portables NiMH'!AD19</f>
        <v>15.96170023796847</v>
      </c>
      <c r="Y19" s="67">
        <f>'[3]POM Portables NiMH'!AE19</f>
        <v>15.642466233209101</v>
      </c>
      <c r="Z19" s="67">
        <f>'[3]POM Portables NiMH'!AF19</f>
        <v>15.329616908544919</v>
      </c>
      <c r="AA19" s="67">
        <f>'[3]POM Portables NiMH'!AG19</f>
        <v>15.023024570374021</v>
      </c>
      <c r="AB19" s="67">
        <f>'[3]POM Portables NiMH'!AH19</f>
        <v>14.72256407896654</v>
      </c>
      <c r="AC19" s="67">
        <f>'[3]POM Portables NiMH'!AI19</f>
        <v>14.428112797387209</v>
      </c>
      <c r="AD19" s="67">
        <f>'[3]POM Portables NiMH'!AJ19</f>
        <v>14.139550541439466</v>
      </c>
      <c r="AE19" s="67">
        <f>'[3]POM Portables NiMH'!AK19</f>
        <v>13.856759530610676</v>
      </c>
      <c r="AF19" s="67">
        <f>'[3]POM Portables NiMH'!AL19</f>
        <v>13.579624339998462</v>
      </c>
      <c r="AG19" s="67">
        <f>'[3]POM Portables NiMH'!AM19</f>
        <v>13.308031853198493</v>
      </c>
      <c r="AH19" s="67">
        <f>'[3]POM Portables NiMH'!AN19</f>
        <v>13.041871216134522</v>
      </c>
      <c r="AI19" s="67">
        <f>'[3]POM Portables NiMH'!AO19</f>
        <v>12.781033791811831</v>
      </c>
      <c r="AJ19" s="67">
        <f>'[3]POM Portables NiMH'!AP19</f>
        <v>12.525413115975594</v>
      </c>
      <c r="AK19" s="67">
        <f>'[3]POM Portables NiMH'!AQ19</f>
        <v>12.274904853656082</v>
      </c>
      <c r="AL19" s="67">
        <f>'[3]POM Portables NiMH'!AR19</f>
        <v>12.02940675658296</v>
      </c>
      <c r="AM19" s="67">
        <f>'[3]POM Portables NiMH'!AS19</f>
        <v>11.7888186214513</v>
      </c>
      <c r="AN19" s="67">
        <f>'[3]POM Portables NiMH'!AT19</f>
        <v>11.553042249022274</v>
      </c>
      <c r="AO19" s="67">
        <f>'[3]POM Portables NiMH'!AU19</f>
        <v>11.321981404041829</v>
      </c>
      <c r="AP19" s="67">
        <f>'[3]POM Portables NiMH'!AV19</f>
        <v>11.20876159000141</v>
      </c>
      <c r="AQ19" s="67">
        <f>'[3]POM Portables NiMH'!AW19</f>
        <v>11.096673974101396</v>
      </c>
      <c r="AR19" s="67">
        <f>'[3]POM Portables NiMH'!AX19</f>
        <v>10.985707234360381</v>
      </c>
      <c r="AS19" s="67">
        <f>'[3]POM Portables NiMH'!AY19</f>
        <v>10.875850162016778</v>
      </c>
      <c r="AT19" s="67">
        <f>'[3]POM Portables NiMH'!AZ19</f>
        <v>10.767091660396611</v>
      </c>
      <c r="AU19" s="67">
        <f>'[3]POM Portables NiMH'!BA19</f>
        <v>10.659420743792644</v>
      </c>
      <c r="AV19" s="67">
        <f>'[3]POM Portables NiMH'!BB19</f>
        <v>10.552826536354718</v>
      </c>
      <c r="AW19" s="67">
        <f>'[3]POM Portables NiMH'!BC19</f>
        <v>10.447298270991171</v>
      </c>
      <c r="AX19" s="67">
        <f>'[3]POM Portables NiMH'!BD19</f>
        <v>10.34282528828126</v>
      </c>
      <c r="AY19" s="67">
        <f>'[3]POM Portables NiMH'!BE19</f>
        <v>10.239397035398447</v>
      </c>
      <c r="AZ19" s="67">
        <f>'[3]POM Portables NiMH'!BF19</f>
        <v>10.137003065044462</v>
      </c>
    </row>
    <row r="20" spans="1:52" x14ac:dyDescent="0.35">
      <c r="A20" s="61" t="s">
        <v>8</v>
      </c>
      <c r="B20" s="23">
        <f t="shared" si="0"/>
        <v>62.175023713744508</v>
      </c>
      <c r="C20" s="23">
        <f t="shared" si="0"/>
        <v>70.879527033668737</v>
      </c>
      <c r="D20" s="23">
        <f t="shared" si="0"/>
        <v>80.80266081838235</v>
      </c>
      <c r="E20" s="23">
        <f t="shared" si="1"/>
        <v>92.115033332955875</v>
      </c>
      <c r="F20" s="23">
        <f t="shared" si="2"/>
        <v>97.64193533293323</v>
      </c>
      <c r="G20" s="23">
        <f t="shared" si="3"/>
        <v>121.07599981283721</v>
      </c>
      <c r="H20" s="23">
        <f t="shared" si="4"/>
        <v>138.02663978663441</v>
      </c>
      <c r="I20" s="23">
        <f t="shared" si="5"/>
        <v>109.04104543144119</v>
      </c>
      <c r="J20" s="23">
        <f t="shared" si="6"/>
        <v>126.48761270047177</v>
      </c>
      <c r="K20" s="23">
        <f t="shared" si="7"/>
        <v>108.77934692240572</v>
      </c>
      <c r="L20" s="23">
        <f t="shared" si="8"/>
        <v>137.06197712223121</v>
      </c>
      <c r="M20" s="4">
        <f>$M$8*'[2]Eurostat POM Portables GU'!M11</f>
        <v>174.06871094523365</v>
      </c>
      <c r="N20" s="4">
        <f>$N$8*'[2]Eurostat POM Portables GU'!N11</f>
        <v>151.22083328275352</v>
      </c>
      <c r="O20" s="4">
        <f>$O$8*'[2]Eurostat POM Portables GU'!O11</f>
        <v>163.45530305799437</v>
      </c>
      <c r="P20" s="4">
        <f>$P$8*'[2]Eurostat POM Portables GU'!P11</f>
        <v>149.49085241118181</v>
      </c>
      <c r="Q20" s="4">
        <f>$Q$8*'[2]Eurostat POM Portables GU'!Q11</f>
        <v>151.00575128256446</v>
      </c>
      <c r="R20" s="4">
        <f>$R$8*'[2]Eurostat POM Portables GU'!R11</f>
        <v>144.99316274305079</v>
      </c>
      <c r="S20" s="4">
        <f>$S$8*'[2]Eurostat POM Portables GU'!S11</f>
        <v>152.9739153932469</v>
      </c>
      <c r="T20" s="4">
        <f>$T$8*'[2]Eurostat POM Portables GU'!T11</f>
        <v>158.09953477444805</v>
      </c>
      <c r="U20" s="4">
        <f>$U$8*'[2]Eurostat POM Portables GU'!U11</f>
        <v>153.69952735718198</v>
      </c>
      <c r="V20" s="4">
        <f>$V$8*'[2]Eurostat POM Portables GU'!V11</f>
        <v>143.86194487616805</v>
      </c>
      <c r="W20" s="4">
        <f>$W$8*'[2]Eurostat POM Portables GU'!W11</f>
        <v>127.35532411220527</v>
      </c>
      <c r="X20" s="67">
        <f>'[3]POM Portables NiMH'!AD20</f>
        <v>124.80821762996116</v>
      </c>
      <c r="Y20" s="67">
        <f>'[3]POM Portables NiMH'!AE20</f>
        <v>122.31205327736194</v>
      </c>
      <c r="Z20" s="67">
        <f>'[3]POM Portables NiMH'!AF20</f>
        <v>119.8658122118147</v>
      </c>
      <c r="AA20" s="67">
        <f>'[3]POM Portables NiMH'!AG20</f>
        <v>117.46849596757841</v>
      </c>
      <c r="AB20" s="67">
        <f>'[3]POM Portables NiMH'!AH20</f>
        <v>115.11912604822683</v>
      </c>
      <c r="AC20" s="67">
        <f>'[3]POM Portables NiMH'!AI20</f>
        <v>112.81674352726229</v>
      </c>
      <c r="AD20" s="67">
        <f>'[3]POM Portables NiMH'!AJ20</f>
        <v>110.56040865671704</v>
      </c>
      <c r="AE20" s="67">
        <f>'[3]POM Portables NiMH'!AK20</f>
        <v>108.34920048358271</v>
      </c>
      <c r="AF20" s="67">
        <f>'[3]POM Portables NiMH'!AL20</f>
        <v>106.18221647391105</v>
      </c>
      <c r="AG20" s="67">
        <f>'[3]POM Portables NiMH'!AM20</f>
        <v>104.05857214443283</v>
      </c>
      <c r="AH20" s="67">
        <f>'[3]POM Portables NiMH'!AN20</f>
        <v>101.97740070154417</v>
      </c>
      <c r="AI20" s="67">
        <f>'[3]POM Portables NiMH'!AO20</f>
        <v>99.937852687513285</v>
      </c>
      <c r="AJ20" s="67">
        <f>'[3]POM Portables NiMH'!AP20</f>
        <v>97.939095633763017</v>
      </c>
      <c r="AK20" s="67">
        <f>'[3]POM Portables NiMH'!AQ20</f>
        <v>95.980313721087754</v>
      </c>
      <c r="AL20" s="67">
        <f>'[3]POM Portables NiMH'!AR20</f>
        <v>94.060707446666001</v>
      </c>
      <c r="AM20" s="67">
        <f>'[3]POM Portables NiMH'!AS20</f>
        <v>92.179493297732677</v>
      </c>
      <c r="AN20" s="67">
        <f>'[3]POM Portables NiMH'!AT20</f>
        <v>90.335903431778021</v>
      </c>
      <c r="AO20" s="67">
        <f>'[3]POM Portables NiMH'!AU20</f>
        <v>88.52918536314246</v>
      </c>
      <c r="AP20" s="67">
        <f>'[3]POM Portables NiMH'!AV20</f>
        <v>87.643893509511031</v>
      </c>
      <c r="AQ20" s="67">
        <f>'[3]POM Portables NiMH'!AW20</f>
        <v>86.767454574415922</v>
      </c>
      <c r="AR20" s="67">
        <f>'[3]POM Portables NiMH'!AX20</f>
        <v>85.899780028671756</v>
      </c>
      <c r="AS20" s="67">
        <f>'[3]POM Portables NiMH'!AY20</f>
        <v>85.040782228385041</v>
      </c>
      <c r="AT20" s="67">
        <f>'[3]POM Portables NiMH'!AZ20</f>
        <v>84.190374406101185</v>
      </c>
      <c r="AU20" s="67">
        <f>'[3]POM Portables NiMH'!BA20</f>
        <v>83.348470662040171</v>
      </c>
      <c r="AV20" s="67">
        <f>'[3]POM Portables NiMH'!BB20</f>
        <v>82.514985955419775</v>
      </c>
      <c r="AW20" s="67">
        <f>'[3]POM Portables NiMH'!BC20</f>
        <v>81.689836095865573</v>
      </c>
      <c r="AX20" s="67">
        <f>'[3]POM Portables NiMH'!BD20</f>
        <v>80.872937734906913</v>
      </c>
      <c r="AY20" s="67">
        <f>'[3]POM Portables NiMH'!BE20</f>
        <v>80.064208357557845</v>
      </c>
      <c r="AZ20" s="67">
        <f>'[3]POM Portables NiMH'!BF20</f>
        <v>79.263566273982264</v>
      </c>
    </row>
    <row r="21" spans="1:52" x14ac:dyDescent="0.35">
      <c r="A21" s="61" t="s">
        <v>9</v>
      </c>
      <c r="B21" s="23">
        <f t="shared" si="0"/>
        <v>752.89610691801067</v>
      </c>
      <c r="C21" s="23">
        <f t="shared" si="0"/>
        <v>858.30156188653211</v>
      </c>
      <c r="D21" s="23">
        <f t="shared" si="0"/>
        <v>978.46378055064656</v>
      </c>
      <c r="E21" s="23">
        <f t="shared" si="1"/>
        <v>1115.448709827737</v>
      </c>
      <c r="F21" s="23">
        <f t="shared" si="2"/>
        <v>1182.3756324174012</v>
      </c>
      <c r="G21" s="23">
        <f t="shared" si="3"/>
        <v>1466.1457841975775</v>
      </c>
      <c r="H21" s="23">
        <f t="shared" si="4"/>
        <v>1671.4061939852384</v>
      </c>
      <c r="I21" s="23">
        <f t="shared" si="5"/>
        <v>1320.4108932483384</v>
      </c>
      <c r="J21" s="23">
        <f t="shared" si="6"/>
        <v>1531.6766361680725</v>
      </c>
      <c r="K21" s="23">
        <f t="shared" si="7"/>
        <v>1317.2419071045424</v>
      </c>
      <c r="L21" s="23">
        <f t="shared" si="8"/>
        <v>1659.7248029517234</v>
      </c>
      <c r="M21" s="4">
        <f>$M$8*'[2]Eurostat POM Portables GU'!M12</f>
        <v>2107.8504997486889</v>
      </c>
      <c r="N21" s="4">
        <f>N5*'[2]Eurostat POM Portables GU'!N12</f>
        <v>1738.592570401438</v>
      </c>
      <c r="O21" s="4">
        <f>O5*'[2]Eurostat POM Portables GU'!O12</f>
        <v>2044.2899368980404</v>
      </c>
      <c r="P21" s="4">
        <f>P5*'[2]Eurostat POM Portables GU'!P12</f>
        <v>1653.8573205344901</v>
      </c>
      <c r="Q21" s="4">
        <f>Q5*'[2]Eurostat POM Portables GU'!Q12</f>
        <v>1741</v>
      </c>
      <c r="R21" s="4">
        <f>R5*'[2]Eurostat POM Portables GU'!R12</f>
        <v>1585</v>
      </c>
      <c r="S21" s="4">
        <f>S5*'[2]Eurostat POM Portables GU'!S12</f>
        <v>1781</v>
      </c>
      <c r="T21" s="4">
        <f>T5*'[2]Eurostat POM Portables GU'!T12</f>
        <v>1456.696170103753</v>
      </c>
      <c r="U21" s="4">
        <f>U5*'[2]Eurostat POM Portables GU'!U12</f>
        <v>1475.8256366516389</v>
      </c>
      <c r="V21" s="4">
        <f>V5*'[2]Eurostat POM Portables GU'!V12</f>
        <v>1476.5130168890921</v>
      </c>
      <c r="W21" s="4">
        <f>$W$8*'[2]Eurostat POM Portables GU'!W12</f>
        <v>1180.6521365188059</v>
      </c>
      <c r="X21" s="67">
        <f>'[3]POM Portables NiMH'!AD21</f>
        <v>1157.0390937884299</v>
      </c>
      <c r="Y21" s="67">
        <f>'[3]POM Portables NiMH'!AE21</f>
        <v>1133.8983119126613</v>
      </c>
      <c r="Z21" s="67">
        <f>'[3]POM Portables NiMH'!AF21</f>
        <v>1111.220345674408</v>
      </c>
      <c r="AA21" s="67">
        <f>'[3]POM Portables NiMH'!AG21</f>
        <v>1088.9959387609199</v>
      </c>
      <c r="AB21" s="67">
        <f>'[3]POM Portables NiMH'!AH21</f>
        <v>1067.2160199857015</v>
      </c>
      <c r="AC21" s="67">
        <f>'[3]POM Portables NiMH'!AI21</f>
        <v>1045.8716995859875</v>
      </c>
      <c r="AD21" s="67">
        <f>'[3]POM Portables NiMH'!AJ21</f>
        <v>1024.9542655942678</v>
      </c>
      <c r="AE21" s="67">
        <f>'[3]POM Portables NiMH'!AK21</f>
        <v>1004.4551802823825</v>
      </c>
      <c r="AF21" s="67">
        <f>'[3]POM Portables NiMH'!AL21</f>
        <v>984.36607667673479</v>
      </c>
      <c r="AG21" s="67">
        <f>'[3]POM Portables NiMH'!AM21</f>
        <v>964.67875514320008</v>
      </c>
      <c r="AH21" s="67">
        <f>'[3]POM Portables NiMH'!AN21</f>
        <v>945.38518004033608</v>
      </c>
      <c r="AI21" s="67">
        <f>'[3]POM Portables NiMH'!AO21</f>
        <v>926.47747643952937</v>
      </c>
      <c r="AJ21" s="67">
        <f>'[3]POM Portables NiMH'!AP21</f>
        <v>907.94792691073883</v>
      </c>
      <c r="AK21" s="67">
        <f>'[3]POM Portables NiMH'!AQ21</f>
        <v>889.7889683725241</v>
      </c>
      <c r="AL21" s="67">
        <f>'[3]POM Portables NiMH'!AR21</f>
        <v>871.99318900507365</v>
      </c>
      <c r="AM21" s="67">
        <f>'[3]POM Portables NiMH'!AS21</f>
        <v>854.55332522497213</v>
      </c>
      <c r="AN21" s="67">
        <f>'[3]POM Portables NiMH'!AT21</f>
        <v>837.46225872047273</v>
      </c>
      <c r="AO21" s="67">
        <f>'[3]POM Portables NiMH'!AU21</f>
        <v>820.71301354606328</v>
      </c>
      <c r="AP21" s="67">
        <f>'[3]POM Portables NiMH'!AV21</f>
        <v>812.50588341060268</v>
      </c>
      <c r="AQ21" s="67">
        <f>'[3]POM Portables NiMH'!AW21</f>
        <v>804.38082457649671</v>
      </c>
      <c r="AR21" s="67">
        <f>'[3]POM Portables NiMH'!AX21</f>
        <v>796.33701633073179</v>
      </c>
      <c r="AS21" s="67">
        <f>'[3]POM Portables NiMH'!AY21</f>
        <v>788.37364616742445</v>
      </c>
      <c r="AT21" s="67">
        <f>'[3]POM Portables NiMH'!AZ21</f>
        <v>780.48990970575016</v>
      </c>
      <c r="AU21" s="67">
        <f>'[3]POM Portables NiMH'!BA21</f>
        <v>772.68501060869266</v>
      </c>
      <c r="AV21" s="67">
        <f>'[3]POM Portables NiMH'!BB21</f>
        <v>764.95816050260578</v>
      </c>
      <c r="AW21" s="67">
        <f>'[3]POM Portables NiMH'!BC21</f>
        <v>757.30857889757976</v>
      </c>
      <c r="AX21" s="67">
        <f>'[3]POM Portables NiMH'!BD21</f>
        <v>749.73549310860392</v>
      </c>
      <c r="AY21" s="67">
        <f>'[3]POM Portables NiMH'!BE21</f>
        <v>742.23813817751784</v>
      </c>
      <c r="AZ21" s="67">
        <f>'[3]POM Portables NiMH'!BF21</f>
        <v>734.81575679574269</v>
      </c>
    </row>
    <row r="22" spans="1:52" x14ac:dyDescent="0.35">
      <c r="A22" s="61" t="s">
        <v>10</v>
      </c>
      <c r="B22" s="23">
        <f t="shared" si="0"/>
        <v>975.20494070293819</v>
      </c>
      <c r="C22" s="23">
        <f t="shared" si="0"/>
        <v>1111.7336324013495</v>
      </c>
      <c r="D22" s="23">
        <f t="shared" si="0"/>
        <v>1267.3763409375383</v>
      </c>
      <c r="E22" s="23">
        <f t="shared" si="1"/>
        <v>1444.8090286687936</v>
      </c>
      <c r="F22" s="23">
        <f t="shared" si="2"/>
        <v>1531.4975703889213</v>
      </c>
      <c r="G22" s="23">
        <f t="shared" si="3"/>
        <v>1899.0569872822623</v>
      </c>
      <c r="H22" s="23">
        <f t="shared" si="4"/>
        <v>2164.9249655017788</v>
      </c>
      <c r="I22" s="23">
        <f t="shared" si="5"/>
        <v>1710.2907227464052</v>
      </c>
      <c r="J22" s="23">
        <f t="shared" si="6"/>
        <v>1983.9372383858299</v>
      </c>
      <c r="K22" s="23">
        <f t="shared" si="7"/>
        <v>1706.1860250118136</v>
      </c>
      <c r="L22" s="23">
        <f t="shared" si="8"/>
        <v>2149.7943915148853</v>
      </c>
      <c r="M22" s="4">
        <f>$M$8*'[2]Eurostat POM Portables GU'!M13</f>
        <v>2730.2388772239042</v>
      </c>
      <c r="N22" s="4">
        <f>N4*'[2]Eurostat POM Portables GU'!N13</f>
        <v>2821.7769772879096</v>
      </c>
      <c r="O22" s="4">
        <f>O4*'[2]Eurostat POM Portables GU'!O13</f>
        <v>3082.6386363075594</v>
      </c>
      <c r="P22" s="4">
        <f>P4*'[2]Eurostat POM Portables GU'!P13</f>
        <v>2972.9279793315745</v>
      </c>
      <c r="Q22" s="4">
        <f>Q4*'[2]Eurostat POM Portables GU'!Q13</f>
        <v>2714.7879858657243</v>
      </c>
      <c r="R22" s="4">
        <f>R4*'[2]Eurostat POM Portables GU'!R13</f>
        <v>2142.134121114228</v>
      </c>
      <c r="S22" s="4">
        <f>S4*'[2]Eurostat POM Portables GU'!S13</f>
        <v>2228.2667149601248</v>
      </c>
      <c r="T22" s="4">
        <f>T4*'[2]Eurostat POM Portables GU'!T13</f>
        <v>2317.404209906842</v>
      </c>
      <c r="U22" s="4">
        <f>U4*'[2]Eurostat POM Portables GU'!U13</f>
        <v>2141.1350222023179</v>
      </c>
      <c r="V22" s="4">
        <f>V4*'[2]Eurostat POM Portables GU'!V13</f>
        <v>2483.9339675669235</v>
      </c>
      <c r="W22" s="4">
        <f>W4*'[2]Eurostat POM Portables GU'!W13</f>
        <v>1955.2310486970812</v>
      </c>
      <c r="X22" s="67">
        <f>'[3]POM Portables NiMH'!AD22</f>
        <v>1916.1264277231396</v>
      </c>
      <c r="Y22" s="67">
        <f>'[3]POM Portables NiMH'!AE22</f>
        <v>1877.8038991686767</v>
      </c>
      <c r="Z22" s="67">
        <f>'[3]POM Portables NiMH'!AF22</f>
        <v>1840.2478211853031</v>
      </c>
      <c r="AA22" s="67">
        <f>'[3]POM Portables NiMH'!AG22</f>
        <v>1803.4428647615971</v>
      </c>
      <c r="AB22" s="67">
        <f>'[3]POM Portables NiMH'!AH22</f>
        <v>1767.3740074663651</v>
      </c>
      <c r="AC22" s="67">
        <f>'[3]POM Portables NiMH'!AI22</f>
        <v>1732.0265273170378</v>
      </c>
      <c r="AD22" s="67">
        <f>'[3]POM Portables NiMH'!AJ22</f>
        <v>1697.3859967706971</v>
      </c>
      <c r="AE22" s="67">
        <f>'[3]POM Portables NiMH'!AK22</f>
        <v>1663.4382768352832</v>
      </c>
      <c r="AF22" s="67">
        <f>'[3]POM Portables NiMH'!AL22</f>
        <v>1630.1695112985776</v>
      </c>
      <c r="AG22" s="67">
        <f>'[3]POM Portables NiMH'!AM22</f>
        <v>1597.5661210726062</v>
      </c>
      <c r="AH22" s="67">
        <f>'[3]POM Portables NiMH'!AN22</f>
        <v>1565.6147986511539</v>
      </c>
      <c r="AI22" s="67">
        <f>'[3]POM Portables NiMH'!AO22</f>
        <v>1534.3025026781308</v>
      </c>
      <c r="AJ22" s="67">
        <f>'[3]POM Portables NiMH'!AP22</f>
        <v>1503.6164526245682</v>
      </c>
      <c r="AK22" s="67">
        <f>'[3]POM Portables NiMH'!AQ22</f>
        <v>1473.5441235720768</v>
      </c>
      <c r="AL22" s="67">
        <f>'[3]POM Portables NiMH'!AR22</f>
        <v>1444.0732411006354</v>
      </c>
      <c r="AM22" s="67">
        <f>'[3]POM Portables NiMH'!AS22</f>
        <v>1415.1917762786227</v>
      </c>
      <c r="AN22" s="67">
        <f>'[3]POM Portables NiMH'!AT22</f>
        <v>1386.8879407530503</v>
      </c>
      <c r="AO22" s="67">
        <f>'[3]POM Portables NiMH'!AU22</f>
        <v>1359.1501819379894</v>
      </c>
      <c r="AP22" s="67">
        <f>'[3]POM Portables NiMH'!AV22</f>
        <v>1345.5586801186096</v>
      </c>
      <c r="AQ22" s="67">
        <f>'[3]POM Portables NiMH'!AW22</f>
        <v>1332.1030933174234</v>
      </c>
      <c r="AR22" s="67">
        <f>'[3]POM Portables NiMH'!AX22</f>
        <v>1318.7820623842492</v>
      </c>
      <c r="AS22" s="67">
        <f>'[3]POM Portables NiMH'!AY22</f>
        <v>1305.5942417604067</v>
      </c>
      <c r="AT22" s="67">
        <f>'[3]POM Portables NiMH'!AZ22</f>
        <v>1292.5382993428027</v>
      </c>
      <c r="AU22" s="67">
        <f>'[3]POM Portables NiMH'!BA22</f>
        <v>1279.6129163493747</v>
      </c>
      <c r="AV22" s="67">
        <f>'[3]POM Portables NiMH'!BB22</f>
        <v>1266.8167871858809</v>
      </c>
      <c r="AW22" s="67">
        <f>'[3]POM Portables NiMH'!BC22</f>
        <v>1254.1486193140222</v>
      </c>
      <c r="AX22" s="67">
        <f>'[3]POM Portables NiMH'!BD22</f>
        <v>1241.6071331208821</v>
      </c>
      <c r="AY22" s="67">
        <f>'[3]POM Portables NiMH'!BE22</f>
        <v>1229.1910617896733</v>
      </c>
      <c r="AZ22" s="67">
        <f>'[3]POM Portables NiMH'!BF22</f>
        <v>1216.8991511717766</v>
      </c>
    </row>
    <row r="23" spans="1:52" x14ac:dyDescent="0.35">
      <c r="A23" s="61" t="s">
        <v>11</v>
      </c>
      <c r="B23" s="23">
        <f t="shared" si="0"/>
        <v>41.630037593350472</v>
      </c>
      <c r="C23" s="23">
        <f t="shared" si="0"/>
        <v>47.458242856419531</v>
      </c>
      <c r="D23" s="23">
        <f t="shared" si="0"/>
        <v>54.102396856318258</v>
      </c>
      <c r="E23" s="23">
        <f t="shared" si="1"/>
        <v>61.67673241620281</v>
      </c>
      <c r="F23" s="23">
        <f t="shared" si="2"/>
        <v>65.377336361174983</v>
      </c>
      <c r="G23" s="23">
        <f t="shared" si="3"/>
        <v>81.067897087856977</v>
      </c>
      <c r="H23" s="23">
        <f t="shared" si="4"/>
        <v>92.417402680156954</v>
      </c>
      <c r="I23" s="23">
        <f t="shared" si="5"/>
        <v>73.009748117323994</v>
      </c>
      <c r="J23" s="23">
        <f t="shared" si="6"/>
        <v>84.691307816095829</v>
      </c>
      <c r="K23" s="23">
        <f t="shared" si="7"/>
        <v>72.834524721842413</v>
      </c>
      <c r="L23" s="23">
        <f t="shared" si="8"/>
        <v>91.771501149521441</v>
      </c>
      <c r="M23" s="4">
        <f>$M$8*'[2]Eurostat POM Portables GU'!M14</f>
        <v>116.54980645989224</v>
      </c>
      <c r="N23" s="4">
        <f>$N$8*'[2]Eurostat POM Portables GU'!N14</f>
        <v>87.314645380194534</v>
      </c>
      <c r="O23" s="4">
        <f>$O$8*'[2]Eurostat POM Portables GU'!O14</f>
        <v>95.968762838711442</v>
      </c>
      <c r="P23" s="4">
        <f>$P$8*'[2]Eurostat POM Portables GU'!P14</f>
        <v>86.559207261849892</v>
      </c>
      <c r="Q23" s="4">
        <f>$Q$8*'[2]Eurostat POM Portables GU'!Q14</f>
        <v>88.315165292700925</v>
      </c>
      <c r="R23" s="4">
        <f>$R$8*'[2]Eurostat POM Portables GU'!R14</f>
        <v>76.617338805729744</v>
      </c>
      <c r="S23" s="4">
        <f>$S$8*'[2]Eurostat POM Portables GU'!S14</f>
        <v>81.393668190369112</v>
      </c>
      <c r="T23" s="4">
        <f>$T$8*'[2]Eurostat POM Portables GU'!T14</f>
        <v>75.211512785763432</v>
      </c>
      <c r="U23" s="4">
        <f>$U$8*'[2]Eurostat POM Portables GU'!U14</f>
        <v>76.424709675943916</v>
      </c>
      <c r="V23" s="4">
        <f>$V$8*'[2]Eurostat POM Portables GU'!V14</f>
        <v>73.398951467432681</v>
      </c>
      <c r="W23" s="4">
        <f>$W$8*'[2]Eurostat POM Portables GU'!W14</f>
        <v>89.956834936117446</v>
      </c>
      <c r="X23" s="67">
        <f>'[3]POM Portables NiMH'!AD23</f>
        <v>88.157698237395095</v>
      </c>
      <c r="Y23" s="67">
        <f>'[3]POM Portables NiMH'!AE23</f>
        <v>86.394544272647195</v>
      </c>
      <c r="Z23" s="67">
        <f>'[3]POM Portables NiMH'!AF23</f>
        <v>84.666653387194245</v>
      </c>
      <c r="AA23" s="67">
        <f>'[3]POM Portables NiMH'!AG23</f>
        <v>82.973320319450366</v>
      </c>
      <c r="AB23" s="67">
        <f>'[3]POM Portables NiMH'!AH23</f>
        <v>81.313853913061365</v>
      </c>
      <c r="AC23" s="67">
        <f>'[3]POM Portables NiMH'!AI23</f>
        <v>79.68757683480014</v>
      </c>
      <c r="AD23" s="67">
        <f>'[3]POM Portables NiMH'!AJ23</f>
        <v>78.093825298104136</v>
      </c>
      <c r="AE23" s="67">
        <f>'[3]POM Portables NiMH'!AK23</f>
        <v>76.53194879214206</v>
      </c>
      <c r="AF23" s="67">
        <f>'[3]POM Portables NiMH'!AL23</f>
        <v>75.001309816299212</v>
      </c>
      <c r="AG23" s="67">
        <f>'[3]POM Portables NiMH'!AM23</f>
        <v>73.501283619973222</v>
      </c>
      <c r="AH23" s="67">
        <f>'[3]POM Portables NiMH'!AN23</f>
        <v>72.031257947573764</v>
      </c>
      <c r="AI23" s="67">
        <f>'[3]POM Portables NiMH'!AO23</f>
        <v>70.590632788622287</v>
      </c>
      <c r="AJ23" s="67">
        <f>'[3]POM Portables NiMH'!AP23</f>
        <v>69.178820132849836</v>
      </c>
      <c r="AK23" s="67">
        <f>'[3]POM Portables NiMH'!AQ23</f>
        <v>67.795243730192837</v>
      </c>
      <c r="AL23" s="67">
        <f>'[3]POM Portables NiMH'!AR23</f>
        <v>66.439338855588986</v>
      </c>
      <c r="AM23" s="67">
        <f>'[3]POM Portables NiMH'!AS23</f>
        <v>65.110552078477212</v>
      </c>
      <c r="AN23" s="67">
        <f>'[3]POM Portables NiMH'!AT23</f>
        <v>63.80834103690767</v>
      </c>
      <c r="AO23" s="67">
        <f>'[3]POM Portables NiMH'!AU23</f>
        <v>62.532174216169516</v>
      </c>
      <c r="AP23" s="67">
        <f>'[3]POM Portables NiMH'!AV23</f>
        <v>61.90685247400782</v>
      </c>
      <c r="AQ23" s="67">
        <f>'[3]POM Portables NiMH'!AW23</f>
        <v>61.287783949267741</v>
      </c>
      <c r="AR23" s="67">
        <f>'[3]POM Portables NiMH'!AX23</f>
        <v>60.674906109775065</v>
      </c>
      <c r="AS23" s="67">
        <f>'[3]POM Portables NiMH'!AY23</f>
        <v>60.068157048677314</v>
      </c>
      <c r="AT23" s="67">
        <f>'[3]POM Portables NiMH'!AZ23</f>
        <v>59.467475478190543</v>
      </c>
      <c r="AU23" s="67">
        <f>'[3]POM Portables NiMH'!BA23</f>
        <v>58.872800723408638</v>
      </c>
      <c r="AV23" s="67">
        <f>'[3]POM Portables NiMH'!BB23</f>
        <v>58.284072716174549</v>
      </c>
      <c r="AW23" s="67">
        <f>'[3]POM Portables NiMH'!BC23</f>
        <v>57.701231989012804</v>
      </c>
      <c r="AX23" s="67">
        <f>'[3]POM Portables NiMH'!BD23</f>
        <v>57.124219669122674</v>
      </c>
      <c r="AY23" s="67">
        <f>'[3]POM Portables NiMH'!BE23</f>
        <v>56.552977472431444</v>
      </c>
      <c r="AZ23" s="67">
        <f>'[3]POM Portables NiMH'!BF23</f>
        <v>55.987447697707132</v>
      </c>
    </row>
    <row r="24" spans="1:52" x14ac:dyDescent="0.35">
      <c r="A24" s="61" t="s">
        <v>12</v>
      </c>
      <c r="B24" s="23">
        <f t="shared" si="0"/>
        <v>45.973063136872995</v>
      </c>
      <c r="C24" s="23">
        <f t="shared" si="0"/>
        <v>52.409291976035213</v>
      </c>
      <c r="D24" s="23">
        <f t="shared" si="0"/>
        <v>59.746592852680138</v>
      </c>
      <c r="E24" s="23">
        <f t="shared" si="1"/>
        <v>68.111115852055349</v>
      </c>
      <c r="F24" s="23">
        <f t="shared" si="2"/>
        <v>72.197782803178669</v>
      </c>
      <c r="G24" s="23">
        <f t="shared" si="3"/>
        <v>89.52525067594155</v>
      </c>
      <c r="H24" s="23">
        <f t="shared" si="4"/>
        <v>102.05878577057335</v>
      </c>
      <c r="I24" s="23">
        <f t="shared" si="5"/>
        <v>80.626440758752949</v>
      </c>
      <c r="J24" s="23">
        <f t="shared" si="6"/>
        <v>93.526671280153408</v>
      </c>
      <c r="K24" s="23">
        <f t="shared" si="7"/>
        <v>80.432937300931926</v>
      </c>
      <c r="L24" s="23">
        <f t="shared" si="8"/>
        <v>101.34550099917423</v>
      </c>
      <c r="M24" s="4">
        <f>$M$8*'[2]Eurostat POM Portables GU'!M15</f>
        <v>128.70878626895129</v>
      </c>
      <c r="N24" s="4">
        <f>$N$8*'[2]Eurostat POM Portables GU'!N15</f>
        <v>86.23763653850051</v>
      </c>
      <c r="O24" s="4">
        <f>$O$8*'[2]Eurostat POM Portables GU'!O15</f>
        <v>93.592220696580796</v>
      </c>
      <c r="P24" s="4">
        <f>$P$8*'[2]Eurostat POM Portables GU'!P15</f>
        <v>89.638948142329923</v>
      </c>
      <c r="Q24" s="4">
        <f>$Q$8*'[2]Eurostat POM Portables GU'!Q15</f>
        <v>95.116751157034315</v>
      </c>
      <c r="R24" s="4">
        <f>$R$8*'[2]Eurostat POM Portables GU'!R15</f>
        <v>80.690180455815437</v>
      </c>
      <c r="S24" s="4">
        <f>$S$8*'[2]Eurostat POM Portables GU'!S15</f>
        <v>113.38349640939715</v>
      </c>
      <c r="T24" s="4">
        <f>$T$8*'[2]Eurostat POM Portables GU'!T15</f>
        <v>129.86094734941656</v>
      </c>
      <c r="U24" s="4">
        <f>$U$8*'[2]Eurostat POM Portables GU'!U15</f>
        <v>124.11576877294563</v>
      </c>
      <c r="V24" s="4">
        <f>$V$8*'[2]Eurostat POM Portables GU'!V15</f>
        <v>99.465498015596609</v>
      </c>
      <c r="W24" s="4">
        <f>$W$8*'[2]Eurostat POM Portables GU'!W15</f>
        <v>99.384762274477936</v>
      </c>
      <c r="X24" s="67">
        <f>'[3]POM Portables NiMH'!AD24</f>
        <v>97.397067028988374</v>
      </c>
      <c r="Y24" s="67">
        <f>'[3]POM Portables NiMH'!AE24</f>
        <v>95.4491256884086</v>
      </c>
      <c r="Z24" s="67">
        <f>'[3]POM Portables NiMH'!AF24</f>
        <v>93.540143174640434</v>
      </c>
      <c r="AA24" s="67">
        <f>'[3]POM Portables NiMH'!AG24</f>
        <v>91.669340311147621</v>
      </c>
      <c r="AB24" s="67">
        <f>'[3]POM Portables NiMH'!AH24</f>
        <v>89.835953504924674</v>
      </c>
      <c r="AC24" s="67">
        <f>'[3]POM Portables NiMH'!AI24</f>
        <v>88.039234434826184</v>
      </c>
      <c r="AD24" s="67">
        <f>'[3]POM Portables NiMH'!AJ24</f>
        <v>86.278449746129667</v>
      </c>
      <c r="AE24" s="67">
        <f>'[3]POM Portables NiMH'!AK24</f>
        <v>84.55288075120707</v>
      </c>
      <c r="AF24" s="67">
        <f>'[3]POM Portables NiMH'!AL24</f>
        <v>82.861823136182934</v>
      </c>
      <c r="AG24" s="67">
        <f>'[3]POM Portables NiMH'!AM24</f>
        <v>81.204586673459275</v>
      </c>
      <c r="AH24" s="67">
        <f>'[3]POM Portables NiMH'!AN24</f>
        <v>79.580494939990089</v>
      </c>
      <c r="AI24" s="67">
        <f>'[3]POM Portables NiMH'!AO24</f>
        <v>77.988885041190287</v>
      </c>
      <c r="AJ24" s="67">
        <f>'[3]POM Portables NiMH'!AP24</f>
        <v>76.429107340366485</v>
      </c>
      <c r="AK24" s="67">
        <f>'[3]POM Portables NiMH'!AQ24</f>
        <v>74.900525193559162</v>
      </c>
      <c r="AL24" s="67">
        <f>'[3]POM Portables NiMH'!AR24</f>
        <v>73.402514689687976</v>
      </c>
      <c r="AM24" s="67">
        <f>'[3]POM Portables NiMH'!AS24</f>
        <v>71.93446439589421</v>
      </c>
      <c r="AN24" s="67">
        <f>'[3]POM Portables NiMH'!AT24</f>
        <v>70.495775107976328</v>
      </c>
      <c r="AO24" s="67">
        <f>'[3]POM Portables NiMH'!AU24</f>
        <v>69.085859605816808</v>
      </c>
      <c r="AP24" s="67">
        <f>'[3]POM Portables NiMH'!AV24</f>
        <v>68.395001009758644</v>
      </c>
      <c r="AQ24" s="67">
        <f>'[3]POM Portables NiMH'!AW24</f>
        <v>67.711050999661055</v>
      </c>
      <c r="AR24" s="67">
        <f>'[3]POM Portables NiMH'!AX24</f>
        <v>67.033940489664445</v>
      </c>
      <c r="AS24" s="67">
        <f>'[3]POM Portables NiMH'!AY24</f>
        <v>66.363601084767794</v>
      </c>
      <c r="AT24" s="67">
        <f>'[3]POM Portables NiMH'!AZ24</f>
        <v>65.699965073920112</v>
      </c>
      <c r="AU24" s="67">
        <f>'[3]POM Portables NiMH'!BA24</f>
        <v>65.042965423180917</v>
      </c>
      <c r="AV24" s="67">
        <f>'[3]POM Portables NiMH'!BB24</f>
        <v>64.392535768949102</v>
      </c>
      <c r="AW24" s="67">
        <f>'[3]POM Portables NiMH'!BC24</f>
        <v>63.748610411259612</v>
      </c>
      <c r="AX24" s="67">
        <f>'[3]POM Portables NiMH'!BD24</f>
        <v>63.111124307147016</v>
      </c>
      <c r="AY24" s="67">
        <f>'[3]POM Portables NiMH'!BE24</f>
        <v>62.480013064075543</v>
      </c>
      <c r="AZ24" s="67">
        <f>'[3]POM Portables NiMH'!BF24</f>
        <v>61.855212933434785</v>
      </c>
    </row>
    <row r="25" spans="1:52" x14ac:dyDescent="0.35">
      <c r="A25" s="61" t="s">
        <v>13</v>
      </c>
      <c r="B25" s="23">
        <f t="shared" si="0"/>
        <v>4.2147600222889432</v>
      </c>
      <c r="C25" s="23">
        <f t="shared" si="0"/>
        <v>4.8048264254093951</v>
      </c>
      <c r="D25" s="23">
        <f t="shared" si="0"/>
        <v>5.4775021249667102</v>
      </c>
      <c r="E25" s="23">
        <f t="shared" si="1"/>
        <v>6.2443524224620486</v>
      </c>
      <c r="F25" s="23">
        <f t="shared" si="2"/>
        <v>6.6190135678097715</v>
      </c>
      <c r="G25" s="23">
        <f t="shared" si="3"/>
        <v>8.207576824084116</v>
      </c>
      <c r="H25" s="23">
        <f t="shared" si="4"/>
        <v>9.3566375794558923</v>
      </c>
      <c r="I25" s="23">
        <f t="shared" si="5"/>
        <v>7.3917436877701546</v>
      </c>
      <c r="J25" s="23">
        <f t="shared" si="6"/>
        <v>8.574422677813379</v>
      </c>
      <c r="K25" s="23">
        <f t="shared" si="7"/>
        <v>7.3740035029195061</v>
      </c>
      <c r="L25" s="23">
        <f t="shared" si="8"/>
        <v>9.2912444136785783</v>
      </c>
      <c r="M25" s="4">
        <f>$M$8*'[2]Eurostat POM Portables GU'!M16</f>
        <v>11.799880405371795</v>
      </c>
      <c r="N25" s="4">
        <f>$N$8*'[2]Eurostat POM Portables GU'!N16</f>
        <v>9.0941307806307083</v>
      </c>
      <c r="O25" s="4">
        <f>$O$8*'[2]Eurostat POM Portables GU'!O16</f>
        <v>12.457192907860465</v>
      </c>
      <c r="P25" s="4">
        <f>$P$8*'[2]Eurostat POM Portables GU'!P16</f>
        <v>10.404021980333098</v>
      </c>
      <c r="Q25" s="4">
        <f>$Q$8*'[2]Eurostat POM Portables GU'!Q16</f>
        <v>8.9369674729031683</v>
      </c>
      <c r="R25" s="4">
        <f>$R$8*'[2]Eurostat POM Portables GU'!R16</f>
        <v>10.608554603870273</v>
      </c>
      <c r="S25" s="4">
        <f>$S$8*'[2]Eurostat POM Portables GU'!S16</f>
        <v>12.685289776477738</v>
      </c>
      <c r="T25" s="4">
        <f>$T$8*'[2]Eurostat POM Portables GU'!T16</f>
        <v>11.642705624430452</v>
      </c>
      <c r="U25" s="4">
        <f>$U$8*'[2]Eurostat POM Portables GU'!U16</f>
        <v>7.1834126447355517</v>
      </c>
      <c r="V25" s="4">
        <f>$V$8*'[2]Eurostat POM Portables GU'!V16</f>
        <v>12.370698955430004</v>
      </c>
      <c r="W25" s="4">
        <f>$W$8*'[2]Eurostat POM Portables GU'!W16</f>
        <v>10.646353828268216</v>
      </c>
      <c r="X25" s="67">
        <f>'[3]POM Portables NiMH'!AD25</f>
        <v>10.433426751702852</v>
      </c>
      <c r="Y25" s="67">
        <f>'[3]POM Portables NiMH'!AE25</f>
        <v>10.224758216668794</v>
      </c>
      <c r="Z25" s="67">
        <f>'[3]POM Portables NiMH'!AF25</f>
        <v>10.020263052335419</v>
      </c>
      <c r="AA25" s="67">
        <f>'[3]POM Portables NiMH'!AG25</f>
        <v>9.8198577912887117</v>
      </c>
      <c r="AB25" s="67">
        <f>'[3]POM Portables NiMH'!AH25</f>
        <v>9.6234606354629371</v>
      </c>
      <c r="AC25" s="67">
        <f>'[3]POM Portables NiMH'!AI25</f>
        <v>9.430991422753678</v>
      </c>
      <c r="AD25" s="67">
        <f>'[3]POM Portables NiMH'!AJ25</f>
        <v>9.2423715942986036</v>
      </c>
      <c r="AE25" s="67">
        <f>'[3]POM Portables NiMH'!AK25</f>
        <v>9.0575241624126317</v>
      </c>
      <c r="AF25" s="67">
        <f>'[3]POM Portables NiMH'!AL25</f>
        <v>8.876373679164379</v>
      </c>
      <c r="AG25" s="67">
        <f>'[3]POM Portables NiMH'!AM25</f>
        <v>8.6988462055810913</v>
      </c>
      <c r="AH25" s="67">
        <f>'[3]POM Portables NiMH'!AN25</f>
        <v>8.5248692814694689</v>
      </c>
      <c r="AI25" s="67">
        <f>'[3]POM Portables NiMH'!AO25</f>
        <v>8.3543718958400799</v>
      </c>
      <c r="AJ25" s="67">
        <f>'[3]POM Portables NiMH'!AP25</f>
        <v>8.187284457923278</v>
      </c>
      <c r="AK25" s="67">
        <f>'[3]POM Portables NiMH'!AQ25</f>
        <v>8.0235387687648121</v>
      </c>
      <c r="AL25" s="67">
        <f>'[3]POM Portables NiMH'!AR25</f>
        <v>7.8630679933895156</v>
      </c>
      <c r="AM25" s="67">
        <f>'[3]POM Portables NiMH'!AS25</f>
        <v>7.7058066335217257</v>
      </c>
      <c r="AN25" s="67">
        <f>'[3]POM Portables NiMH'!AT25</f>
        <v>7.5516905008512909</v>
      </c>
      <c r="AO25" s="67">
        <f>'[3]POM Portables NiMH'!AU25</f>
        <v>7.400656690834265</v>
      </c>
      <c r="AP25" s="67">
        <f>'[3]POM Portables NiMH'!AV25</f>
        <v>7.3266501239259227</v>
      </c>
      <c r="AQ25" s="67">
        <f>'[3]POM Portables NiMH'!AW25</f>
        <v>7.2533836226866635</v>
      </c>
      <c r="AR25" s="67">
        <f>'[3]POM Portables NiMH'!AX25</f>
        <v>7.1808497864597971</v>
      </c>
      <c r="AS25" s="67">
        <f>'[3]POM Portables NiMH'!AY25</f>
        <v>7.1090412885951988</v>
      </c>
      <c r="AT25" s="67">
        <f>'[3]POM Portables NiMH'!AZ25</f>
        <v>7.0379508757092468</v>
      </c>
      <c r="AU25" s="67">
        <f>'[3]POM Portables NiMH'!BA25</f>
        <v>6.9675713669521544</v>
      </c>
      <c r="AV25" s="67">
        <f>'[3]POM Portables NiMH'!BB25</f>
        <v>6.8978956532826325</v>
      </c>
      <c r="AW25" s="67">
        <f>'[3]POM Portables NiMH'!BC25</f>
        <v>6.8289166967498058</v>
      </c>
      <c r="AX25" s="67">
        <f>'[3]POM Portables NiMH'!BD25</f>
        <v>6.7606275297823082</v>
      </c>
      <c r="AY25" s="67">
        <f>'[3]POM Portables NiMH'!BE25</f>
        <v>6.6930212544844849</v>
      </c>
      <c r="AZ25" s="67">
        <f>'[3]POM Portables NiMH'!BF25</f>
        <v>6.6260910419396399</v>
      </c>
    </row>
    <row r="26" spans="1:52" x14ac:dyDescent="0.35">
      <c r="A26" s="61" t="s">
        <v>14</v>
      </c>
      <c r="B26" s="23">
        <f t="shared" si="0"/>
        <v>47.165707457114912</v>
      </c>
      <c r="C26" s="23">
        <f t="shared" si="0"/>
        <v>53.768906501110997</v>
      </c>
      <c r="D26" s="23">
        <f t="shared" si="0"/>
        <v>61.29655341126653</v>
      </c>
      <c r="E26" s="23">
        <f t="shared" si="1"/>
        <v>69.878070888843837</v>
      </c>
      <c r="F26" s="23">
        <f t="shared" si="2"/>
        <v>74.070755142174477</v>
      </c>
      <c r="G26" s="23">
        <f t="shared" si="3"/>
        <v>91.847736376296353</v>
      </c>
      <c r="H26" s="23">
        <f t="shared" si="4"/>
        <v>104.70641946897783</v>
      </c>
      <c r="I26" s="23">
        <f t="shared" si="5"/>
        <v>82.718071380492489</v>
      </c>
      <c r="J26" s="23">
        <f t="shared" si="6"/>
        <v>95.952962801371285</v>
      </c>
      <c r="K26" s="23">
        <f t="shared" si="7"/>
        <v>82.519548009179303</v>
      </c>
      <c r="L26" s="23">
        <f t="shared" si="8"/>
        <v>103.97463049156592</v>
      </c>
      <c r="M26" s="4">
        <f>$M$8*'[2]Eurostat POM Portables GU'!M17</f>
        <v>132.04778072428871</v>
      </c>
      <c r="N26" s="4">
        <f>$N$8*'[2]Eurostat POM Portables GU'!N17</f>
        <v>107.20633929311487</v>
      </c>
      <c r="O26" s="4">
        <f>$O$8*'[2]Eurostat POM Portables GU'!O17</f>
        <v>115.6825729744518</v>
      </c>
      <c r="P26" s="4">
        <f>$P$8*'[2]Eurostat POM Portables GU'!P17</f>
        <v>134.09628330207104</v>
      </c>
      <c r="Q26" s="4">
        <f>$Q$8*'[2]Eurostat POM Portables GU'!Q17</f>
        <v>142.51695032010187</v>
      </c>
      <c r="R26" s="4">
        <f>$R$8*'[2]Eurostat POM Portables GU'!R17</f>
        <v>94.298263145513531</v>
      </c>
      <c r="S26" s="4">
        <f>$S$8*'[2]Eurostat POM Portables GU'!S17</f>
        <v>143.88206947836525</v>
      </c>
      <c r="T26" s="4">
        <f>$T$8*'[2]Eurostat POM Portables GU'!T17</f>
        <v>106.74003272633254</v>
      </c>
      <c r="U26" s="4">
        <f>$U$8*'[2]Eurostat POM Portables GU'!U17</f>
        <v>113.31939710570995</v>
      </c>
      <c r="V26" s="4">
        <f>$V$8*'[2]Eurostat POM Portables GU'!V17</f>
        <v>140.56891083735891</v>
      </c>
      <c r="W26" s="4">
        <f>$W$8*'[2]Eurostat POM Portables GU'!W17</f>
        <v>115.64088947915933</v>
      </c>
      <c r="X26" s="67">
        <f>'[3]POM Portables NiMH'!AD26</f>
        <v>113.32807168957613</v>
      </c>
      <c r="Y26" s="67">
        <f>'[3]POM Portables NiMH'!AE26</f>
        <v>111.06151025578461</v>
      </c>
      <c r="Z26" s="67">
        <f>'[3]POM Portables NiMH'!AF26</f>
        <v>108.84028005066892</v>
      </c>
      <c r="AA26" s="67">
        <f>'[3]POM Portables NiMH'!AG26</f>
        <v>106.66347444965554</v>
      </c>
      <c r="AB26" s="67">
        <f>'[3]POM Portables NiMH'!AH26</f>
        <v>104.53020496066243</v>
      </c>
      <c r="AC26" s="67">
        <f>'[3]POM Portables NiMH'!AI26</f>
        <v>102.43960086144918</v>
      </c>
      <c r="AD26" s="67">
        <f>'[3]POM Portables NiMH'!AJ26</f>
        <v>100.39080884422019</v>
      </c>
      <c r="AE26" s="67">
        <f>'[3]POM Portables NiMH'!AK26</f>
        <v>98.382992667335785</v>
      </c>
      <c r="AF26" s="67">
        <f>'[3]POM Portables NiMH'!AL26</f>
        <v>96.415332813989068</v>
      </c>
      <c r="AG26" s="67">
        <f>'[3]POM Portables NiMH'!AM26</f>
        <v>94.48702615770928</v>
      </c>
      <c r="AH26" s="67">
        <f>'[3]POM Portables NiMH'!AN26</f>
        <v>92.597285634555092</v>
      </c>
      <c r="AI26" s="67">
        <f>'[3]POM Portables NiMH'!AO26</f>
        <v>90.745339921863987</v>
      </c>
      <c r="AJ26" s="67">
        <f>'[3]POM Portables NiMH'!AP26</f>
        <v>88.93043312342671</v>
      </c>
      <c r="AK26" s="67">
        <f>'[3]POM Portables NiMH'!AQ26</f>
        <v>87.151824460958181</v>
      </c>
      <c r="AL26" s="67">
        <f>'[3]POM Portables NiMH'!AR26</f>
        <v>85.408787971739017</v>
      </c>
      <c r="AM26" s="67">
        <f>'[3]POM Portables NiMH'!AS26</f>
        <v>83.700612212304236</v>
      </c>
      <c r="AN26" s="67">
        <f>'[3]POM Portables NiMH'!AT26</f>
        <v>82.02659996805815</v>
      </c>
      <c r="AO26" s="67">
        <f>'[3]POM Portables NiMH'!AU26</f>
        <v>80.386067968696992</v>
      </c>
      <c r="AP26" s="67">
        <f>'[3]POM Portables NiMH'!AV26</f>
        <v>79.582207289010029</v>
      </c>
      <c r="AQ26" s="67">
        <f>'[3]POM Portables NiMH'!AW26</f>
        <v>78.786385216119925</v>
      </c>
      <c r="AR26" s="67">
        <f>'[3]POM Portables NiMH'!AX26</f>
        <v>77.99852136395873</v>
      </c>
      <c r="AS26" s="67">
        <f>'[3]POM Portables NiMH'!AY26</f>
        <v>77.218536150319139</v>
      </c>
      <c r="AT26" s="67">
        <f>'[3]POM Portables NiMH'!AZ26</f>
        <v>76.446350788815948</v>
      </c>
      <c r="AU26" s="67">
        <f>'[3]POM Portables NiMH'!BA26</f>
        <v>75.681887280927782</v>
      </c>
      <c r="AV26" s="67">
        <f>'[3]POM Portables NiMH'!BB26</f>
        <v>74.925068408118506</v>
      </c>
      <c r="AW26" s="67">
        <f>'[3]POM Portables NiMH'!BC26</f>
        <v>74.175817724037316</v>
      </c>
      <c r="AX26" s="67">
        <f>'[3]POM Portables NiMH'!BD26</f>
        <v>73.434059546796945</v>
      </c>
      <c r="AY26" s="67">
        <f>'[3]POM Portables NiMH'!BE26</f>
        <v>72.699718951328975</v>
      </c>
      <c r="AZ26" s="67">
        <f>'[3]POM Portables NiMH'!BF26</f>
        <v>71.972721761815691</v>
      </c>
    </row>
    <row r="27" spans="1:52" x14ac:dyDescent="0.35">
      <c r="A27" s="61" t="s">
        <v>15</v>
      </c>
      <c r="B27" s="23">
        <f t="shared" si="0"/>
        <v>663.98890588041024</v>
      </c>
      <c r="C27" s="23">
        <f t="shared" si="0"/>
        <v>756.94735270366766</v>
      </c>
      <c r="D27" s="23">
        <f t="shared" si="0"/>
        <v>862.91998208218104</v>
      </c>
      <c r="E27" s="23">
        <f t="shared" si="1"/>
        <v>983.72877957368632</v>
      </c>
      <c r="F27" s="23">
        <f t="shared" si="2"/>
        <v>1042.7525063481075</v>
      </c>
      <c r="G27" s="23">
        <f t="shared" si="3"/>
        <v>1293.0131078716533</v>
      </c>
      <c r="H27" s="23">
        <f t="shared" si="4"/>
        <v>1474.0349429736848</v>
      </c>
      <c r="I27" s="23">
        <f t="shared" si="5"/>
        <v>1164.4876049492111</v>
      </c>
      <c r="J27" s="23">
        <f t="shared" si="6"/>
        <v>1350.8056217410849</v>
      </c>
      <c r="K27" s="23">
        <f t="shared" si="7"/>
        <v>1161.692834697333</v>
      </c>
      <c r="L27" s="23">
        <f t="shared" si="8"/>
        <v>1463.7329717186396</v>
      </c>
      <c r="M27" s="4">
        <f>$M$8*'[2]Eurostat POM Portables GU'!M18</f>
        <v>1858.9408740826723</v>
      </c>
      <c r="N27" s="4">
        <f>$N$8*'[2]Eurostat POM Portables GU'!N18</f>
        <v>1617.3259343609323</v>
      </c>
      <c r="O27" s="4">
        <f>$O$8*'[2]Eurostat POM Portables GU'!O18</f>
        <v>1604.5611292180649</v>
      </c>
      <c r="P27" s="4">
        <f>$P$8*'[2]Eurostat POM Portables GU'!P18</f>
        <v>1385.3782513439273</v>
      </c>
      <c r="Q27" s="4">
        <f>$Q$8*'[2]Eurostat POM Portables GU'!Q18</f>
        <v>1293.0455342580337</v>
      </c>
      <c r="R27" s="4">
        <f>$R$8*'[2]Eurostat POM Portables GU'!R18</f>
        <v>1181.2216829771016</v>
      </c>
      <c r="S27" s="4">
        <f>$S$8*'[2]Eurostat POM Portables GU'!S18</f>
        <v>1231.8520863871024</v>
      </c>
      <c r="T27" s="4">
        <f>$T$8*'[2]Eurostat POM Portables GU'!T18</f>
        <v>1107.2855956479102</v>
      </c>
      <c r="U27" s="4">
        <f>$U$8*'[2]Eurostat POM Portables GU'!U18</f>
        <v>1094.3480307227819</v>
      </c>
      <c r="V27" s="4">
        <f>$V$8*'[2]Eurostat POM Portables GU'!V18</f>
        <v>1117.4277399209668</v>
      </c>
      <c r="W27" s="4">
        <f>$W$8*'[2]Eurostat POM Portables GU'!W18</f>
        <v>1013.4552058471504</v>
      </c>
      <c r="X27" s="67">
        <f>'[3]POM Portables NiMH'!AD27</f>
        <v>993.18610173020738</v>
      </c>
      <c r="Y27" s="67">
        <f>'[3]POM Portables NiMH'!AE27</f>
        <v>973.32237969560322</v>
      </c>
      <c r="Z27" s="67">
        <f>'[3]POM Portables NiMH'!AF27</f>
        <v>953.85593210169111</v>
      </c>
      <c r="AA27" s="67">
        <f>'[3]POM Portables NiMH'!AG27</f>
        <v>934.77881345965727</v>
      </c>
      <c r="AB27" s="67">
        <f>'[3]POM Portables NiMH'!AH27</f>
        <v>916.08323719046416</v>
      </c>
      <c r="AC27" s="67">
        <f>'[3]POM Portables NiMH'!AI27</f>
        <v>897.7615724466549</v>
      </c>
      <c r="AD27" s="67">
        <f>'[3]POM Portables NiMH'!AJ27</f>
        <v>879.8063409977218</v>
      </c>
      <c r="AE27" s="67">
        <f>'[3]POM Portables NiMH'!AK27</f>
        <v>862.2102141777674</v>
      </c>
      <c r="AF27" s="67">
        <f>'[3]POM Portables NiMH'!AL27</f>
        <v>844.96600989421199</v>
      </c>
      <c r="AG27" s="67">
        <f>'[3]POM Portables NiMH'!AM27</f>
        <v>828.06668969632778</v>
      </c>
      <c r="AH27" s="67">
        <f>'[3]POM Portables NiMH'!AN27</f>
        <v>811.50535590240122</v>
      </c>
      <c r="AI27" s="67">
        <f>'[3]POM Portables NiMH'!AO27</f>
        <v>795.27524878435315</v>
      </c>
      <c r="AJ27" s="67">
        <f>'[3]POM Portables NiMH'!AP27</f>
        <v>779.36974380866604</v>
      </c>
      <c r="AK27" s="67">
        <f>'[3]POM Portables NiMH'!AQ27</f>
        <v>763.78234893249271</v>
      </c>
      <c r="AL27" s="67">
        <f>'[3]POM Portables NiMH'!AR27</f>
        <v>748.50670195384282</v>
      </c>
      <c r="AM27" s="67">
        <f>'[3]POM Portables NiMH'!AS27</f>
        <v>733.53656791476601</v>
      </c>
      <c r="AN27" s="67">
        <f>'[3]POM Portables NiMH'!AT27</f>
        <v>718.86583655647064</v>
      </c>
      <c r="AO27" s="67">
        <f>'[3]POM Portables NiMH'!AU27</f>
        <v>704.4885198253412</v>
      </c>
      <c r="AP27" s="67">
        <f>'[3]POM Portables NiMH'!AV27</f>
        <v>697.44363462708782</v>
      </c>
      <c r="AQ27" s="67">
        <f>'[3]POM Portables NiMH'!AW27</f>
        <v>690.46919828081695</v>
      </c>
      <c r="AR27" s="67">
        <f>'[3]POM Portables NiMH'!AX27</f>
        <v>683.56450629800884</v>
      </c>
      <c r="AS27" s="67">
        <f>'[3]POM Portables NiMH'!AY27</f>
        <v>676.72886123502872</v>
      </c>
      <c r="AT27" s="67">
        <f>'[3]POM Portables NiMH'!AZ27</f>
        <v>669.96157262267843</v>
      </c>
      <c r="AU27" s="67">
        <f>'[3]POM Portables NiMH'!BA27</f>
        <v>663.26195689645169</v>
      </c>
      <c r="AV27" s="67">
        <f>'[3]POM Portables NiMH'!BB27</f>
        <v>656.62933732748718</v>
      </c>
      <c r="AW27" s="67">
        <f>'[3]POM Portables NiMH'!BC27</f>
        <v>650.06304395421228</v>
      </c>
      <c r="AX27" s="67">
        <f>'[3]POM Portables NiMH'!BD27</f>
        <v>643.5624135146702</v>
      </c>
      <c r="AY27" s="67">
        <f>'[3]POM Portables NiMH'!BE27</f>
        <v>637.12678937952353</v>
      </c>
      <c r="AZ27" s="67">
        <f>'[3]POM Portables NiMH'!BF27</f>
        <v>630.75552148572831</v>
      </c>
    </row>
    <row r="28" spans="1:52" x14ac:dyDescent="0.35">
      <c r="A28" s="61" t="s">
        <v>16</v>
      </c>
      <c r="B28" s="23">
        <f t="shared" si="0"/>
        <v>25.902591936874074</v>
      </c>
      <c r="C28" s="23">
        <f t="shared" si="0"/>
        <v>29.528954808036442</v>
      </c>
      <c r="D28" s="23">
        <f t="shared" si="0"/>
        <v>33.66300848116154</v>
      </c>
      <c r="E28" s="23">
        <f t="shared" si="1"/>
        <v>38.375829668524155</v>
      </c>
      <c r="F28" s="23">
        <f t="shared" si="2"/>
        <v>40.678379448635603</v>
      </c>
      <c r="G28" s="23">
        <f t="shared" si="3"/>
        <v>50.441190516308147</v>
      </c>
      <c r="H28" s="23">
        <f t="shared" si="4"/>
        <v>57.502957188591282</v>
      </c>
      <c r="I28" s="23">
        <f t="shared" si="5"/>
        <v>45.427336178987112</v>
      </c>
      <c r="J28" s="23">
        <f t="shared" si="6"/>
        <v>52.695709967625042</v>
      </c>
      <c r="K28" s="23">
        <f t="shared" si="7"/>
        <v>45.318310572157536</v>
      </c>
      <c r="L28" s="23">
        <f t="shared" si="8"/>
        <v>57.101071320918493</v>
      </c>
      <c r="M28" s="4">
        <f>$M$8*'[2]Eurostat POM Portables GU'!M19</f>
        <v>72.518360577566483</v>
      </c>
      <c r="N28" s="4">
        <f>$N$8*'[2]Eurostat POM Portables GU'!N19</f>
        <v>26.515573036492114</v>
      </c>
      <c r="O28" s="4">
        <f>$O$8*'[2]Eurostat POM Portables GU'!O19</f>
        <v>31.176362708899411</v>
      </c>
      <c r="P28" s="4">
        <f>$P$8*'[2]Eurostat POM Portables GU'!P19</f>
        <v>31.183757978754706</v>
      </c>
      <c r="Q28" s="4">
        <f>$Q$8*'[2]Eurostat POM Portables GU'!Q19</f>
        <v>26.836632448955978</v>
      </c>
      <c r="R28" s="4">
        <f>$R$8*'[2]Eurostat POM Portables GU'!R19</f>
        <v>20.3819850063365</v>
      </c>
      <c r="S28" s="4">
        <f>$S$8*'[2]Eurostat POM Portables GU'!S19</f>
        <v>23.602143365003734</v>
      </c>
      <c r="T28" s="4">
        <f>$T$8*'[2]Eurostat POM Portables GU'!T19</f>
        <v>23.84255218166577</v>
      </c>
      <c r="U28" s="4">
        <f>$U$8*'[2]Eurostat POM Portables GU'!U19</f>
        <v>24.023584670209715</v>
      </c>
      <c r="V28" s="4">
        <f>$V$8*'[2]Eurostat POM Portables GU'!V19</f>
        <v>26.447983045141171</v>
      </c>
      <c r="W28" s="4">
        <f>$W$8*'[2]Eurostat POM Portables GU'!W19</f>
        <v>21.455582148760602</v>
      </c>
      <c r="X28" s="67">
        <f>'[3]POM Portables NiMH'!AD28</f>
        <v>21.02647050578539</v>
      </c>
      <c r="Y28" s="67">
        <f>'[3]POM Portables NiMH'!AE28</f>
        <v>20.605941095669682</v>
      </c>
      <c r="Z28" s="67">
        <f>'[3]POM Portables NiMH'!AF28</f>
        <v>20.19382227375629</v>
      </c>
      <c r="AA28" s="67">
        <f>'[3]POM Portables NiMH'!AG28</f>
        <v>19.789945828281162</v>
      </c>
      <c r="AB28" s="67">
        <f>'[3]POM Portables NiMH'!AH28</f>
        <v>19.394146911715538</v>
      </c>
      <c r="AC28" s="67">
        <f>'[3]POM Portables NiMH'!AI28</f>
        <v>19.006263973481229</v>
      </c>
      <c r="AD28" s="67">
        <f>'[3]POM Portables NiMH'!AJ28</f>
        <v>18.626138694011605</v>
      </c>
      <c r="AE28" s="67">
        <f>'[3]POM Portables NiMH'!AK28</f>
        <v>18.253615920131374</v>
      </c>
      <c r="AF28" s="67">
        <f>'[3]POM Portables NiMH'!AL28</f>
        <v>17.888543601728745</v>
      </c>
      <c r="AG28" s="67">
        <f>'[3]POM Portables NiMH'!AM28</f>
        <v>17.530772729694171</v>
      </c>
      <c r="AH28" s="67">
        <f>'[3]POM Portables NiMH'!AN28</f>
        <v>17.180157275100289</v>
      </c>
      <c r="AI28" s="67">
        <f>'[3]POM Portables NiMH'!AO28</f>
        <v>16.836554129598284</v>
      </c>
      <c r="AJ28" s="67">
        <f>'[3]POM Portables NiMH'!AP28</f>
        <v>16.499823047006316</v>
      </c>
      <c r="AK28" s="67">
        <f>'[3]POM Portables NiMH'!AQ28</f>
        <v>16.16982658606619</v>
      </c>
      <c r="AL28" s="67">
        <f>'[3]POM Portables NiMH'!AR28</f>
        <v>15.846430054344866</v>
      </c>
      <c r="AM28" s="67">
        <f>'[3]POM Portables NiMH'!AS28</f>
        <v>15.52950145325797</v>
      </c>
      <c r="AN28" s="67">
        <f>'[3]POM Portables NiMH'!AT28</f>
        <v>15.218911424192811</v>
      </c>
      <c r="AO28" s="67">
        <f>'[3]POM Portables NiMH'!AU28</f>
        <v>14.914533195708955</v>
      </c>
      <c r="AP28" s="67">
        <f>'[3]POM Portables NiMH'!AV28</f>
        <v>14.765387863751865</v>
      </c>
      <c r="AQ28" s="67">
        <f>'[3]POM Portables NiMH'!AW28</f>
        <v>14.617733985114347</v>
      </c>
      <c r="AR28" s="67">
        <f>'[3]POM Portables NiMH'!AX28</f>
        <v>14.471556645263203</v>
      </c>
      <c r="AS28" s="67">
        <f>'[3]POM Portables NiMH'!AY28</f>
        <v>14.32684107881057</v>
      </c>
      <c r="AT28" s="67">
        <f>'[3]POM Portables NiMH'!AZ28</f>
        <v>14.183572668022464</v>
      </c>
      <c r="AU28" s="67">
        <f>'[3]POM Portables NiMH'!BA28</f>
        <v>14.04173694134224</v>
      </c>
      <c r="AV28" s="67">
        <f>'[3]POM Portables NiMH'!BB28</f>
        <v>13.901319571928818</v>
      </c>
      <c r="AW28" s="67">
        <f>'[3]POM Portables NiMH'!BC28</f>
        <v>13.76230637620953</v>
      </c>
      <c r="AX28" s="67">
        <f>'[3]POM Portables NiMH'!BD28</f>
        <v>13.624683312447434</v>
      </c>
      <c r="AY28" s="67">
        <f>'[3]POM Portables NiMH'!BE28</f>
        <v>13.48843647932296</v>
      </c>
      <c r="AZ28" s="67">
        <f>'[3]POM Portables NiMH'!BF28</f>
        <v>13.35355211452973</v>
      </c>
    </row>
    <row r="29" spans="1:52" x14ac:dyDescent="0.35">
      <c r="A29" s="61" t="s">
        <v>17</v>
      </c>
      <c r="B29" s="23">
        <f t="shared" ref="B29:D42" si="9">C29/1.14</f>
        <v>15.931927900590345</v>
      </c>
      <c r="C29" s="23">
        <f t="shared" si="9"/>
        <v>18.162397806672992</v>
      </c>
      <c r="D29" s="23">
        <f t="shared" si="9"/>
        <v>20.705133499607211</v>
      </c>
      <c r="E29" s="23">
        <f t="shared" si="1"/>
        <v>23.603852189552217</v>
      </c>
      <c r="F29" s="23">
        <f t="shared" si="2"/>
        <v>25.020083320925352</v>
      </c>
      <c r="G29" s="23">
        <f t="shared" si="3"/>
        <v>31.024903317947434</v>
      </c>
      <c r="H29" s="23">
        <f t="shared" si="4"/>
        <v>35.368389782460071</v>
      </c>
      <c r="I29" s="23">
        <f t="shared" si="5"/>
        <v>27.941027928143455</v>
      </c>
      <c r="J29" s="23">
        <f t="shared" si="6"/>
        <v>32.411592396646405</v>
      </c>
      <c r="K29" s="23">
        <f t="shared" si="7"/>
        <v>27.873969461115905</v>
      </c>
      <c r="L29" s="23">
        <f t="shared" si="8"/>
        <v>35.121201521006043</v>
      </c>
      <c r="M29" s="4">
        <f>$M$8*'[2]Eurostat POM Portables GU'!M20</f>
        <v>44.603925931677679</v>
      </c>
      <c r="N29" s="4">
        <f>$N$8*'[2]Eurostat POM Portables GU'!N20</f>
        <v>42.970454806363826</v>
      </c>
      <c r="O29" s="4">
        <f>$O$8*'[2]Eurostat POM Portables GU'!O20</f>
        <v>48.075089134704221</v>
      </c>
      <c r="P29" s="4">
        <f>$P$8*'[2]Eurostat POM Portables GU'!P20</f>
        <v>38.683789043406534</v>
      </c>
      <c r="Q29" s="4">
        <f>$Q$8*'[2]Eurostat POM Portables GU'!Q20</f>
        <v>36.90809389893559</v>
      </c>
      <c r="R29" s="4">
        <f>$R$8*'[2]Eurostat POM Portables GU'!R20</f>
        <v>35.824571406801432</v>
      </c>
      <c r="S29" s="4">
        <f>$S$8*'[2]Eurostat POM Portables GU'!S20</f>
        <v>39.999888785053308</v>
      </c>
      <c r="T29" s="4">
        <f>$T$8*'[2]Eurostat POM Portables GU'!T20</f>
        <v>34.820188809378855</v>
      </c>
      <c r="U29" s="4">
        <f>$U$8*'[2]Eurostat POM Portables GU'!U20</f>
        <v>31.879687779534525</v>
      </c>
      <c r="V29" s="4">
        <f>$V$8*'[2]Eurostat POM Portables GU'!V20</f>
        <v>32.414563972374324</v>
      </c>
      <c r="W29" s="4">
        <f>$W$8*'[2]Eurostat POM Portables GU'!W20</f>
        <v>29.098154476202335</v>
      </c>
      <c r="X29" s="67">
        <f>'[3]POM Portables NiMH'!AD29</f>
        <v>28.51619138667829</v>
      </c>
      <c r="Y29" s="67">
        <f>'[3]POM Portables NiMH'!AE29</f>
        <v>27.945867558944723</v>
      </c>
      <c r="Z29" s="67">
        <f>'[3]POM Portables NiMH'!AF29</f>
        <v>27.386950207765828</v>
      </c>
      <c r="AA29" s="67">
        <f>'[3]POM Portables NiMH'!AG29</f>
        <v>26.83921120361051</v>
      </c>
      <c r="AB29" s="67">
        <f>'[3]POM Portables NiMH'!AH29</f>
        <v>26.3024269795383</v>
      </c>
      <c r="AC29" s="67">
        <f>'[3]POM Portables NiMH'!AI29</f>
        <v>25.776378439947536</v>
      </c>
      <c r="AD29" s="67">
        <f>'[3]POM Portables NiMH'!AJ29</f>
        <v>25.260850871148584</v>
      </c>
      <c r="AE29" s="67">
        <f>'[3]POM Portables NiMH'!AK29</f>
        <v>24.755633853725612</v>
      </c>
      <c r="AF29" s="67">
        <f>'[3]POM Portables NiMH'!AL29</f>
        <v>24.2605211766511</v>
      </c>
      <c r="AG29" s="67">
        <f>'[3]POM Portables NiMH'!AM29</f>
        <v>23.775310753118077</v>
      </c>
      <c r="AH29" s="67">
        <f>'[3]POM Portables NiMH'!AN29</f>
        <v>23.299804538055717</v>
      </c>
      <c r="AI29" s="67">
        <f>'[3]POM Portables NiMH'!AO29</f>
        <v>22.833808447294604</v>
      </c>
      <c r="AJ29" s="67">
        <f>'[3]POM Portables NiMH'!AP29</f>
        <v>22.377132278348711</v>
      </c>
      <c r="AK29" s="67">
        <f>'[3]POM Portables NiMH'!AQ29</f>
        <v>21.929589632781738</v>
      </c>
      <c r="AL29" s="67">
        <f>'[3]POM Portables NiMH'!AR29</f>
        <v>21.490997840126102</v>
      </c>
      <c r="AM29" s="67">
        <f>'[3]POM Portables NiMH'!AS29</f>
        <v>21.06117788332358</v>
      </c>
      <c r="AN29" s="67">
        <f>'[3]POM Portables NiMH'!AT29</f>
        <v>20.639954325657108</v>
      </c>
      <c r="AO29" s="67">
        <f>'[3]POM Portables NiMH'!AU29</f>
        <v>20.227155239143965</v>
      </c>
      <c r="AP29" s="67">
        <f>'[3]POM Portables NiMH'!AV29</f>
        <v>20.024883686752524</v>
      </c>
      <c r="AQ29" s="67">
        <f>'[3]POM Portables NiMH'!AW29</f>
        <v>19.824634849884998</v>
      </c>
      <c r="AR29" s="67">
        <f>'[3]POM Portables NiMH'!AX29</f>
        <v>19.626388501386149</v>
      </c>
      <c r="AS29" s="67">
        <f>'[3]POM Portables NiMH'!AY29</f>
        <v>19.430124616372286</v>
      </c>
      <c r="AT29" s="67">
        <f>'[3]POM Portables NiMH'!AZ29</f>
        <v>19.235823370208564</v>
      </c>
      <c r="AU29" s="67">
        <f>'[3]POM Portables NiMH'!BA29</f>
        <v>19.04346513650648</v>
      </c>
      <c r="AV29" s="67">
        <f>'[3]POM Portables NiMH'!BB29</f>
        <v>18.853030485141414</v>
      </c>
      <c r="AW29" s="67">
        <f>'[3]POM Portables NiMH'!BC29</f>
        <v>18.664500180289998</v>
      </c>
      <c r="AX29" s="67">
        <f>'[3]POM Portables NiMH'!BD29</f>
        <v>18.477855178487097</v>
      </c>
      <c r="AY29" s="67">
        <f>'[3]POM Portables NiMH'!BE29</f>
        <v>18.293076626702227</v>
      </c>
      <c r="AZ29" s="67">
        <f>'[3]POM Portables NiMH'!BF29</f>
        <v>18.110145860435203</v>
      </c>
    </row>
    <row r="30" spans="1:52" x14ac:dyDescent="0.35">
      <c r="A30" s="61" t="s">
        <v>18</v>
      </c>
      <c r="B30" s="23">
        <f t="shared" si="9"/>
        <v>4.1112474963811527</v>
      </c>
      <c r="C30" s="23">
        <f t="shared" si="9"/>
        <v>4.6868221458745136</v>
      </c>
      <c r="D30" s="23">
        <f t="shared" si="9"/>
        <v>5.3429772462969449</v>
      </c>
      <c r="E30" s="23">
        <f t="shared" si="1"/>
        <v>6.0909940607785167</v>
      </c>
      <c r="F30" s="23">
        <f t="shared" si="2"/>
        <v>6.4564537044252281</v>
      </c>
      <c r="G30" s="23">
        <f t="shared" si="3"/>
        <v>8.0060025934872829</v>
      </c>
      <c r="H30" s="23">
        <f t="shared" si="4"/>
        <v>9.1268429565755014</v>
      </c>
      <c r="I30" s="23">
        <f t="shared" si="5"/>
        <v>7.2102059356946464</v>
      </c>
      <c r="J30" s="23">
        <f t="shared" si="6"/>
        <v>8.363838885405789</v>
      </c>
      <c r="K30" s="23">
        <f t="shared" si="7"/>
        <v>7.1929014414489787</v>
      </c>
      <c r="L30" s="23">
        <f t="shared" si="8"/>
        <v>9.0630558162257131</v>
      </c>
      <c r="M30" s="4">
        <f>$M$8*'[2]Eurostat POM Portables GU'!M21</f>
        <v>11.510080886606655</v>
      </c>
      <c r="N30" s="4">
        <f>$N$8*'[2]Eurostat POM Portables GU'!N21</f>
        <v>10.259058711442616</v>
      </c>
      <c r="O30" s="4">
        <f>$O$8*'[2]Eurostat POM Portables GU'!O21</f>
        <v>11.042152548423887</v>
      </c>
      <c r="P30" s="4">
        <f>$P$8*'[2]Eurostat POM Portables GU'!P21</f>
        <v>9.6483911156368194</v>
      </c>
      <c r="Q30" s="4">
        <f>$Q$8*'[2]Eurostat POM Portables GU'!Q21</f>
        <v>9.0687811524445134</v>
      </c>
      <c r="R30" s="4">
        <f>$R$8*'[2]Eurostat POM Portables GU'!R21</f>
        <v>9.3914936872564283</v>
      </c>
      <c r="S30" s="4">
        <f>$S$8*'[2]Eurostat POM Portables GU'!S21</f>
        <v>9.6691059729693798</v>
      </c>
      <c r="T30" s="4">
        <f>$T$8*'[2]Eurostat POM Portables GU'!T21</f>
        <v>9.5499429964912252</v>
      </c>
      <c r="U30" s="4">
        <f>$U$8*'[2]Eurostat POM Portables GU'!U21</f>
        <v>10.286306864059192</v>
      </c>
      <c r="V30" s="4">
        <f>$V$8*'[2]Eurostat POM Portables GU'!V21</f>
        <v>10.355203423243205</v>
      </c>
      <c r="W30" s="4">
        <f>$W$8*'[2]Eurostat POM Portables GU'!W21</f>
        <v>8.9267750545938274</v>
      </c>
      <c r="X30" s="67">
        <f>'[3]POM Portables NiMH'!AD30</f>
        <v>8.7482395535019499</v>
      </c>
      <c r="Y30" s="67">
        <f>'[3]POM Portables NiMH'!AE30</f>
        <v>8.573274762431911</v>
      </c>
      <c r="Z30" s="67">
        <f>'[3]POM Portables NiMH'!AF30</f>
        <v>8.4018092671832729</v>
      </c>
      <c r="AA30" s="67">
        <f>'[3]POM Portables NiMH'!AG30</f>
        <v>8.2337730818396082</v>
      </c>
      <c r="AB30" s="67">
        <f>'[3]POM Portables NiMH'!AH30</f>
        <v>8.0690976202028164</v>
      </c>
      <c r="AC30" s="67">
        <f>'[3]POM Portables NiMH'!AI30</f>
        <v>7.9077156677987599</v>
      </c>
      <c r="AD30" s="67">
        <f>'[3]POM Portables NiMH'!AJ30</f>
        <v>7.7495613544427844</v>
      </c>
      <c r="AE30" s="67">
        <f>'[3]POM Portables NiMH'!AK30</f>
        <v>7.5945701273539283</v>
      </c>
      <c r="AF30" s="67">
        <f>'[3]POM Portables NiMH'!AL30</f>
        <v>7.44267872480685</v>
      </c>
      <c r="AG30" s="67">
        <f>'[3]POM Portables NiMH'!AM30</f>
        <v>7.2938251503107132</v>
      </c>
      <c r="AH30" s="67">
        <f>'[3]POM Portables NiMH'!AN30</f>
        <v>7.1479486473044993</v>
      </c>
      <c r="AI30" s="67">
        <f>'[3]POM Portables NiMH'!AO30</f>
        <v>7.0049896743584092</v>
      </c>
      <c r="AJ30" s="67">
        <f>'[3]POM Portables NiMH'!AP30</f>
        <v>6.8648898808712406</v>
      </c>
      <c r="AK30" s="67">
        <f>'[3]POM Portables NiMH'!AQ30</f>
        <v>6.7275920832538159</v>
      </c>
      <c r="AL30" s="67">
        <f>'[3]POM Portables NiMH'!AR30</f>
        <v>6.5930402415887395</v>
      </c>
      <c r="AM30" s="67">
        <f>'[3]POM Portables NiMH'!AS30</f>
        <v>6.4611794367569644</v>
      </c>
      <c r="AN30" s="67">
        <f>'[3]POM Portables NiMH'!AT30</f>
        <v>6.331955848021825</v>
      </c>
      <c r="AO30" s="67">
        <f>'[3]POM Portables NiMH'!AU30</f>
        <v>6.2053167310613881</v>
      </c>
      <c r="AP30" s="67">
        <f>'[3]POM Portables NiMH'!AV30</f>
        <v>6.1432635637507742</v>
      </c>
      <c r="AQ30" s="67">
        <f>'[3]POM Portables NiMH'!AW30</f>
        <v>6.0818309281132663</v>
      </c>
      <c r="AR30" s="67">
        <f>'[3]POM Portables NiMH'!AX30</f>
        <v>6.0210126188321338</v>
      </c>
      <c r="AS30" s="67">
        <f>'[3]POM Portables NiMH'!AY30</f>
        <v>5.9608024926438121</v>
      </c>
      <c r="AT30" s="67">
        <f>'[3]POM Portables NiMH'!AZ30</f>
        <v>5.9011944677173744</v>
      </c>
      <c r="AU30" s="67">
        <f>'[3]POM Portables NiMH'!BA30</f>
        <v>5.8421825230402007</v>
      </c>
      <c r="AV30" s="67">
        <f>'[3]POM Portables NiMH'!BB30</f>
        <v>5.7837606978097984</v>
      </c>
      <c r="AW30" s="67">
        <f>'[3]POM Portables NiMH'!BC30</f>
        <v>5.7259230908317003</v>
      </c>
      <c r="AX30" s="67">
        <f>'[3]POM Portables NiMH'!BD30</f>
        <v>5.6686638599233836</v>
      </c>
      <c r="AY30" s="67">
        <f>'[3]POM Portables NiMH'!BE30</f>
        <v>5.6119772213241497</v>
      </c>
      <c r="AZ30" s="67">
        <f>'[3]POM Portables NiMH'!BF30</f>
        <v>5.5558574491109081</v>
      </c>
    </row>
    <row r="31" spans="1:52" x14ac:dyDescent="0.35">
      <c r="A31" s="61" t="s">
        <v>19</v>
      </c>
      <c r="B31" s="23">
        <f t="shared" si="9"/>
        <v>1.964712747175908</v>
      </c>
      <c r="C31" s="23">
        <f t="shared" si="9"/>
        <v>2.239772531780535</v>
      </c>
      <c r="D31" s="23">
        <f t="shared" si="9"/>
        <v>2.5533406862298098</v>
      </c>
      <c r="E31" s="23">
        <f t="shared" si="1"/>
        <v>2.9108083823019828</v>
      </c>
      <c r="F31" s="23">
        <f t="shared" si="2"/>
        <v>3.0854568852401019</v>
      </c>
      <c r="G31" s="23">
        <f t="shared" si="3"/>
        <v>3.8259665376977265</v>
      </c>
      <c r="H31" s="23">
        <f t="shared" si="4"/>
        <v>4.3616018529754079</v>
      </c>
      <c r="I31" s="23">
        <f t="shared" si="5"/>
        <v>3.4456654638505726</v>
      </c>
      <c r="J31" s="23">
        <f t="shared" si="6"/>
        <v>3.9969719380666637</v>
      </c>
      <c r="K31" s="23">
        <f t="shared" si="7"/>
        <v>3.4373958667373308</v>
      </c>
      <c r="L31" s="23">
        <f t="shared" si="8"/>
        <v>4.3311187920890371</v>
      </c>
      <c r="M31" s="4">
        <f>$M$8*'[2]Eurostat POM Portables GU'!M22</f>
        <v>5.5005208659530771</v>
      </c>
      <c r="N31" s="4">
        <f>$N$8*'[2]Eurostat POM Portables GU'!N22</f>
        <v>5.7295771389508392</v>
      </c>
      <c r="O31" s="4">
        <f>$O$8*'[2]Eurostat POM Portables GU'!O22</f>
        <v>5.3807816744729333</v>
      </c>
      <c r="P31" s="4">
        <f>$P$8*'[2]Eurostat POM Portables GU'!P22</f>
        <v>5.7884707657517209</v>
      </c>
      <c r="Q31" s="4">
        <f>$Q$8*'[2]Eurostat POM Portables GU'!Q22</f>
        <v>3.8964123672421489</v>
      </c>
      <c r="R31" s="4">
        <f>$R$8*'[2]Eurostat POM Portables GU'!R22</f>
        <v>3.6128501225466061</v>
      </c>
      <c r="S31" s="4">
        <f>$S$8*'[2]Eurostat POM Portables GU'!S22</f>
        <v>3.2759508296478344</v>
      </c>
      <c r="T31" s="4">
        <f>$T$8*'[2]Eurostat POM Portables GU'!T22</f>
        <v>3.6783273263997303</v>
      </c>
      <c r="U31" s="4">
        <f>$U$8*'[2]Eurostat POM Portables GU'!U22</f>
        <v>7.2939266854237905</v>
      </c>
      <c r="V31" s="4">
        <f>$V$8*'[2]Eurostat POM Portables GU'!V22</f>
        <v>5.6775080837781706</v>
      </c>
      <c r="W31" s="4">
        <f>$W$8*'[2]Eurostat POM Portables GU'!W22</f>
        <v>5.1368109086083775</v>
      </c>
      <c r="X31" s="67">
        <f>'[3]POM Portables NiMH'!AD31</f>
        <v>5.0340746904362099</v>
      </c>
      <c r="Y31" s="67">
        <f>'[3]POM Portables NiMH'!AE31</f>
        <v>4.9333931966274855</v>
      </c>
      <c r="Z31" s="67">
        <f>'[3]POM Portables NiMH'!AF31</f>
        <v>4.8347253326949362</v>
      </c>
      <c r="AA31" s="67">
        <f>'[3]POM Portables NiMH'!AG31</f>
        <v>4.7380308260410375</v>
      </c>
      <c r="AB31" s="67">
        <f>'[3]POM Portables NiMH'!AH31</f>
        <v>4.6432702095202165</v>
      </c>
      <c r="AC31" s="67">
        <f>'[3]POM Portables NiMH'!AI31</f>
        <v>4.5504048053298121</v>
      </c>
      <c r="AD31" s="67">
        <f>'[3]POM Portables NiMH'!AJ31</f>
        <v>4.4593967092232161</v>
      </c>
      <c r="AE31" s="67">
        <f>'[3]POM Portables NiMH'!AK31</f>
        <v>4.3702087750387522</v>
      </c>
      <c r="AF31" s="67">
        <f>'[3]POM Portables NiMH'!AL31</f>
        <v>4.2828045995379771</v>
      </c>
      <c r="AG31" s="67">
        <f>'[3]POM Portables NiMH'!AM31</f>
        <v>4.1971485075472179</v>
      </c>
      <c r="AH31" s="67">
        <f>'[3]POM Portables NiMH'!AN31</f>
        <v>4.1132055373962739</v>
      </c>
      <c r="AI31" s="67">
        <f>'[3]POM Portables NiMH'!AO31</f>
        <v>4.0309414266483481</v>
      </c>
      <c r="AJ31" s="67">
        <f>'[3]POM Portables NiMH'!AP31</f>
        <v>3.9503225981153811</v>
      </c>
      <c r="AK31" s="67">
        <f>'[3]POM Portables NiMH'!AQ31</f>
        <v>3.8713161461530734</v>
      </c>
      <c r="AL31" s="67">
        <f>'[3]POM Portables NiMH'!AR31</f>
        <v>3.7938898232300118</v>
      </c>
      <c r="AM31" s="67">
        <f>'[3]POM Portables NiMH'!AS31</f>
        <v>3.7180120267654115</v>
      </c>
      <c r="AN31" s="67">
        <f>'[3]POM Portables NiMH'!AT31</f>
        <v>3.6436517862301034</v>
      </c>
      <c r="AO31" s="67">
        <f>'[3]POM Portables NiMH'!AU31</f>
        <v>3.5707787505055015</v>
      </c>
      <c r="AP31" s="67">
        <f>'[3]POM Portables NiMH'!AV31</f>
        <v>3.5350709630004467</v>
      </c>
      <c r="AQ31" s="67">
        <f>'[3]POM Portables NiMH'!AW31</f>
        <v>3.4997202533704423</v>
      </c>
      <c r="AR31" s="67">
        <f>'[3]POM Portables NiMH'!AX31</f>
        <v>3.4647230508367377</v>
      </c>
      <c r="AS31" s="67">
        <f>'[3]POM Portables NiMH'!AY31</f>
        <v>3.4300758203283701</v>
      </c>
      <c r="AT31" s="67">
        <f>'[3]POM Portables NiMH'!AZ31</f>
        <v>3.3957750621250864</v>
      </c>
      <c r="AU31" s="67">
        <f>'[3]POM Portables NiMH'!BA31</f>
        <v>3.3618173115038354</v>
      </c>
      <c r="AV31" s="67">
        <f>'[3]POM Portables NiMH'!BB31</f>
        <v>3.328199138388797</v>
      </c>
      <c r="AW31" s="67">
        <f>'[3]POM Portables NiMH'!BC31</f>
        <v>3.294917147004909</v>
      </c>
      <c r="AX31" s="67">
        <f>'[3]POM Portables NiMH'!BD31</f>
        <v>3.2619679755348598</v>
      </c>
      <c r="AY31" s="67">
        <f>'[3]POM Portables NiMH'!BE31</f>
        <v>3.2293482957795114</v>
      </c>
      <c r="AZ31" s="67">
        <f>'[3]POM Portables NiMH'!BF31</f>
        <v>3.1970548128217162</v>
      </c>
    </row>
    <row r="32" spans="1:52" x14ac:dyDescent="0.35">
      <c r="A32" s="61" t="s">
        <v>20</v>
      </c>
      <c r="B32" s="23">
        <f t="shared" si="9"/>
        <v>175.00367695323598</v>
      </c>
      <c r="C32" s="23">
        <f t="shared" si="9"/>
        <v>199.50419172668902</v>
      </c>
      <c r="D32" s="23">
        <f t="shared" si="9"/>
        <v>227.43477856842546</v>
      </c>
      <c r="E32" s="23">
        <f t="shared" si="1"/>
        <v>259.27564756800501</v>
      </c>
      <c r="F32" s="23">
        <f t="shared" si="2"/>
        <v>274.83218642208533</v>
      </c>
      <c r="G32" s="23">
        <f t="shared" si="3"/>
        <v>340.79191116338581</v>
      </c>
      <c r="H32" s="23">
        <f t="shared" si="4"/>
        <v>388.50277872625981</v>
      </c>
      <c r="I32" s="23">
        <f t="shared" si="5"/>
        <v>306.91719519374527</v>
      </c>
      <c r="J32" s="23">
        <f t="shared" si="6"/>
        <v>356.02394642474451</v>
      </c>
      <c r="K32" s="23">
        <f t="shared" si="7"/>
        <v>306.18059392528028</v>
      </c>
      <c r="L32" s="23">
        <f t="shared" si="8"/>
        <v>385.78754834585317</v>
      </c>
      <c r="M32" s="4">
        <f>$M$8*'[2]Eurostat POM Portables GU'!M23</f>
        <v>489.95018639923353</v>
      </c>
      <c r="N32" s="4">
        <f>$N$8*'[2]Eurostat POM Portables GU'!N23</f>
        <v>407.94457350696302</v>
      </c>
      <c r="O32" s="4">
        <f>$O$8*'[2]Eurostat POM Portables GU'!O23</f>
        <v>410.54311966730438</v>
      </c>
      <c r="P32" s="4">
        <f>$P$8*'[2]Eurostat POM Portables GU'!P23</f>
        <v>434.03662429606425</v>
      </c>
      <c r="Q32" s="4">
        <f>$Q$8*'[2]Eurostat POM Portables GU'!Q23</f>
        <v>437.62141607726431</v>
      </c>
      <c r="R32" s="4">
        <f>$R$8*'[2]Eurostat POM Portables GU'!R23</f>
        <v>420.70058456179311</v>
      </c>
      <c r="S32" s="4">
        <f>$S$8*'[2]Eurostat POM Portables GU'!S23</f>
        <v>427.65349303332232</v>
      </c>
      <c r="T32" s="4">
        <f>$T$8*'[2]Eurostat POM Portables GU'!T23</f>
        <v>437.74379859514801</v>
      </c>
      <c r="U32" s="4">
        <f>$U$8*'[2]Eurostat POM Portables GU'!U23</f>
        <v>372.3473063188369</v>
      </c>
      <c r="V32" s="4">
        <f>$V$8*'[2]Eurostat POM Portables GU'!V23</f>
        <v>432.06193593531992</v>
      </c>
      <c r="W32" s="4">
        <f>$W$8*'[2]Eurostat POM Portables GU'!W23</f>
        <v>371.82367253713443</v>
      </c>
      <c r="X32" s="67">
        <f>'[3]POM Portables NiMH'!AD32</f>
        <v>364.38719908639172</v>
      </c>
      <c r="Y32" s="67">
        <f>'[3]POM Portables NiMH'!AE32</f>
        <v>357.09945510466389</v>
      </c>
      <c r="Z32" s="67">
        <f>'[3]POM Portables NiMH'!AF32</f>
        <v>349.95746600257058</v>
      </c>
      <c r="AA32" s="67">
        <f>'[3]POM Portables NiMH'!AG32</f>
        <v>342.95831668251918</v>
      </c>
      <c r="AB32" s="67">
        <f>'[3]POM Portables NiMH'!AH32</f>
        <v>336.09915034886882</v>
      </c>
      <c r="AC32" s="67">
        <f>'[3]POM Portables NiMH'!AI32</f>
        <v>329.37716734189144</v>
      </c>
      <c r="AD32" s="67">
        <f>'[3]POM Portables NiMH'!AJ32</f>
        <v>322.7896239950536</v>
      </c>
      <c r="AE32" s="67">
        <f>'[3]POM Portables NiMH'!AK32</f>
        <v>316.33383151515255</v>
      </c>
      <c r="AF32" s="67">
        <f>'[3]POM Portables NiMH'!AL32</f>
        <v>310.00715488484951</v>
      </c>
      <c r="AG32" s="67">
        <f>'[3]POM Portables NiMH'!AM32</f>
        <v>303.80701178715253</v>
      </c>
      <c r="AH32" s="67">
        <f>'[3]POM Portables NiMH'!AN32</f>
        <v>297.73087155140951</v>
      </c>
      <c r="AI32" s="67">
        <f>'[3]POM Portables NiMH'!AO32</f>
        <v>291.77625412038134</v>
      </c>
      <c r="AJ32" s="67">
        <f>'[3]POM Portables NiMH'!AP32</f>
        <v>285.94072903797371</v>
      </c>
      <c r="AK32" s="67">
        <f>'[3]POM Portables NiMH'!AQ32</f>
        <v>280.22191445721421</v>
      </c>
      <c r="AL32" s="67">
        <f>'[3]POM Portables NiMH'!AR32</f>
        <v>274.61747616806991</v>
      </c>
      <c r="AM32" s="67">
        <f>'[3]POM Portables NiMH'!AS32</f>
        <v>269.12512664470853</v>
      </c>
      <c r="AN32" s="67">
        <f>'[3]POM Portables NiMH'!AT32</f>
        <v>263.74262411181434</v>
      </c>
      <c r="AO32" s="67">
        <f>'[3]POM Portables NiMH'!AU32</f>
        <v>258.46777162957807</v>
      </c>
      <c r="AP32" s="67">
        <f>'[3]POM Portables NiMH'!AV32</f>
        <v>255.88309391328229</v>
      </c>
      <c r="AQ32" s="67">
        <f>'[3]POM Portables NiMH'!AW32</f>
        <v>253.32426297414946</v>
      </c>
      <c r="AR32" s="67">
        <f>'[3]POM Portables NiMH'!AX32</f>
        <v>250.79102034440797</v>
      </c>
      <c r="AS32" s="67">
        <f>'[3]POM Portables NiMH'!AY32</f>
        <v>248.28311014096388</v>
      </c>
      <c r="AT32" s="67">
        <f>'[3]POM Portables NiMH'!AZ32</f>
        <v>245.80027903955425</v>
      </c>
      <c r="AU32" s="67">
        <f>'[3]POM Portables NiMH'!BA32</f>
        <v>243.34227624915872</v>
      </c>
      <c r="AV32" s="67">
        <f>'[3]POM Portables NiMH'!BB32</f>
        <v>240.90885348666714</v>
      </c>
      <c r="AW32" s="67">
        <f>'[3]POM Portables NiMH'!BC32</f>
        <v>238.49976495180047</v>
      </c>
      <c r="AX32" s="67">
        <f>'[3]POM Portables NiMH'!BD32</f>
        <v>236.11476730228247</v>
      </c>
      <c r="AY32" s="67">
        <f>'[3]POM Portables NiMH'!BE32</f>
        <v>233.75361962925965</v>
      </c>
      <c r="AZ32" s="67">
        <f>'[3]POM Portables NiMH'!BF32</f>
        <v>231.41608343296704</v>
      </c>
    </row>
    <row r="33" spans="1:52" x14ac:dyDescent="0.35">
      <c r="A33" s="61" t="s">
        <v>21</v>
      </c>
      <c r="B33" s="23">
        <f t="shared" si="9"/>
        <v>61.900040438398165</v>
      </c>
      <c r="C33" s="23">
        <f t="shared" si="9"/>
        <v>70.566046099773899</v>
      </c>
      <c r="D33" s="23">
        <f t="shared" si="9"/>
        <v>80.445292553742235</v>
      </c>
      <c r="E33" s="23">
        <f t="shared" si="1"/>
        <v>91.707633511266138</v>
      </c>
      <c r="F33" s="23">
        <f t="shared" si="2"/>
        <v>97.210091521942118</v>
      </c>
      <c r="G33" s="23">
        <f t="shared" si="3"/>
        <v>120.54051348720823</v>
      </c>
      <c r="H33" s="23">
        <f t="shared" si="4"/>
        <v>137.41618537541737</v>
      </c>
      <c r="I33" s="23">
        <f t="shared" si="5"/>
        <v>108.55878644657973</v>
      </c>
      <c r="J33" s="23">
        <f t="shared" si="6"/>
        <v>125.92819227803248</v>
      </c>
      <c r="K33" s="23">
        <f t="shared" si="7"/>
        <v>108.29824535910794</v>
      </c>
      <c r="L33" s="23">
        <f t="shared" si="8"/>
        <v>136.455789152476</v>
      </c>
      <c r="M33" s="4">
        <f>$M$8*'[2]Eurostat POM Portables GU'!M24</f>
        <v>173.29885222364453</v>
      </c>
      <c r="N33" s="4">
        <f>$N$8*'[2]Eurostat POM Portables GU'!N24</f>
        <v>147.59417085664097</v>
      </c>
      <c r="O33" s="4">
        <f>$O$8*'[2]Eurostat POM Portables GU'!O24</f>
        <v>176.75910130910748</v>
      </c>
      <c r="P33" s="4">
        <f>$P$8*'[2]Eurostat POM Portables GU'!P24</f>
        <v>175.07516012108493</v>
      </c>
      <c r="Q33" s="4">
        <f>$Q$8*'[2]Eurostat POM Portables GU'!Q24</f>
        <v>103.60555211949691</v>
      </c>
      <c r="R33" s="4">
        <f>$R$8*'[2]Eurostat POM Portables GU'!R24</f>
        <v>106.8521985846012</v>
      </c>
      <c r="S33" s="4">
        <f>$S$8*'[2]Eurostat POM Portables GU'!S24</f>
        <v>173.1299124214766</v>
      </c>
      <c r="T33" s="4">
        <f>$T$8*'[2]Eurostat POM Portables GU'!T24</f>
        <v>142.65512935428518</v>
      </c>
      <c r="U33" s="4">
        <f>$U$8*'[2]Eurostat POM Portables GU'!U24</f>
        <v>185.62108295597724</v>
      </c>
      <c r="V33" s="4">
        <f>$V$8*'[2]Eurostat POM Portables GU'!V24</f>
        <v>139.89443398603655</v>
      </c>
      <c r="W33" s="4">
        <f>$W$8*'[2]Eurostat POM Portables GU'!W24</f>
        <v>110.56672260602178</v>
      </c>
      <c r="X33" s="67">
        <f>'[3]POM Portables NiMH'!AD33</f>
        <v>108.35538815390134</v>
      </c>
      <c r="Y33" s="67">
        <f>'[3]POM Portables NiMH'!AE33</f>
        <v>106.18828039082332</v>
      </c>
      <c r="Z33" s="67">
        <f>'[3]POM Portables NiMH'!AF33</f>
        <v>104.06451478300686</v>
      </c>
      <c r="AA33" s="67">
        <f>'[3]POM Portables NiMH'!AG33</f>
        <v>101.98322448734672</v>
      </c>
      <c r="AB33" s="67">
        <f>'[3]POM Portables NiMH'!AH33</f>
        <v>99.943559997599777</v>
      </c>
      <c r="AC33" s="67">
        <f>'[3]POM Portables NiMH'!AI33</f>
        <v>97.944688797647785</v>
      </c>
      <c r="AD33" s="67">
        <f>'[3]POM Portables NiMH'!AJ33</f>
        <v>95.985795021694827</v>
      </c>
      <c r="AE33" s="67">
        <f>'[3]POM Portables NiMH'!AK33</f>
        <v>94.066079121260927</v>
      </c>
      <c r="AF33" s="67">
        <f>'[3]POM Portables NiMH'!AL33</f>
        <v>92.184757538835711</v>
      </c>
      <c r="AG33" s="67">
        <f>'[3]POM Portables NiMH'!AM33</f>
        <v>90.341062388059001</v>
      </c>
      <c r="AH33" s="67">
        <f>'[3]POM Portables NiMH'!AN33</f>
        <v>88.534241140297823</v>
      </c>
      <c r="AI33" s="67">
        <f>'[3]POM Portables NiMH'!AO33</f>
        <v>86.763556317491862</v>
      </c>
      <c r="AJ33" s="67">
        <f>'[3]POM Portables NiMH'!AP33</f>
        <v>85.028285191142018</v>
      </c>
      <c r="AK33" s="67">
        <f>'[3]POM Portables NiMH'!AQ33</f>
        <v>83.327719487319172</v>
      </c>
      <c r="AL33" s="67">
        <f>'[3]POM Portables NiMH'!AR33</f>
        <v>81.661165097572791</v>
      </c>
      <c r="AM33" s="67">
        <f>'[3]POM Portables NiMH'!AS33</f>
        <v>80.027941795621331</v>
      </c>
      <c r="AN33" s="67">
        <f>'[3]POM Portables NiMH'!AT33</f>
        <v>78.427382959708908</v>
      </c>
      <c r="AO33" s="67">
        <f>'[3]POM Portables NiMH'!AU33</f>
        <v>76.858835300514727</v>
      </c>
      <c r="AP33" s="67">
        <f>'[3]POM Portables NiMH'!AV33</f>
        <v>76.090246947509584</v>
      </c>
      <c r="AQ33" s="67">
        <f>'[3]POM Portables NiMH'!AW33</f>
        <v>75.329344478034486</v>
      </c>
      <c r="AR33" s="67">
        <f>'[3]POM Portables NiMH'!AX33</f>
        <v>74.576051033254146</v>
      </c>
      <c r="AS33" s="67">
        <f>'[3]POM Portables NiMH'!AY33</f>
        <v>73.830290522921601</v>
      </c>
      <c r="AT33" s="67">
        <f>'[3]POM Portables NiMH'!AZ33</f>
        <v>73.091987617692382</v>
      </c>
      <c r="AU33" s="67">
        <f>'[3]POM Portables NiMH'!BA33</f>
        <v>72.361067741515456</v>
      </c>
      <c r="AV33" s="67">
        <f>'[3]POM Portables NiMH'!BB33</f>
        <v>71.637457064100303</v>
      </c>
      <c r="AW33" s="67">
        <f>'[3]POM Portables NiMH'!BC33</f>
        <v>70.921082493459295</v>
      </c>
      <c r="AX33" s="67">
        <f>'[3]POM Portables NiMH'!BD33</f>
        <v>70.211871668524708</v>
      </c>
      <c r="AY33" s="67">
        <f>'[3]POM Portables NiMH'!BE33</f>
        <v>69.509752951839459</v>
      </c>
      <c r="AZ33" s="67">
        <f>'[3]POM Portables NiMH'!BF33</f>
        <v>68.814655422321067</v>
      </c>
    </row>
    <row r="34" spans="1:52" x14ac:dyDescent="0.35">
      <c r="A34" s="61" t="s">
        <v>22</v>
      </c>
      <c r="B34" s="23">
        <f t="shared" si="9"/>
        <v>224.98222478828004</v>
      </c>
      <c r="C34" s="23">
        <f t="shared" si="9"/>
        <v>256.47973625863921</v>
      </c>
      <c r="D34" s="23">
        <f t="shared" si="9"/>
        <v>292.38689933484869</v>
      </c>
      <c r="E34" s="23">
        <f t="shared" si="1"/>
        <v>333.32106524172747</v>
      </c>
      <c r="F34" s="23">
        <f t="shared" si="2"/>
        <v>353.32032915623114</v>
      </c>
      <c r="G34" s="23">
        <f t="shared" si="3"/>
        <v>438.11720815372661</v>
      </c>
      <c r="H34" s="23">
        <f t="shared" si="4"/>
        <v>499.45361729524831</v>
      </c>
      <c r="I34" s="23">
        <f t="shared" si="5"/>
        <v>394.56835766324616</v>
      </c>
      <c r="J34" s="23">
        <f t="shared" si="6"/>
        <v>457.69929488936555</v>
      </c>
      <c r="K34" s="23">
        <f t="shared" si="7"/>
        <v>393.62139360485435</v>
      </c>
      <c r="L34" s="23">
        <f t="shared" si="8"/>
        <v>495.96295594211648</v>
      </c>
      <c r="M34" s="4">
        <f>$M$8*'[2]Eurostat POM Portables GU'!M25</f>
        <v>629.87295404648796</v>
      </c>
      <c r="N34" s="4">
        <f>$N$8*'[2]Eurostat POM Portables GU'!N25</f>
        <v>582.40901597525601</v>
      </c>
      <c r="O34" s="4">
        <f>$O$8*'[2]Eurostat POM Portables GU'!O25</f>
        <v>681.1544704569917</v>
      </c>
      <c r="P34" s="4">
        <f>$P$8*'[2]Eurostat POM Portables GU'!P25</f>
        <v>665.34989347398493</v>
      </c>
      <c r="Q34" s="4">
        <f>$Q$8*'[2]Eurostat POM Portables GU'!Q25</f>
        <v>648.73420523068194</v>
      </c>
      <c r="R34" s="4">
        <f>$R$8*'[2]Eurostat POM Portables GU'!R25</f>
        <v>613.94494191232968</v>
      </c>
      <c r="S34" s="4">
        <f>$S$8*'[2]Eurostat POM Portables GU'!S25</f>
        <v>645.85779499048203</v>
      </c>
      <c r="T34" s="4">
        <f>$T$8*'[2]Eurostat POM Portables GU'!T25</f>
        <v>609.45999850334908</v>
      </c>
      <c r="U34" s="4">
        <f>$U$8*'[2]Eurostat POM Portables GU'!U25</f>
        <v>824.60476513532376</v>
      </c>
      <c r="V34" s="4">
        <f>$V$8*'[2]Eurostat POM Portables GU'!V25</f>
        <v>775.92610478301674</v>
      </c>
      <c r="W34" s="4">
        <f>$W$8*'[2]Eurostat POM Portables GU'!W25</f>
        <v>652.93878171250151</v>
      </c>
      <c r="X34" s="67">
        <f>'[3]POM Portables NiMH'!AD34</f>
        <v>639.88000607825143</v>
      </c>
      <c r="Y34" s="67">
        <f>'[3]POM Portables NiMH'!AE34</f>
        <v>627.08240595668644</v>
      </c>
      <c r="Z34" s="67">
        <f>'[3]POM Portables NiMH'!AF34</f>
        <v>614.54075783755275</v>
      </c>
      <c r="AA34" s="67">
        <f>'[3]POM Portables NiMH'!AG34</f>
        <v>602.24994268080172</v>
      </c>
      <c r="AB34" s="67">
        <f>'[3]POM Portables NiMH'!AH34</f>
        <v>590.20494382718573</v>
      </c>
      <c r="AC34" s="67">
        <f>'[3]POM Portables NiMH'!AI34</f>
        <v>578.40084495064207</v>
      </c>
      <c r="AD34" s="67">
        <f>'[3]POM Portables NiMH'!AJ34</f>
        <v>566.83282805162924</v>
      </c>
      <c r="AE34" s="67">
        <f>'[3]POM Portables NiMH'!AK34</f>
        <v>555.49617149059668</v>
      </c>
      <c r="AF34" s="67">
        <f>'[3]POM Portables NiMH'!AL34</f>
        <v>544.38624806078474</v>
      </c>
      <c r="AG34" s="67">
        <f>'[3]POM Portables NiMH'!AM34</f>
        <v>533.49852309956907</v>
      </c>
      <c r="AH34" s="67">
        <f>'[3]POM Portables NiMH'!AN34</f>
        <v>522.82855263757767</v>
      </c>
      <c r="AI34" s="67">
        <f>'[3]POM Portables NiMH'!AO34</f>
        <v>512.37198158482613</v>
      </c>
      <c r="AJ34" s="67">
        <f>'[3]POM Portables NiMH'!AP34</f>
        <v>502.12454195312961</v>
      </c>
      <c r="AK34" s="67">
        <f>'[3]POM Portables NiMH'!AQ34</f>
        <v>492.08205111406704</v>
      </c>
      <c r="AL34" s="67">
        <f>'[3]POM Portables NiMH'!AR34</f>
        <v>482.24041009178569</v>
      </c>
      <c r="AM34" s="67">
        <f>'[3]POM Portables NiMH'!AS34</f>
        <v>472.59560188994999</v>
      </c>
      <c r="AN34" s="67">
        <f>'[3]POM Portables NiMH'!AT34</f>
        <v>463.143689852151</v>
      </c>
      <c r="AO34" s="67">
        <f>'[3]POM Portables NiMH'!AU34</f>
        <v>453.88081605510797</v>
      </c>
      <c r="AP34" s="67">
        <f>'[3]POM Portables NiMH'!AV34</f>
        <v>449.3420078945569</v>
      </c>
      <c r="AQ34" s="67">
        <f>'[3]POM Portables NiMH'!AW34</f>
        <v>444.84858781561132</v>
      </c>
      <c r="AR34" s="67">
        <f>'[3]POM Portables NiMH'!AX34</f>
        <v>440.40010193745519</v>
      </c>
      <c r="AS34" s="67">
        <f>'[3]POM Portables NiMH'!AY34</f>
        <v>435.99610091808063</v>
      </c>
      <c r="AT34" s="67">
        <f>'[3]POM Portables NiMH'!AZ34</f>
        <v>431.63613990889985</v>
      </c>
      <c r="AU34" s="67">
        <f>'[3]POM Portables NiMH'!BA34</f>
        <v>427.31977850981087</v>
      </c>
      <c r="AV34" s="67">
        <f>'[3]POM Portables NiMH'!BB34</f>
        <v>423.04658072471278</v>
      </c>
      <c r="AW34" s="67">
        <f>'[3]POM Portables NiMH'!BC34</f>
        <v>418.81611491746565</v>
      </c>
      <c r="AX34" s="67">
        <f>'[3]POM Portables NiMH'!BD34</f>
        <v>414.62795376829098</v>
      </c>
      <c r="AY34" s="67">
        <f>'[3]POM Portables NiMH'!BE34</f>
        <v>410.48167423060806</v>
      </c>
      <c r="AZ34" s="67">
        <f>'[3]POM Portables NiMH'!BF34</f>
        <v>406.37685748830199</v>
      </c>
    </row>
    <row r="35" spans="1:52" x14ac:dyDescent="0.35">
      <c r="A35" s="61" t="s">
        <v>23</v>
      </c>
      <c r="B35" s="23">
        <f t="shared" si="9"/>
        <v>38.254629139835572</v>
      </c>
      <c r="C35" s="23">
        <f t="shared" si="9"/>
        <v>43.610277219412545</v>
      </c>
      <c r="D35" s="23">
        <f t="shared" si="9"/>
        <v>49.715716030130295</v>
      </c>
      <c r="E35" s="23">
        <f t="shared" si="1"/>
        <v>56.675916274348531</v>
      </c>
      <c r="F35" s="23">
        <f t="shared" si="2"/>
        <v>60.076471250809448</v>
      </c>
      <c r="G35" s="23">
        <f t="shared" si="3"/>
        <v>74.494824351003714</v>
      </c>
      <c r="H35" s="23">
        <f t="shared" si="4"/>
        <v>84.92409976014423</v>
      </c>
      <c r="I35" s="23">
        <f t="shared" si="5"/>
        <v>67.090038810513946</v>
      </c>
      <c r="J35" s="23">
        <f t="shared" si="6"/>
        <v>77.82444502019618</v>
      </c>
      <c r="K35" s="23">
        <f t="shared" si="7"/>
        <v>66.92902271736871</v>
      </c>
      <c r="L35" s="23">
        <f t="shared" si="8"/>
        <v>84.330568623884574</v>
      </c>
      <c r="M35" s="4">
        <f>$M$8*'[2]Eurostat POM Portables GU'!M26</f>
        <v>107.09982215233342</v>
      </c>
      <c r="N35" s="4">
        <f>$N$8*'[2]Eurostat POM Portables GU'!N26</f>
        <v>95.082846398066209</v>
      </c>
      <c r="O35" s="4">
        <f>$O$8*'[2]Eurostat POM Portables GU'!O26</f>
        <v>104.42151247298686</v>
      </c>
      <c r="P35" s="4">
        <f>$P$8*'[2]Eurostat POM Portables GU'!P26</f>
        <v>102.63046072740509</v>
      </c>
      <c r="Q35" s="4">
        <f>$Q$8*'[2]Eurostat POM Portables GU'!Q26</f>
        <v>81.566304900184079</v>
      </c>
      <c r="R35" s="4">
        <f>$R$8*'[2]Eurostat POM Portables GU'!R26</f>
        <v>85.194264162969034</v>
      </c>
      <c r="S35" s="4">
        <f>$S$8*'[2]Eurostat POM Portables GU'!S26</f>
        <v>107.80331584788249</v>
      </c>
      <c r="T35" s="4">
        <f>$T$8*'[2]Eurostat POM Portables GU'!T26</f>
        <v>112.22325358556196</v>
      </c>
      <c r="U35" s="4">
        <f>$U$8*'[2]Eurostat POM Portables GU'!U26</f>
        <v>109.91896508453335</v>
      </c>
      <c r="V35" s="4">
        <f>$V$8*'[2]Eurostat POM Portables GU'!V26</f>
        <v>96.489864847997978</v>
      </c>
      <c r="W35" s="4">
        <f>$W$8*'[2]Eurostat POM Portables GU'!W26</f>
        <v>89.894190900646606</v>
      </c>
      <c r="X35" s="67">
        <f>'[3]POM Portables NiMH'!AD35</f>
        <v>88.096307082633672</v>
      </c>
      <c r="Y35" s="67">
        <f>'[3]POM Portables NiMH'!AE35</f>
        <v>86.334380940980992</v>
      </c>
      <c r="Z35" s="67">
        <f>'[3]POM Portables NiMH'!AF35</f>
        <v>84.607693322161367</v>
      </c>
      <c r="AA35" s="67">
        <f>'[3]POM Portables NiMH'!AG35</f>
        <v>82.915539455718147</v>
      </c>
      <c r="AB35" s="67">
        <f>'[3]POM Portables NiMH'!AH35</f>
        <v>81.25722866660378</v>
      </c>
      <c r="AC35" s="67">
        <f>'[3]POM Portables NiMH'!AI35</f>
        <v>79.6320840932717</v>
      </c>
      <c r="AD35" s="67">
        <f>'[3]POM Portables NiMH'!AJ35</f>
        <v>78.03944241140627</v>
      </c>
      <c r="AE35" s="67">
        <f>'[3]POM Portables NiMH'!AK35</f>
        <v>76.478653563178142</v>
      </c>
      <c r="AF35" s="67">
        <f>'[3]POM Portables NiMH'!AL35</f>
        <v>74.949080491914586</v>
      </c>
      <c r="AG35" s="67">
        <f>'[3]POM Portables NiMH'!AM35</f>
        <v>73.45009888207629</v>
      </c>
      <c r="AH35" s="67">
        <f>'[3]POM Portables NiMH'!AN35</f>
        <v>71.981096904434764</v>
      </c>
      <c r="AI35" s="67">
        <f>'[3]POM Portables NiMH'!AO35</f>
        <v>70.541474966346073</v>
      </c>
      <c r="AJ35" s="67">
        <f>'[3]POM Portables NiMH'!AP35</f>
        <v>69.13064546701915</v>
      </c>
      <c r="AK35" s="67">
        <f>'[3]POM Portables NiMH'!AQ35</f>
        <v>67.748032557678769</v>
      </c>
      <c r="AL35" s="67">
        <f>'[3]POM Portables NiMH'!AR35</f>
        <v>66.393071906525194</v>
      </c>
      <c r="AM35" s="67">
        <f>'[3]POM Portables NiMH'!AS35</f>
        <v>65.065210468394696</v>
      </c>
      <c r="AN35" s="67">
        <f>'[3]POM Portables NiMH'!AT35</f>
        <v>63.763906259026804</v>
      </c>
      <c r="AO35" s="67">
        <f>'[3]POM Portables NiMH'!AU35</f>
        <v>62.488628133846269</v>
      </c>
      <c r="AP35" s="67">
        <f>'[3]POM Portables NiMH'!AV35</f>
        <v>61.863741852507808</v>
      </c>
      <c r="AQ35" s="67">
        <f>'[3]POM Portables NiMH'!AW35</f>
        <v>61.245104433982732</v>
      </c>
      <c r="AR35" s="67">
        <f>'[3]POM Portables NiMH'!AX35</f>
        <v>60.632653389642904</v>
      </c>
      <c r="AS35" s="67">
        <f>'[3]POM Portables NiMH'!AY35</f>
        <v>60.026326855746476</v>
      </c>
      <c r="AT35" s="67">
        <f>'[3]POM Portables NiMH'!AZ35</f>
        <v>59.426063587189013</v>
      </c>
      <c r="AU35" s="67">
        <f>'[3]POM Portables NiMH'!BA35</f>
        <v>58.831802951317123</v>
      </c>
      <c r="AV35" s="67">
        <f>'[3]POM Portables NiMH'!BB35</f>
        <v>58.243484921803955</v>
      </c>
      <c r="AW35" s="67">
        <f>'[3]POM Portables NiMH'!BC35</f>
        <v>57.661050072585915</v>
      </c>
      <c r="AX35" s="67">
        <f>'[3]POM Portables NiMH'!BD35</f>
        <v>57.084439571860059</v>
      </c>
      <c r="AY35" s="67">
        <f>'[3]POM Portables NiMH'!BE35</f>
        <v>56.513595176141457</v>
      </c>
      <c r="AZ35" s="67">
        <f>'[3]POM Portables NiMH'!BF35</f>
        <v>55.948459224380045</v>
      </c>
    </row>
    <row r="36" spans="1:52" x14ac:dyDescent="0.35">
      <c r="A36" s="61" t="s">
        <v>24</v>
      </c>
      <c r="B36" s="23">
        <f t="shared" si="9"/>
        <v>60.676567387614121</v>
      </c>
      <c r="C36" s="23">
        <f t="shared" si="9"/>
        <v>69.171286821880088</v>
      </c>
      <c r="D36" s="23">
        <f t="shared" si="9"/>
        <v>78.855266976943298</v>
      </c>
      <c r="E36" s="23">
        <f t="shared" si="1"/>
        <v>89.89500435371535</v>
      </c>
      <c r="F36" s="23">
        <f t="shared" si="2"/>
        <v>95.288704614938283</v>
      </c>
      <c r="G36" s="23">
        <f t="shared" si="3"/>
        <v>118.15799372252347</v>
      </c>
      <c r="H36" s="23">
        <f t="shared" si="4"/>
        <v>134.70011284367675</v>
      </c>
      <c r="I36" s="23">
        <f t="shared" si="5"/>
        <v>106.41308914650465</v>
      </c>
      <c r="J36" s="23">
        <f t="shared" si="6"/>
        <v>123.43918340994539</v>
      </c>
      <c r="K36" s="23">
        <f t="shared" si="7"/>
        <v>106.15769773255303</v>
      </c>
      <c r="L36" s="23">
        <f t="shared" si="8"/>
        <v>133.75869914301683</v>
      </c>
      <c r="M36" s="4">
        <f>$M$8*'[2]Eurostat POM Portables GU'!M27</f>
        <v>169.87354791163136</v>
      </c>
      <c r="N36" s="4">
        <f>$N$8*'[2]Eurostat POM Portables GU'!N27</f>
        <v>150.53726236486202</v>
      </c>
      <c r="O36" s="4">
        <f>$O$8*'[2]Eurostat POM Portables GU'!O27</f>
        <v>105.0395343735613</v>
      </c>
      <c r="P36" s="4">
        <f>$P$8*'[2]Eurostat POM Portables GU'!P27</f>
        <v>97.950060595331124</v>
      </c>
      <c r="Q36" s="4">
        <f>$Q$8*'[2]Eurostat POM Portables GU'!Q27</f>
        <v>139.5115984265592</v>
      </c>
      <c r="R36" s="4">
        <f>$R$8*'[2]Eurostat POM Portables GU'!R27</f>
        <v>112.12293483765328</v>
      </c>
      <c r="S36" s="4">
        <f>$S$8*'[2]Eurostat POM Portables GU'!S27</f>
        <v>174.38064254733334</v>
      </c>
      <c r="T36" s="4">
        <f>$T$8*'[2]Eurostat POM Portables GU'!T27</f>
        <v>128.03320706300676</v>
      </c>
      <c r="U36" s="4">
        <f>$U$8*'[2]Eurostat POM Portables GU'!U27</f>
        <v>181.75309153188888</v>
      </c>
      <c r="V36" s="4">
        <f>$V$8*'[2]Eurostat POM Portables GU'!V27</f>
        <v>196.94724058612746</v>
      </c>
      <c r="W36" s="4">
        <f>$W$8*'[2]Eurostat POM Portables GU'!W27</f>
        <v>215.30754991325603</v>
      </c>
      <c r="X36" s="67">
        <f>'[3]POM Portables NiMH'!AD36</f>
        <v>211.00139891499092</v>
      </c>
      <c r="Y36" s="67">
        <f>'[3]POM Portables NiMH'!AE36</f>
        <v>206.7813709366911</v>
      </c>
      <c r="Z36" s="67">
        <f>'[3]POM Portables NiMH'!AF36</f>
        <v>202.64574351795727</v>
      </c>
      <c r="AA36" s="67">
        <f>'[3]POM Portables NiMH'!AG36</f>
        <v>198.59282864759814</v>
      </c>
      <c r="AB36" s="67">
        <f>'[3]POM Portables NiMH'!AH36</f>
        <v>194.62097207464618</v>
      </c>
      <c r="AC36" s="67">
        <f>'[3]POM Portables NiMH'!AI36</f>
        <v>190.72855263315324</v>
      </c>
      <c r="AD36" s="67">
        <f>'[3]POM Portables NiMH'!AJ36</f>
        <v>186.91398158049017</v>
      </c>
      <c r="AE36" s="67">
        <f>'[3]POM Portables NiMH'!AK36</f>
        <v>183.17570194888037</v>
      </c>
      <c r="AF36" s="67">
        <f>'[3]POM Portables NiMH'!AL36</f>
        <v>179.51218790990276</v>
      </c>
      <c r="AG36" s="67">
        <f>'[3]POM Portables NiMH'!AM36</f>
        <v>175.92194415170471</v>
      </c>
      <c r="AH36" s="67">
        <f>'[3]POM Portables NiMH'!AN36</f>
        <v>172.40350526867061</v>
      </c>
      <c r="AI36" s="67">
        <f>'[3]POM Portables NiMH'!AO36</f>
        <v>168.95543516329721</v>
      </c>
      <c r="AJ36" s="67">
        <f>'[3]POM Portables NiMH'!AP36</f>
        <v>165.57632646003125</v>
      </c>
      <c r="AK36" s="67">
        <f>'[3]POM Portables NiMH'!AQ36</f>
        <v>162.26479993083063</v>
      </c>
      <c r="AL36" s="67">
        <f>'[3]POM Portables NiMH'!AR36</f>
        <v>159.01950393221401</v>
      </c>
      <c r="AM36" s="67">
        <f>'[3]POM Portables NiMH'!AS36</f>
        <v>155.83911385356973</v>
      </c>
      <c r="AN36" s="67">
        <f>'[3]POM Portables NiMH'!AT36</f>
        <v>152.72233157649833</v>
      </c>
      <c r="AO36" s="67">
        <f>'[3]POM Portables NiMH'!AU36</f>
        <v>149.66788494496836</v>
      </c>
      <c r="AP36" s="67">
        <f>'[3]POM Portables NiMH'!AV36</f>
        <v>148.17120609551867</v>
      </c>
      <c r="AQ36" s="67">
        <f>'[3]POM Portables NiMH'!AW36</f>
        <v>146.6894940345635</v>
      </c>
      <c r="AR36" s="67">
        <f>'[3]POM Portables NiMH'!AX36</f>
        <v>145.22259909421786</v>
      </c>
      <c r="AS36" s="67">
        <f>'[3]POM Portables NiMH'!AY36</f>
        <v>143.77037310327569</v>
      </c>
      <c r="AT36" s="67">
        <f>'[3]POM Portables NiMH'!AZ36</f>
        <v>142.33266937224292</v>
      </c>
      <c r="AU36" s="67">
        <f>'[3]POM Portables NiMH'!BA36</f>
        <v>140.90934267852049</v>
      </c>
      <c r="AV36" s="67">
        <f>'[3]POM Portables NiMH'!BB36</f>
        <v>139.50024925173528</v>
      </c>
      <c r="AW36" s="67">
        <f>'[3]POM Portables NiMH'!BC36</f>
        <v>138.10524675921792</v>
      </c>
      <c r="AX36" s="67">
        <f>'[3]POM Portables NiMH'!BD36</f>
        <v>136.72419429162574</v>
      </c>
      <c r="AY36" s="67">
        <f>'[3]POM Portables NiMH'!BE36</f>
        <v>135.35695234870948</v>
      </c>
      <c r="AZ36" s="67">
        <f>'[3]POM Portables NiMH'!BF36</f>
        <v>134.00338282522239</v>
      </c>
    </row>
    <row r="37" spans="1:52" x14ac:dyDescent="0.35">
      <c r="A37" s="61" t="s">
        <v>25</v>
      </c>
      <c r="B37" s="23">
        <f t="shared" si="9"/>
        <v>22.052668562964037</v>
      </c>
      <c r="C37" s="23">
        <f t="shared" si="9"/>
        <v>25.140042161779</v>
      </c>
      <c r="D37" s="23">
        <f t="shared" si="9"/>
        <v>28.659648064428058</v>
      </c>
      <c r="E37" s="23">
        <f t="shared" si="1"/>
        <v>32.671998793447983</v>
      </c>
      <c r="F37" s="23">
        <f t="shared" si="2"/>
        <v>34.632318721054865</v>
      </c>
      <c r="G37" s="23">
        <f t="shared" si="3"/>
        <v>42.944075214108032</v>
      </c>
      <c r="H37" s="23">
        <f t="shared" si="4"/>
        <v>48.956245744083155</v>
      </c>
      <c r="I37" s="23">
        <f t="shared" si="5"/>
        <v>38.675434137825697</v>
      </c>
      <c r="J37" s="23">
        <f t="shared" si="6"/>
        <v>44.863503599877802</v>
      </c>
      <c r="K37" s="23">
        <f t="shared" si="7"/>
        <v>38.582613095894907</v>
      </c>
      <c r="L37" s="23">
        <f t="shared" si="8"/>
        <v>48.614092500827581</v>
      </c>
      <c r="M37" s="4">
        <f>$M$8*'[2]Eurostat POM Portables GU'!M28</f>
        <v>61.739897476051027</v>
      </c>
      <c r="N37" s="4">
        <f>$N$8*'[2]Eurostat POM Portables GU'!N28</f>
        <v>54.949430698674973</v>
      </c>
      <c r="O37" s="4">
        <f>$O$8*'[2]Eurostat POM Portables GU'!O28</f>
        <v>57.448219720715741</v>
      </c>
      <c r="P37" s="4">
        <f>$P$8*'[2]Eurostat POM Portables GU'!P28</f>
        <v>47.480685677184113</v>
      </c>
      <c r="Q37" s="4">
        <f>$Q$8*'[2]Eurostat POM Portables GU'!Q28</f>
        <v>49.509218035729056</v>
      </c>
      <c r="R37" s="4">
        <f>$R$8*'[2]Eurostat POM Portables GU'!R28</f>
        <v>59.22390917065789</v>
      </c>
      <c r="S37" s="4">
        <f>$S$8*'[2]Eurostat POM Portables GU'!S28</f>
        <v>70.233307067339766</v>
      </c>
      <c r="T37" s="4">
        <f>$T$8*'[2]Eurostat POM Portables GU'!T28</f>
        <v>70.093839983815982</v>
      </c>
      <c r="U37" s="4">
        <f>$U$8*'[2]Eurostat POM Portables GU'!U28</f>
        <v>74.299439662708551</v>
      </c>
      <c r="V37" s="4">
        <f>$V$8*'[2]Eurostat POM Portables GU'!V28</f>
        <v>80.540471069669366</v>
      </c>
      <c r="W37" s="4">
        <f>$W$8*'[2]Eurostat POM Portables GU'!W28</f>
        <v>71.100980259396451</v>
      </c>
      <c r="X37" s="67">
        <f>'[3]POM Portables NiMH'!AD37</f>
        <v>69.678960654208524</v>
      </c>
      <c r="Y37" s="67">
        <f>'[3]POM Portables NiMH'!AE37</f>
        <v>68.285381441124358</v>
      </c>
      <c r="Z37" s="67">
        <f>'[3]POM Portables NiMH'!AF37</f>
        <v>66.919673812301866</v>
      </c>
      <c r="AA37" s="67">
        <f>'[3]POM Portables NiMH'!AG37</f>
        <v>65.581280336055826</v>
      </c>
      <c r="AB37" s="67">
        <f>'[3]POM Portables NiMH'!AH37</f>
        <v>64.269654729334704</v>
      </c>
      <c r="AC37" s="67">
        <f>'[3]POM Portables NiMH'!AI37</f>
        <v>62.984261634748009</v>
      </c>
      <c r="AD37" s="67">
        <f>'[3]POM Portables NiMH'!AJ37</f>
        <v>61.724576402053046</v>
      </c>
      <c r="AE37" s="67">
        <f>'[3]POM Portables NiMH'!AK37</f>
        <v>60.490084874011984</v>
      </c>
      <c r="AF37" s="67">
        <f>'[3]POM Portables NiMH'!AL37</f>
        <v>59.280283176531746</v>
      </c>
      <c r="AG37" s="67">
        <f>'[3]POM Portables NiMH'!AM37</f>
        <v>58.094677513001109</v>
      </c>
      <c r="AH37" s="67">
        <f>'[3]POM Portables NiMH'!AN37</f>
        <v>56.932783962741084</v>
      </c>
      <c r="AI37" s="67">
        <f>'[3]POM Portables NiMH'!AO37</f>
        <v>55.794128283486259</v>
      </c>
      <c r="AJ37" s="67">
        <f>'[3]POM Portables NiMH'!AP37</f>
        <v>54.678245717816537</v>
      </c>
      <c r="AK37" s="67">
        <f>'[3]POM Portables NiMH'!AQ37</f>
        <v>53.584680803460209</v>
      </c>
      <c r="AL37" s="67">
        <f>'[3]POM Portables NiMH'!AR37</f>
        <v>52.512987187391005</v>
      </c>
      <c r="AM37" s="67">
        <f>'[3]POM Portables NiMH'!AS37</f>
        <v>51.462727443643182</v>
      </c>
      <c r="AN37" s="67">
        <f>'[3]POM Portables NiMH'!AT37</f>
        <v>50.433472894770318</v>
      </c>
      <c r="AO37" s="67">
        <f>'[3]POM Portables NiMH'!AU37</f>
        <v>49.42480343687491</v>
      </c>
      <c r="AP37" s="67">
        <f>'[3]POM Portables NiMH'!AV37</f>
        <v>48.930555402506158</v>
      </c>
      <c r="AQ37" s="67">
        <f>'[3]POM Portables NiMH'!AW37</f>
        <v>48.4412498484811</v>
      </c>
      <c r="AR37" s="67">
        <f>'[3]POM Portables NiMH'!AX37</f>
        <v>47.956837349996292</v>
      </c>
      <c r="AS37" s="67">
        <f>'[3]POM Portables NiMH'!AY37</f>
        <v>47.477268976496326</v>
      </c>
      <c r="AT37" s="67">
        <f>'[3]POM Portables NiMH'!AZ37</f>
        <v>47.002496286731365</v>
      </c>
      <c r="AU37" s="67">
        <f>'[3]POM Portables NiMH'!BA37</f>
        <v>46.532471323864051</v>
      </c>
      <c r="AV37" s="67">
        <f>'[3]POM Portables NiMH'!BB37</f>
        <v>46.067146610625407</v>
      </c>
      <c r="AW37" s="67">
        <f>'[3]POM Portables NiMH'!BC37</f>
        <v>45.606475144519152</v>
      </c>
      <c r="AX37" s="67">
        <f>'[3]POM Portables NiMH'!BD37</f>
        <v>45.150410393073962</v>
      </c>
      <c r="AY37" s="67">
        <f>'[3]POM Portables NiMH'!BE37</f>
        <v>44.698906289143224</v>
      </c>
      <c r="AZ37" s="67">
        <f>'[3]POM Portables NiMH'!BF37</f>
        <v>44.251917226251791</v>
      </c>
    </row>
    <row r="38" spans="1:52" x14ac:dyDescent="0.35">
      <c r="A38" s="61" t="s">
        <v>26</v>
      </c>
      <c r="B38" s="23">
        <f t="shared" si="9"/>
        <v>15.076824425699904</v>
      </c>
      <c r="C38" s="23">
        <f t="shared" si="9"/>
        <v>17.18757984529789</v>
      </c>
      <c r="D38" s="23">
        <f t="shared" si="9"/>
        <v>19.593841023639591</v>
      </c>
      <c r="E38" s="23">
        <f t="shared" si="1"/>
        <v>22.33697876694913</v>
      </c>
      <c r="F38" s="23">
        <f t="shared" si="2"/>
        <v>23.67719749296608</v>
      </c>
      <c r="G38" s="23">
        <f t="shared" si="3"/>
        <v>29.359724891277938</v>
      </c>
      <c r="H38" s="23">
        <f t="shared" si="4"/>
        <v>33.470086376056848</v>
      </c>
      <c r="I38" s="23">
        <f t="shared" si="5"/>
        <v>26.441368237084909</v>
      </c>
      <c r="J38" s="23">
        <f t="shared" si="6"/>
        <v>30.671987155018492</v>
      </c>
      <c r="K38" s="23">
        <f t="shared" si="7"/>
        <v>26.377908953315902</v>
      </c>
      <c r="L38" s="23">
        <f t="shared" si="8"/>
        <v>33.236165281178039</v>
      </c>
      <c r="M38" s="4">
        <f>$M$8*'[2]Eurostat POM Portables GU'!M29</f>
        <v>42.209929907096111</v>
      </c>
      <c r="N38" s="4">
        <f>$N$8*'[2]Eurostat POM Portables GU'!N29</f>
        <v>39.67348896444333</v>
      </c>
      <c r="O38" s="4">
        <f>$O$8*'[2]Eurostat POM Portables GU'!O29</f>
        <v>43.539703367279294</v>
      </c>
      <c r="P38" s="4">
        <f>$P$8*'[2]Eurostat POM Portables GU'!P29</f>
        <v>40.544671023628716</v>
      </c>
      <c r="Q38" s="4">
        <f>$Q$8*'[2]Eurostat POM Portables GU'!Q29</f>
        <v>34.956987814364609</v>
      </c>
      <c r="R38" s="4">
        <f>$R$8*'[2]Eurostat POM Portables GU'!R29</f>
        <v>41.782563751467379</v>
      </c>
      <c r="S38" s="4">
        <f>$S$8*'[2]Eurostat POM Portables GU'!S29</f>
        <v>38.002953824108509</v>
      </c>
      <c r="T38" s="4">
        <f>$T$8*'[2]Eurostat POM Portables GU'!T29</f>
        <v>37.605756392881716</v>
      </c>
      <c r="U38" s="4">
        <f>$U$8*'[2]Eurostat POM Portables GU'!U29</f>
        <v>35.406998420501267</v>
      </c>
      <c r="V38" s="4">
        <f>$V$8*'[2]Eurostat POM Portables GU'!V29</f>
        <v>32.771639952486154</v>
      </c>
      <c r="W38" s="4">
        <f>$W$8*'[2]Eurostat POM Portables GU'!W29</f>
        <v>27.688663678108572</v>
      </c>
      <c r="X38" s="67">
        <f>'[3]POM Portables NiMH'!AD38</f>
        <v>27.1348904045464</v>
      </c>
      <c r="Y38" s="67">
        <f>'[3]POM Portables NiMH'!AE38</f>
        <v>26.592192596455472</v>
      </c>
      <c r="Z38" s="67">
        <f>'[3]POM Portables NiMH'!AF38</f>
        <v>26.060348744526362</v>
      </c>
      <c r="AA38" s="67">
        <f>'[3]POM Portables NiMH'!AG38</f>
        <v>25.539141769635833</v>
      </c>
      <c r="AB38" s="67">
        <f>'[3]POM Portables NiMH'!AH38</f>
        <v>25.028358934243116</v>
      </c>
      <c r="AC38" s="67">
        <f>'[3]POM Portables NiMH'!AI38</f>
        <v>24.527791755558255</v>
      </c>
      <c r="AD38" s="67">
        <f>'[3]POM Portables NiMH'!AJ38</f>
        <v>24.037235920447088</v>
      </c>
      <c r="AE38" s="67">
        <f>'[3]POM Portables NiMH'!AK38</f>
        <v>23.556491202038146</v>
      </c>
      <c r="AF38" s="67">
        <f>'[3]POM Portables NiMH'!AL38</f>
        <v>23.085361377997383</v>
      </c>
      <c r="AG38" s="67">
        <f>'[3]POM Portables NiMH'!AM38</f>
        <v>22.623654150437435</v>
      </c>
      <c r="AH38" s="67">
        <f>'[3]POM Portables NiMH'!AN38</f>
        <v>22.171181067428687</v>
      </c>
      <c r="AI38" s="67">
        <f>'[3]POM Portables NiMH'!AO38</f>
        <v>21.727757446080112</v>
      </c>
      <c r="AJ38" s="67">
        <f>'[3]POM Portables NiMH'!AP38</f>
        <v>21.293202297158508</v>
      </c>
      <c r="AK38" s="67">
        <f>'[3]POM Portables NiMH'!AQ38</f>
        <v>20.867338251215337</v>
      </c>
      <c r="AL38" s="67">
        <f>'[3]POM Portables NiMH'!AR38</f>
        <v>20.449991486191031</v>
      </c>
      <c r="AM38" s="67">
        <f>'[3]POM Portables NiMH'!AS38</f>
        <v>20.040991656467209</v>
      </c>
      <c r="AN38" s="67">
        <f>'[3]POM Portables NiMH'!AT38</f>
        <v>19.640171823337866</v>
      </c>
      <c r="AO38" s="67">
        <f>'[3]POM Portables NiMH'!AU38</f>
        <v>19.247368386871109</v>
      </c>
      <c r="AP38" s="67">
        <f>'[3]POM Portables NiMH'!AV38</f>
        <v>19.054894703002397</v>
      </c>
      <c r="AQ38" s="67">
        <f>'[3]POM Portables NiMH'!AW38</f>
        <v>18.864345755972373</v>
      </c>
      <c r="AR38" s="67">
        <f>'[3]POM Portables NiMH'!AX38</f>
        <v>18.675702298412649</v>
      </c>
      <c r="AS38" s="67">
        <f>'[3]POM Portables NiMH'!AY38</f>
        <v>18.488945275428524</v>
      </c>
      <c r="AT38" s="67">
        <f>'[3]POM Portables NiMH'!AZ38</f>
        <v>18.30405582267424</v>
      </c>
      <c r="AU38" s="67">
        <f>'[3]POM Portables NiMH'!BA38</f>
        <v>18.121015264447497</v>
      </c>
      <c r="AV38" s="67">
        <f>'[3]POM Portables NiMH'!BB38</f>
        <v>17.939805111803022</v>
      </c>
      <c r="AW38" s="67">
        <f>'[3]POM Portables NiMH'!BC38</f>
        <v>17.76040706068499</v>
      </c>
      <c r="AX38" s="67">
        <f>'[3]POM Portables NiMH'!BD38</f>
        <v>17.58280299007814</v>
      </c>
      <c r="AY38" s="67">
        <f>'[3]POM Portables NiMH'!BE38</f>
        <v>17.406974960177358</v>
      </c>
      <c r="AZ38" s="67">
        <f>'[3]POM Portables NiMH'!BF38</f>
        <v>17.232905210575584</v>
      </c>
    </row>
    <row r="39" spans="1:52" x14ac:dyDescent="0.35">
      <c r="A39" s="61" t="s">
        <v>27</v>
      </c>
      <c r="B39" s="23">
        <f t="shared" si="9"/>
        <v>248.95284543997727</v>
      </c>
      <c r="C39" s="23">
        <f t="shared" si="9"/>
        <v>283.80624380157406</v>
      </c>
      <c r="D39" s="23">
        <f t="shared" si="9"/>
        <v>323.53911793379439</v>
      </c>
      <c r="E39" s="23">
        <f t="shared" si="1"/>
        <v>368.83459444452558</v>
      </c>
      <c r="F39" s="23">
        <f t="shared" si="2"/>
        <v>390.96467011119711</v>
      </c>
      <c r="G39" s="23">
        <f t="shared" si="3"/>
        <v>484.79619093788443</v>
      </c>
      <c r="H39" s="23">
        <f t="shared" si="4"/>
        <v>552.6676576691882</v>
      </c>
      <c r="I39" s="23">
        <f t="shared" si="5"/>
        <v>436.60744955865874</v>
      </c>
      <c r="J39" s="23">
        <f t="shared" si="6"/>
        <v>506.46464148804409</v>
      </c>
      <c r="K39" s="23">
        <f t="shared" si="7"/>
        <v>435.55959167971793</v>
      </c>
      <c r="L39" s="23">
        <f t="shared" si="8"/>
        <v>548.80508551644459</v>
      </c>
      <c r="M39" s="4">
        <f>$M$8*'[2]Eurostat POM Portables GU'!M30</f>
        <v>696.98245860588463</v>
      </c>
      <c r="N39" s="4">
        <f>N6*'[2]Eurostat POM Portables GU'!N30</f>
        <v>430.71364705868933</v>
      </c>
      <c r="O39" s="4">
        <f>O6*'[2]Eurostat POM Portables GU'!O30</f>
        <v>370.30124050373018</v>
      </c>
      <c r="P39" s="4">
        <f>P6*'[2]Eurostat POM Portables GU'!P30</f>
        <v>399.08715469471503</v>
      </c>
      <c r="Q39" s="4">
        <f>Q6*'[2]Eurostat POM Portables GU'!Q30</f>
        <v>410.90006415653147</v>
      </c>
      <c r="R39" s="4">
        <f>R6*'[2]Eurostat POM Portables GU'!R30</f>
        <v>492.76422427971659</v>
      </c>
      <c r="S39" s="4">
        <f>S6*'[2]Eurostat POM Portables GU'!S30</f>
        <v>542.84453151336845</v>
      </c>
      <c r="T39" s="4">
        <f>T6*'[2]Eurostat POM Portables GU'!T30</f>
        <v>606.48652521800113</v>
      </c>
      <c r="U39" s="4">
        <f>U6*'[2]Eurostat POM Portables GU'!U30</f>
        <v>551.14635238077585</v>
      </c>
      <c r="V39" s="4">
        <f>V6*'[2]Eurostat POM Portables GU'!V30</f>
        <v>522.96732522299089</v>
      </c>
      <c r="W39" s="4">
        <f>W6*'[2]Eurostat POM Portables GU'!W30</f>
        <v>461.2486842421784</v>
      </c>
      <c r="X39" s="67">
        <f>'[3]POM Portables NiMH'!AD39</f>
        <v>452.02371055733482</v>
      </c>
      <c r="Y39" s="67">
        <f>'[3]POM Portables NiMH'!AE39</f>
        <v>442.98323634618811</v>
      </c>
      <c r="Z39" s="67">
        <f>'[3]POM Portables NiMH'!AF39</f>
        <v>434.12357161926434</v>
      </c>
      <c r="AA39" s="67">
        <f>'[3]POM Portables NiMH'!AG39</f>
        <v>425.44110018687905</v>
      </c>
      <c r="AB39" s="67">
        <f>'[3]POM Portables NiMH'!AH39</f>
        <v>416.93227818314148</v>
      </c>
      <c r="AC39" s="67">
        <f>'[3]POM Portables NiMH'!AI39</f>
        <v>408.59363261947863</v>
      </c>
      <c r="AD39" s="67">
        <f>'[3]POM Portables NiMH'!AJ39</f>
        <v>400.42175996708903</v>
      </c>
      <c r="AE39" s="67">
        <f>'[3]POM Portables NiMH'!AK39</f>
        <v>392.41332476774727</v>
      </c>
      <c r="AF39" s="67">
        <f>'[3]POM Portables NiMH'!AL39</f>
        <v>384.56505827239232</v>
      </c>
      <c r="AG39" s="67">
        <f>'[3]POM Portables NiMH'!AM39</f>
        <v>376.87375710694448</v>
      </c>
      <c r="AH39" s="67">
        <f>'[3]POM Portables NiMH'!AN39</f>
        <v>369.33628196480561</v>
      </c>
      <c r="AI39" s="67">
        <f>'[3]POM Portables NiMH'!AO39</f>
        <v>361.94955632550949</v>
      </c>
      <c r="AJ39" s="67">
        <f>'[3]POM Portables NiMH'!AP39</f>
        <v>354.71056519899929</v>
      </c>
      <c r="AK39" s="67">
        <f>'[3]POM Portables NiMH'!AQ39</f>
        <v>347.6163538950193</v>
      </c>
      <c r="AL39" s="67">
        <f>'[3]POM Portables NiMH'!AR39</f>
        <v>340.66402681711889</v>
      </c>
      <c r="AM39" s="67">
        <f>'[3]POM Portables NiMH'!AS39</f>
        <v>333.85074628077649</v>
      </c>
      <c r="AN39" s="67">
        <f>'[3]POM Portables NiMH'!AT39</f>
        <v>327.17373135516095</v>
      </c>
      <c r="AO39" s="67">
        <f>'[3]POM Portables NiMH'!AU39</f>
        <v>320.63025672805776</v>
      </c>
      <c r="AP39" s="67">
        <f>'[3]POM Portables NiMH'!AV39</f>
        <v>317.42395416077716</v>
      </c>
      <c r="AQ39" s="67">
        <f>'[3]POM Portables NiMH'!AW39</f>
        <v>314.24971461916937</v>
      </c>
      <c r="AR39" s="67">
        <f>'[3]POM Portables NiMH'!AX39</f>
        <v>311.10721747297765</v>
      </c>
      <c r="AS39" s="67">
        <f>'[3]POM Portables NiMH'!AY39</f>
        <v>307.99614529824788</v>
      </c>
      <c r="AT39" s="67">
        <f>'[3]POM Portables NiMH'!AZ39</f>
        <v>304.91618384526538</v>
      </c>
      <c r="AU39" s="67">
        <f>'[3]POM Portables NiMH'!BA39</f>
        <v>301.8670220068127</v>
      </c>
      <c r="AV39" s="67">
        <f>'[3]POM Portables NiMH'!BB39</f>
        <v>298.84835178674456</v>
      </c>
      <c r="AW39" s="67">
        <f>'[3]POM Portables NiMH'!BC39</f>
        <v>295.85986826887711</v>
      </c>
      <c r="AX39" s="67">
        <f>'[3]POM Portables NiMH'!BD39</f>
        <v>292.90126958618833</v>
      </c>
      <c r="AY39" s="67">
        <f>'[3]POM Portables NiMH'!BE39</f>
        <v>289.97225689032643</v>
      </c>
      <c r="AZ39" s="67">
        <f>'[3]POM Portables NiMH'!BF39</f>
        <v>287.07253432142318</v>
      </c>
    </row>
    <row r="40" spans="1:52" x14ac:dyDescent="0.35">
      <c r="A40" s="61" t="s">
        <v>28</v>
      </c>
      <c r="B40" s="23">
        <f t="shared" si="9"/>
        <v>128.44554301775381</v>
      </c>
      <c r="C40" s="23">
        <f t="shared" si="9"/>
        <v>146.42791904023932</v>
      </c>
      <c r="D40" s="23">
        <f t="shared" si="9"/>
        <v>166.9278277058728</v>
      </c>
      <c r="E40" s="23">
        <f t="shared" si="1"/>
        <v>190.29772358469498</v>
      </c>
      <c r="F40" s="23">
        <f t="shared" si="2"/>
        <v>201.71558699977669</v>
      </c>
      <c r="G40" s="23">
        <f t="shared" si="3"/>
        <v>250.12732787972308</v>
      </c>
      <c r="H40" s="23">
        <f t="shared" si="4"/>
        <v>285.14515378288428</v>
      </c>
      <c r="I40" s="23">
        <f t="shared" si="5"/>
        <v>225.26467148847857</v>
      </c>
      <c r="J40" s="23">
        <f t="shared" si="6"/>
        <v>261.30701892663512</v>
      </c>
      <c r="K40" s="23">
        <f t="shared" si="7"/>
        <v>224.72403627690622</v>
      </c>
      <c r="L40" s="23">
        <f t="shared" si="8"/>
        <v>283.15228570890184</v>
      </c>
      <c r="M40" s="4">
        <f>$M$8*'[2]Eurostat POM Portables GU'!M31</f>
        <v>359.60340285030537</v>
      </c>
      <c r="N40" s="4">
        <f>N7*'[2]Eurostat POM Portables GU'!N31</f>
        <v>337.7</v>
      </c>
      <c r="O40" s="4">
        <f>O7*'[2]Eurostat POM Portables GU'!O31</f>
        <v>349.4</v>
      </c>
      <c r="P40" s="4">
        <f>P7*'[2]Eurostat POM Portables GU'!P31</f>
        <v>420.1</v>
      </c>
      <c r="Q40" s="4">
        <f>Q7*'[2]Eurostat POM Portables GU'!Q31</f>
        <v>317.2</v>
      </c>
      <c r="R40" s="4">
        <f>R7*'[2]Eurostat POM Portables GU'!R31</f>
        <v>311.8</v>
      </c>
      <c r="S40" s="4">
        <f>S7*'[2]Eurostat POM Portables GU'!S31</f>
        <v>269.89999999999998</v>
      </c>
      <c r="T40" s="4">
        <f>T7*'[2]Eurostat POM Portables GU'!T31</f>
        <v>290.29999999999978</v>
      </c>
      <c r="U40" s="4">
        <f>U7*'[2]Eurostat POM Portables GU'!U31</f>
        <v>455.87357179766894</v>
      </c>
      <c r="V40" s="4">
        <f>V7*'[2]Eurostat POM Portables GU'!V31</f>
        <v>406.51613586143935</v>
      </c>
      <c r="W40" s="4">
        <f>W7*'[2]Eurostat POM Portables GU'!W31</f>
        <v>372.46801407156784</v>
      </c>
      <c r="X40" s="67">
        <f>'[3]POM Portables NiMH'!AD40</f>
        <v>365.01865379013645</v>
      </c>
      <c r="Y40" s="67">
        <f>'[3]POM Portables NiMH'!AE40</f>
        <v>357.71828071433373</v>
      </c>
      <c r="Z40" s="67">
        <f>'[3]POM Portables NiMH'!AF40</f>
        <v>350.56391510004704</v>
      </c>
      <c r="AA40" s="67">
        <f>'[3]POM Portables NiMH'!AG40</f>
        <v>343.55263679804608</v>
      </c>
      <c r="AB40" s="67">
        <f>'[3]POM Portables NiMH'!AH40</f>
        <v>336.68158406208516</v>
      </c>
      <c r="AC40" s="67">
        <f>'[3]POM Portables NiMH'!AI40</f>
        <v>329.94795238084345</v>
      </c>
      <c r="AD40" s="67">
        <f>'[3]POM Portables NiMH'!AJ40</f>
        <v>323.34899333322659</v>
      </c>
      <c r="AE40" s="67">
        <f>'[3]POM Portables NiMH'!AK40</f>
        <v>316.88201346656206</v>
      </c>
      <c r="AF40" s="67">
        <f>'[3]POM Portables NiMH'!AL40</f>
        <v>310.54437319723081</v>
      </c>
      <c r="AG40" s="67">
        <f>'[3]POM Portables NiMH'!AM40</f>
        <v>304.33348573328618</v>
      </c>
      <c r="AH40" s="67">
        <f>'[3]POM Portables NiMH'!AN40</f>
        <v>298.24681601862045</v>
      </c>
      <c r="AI40" s="67">
        <f>'[3]POM Portables NiMH'!AO40</f>
        <v>292.28187969824802</v>
      </c>
      <c r="AJ40" s="67">
        <f>'[3]POM Portables NiMH'!AP40</f>
        <v>286.43624210428305</v>
      </c>
      <c r="AK40" s="67">
        <f>'[3]POM Portables NiMH'!AQ40</f>
        <v>280.70751726219737</v>
      </c>
      <c r="AL40" s="67">
        <f>'[3]POM Portables NiMH'!AR40</f>
        <v>275.09336691695341</v>
      </c>
      <c r="AM40" s="67">
        <f>'[3]POM Portables NiMH'!AS40</f>
        <v>269.59149957861433</v>
      </c>
      <c r="AN40" s="67">
        <f>'[3]POM Portables NiMH'!AT40</f>
        <v>264.19966958704202</v>
      </c>
      <c r="AO40" s="67">
        <f>'[3]POM Portables NiMH'!AU40</f>
        <v>258.91567619530116</v>
      </c>
      <c r="AP40" s="67">
        <f>'[3]POM Portables NiMH'!AV40</f>
        <v>256.32651943334815</v>
      </c>
      <c r="AQ40" s="67">
        <f>'[3]POM Portables NiMH'!AW40</f>
        <v>253.76325423901469</v>
      </c>
      <c r="AR40" s="67">
        <f>'[3]POM Portables NiMH'!AX40</f>
        <v>251.22562169662453</v>
      </c>
      <c r="AS40" s="67">
        <f>'[3]POM Portables NiMH'!AY40</f>
        <v>248.71336547965828</v>
      </c>
      <c r="AT40" s="67">
        <f>'[3]POM Portables NiMH'!AZ40</f>
        <v>246.22623182486169</v>
      </c>
      <c r="AU40" s="67">
        <f>'[3]POM Portables NiMH'!BA40</f>
        <v>243.76396950661308</v>
      </c>
      <c r="AV40" s="67">
        <f>'[3]POM Portables NiMH'!BB40</f>
        <v>241.32632981154694</v>
      </c>
      <c r="AW40" s="67">
        <f>'[3]POM Portables NiMH'!BC40</f>
        <v>238.91306651343146</v>
      </c>
      <c r="AX40" s="67">
        <f>'[3]POM Portables NiMH'!BD40</f>
        <v>236.52393584829716</v>
      </c>
      <c r="AY40" s="67">
        <f>'[3]POM Portables NiMH'!BE40</f>
        <v>234.15869648981419</v>
      </c>
      <c r="AZ40" s="67">
        <f>'[3]POM Portables NiMH'!BF40</f>
        <v>231.81710952491605</v>
      </c>
    </row>
    <row r="41" spans="1:52" x14ac:dyDescent="0.35">
      <c r="A41" s="61" t="s">
        <v>29</v>
      </c>
      <c r="B41" s="23">
        <f t="shared" si="9"/>
        <v>79.547125887834554</v>
      </c>
      <c r="C41" s="23">
        <f t="shared" si="9"/>
        <v>90.68372351213138</v>
      </c>
      <c r="D41" s="23">
        <f t="shared" si="9"/>
        <v>103.37944480382977</v>
      </c>
      <c r="E41" s="23">
        <f t="shared" si="1"/>
        <v>117.85256707636593</v>
      </c>
      <c r="F41" s="23">
        <f t="shared" si="2"/>
        <v>124.92372110094789</v>
      </c>
      <c r="G41" s="23">
        <f t="shared" si="3"/>
        <v>154.90541416517539</v>
      </c>
      <c r="H41" s="23">
        <f t="shared" si="4"/>
        <v>176.59217214829994</v>
      </c>
      <c r="I41" s="23">
        <f t="shared" si="5"/>
        <v>139.50781599715697</v>
      </c>
      <c r="J41" s="23">
        <f t="shared" si="6"/>
        <v>161.82906655670206</v>
      </c>
      <c r="K41" s="23">
        <f t="shared" si="7"/>
        <v>139.17299723876377</v>
      </c>
      <c r="L41" s="23">
        <f t="shared" si="8"/>
        <v>175.35797652084236</v>
      </c>
      <c r="M41" s="4">
        <f>$M$8*'[2]Eurostat POM Portables GU'!M32</f>
        <v>222.70463018146978</v>
      </c>
      <c r="N41" s="4">
        <f>$N$8*'[2]Eurostat POM Portables GU'!N32</f>
        <v>193.80664207422663</v>
      </c>
      <c r="O41" s="4">
        <f>$O$8*'[2]Eurostat POM Portables GU'!O32</f>
        <v>217.63804502616415</v>
      </c>
      <c r="P41" s="4">
        <f>$P$8*'[2]Eurostat POM Portables GU'!P32</f>
        <v>215.8623097057729</v>
      </c>
      <c r="Q41" s="4">
        <f>$Q$8*'[2]Eurostat POM Portables GU'!Q32</f>
        <v>213.010906138813</v>
      </c>
      <c r="R41" s="4">
        <f>$R$8*'[2]Eurostat POM Portables GU'!R32</f>
        <v>197.65260948945289</v>
      </c>
      <c r="S41" s="4">
        <f>$S$8*'[2]Eurostat POM Portables GU'!S32</f>
        <v>201.07892023389059</v>
      </c>
      <c r="T41" s="4">
        <f>$T$8*'[2]Eurostat POM Portables GU'!T32</f>
        <v>207.40282900035248</v>
      </c>
      <c r="U41" s="4">
        <f>$U$8*'[2]Eurostat POM Portables GU'!U32</f>
        <v>207.6388802930957</v>
      </c>
      <c r="V41" s="4">
        <f>$V$8*'[2]Eurostat POM Portables GU'!V32</f>
        <v>228.60797748937679</v>
      </c>
      <c r="W41" s="4">
        <f>$W$8*'[2]Eurostat POM Portables GU'!W32</f>
        <v>207.19514731978305</v>
      </c>
      <c r="X41" s="67">
        <f>'[3]POM Portables NiMH'!AD41</f>
        <v>203.05124437338739</v>
      </c>
      <c r="Y41" s="67">
        <f>'[3]POM Portables NiMH'!AE41</f>
        <v>198.99021948591965</v>
      </c>
      <c r="Z41" s="67">
        <f>'[3]POM Portables NiMH'!AF41</f>
        <v>195.01041509620126</v>
      </c>
      <c r="AA41" s="67">
        <f>'[3]POM Portables NiMH'!AG41</f>
        <v>191.11020679427722</v>
      </c>
      <c r="AB41" s="67">
        <f>'[3]POM Portables NiMH'!AH41</f>
        <v>187.28800265839166</v>
      </c>
      <c r="AC41" s="67">
        <f>'[3]POM Portables NiMH'!AI41</f>
        <v>183.54224260522383</v>
      </c>
      <c r="AD41" s="67">
        <f>'[3]POM Portables NiMH'!AJ41</f>
        <v>179.87139775311937</v>
      </c>
      <c r="AE41" s="67">
        <f>'[3]POM Portables NiMH'!AK41</f>
        <v>176.27396979805698</v>
      </c>
      <c r="AF41" s="67">
        <f>'[3]POM Portables NiMH'!AL41</f>
        <v>172.74849040209585</v>
      </c>
      <c r="AG41" s="67">
        <f>'[3]POM Portables NiMH'!AM41</f>
        <v>169.29352059405394</v>
      </c>
      <c r="AH41" s="67">
        <f>'[3]POM Portables NiMH'!AN41</f>
        <v>165.90765018217286</v>
      </c>
      <c r="AI41" s="67">
        <f>'[3]POM Portables NiMH'!AO41</f>
        <v>162.5894971785294</v>
      </c>
      <c r="AJ41" s="67">
        <f>'[3]POM Portables NiMH'!AP41</f>
        <v>159.3377072349588</v>
      </c>
      <c r="AK41" s="67">
        <f>'[3]POM Portables NiMH'!AQ41</f>
        <v>156.15095309025963</v>
      </c>
      <c r="AL41" s="67">
        <f>'[3]POM Portables NiMH'!AR41</f>
        <v>153.02793402845444</v>
      </c>
      <c r="AM41" s="67">
        <f>'[3]POM Portables NiMH'!AS41</f>
        <v>149.96737534788534</v>
      </c>
      <c r="AN41" s="67">
        <f>'[3]POM Portables NiMH'!AT41</f>
        <v>146.96802784092762</v>
      </c>
      <c r="AO41" s="67">
        <f>'[3]POM Portables NiMH'!AU41</f>
        <v>144.02866728410908</v>
      </c>
      <c r="AP41" s="67">
        <f>'[3]POM Portables NiMH'!AV41</f>
        <v>142.58838061126798</v>
      </c>
      <c r="AQ41" s="67">
        <f>'[3]POM Portables NiMH'!AW41</f>
        <v>141.16249680515529</v>
      </c>
      <c r="AR41" s="67">
        <f>'[3]POM Portables NiMH'!AX41</f>
        <v>139.75087183710374</v>
      </c>
      <c r="AS41" s="67">
        <f>'[3]POM Portables NiMH'!AY41</f>
        <v>138.35336311873272</v>
      </c>
      <c r="AT41" s="67">
        <f>'[3]POM Portables NiMH'!AZ41</f>
        <v>136.96982948754538</v>
      </c>
      <c r="AU41" s="67">
        <f>'[3]POM Portables NiMH'!BA41</f>
        <v>135.60013119266992</v>
      </c>
      <c r="AV41" s="67">
        <f>'[3]POM Portables NiMH'!BB41</f>
        <v>134.24412988074323</v>
      </c>
      <c r="AW41" s="67">
        <f>'[3]POM Portables NiMH'!BC41</f>
        <v>132.90168858193579</v>
      </c>
      <c r="AX41" s="67">
        <f>'[3]POM Portables NiMH'!BD41</f>
        <v>131.57267169611643</v>
      </c>
      <c r="AY41" s="67">
        <f>'[3]POM Portables NiMH'!BE41</f>
        <v>130.25694497915526</v>
      </c>
      <c r="AZ41" s="67">
        <f>'[3]POM Portables NiMH'!BF41</f>
        <v>128.95437552936372</v>
      </c>
    </row>
    <row r="42" spans="1:52" x14ac:dyDescent="0.35">
      <c r="A42" s="61" t="s">
        <v>30</v>
      </c>
      <c r="B42" s="23">
        <f t="shared" si="9"/>
        <v>836.68652628092809</v>
      </c>
      <c r="C42" s="23">
        <f t="shared" si="9"/>
        <v>953.8226399602579</v>
      </c>
      <c r="D42" s="23">
        <f t="shared" si="9"/>
        <v>1087.3578095546939</v>
      </c>
      <c r="E42" s="23">
        <f t="shared" si="1"/>
        <v>1239.5879028923509</v>
      </c>
      <c r="F42" s="23">
        <f t="shared" si="2"/>
        <v>1313.9631770658921</v>
      </c>
      <c r="G42" s="23">
        <f t="shared" si="3"/>
        <v>1629.3143395617062</v>
      </c>
      <c r="H42" s="23">
        <f t="shared" si="4"/>
        <v>1857.418347100345</v>
      </c>
      <c r="I42" s="23">
        <f t="shared" si="5"/>
        <v>1467.3604942092727</v>
      </c>
      <c r="J42" s="23">
        <f t="shared" si="6"/>
        <v>1702.1381732827563</v>
      </c>
      <c r="K42" s="23">
        <f t="shared" si="7"/>
        <v>1463.8388290231703</v>
      </c>
      <c r="L42" s="23">
        <f t="shared" si="8"/>
        <v>1844.4369245691946</v>
      </c>
      <c r="M42" s="4">
        <f>$M$8*'[2]Eurostat POM Portables GU'!M33</f>
        <v>2342.4348942028773</v>
      </c>
      <c r="N42" s="4">
        <f>$N$8*'[2]Eurostat POM Portables GU'!N33</f>
        <v>1943.9494166917277</v>
      </c>
      <c r="O42" s="4">
        <f>$O$8*'[2]Eurostat POM Portables GU'!O33</f>
        <v>2254.1949709505043</v>
      </c>
      <c r="P42" s="4">
        <f>$P$8*'[2]Eurostat POM Portables GU'!P33</f>
        <v>2123.546994270343</v>
      </c>
      <c r="Q42" s="4">
        <f>$Q$8*'[2]Eurostat POM Portables GU'!Q33</f>
        <v>2000.9388788272511</v>
      </c>
      <c r="R42" s="4">
        <f>$R$8*'[2]Eurostat POM Portables GU'!R33</f>
        <v>1864.8109233797256</v>
      </c>
      <c r="S42" s="4">
        <f>$S$8*'[2]Eurostat POM Portables GU'!S33</f>
        <v>1876.7458570805779</v>
      </c>
      <c r="T42" s="4">
        <f>$T$8*'[2]Eurostat POM Portables GU'!T33</f>
        <v>1743.926285498517</v>
      </c>
      <c r="U42" s="4">
        <f>$U$8*'[2]Eurostat POM Portables GU'!U33</f>
        <v>1604.529001158194</v>
      </c>
      <c r="V42" s="4">
        <f>$V$8*'[2]Eurostat POM Portables GU'!V33</f>
        <v>1601.596464355413</v>
      </c>
      <c r="W42" s="4">
        <f>$W$8*'[2]Eurostat POM Portables GU'!W33</f>
        <v>1361.6818098829538</v>
      </c>
      <c r="X42" s="67">
        <f>'[3]POM Portables NiMH'!AD42</f>
        <v>1334.4481736852947</v>
      </c>
      <c r="Y42" s="67">
        <f>'[3]POM Portables NiMH'!AE42</f>
        <v>1307.7592102115889</v>
      </c>
      <c r="Z42" s="67">
        <f>'[3]POM Portables NiMH'!AF42</f>
        <v>1281.6040260073571</v>
      </c>
      <c r="AA42" s="67">
        <f>'[3]POM Portables NiMH'!AG42</f>
        <v>1255.97194548721</v>
      </c>
      <c r="AB42" s="67">
        <f>'[3]POM Portables NiMH'!AH42</f>
        <v>1230.8525065774656</v>
      </c>
      <c r="AC42" s="67">
        <f>'[3]POM Portables NiMH'!AI42</f>
        <v>1206.2354564459163</v>
      </c>
      <c r="AD42" s="67">
        <f>'[3]POM Portables NiMH'!AJ42</f>
        <v>1182.110747316998</v>
      </c>
      <c r="AE42" s="67">
        <f>'[3]POM Portables NiMH'!AK42</f>
        <v>1158.4685323706581</v>
      </c>
      <c r="AF42" s="67">
        <f>'[3]POM Portables NiMH'!AL42</f>
        <v>1135.2991617232449</v>
      </c>
      <c r="AG42" s="67">
        <f>'[3]POM Portables NiMH'!AM42</f>
        <v>1112.59317848878</v>
      </c>
      <c r="AH42" s="67">
        <f>'[3]POM Portables NiMH'!AN42</f>
        <v>1090.3413149190044</v>
      </c>
      <c r="AI42" s="67">
        <f>'[3]POM Portables NiMH'!AO42</f>
        <v>1068.5344886206244</v>
      </c>
      <c r="AJ42" s="67">
        <f>'[3]POM Portables NiMH'!AP42</f>
        <v>1047.1637988482119</v>
      </c>
      <c r="AK42" s="67">
        <f>'[3]POM Portables NiMH'!AQ42</f>
        <v>1026.2205228712476</v>
      </c>
      <c r="AL42" s="67">
        <f>'[3]POM Portables NiMH'!AR42</f>
        <v>1005.6961124138226</v>
      </c>
      <c r="AM42" s="67">
        <f>'[3]POM Portables NiMH'!AS42</f>
        <v>985.58219016554608</v>
      </c>
      <c r="AN42" s="67">
        <f>'[3]POM Portables NiMH'!AT42</f>
        <v>965.87054636223513</v>
      </c>
      <c r="AO42" s="67">
        <f>'[3]POM Portables NiMH'!AU42</f>
        <v>946.55313543499039</v>
      </c>
      <c r="AP42" s="67">
        <f>'[3]POM Portables NiMH'!AV42</f>
        <v>937.08760408064052</v>
      </c>
      <c r="AQ42" s="67">
        <f>'[3]POM Portables NiMH'!AW42</f>
        <v>927.71672803983415</v>
      </c>
      <c r="AR42" s="67">
        <f>'[3]POM Portables NiMH'!AX42</f>
        <v>918.43956075943584</v>
      </c>
      <c r="AS42" s="67">
        <f>'[3]POM Portables NiMH'!AY42</f>
        <v>909.25516515184142</v>
      </c>
      <c r="AT42" s="67">
        <f>'[3]POM Portables NiMH'!AZ42</f>
        <v>900.162613500323</v>
      </c>
      <c r="AU42" s="67">
        <f>'[3]POM Portables NiMH'!BA42</f>
        <v>891.16098736531978</v>
      </c>
      <c r="AV42" s="67">
        <f>'[3]POM Portables NiMH'!BB42</f>
        <v>882.24937749166656</v>
      </c>
      <c r="AW42" s="67">
        <f>'[3]POM Portables NiMH'!BC42</f>
        <v>873.4268837167499</v>
      </c>
      <c r="AX42" s="67">
        <f>'[3]POM Portables NiMH'!BD42</f>
        <v>864.69261487958238</v>
      </c>
      <c r="AY42" s="67">
        <f>'[3]POM Portables NiMH'!BE42</f>
        <v>856.04568873078654</v>
      </c>
      <c r="AZ42" s="67">
        <f>'[3]POM Portables NiMH'!BF42</f>
        <v>847.48523184347869</v>
      </c>
    </row>
    <row r="43" spans="1:52" x14ac:dyDescent="0.35">
      <c r="A43" s="61" t="s">
        <v>31</v>
      </c>
      <c r="B43" s="4">
        <f t="shared" ref="B43:M43" si="10">SUM(B12:B42)</f>
        <v>4903.833332798511</v>
      </c>
      <c r="C43" s="4">
        <f t="shared" si="10"/>
        <v>5590.369999390301</v>
      </c>
      <c r="D43" s="4">
        <f t="shared" si="10"/>
        <v>6373.0217993049437</v>
      </c>
      <c r="E43" s="4">
        <f t="shared" si="10"/>
        <v>7265.2448512076353</v>
      </c>
      <c r="F43" s="4">
        <f t="shared" si="10"/>
        <v>7701.1595422800947</v>
      </c>
      <c r="G43" s="4">
        <f t="shared" si="10"/>
        <v>9549.4378324273166</v>
      </c>
      <c r="H43" s="4">
        <f t="shared" si="10"/>
        <v>10886.35912896714</v>
      </c>
      <c r="I43" s="4">
        <f t="shared" si="10"/>
        <v>8600.2237118840421</v>
      </c>
      <c r="J43" s="4">
        <f t="shared" si="10"/>
        <v>9976.2595057854887</v>
      </c>
      <c r="K43" s="4">
        <f t="shared" si="10"/>
        <v>8579.583174975518</v>
      </c>
      <c r="L43" s="4">
        <f t="shared" si="10"/>
        <v>10810.274800469151</v>
      </c>
      <c r="M43" s="4">
        <f t="shared" si="10"/>
        <v>13729.048996595826</v>
      </c>
      <c r="N43" s="4">
        <f t="shared" ref="N43:AZ43" si="11">SUM(N12:N42)</f>
        <v>12034.105659340918</v>
      </c>
      <c r="O43" s="4">
        <f t="shared" si="11"/>
        <v>13096.462830142867</v>
      </c>
      <c r="P43" s="4">
        <f t="shared" si="11"/>
        <v>12276.836881610037</v>
      </c>
      <c r="Q43" s="4">
        <f t="shared" si="11"/>
        <v>11722.475878595735</v>
      </c>
      <c r="R43" s="4">
        <f t="shared" si="11"/>
        <v>10607.44012051463</v>
      </c>
      <c r="S43" s="4">
        <f t="shared" si="11"/>
        <v>11282.641688771449</v>
      </c>
      <c r="T43" s="4">
        <f t="shared" si="11"/>
        <v>10777.650239587412</v>
      </c>
      <c r="U43" s="4">
        <f t="shared" si="11"/>
        <v>10797.727199176108</v>
      </c>
      <c r="V43" s="4">
        <f t="shared" si="11"/>
        <v>11112.365878589235</v>
      </c>
      <c r="W43" s="4">
        <f t="shared" si="11"/>
        <v>9396.5005990551072</v>
      </c>
      <c r="X43" s="4">
        <f t="shared" si="11"/>
        <v>9208.5705870740039</v>
      </c>
      <c r="Y43" s="4">
        <f t="shared" si="11"/>
        <v>9024.3991753325245</v>
      </c>
      <c r="Z43" s="4">
        <f t="shared" si="11"/>
        <v>8843.9111918258732</v>
      </c>
      <c r="AA43" s="4">
        <f t="shared" si="11"/>
        <v>8667.0329679893584</v>
      </c>
      <c r="AB43" s="4">
        <f t="shared" si="11"/>
        <v>8493.6923086295683</v>
      </c>
      <c r="AC43" s="4">
        <f t="shared" si="11"/>
        <v>8323.8184624569767</v>
      </c>
      <c r="AD43" s="4">
        <f t="shared" si="11"/>
        <v>8157.3420932078379</v>
      </c>
      <c r="AE43" s="4">
        <f t="shared" si="11"/>
        <v>7994.1952513436827</v>
      </c>
      <c r="AF43" s="4">
        <f t="shared" si="11"/>
        <v>7834.3113463168074</v>
      </c>
      <c r="AG43" s="4">
        <f t="shared" si="11"/>
        <v>7677.6251193904718</v>
      </c>
      <c r="AH43" s="4">
        <f t="shared" si="11"/>
        <v>7524.0726170026619</v>
      </c>
      <c r="AI43" s="4">
        <f t="shared" si="11"/>
        <v>7373.5911646626082</v>
      </c>
      <c r="AJ43" s="4">
        <f t="shared" si="11"/>
        <v>7226.1193413693582</v>
      </c>
      <c r="AK43" s="4">
        <f t="shared" si="11"/>
        <v>7081.5969545419712</v>
      </c>
      <c r="AL43" s="4">
        <f t="shared" si="11"/>
        <v>6939.965015451131</v>
      </c>
      <c r="AM43" s="4">
        <f t="shared" si="11"/>
        <v>6801.1657151421086</v>
      </c>
      <c r="AN43" s="4">
        <f t="shared" si="11"/>
        <v>6665.1424008392669</v>
      </c>
      <c r="AO43" s="4">
        <f t="shared" si="11"/>
        <v>6531.8395528224801</v>
      </c>
      <c r="AP43" s="4">
        <f t="shared" si="11"/>
        <v>6466.5211572942562</v>
      </c>
      <c r="AQ43" s="4">
        <f t="shared" si="11"/>
        <v>6401.8559457213114</v>
      </c>
      <c r="AR43" s="4">
        <f t="shared" si="11"/>
        <v>6337.837386264101</v>
      </c>
      <c r="AS43" s="4">
        <f t="shared" si="11"/>
        <v>6274.4590124014585</v>
      </c>
      <c r="AT43" s="4">
        <f t="shared" si="11"/>
        <v>6211.7144222774441</v>
      </c>
      <c r="AU43" s="4">
        <f t="shared" si="11"/>
        <v>6149.597278054669</v>
      </c>
      <c r="AV43" s="4">
        <f t="shared" si="11"/>
        <v>6088.1013052741237</v>
      </c>
      <c r="AW43" s="4">
        <f t="shared" si="11"/>
        <v>6027.2202922213819</v>
      </c>
      <c r="AX43" s="4">
        <f t="shared" si="11"/>
        <v>5966.9480892991687</v>
      </c>
      <c r="AY43" s="4">
        <f t="shared" si="11"/>
        <v>5907.2786084061763</v>
      </c>
      <c r="AZ43" s="4">
        <f t="shared" si="11"/>
        <v>5848.2058223221147</v>
      </c>
    </row>
    <row r="44" spans="1:52" x14ac:dyDescent="0.35">
      <c r="A44" s="58" t="s">
        <v>68</v>
      </c>
      <c r="B44" s="39">
        <f t="shared" ref="B44:K44" si="12">_xlfn.RRI(1,B43,C43)</f>
        <v>0.13999999999999968</v>
      </c>
      <c r="C44" s="39">
        <f t="shared" si="12"/>
        <v>0.14000000000000012</v>
      </c>
      <c r="D44" s="39">
        <f>_xlfn.RRI(1,D43,E43)</f>
        <v>0.1399999999999999</v>
      </c>
      <c r="E44" s="39">
        <f t="shared" si="12"/>
        <v>6.0000000000000275E-2</v>
      </c>
      <c r="F44" s="39">
        <f t="shared" si="12"/>
        <v>0.24</v>
      </c>
      <c r="G44" s="39">
        <f t="shared" si="12"/>
        <v>0.1399999999999999</v>
      </c>
      <c r="H44" s="39">
        <f t="shared" si="12"/>
        <v>-0.20999999999999985</v>
      </c>
      <c r="I44" s="39">
        <f t="shared" si="12"/>
        <v>0.15999999999999992</v>
      </c>
      <c r="J44" s="39">
        <f t="shared" si="12"/>
        <v>-0.14000000000000024</v>
      </c>
      <c r="K44" s="39">
        <f t="shared" si="12"/>
        <v>0.25999999999999979</v>
      </c>
      <c r="L44" s="39">
        <f>_xlfn.RRI(1,L43,M43)</f>
        <v>0.27000000000000046</v>
      </c>
      <c r="M44" s="39">
        <f>_xlfn.RRI(1,M43,N43)</f>
        <v>-0.12345671850068973</v>
      </c>
      <c r="N44" s="39">
        <f t="shared" ref="N44:AZ44" si="13">_xlfn.RRI(1,N43,O43)</f>
        <v>8.8278863496378257E-2</v>
      </c>
      <c r="O44" s="39">
        <f t="shared" si="13"/>
        <v>-6.2583764728165847E-2</v>
      </c>
      <c r="P44" s="39">
        <f t="shared" si="13"/>
        <v>-4.5155035320596504E-2</v>
      </c>
      <c r="Q44" s="39">
        <f t="shared" si="13"/>
        <v>-9.5119475580842772E-2</v>
      </c>
      <c r="R44" s="39">
        <f t="shared" si="13"/>
        <v>6.365358282353073E-2</v>
      </c>
      <c r="S44" s="39">
        <f t="shared" si="13"/>
        <v>-4.4758263455854319E-2</v>
      </c>
      <c r="T44" s="39">
        <f t="shared" si="13"/>
        <v>1.8628327272072198E-3</v>
      </c>
      <c r="U44" s="39">
        <f t="shared" si="13"/>
        <v>2.9139343271900264E-2</v>
      </c>
      <c r="V44" s="39">
        <f t="shared" si="13"/>
        <v>-0.15441043773047225</v>
      </c>
      <c r="W44" s="39">
        <f t="shared" si="13"/>
        <v>-2.0000000000000129E-2</v>
      </c>
      <c r="X44" s="39">
        <f t="shared" si="13"/>
        <v>-1.9999999999999907E-2</v>
      </c>
      <c r="Y44" s="39">
        <f t="shared" si="13"/>
        <v>-2.0000000000000129E-2</v>
      </c>
      <c r="Z44" s="39">
        <f t="shared" si="13"/>
        <v>-1.9999999999999685E-2</v>
      </c>
      <c r="AA44" s="39">
        <f t="shared" si="13"/>
        <v>-2.0000000000000351E-2</v>
      </c>
      <c r="AB44" s="39">
        <f t="shared" si="13"/>
        <v>-2.0000000000000018E-2</v>
      </c>
      <c r="AC44" s="39">
        <f t="shared" si="13"/>
        <v>-1.9999999999999907E-2</v>
      </c>
      <c r="AD44" s="39">
        <f t="shared" si="13"/>
        <v>-1.9999999999999796E-2</v>
      </c>
      <c r="AE44" s="39">
        <f t="shared" si="13"/>
        <v>-2.000000000000024E-2</v>
      </c>
      <c r="AF44" s="39">
        <f t="shared" si="13"/>
        <v>-1.9999999999999907E-2</v>
      </c>
      <c r="AG44" s="39">
        <f t="shared" si="13"/>
        <v>-2.0000000000000018E-2</v>
      </c>
      <c r="AH44" s="39">
        <f t="shared" si="13"/>
        <v>-2.0000000000000018E-2</v>
      </c>
      <c r="AI44" s="39">
        <f t="shared" si="13"/>
        <v>-1.9999999999999685E-2</v>
      </c>
      <c r="AJ44" s="39">
        <f t="shared" si="13"/>
        <v>-2.0000000000000018E-2</v>
      </c>
      <c r="AK44" s="39">
        <f t="shared" si="13"/>
        <v>-2.0000000000000129E-2</v>
      </c>
      <c r="AL44" s="39">
        <f t="shared" si="13"/>
        <v>-1.9999999999999907E-2</v>
      </c>
      <c r="AM44" s="39">
        <f t="shared" si="13"/>
        <v>-1.9999999999999907E-2</v>
      </c>
      <c r="AN44" s="39">
        <f t="shared" si="13"/>
        <v>-2.000000000000024E-2</v>
      </c>
      <c r="AO44" s="39">
        <f t="shared" si="13"/>
        <v>-9.9999999999998979E-3</v>
      </c>
      <c r="AP44" s="39">
        <f t="shared" si="13"/>
        <v>-1.0000000000000342E-2</v>
      </c>
      <c r="AQ44" s="39">
        <f t="shared" si="13"/>
        <v>-9.9999999999995648E-3</v>
      </c>
      <c r="AR44" s="39">
        <f t="shared" si="13"/>
        <v>-1.0000000000000231E-2</v>
      </c>
      <c r="AS44" s="39">
        <f t="shared" si="13"/>
        <v>-1.0000000000000009E-2</v>
      </c>
      <c r="AT44" s="39">
        <f t="shared" si="13"/>
        <v>-1.000000000000012E-2</v>
      </c>
      <c r="AU44" s="39">
        <f t="shared" si="13"/>
        <v>-9.9999999999997868E-3</v>
      </c>
      <c r="AV44" s="39">
        <f t="shared" si="13"/>
        <v>-1.000000000000012E-2</v>
      </c>
      <c r="AW44" s="39">
        <f t="shared" si="13"/>
        <v>-9.9999999999998979E-3</v>
      </c>
      <c r="AX44" s="39">
        <f t="shared" si="13"/>
        <v>-1.000000000000012E-2</v>
      </c>
      <c r="AY44" s="39">
        <f t="shared" si="13"/>
        <v>-1.0000000000000009E-2</v>
      </c>
      <c r="AZ44" s="39">
        <f t="shared" si="13"/>
        <v>-1</v>
      </c>
    </row>
    <row r="45" spans="1:52" x14ac:dyDescent="0.35">
      <c r="M45" s="2"/>
      <c r="N45" s="2"/>
      <c r="O45" s="2"/>
      <c r="P45" s="2"/>
      <c r="Q45" s="2"/>
      <c r="R45" s="2"/>
      <c r="S45" s="2"/>
      <c r="T45" s="2"/>
      <c r="U45" s="2"/>
    </row>
    <row r="46" spans="1:52" x14ac:dyDescent="0.35">
      <c r="A46" s="24" t="s">
        <v>46</v>
      </c>
      <c r="B46" s="24"/>
      <c r="C46" s="24"/>
      <c r="D46" s="6"/>
      <c r="E46" s="6"/>
      <c r="F46" s="6"/>
      <c r="G46" s="6"/>
      <c r="H46" s="6"/>
      <c r="I46" s="6"/>
      <c r="J46" s="6"/>
      <c r="K46" s="6"/>
      <c r="L46" s="6"/>
      <c r="P46" s="6"/>
      <c r="Q46" s="6"/>
      <c r="R46" s="49"/>
    </row>
    <row r="47" spans="1:52" x14ac:dyDescent="0.35">
      <c r="A47" s="48" t="s">
        <v>91</v>
      </c>
      <c r="B47" s="48"/>
      <c r="C47" s="48"/>
    </row>
    <row r="48" spans="1:52" x14ac:dyDescent="0.35">
      <c r="A48" s="38" t="s">
        <v>88</v>
      </c>
      <c r="B48" s="39">
        <f>_xlfn.RRI(5,Q43,V43)</f>
        <v>-1.0632962694402615E-2</v>
      </c>
    </row>
  </sheetData>
  <mergeCells count="4">
    <mergeCell ref="M2:W2"/>
    <mergeCell ref="B10:L10"/>
    <mergeCell ref="M10:W10"/>
    <mergeCell ref="X10:AZ10"/>
  </mergeCells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61E8-038F-4702-89BE-9676B5BD12F7}">
  <sheetPr>
    <tabColor theme="9"/>
  </sheetPr>
  <dimension ref="A1:AZ103"/>
  <sheetViews>
    <sheetView zoomScale="70" zoomScaleNormal="70" workbookViewId="0"/>
  </sheetViews>
  <sheetFormatPr baseColWidth="10" defaultRowHeight="14.5" x14ac:dyDescent="0.35"/>
  <cols>
    <col min="1" max="1" width="27.26953125" customWidth="1"/>
    <col min="2" max="3" width="12.6328125" customWidth="1"/>
    <col min="4" max="4" width="12" customWidth="1"/>
    <col min="5" max="12" width="11" customWidth="1"/>
    <col min="13" max="22" width="11.26953125" bestFit="1" customWidth="1"/>
  </cols>
  <sheetData>
    <row r="1" spans="1:52" x14ac:dyDescent="0.35">
      <c r="A1" s="61" t="s">
        <v>82</v>
      </c>
      <c r="B1" s="61" t="s">
        <v>69</v>
      </c>
      <c r="C1" s="61" t="s">
        <v>93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52" x14ac:dyDescent="0.3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107" t="s">
        <v>84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1:52" x14ac:dyDescent="0.35">
      <c r="A3" s="55" t="s">
        <v>35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</row>
    <row r="4" spans="1:52" x14ac:dyDescent="0.35">
      <c r="A4" s="8" t="s">
        <v>10</v>
      </c>
      <c r="B4" s="64"/>
      <c r="C4" s="64"/>
      <c r="D4" s="65"/>
      <c r="E4" s="65"/>
      <c r="F4" s="65"/>
      <c r="G4" s="65"/>
      <c r="H4" s="65"/>
      <c r="I4" s="65"/>
      <c r="J4" s="65"/>
      <c r="K4" s="65"/>
      <c r="L4" s="65"/>
      <c r="M4" s="12">
        <v>3.0929399623626539E-2</v>
      </c>
      <c r="N4" s="12">
        <v>2.4655371348758122E-2</v>
      </c>
      <c r="O4" s="12">
        <v>1.708663602997872E-2</v>
      </c>
      <c r="P4" s="12">
        <v>1.2489006156552331E-2</v>
      </c>
      <c r="Q4" s="12">
        <v>1.07773851590106E-2</v>
      </c>
      <c r="R4" s="12">
        <v>8.3595454674261094E-3</v>
      </c>
      <c r="S4" s="12">
        <v>5.0418369939774343E-3</v>
      </c>
      <c r="T4" s="12">
        <v>3.6674634159863024E-3</v>
      </c>
      <c r="U4" s="12">
        <v>2.6427306949684606E-3</v>
      </c>
      <c r="V4" s="12">
        <v>3.0106615362671817E-3</v>
      </c>
      <c r="W4" s="2">
        <v>2.2365296210316563E-3</v>
      </c>
    </row>
    <row r="5" spans="1:52" x14ac:dyDescent="0.35">
      <c r="A5" s="8" t="s">
        <v>9</v>
      </c>
      <c r="B5" s="27"/>
      <c r="C5" s="27"/>
      <c r="D5" s="20"/>
      <c r="E5" s="20"/>
      <c r="F5" s="20"/>
      <c r="G5" s="20"/>
      <c r="H5" s="20"/>
      <c r="I5" s="20"/>
      <c r="J5" s="20"/>
      <c r="K5" s="20"/>
      <c r="L5" s="20"/>
      <c r="M5" s="12">
        <v>3.3153961136023917E-2</v>
      </c>
      <c r="N5" s="12">
        <v>2.8430197723187538E-2</v>
      </c>
      <c r="O5" s="12">
        <v>2.2704628483439508E-2</v>
      </c>
      <c r="P5" s="12">
        <v>1.9517173198966738E-2</v>
      </c>
      <c r="Q5" s="12">
        <v>1.5314081951033143E-2</v>
      </c>
      <c r="R5" s="12">
        <v>8.3511491181186524E-3</v>
      </c>
      <c r="S5" s="12">
        <v>2.0646718759926306E-3</v>
      </c>
      <c r="T5" s="12">
        <v>1.56910464967337E-3</v>
      </c>
      <c r="U5" s="12">
        <v>1.6753990495918119E-3</v>
      </c>
      <c r="V5" s="12">
        <v>6.2869716800502959E-4</v>
      </c>
      <c r="W5" s="2">
        <v>0</v>
      </c>
    </row>
    <row r="6" spans="1:52" x14ac:dyDescent="0.35">
      <c r="A6" s="8" t="s">
        <v>27</v>
      </c>
      <c r="B6" s="27"/>
      <c r="C6" s="27"/>
      <c r="D6" s="20"/>
      <c r="E6" s="20"/>
      <c r="F6" s="20"/>
      <c r="G6" s="20"/>
      <c r="H6" s="20"/>
      <c r="I6" s="20"/>
      <c r="J6" s="20"/>
      <c r="K6" s="20"/>
      <c r="L6" s="20"/>
      <c r="M6" s="12">
        <v>5.4370988451838756E-2</v>
      </c>
      <c r="N6" s="12">
        <v>4.7670564225283929E-2</v>
      </c>
      <c r="O6" s="12">
        <v>3.998222256785277E-2</v>
      </c>
      <c r="P6" s="12">
        <v>3.5601162462029559E-2</v>
      </c>
      <c r="Q6" s="12">
        <v>2.8004100511424629E-2</v>
      </c>
      <c r="R6" s="12">
        <v>2.9809681633672813E-2</v>
      </c>
      <c r="S6" s="12">
        <v>2.6090330786368968E-2</v>
      </c>
      <c r="T6" s="12">
        <v>2.4533564636320154E-2</v>
      </c>
      <c r="U6" s="12">
        <v>2.311819237731606E-2</v>
      </c>
      <c r="V6" s="12">
        <v>1.6888695566694787E-2</v>
      </c>
      <c r="W6" s="2">
        <v>1.792020152162618E-2</v>
      </c>
    </row>
    <row r="7" spans="1:52" x14ac:dyDescent="0.35">
      <c r="A7" s="8" t="s">
        <v>28</v>
      </c>
      <c r="B7" s="27"/>
      <c r="C7" s="27"/>
      <c r="D7" s="20"/>
      <c r="E7" s="20"/>
      <c r="F7" s="20"/>
      <c r="G7" s="20"/>
      <c r="H7" s="20"/>
      <c r="I7" s="20"/>
      <c r="J7" s="20"/>
      <c r="K7" s="20"/>
      <c r="L7" s="20"/>
      <c r="M7" s="12">
        <v>3.3812193412754029E-3</v>
      </c>
      <c r="N7" s="12">
        <v>2.8187491136009079E-3</v>
      </c>
      <c r="O7" s="12">
        <v>2.7494108405341712E-3</v>
      </c>
      <c r="P7" s="12">
        <v>1.8207097457627118E-3</v>
      </c>
      <c r="Q7" s="12">
        <v>1.9442867220702351E-3</v>
      </c>
      <c r="R7" s="12">
        <v>1.5963284445774716E-3</v>
      </c>
      <c r="S7" s="12">
        <v>8.5457705677867912E-4</v>
      </c>
      <c r="T7" s="12">
        <v>1.1560693641618498E-3</v>
      </c>
      <c r="U7" s="12">
        <v>8.3251995177125793E-4</v>
      </c>
      <c r="V7" s="12">
        <v>8.8651309260753938E-4</v>
      </c>
      <c r="W7" s="2">
        <v>5.4336866163257076E-3</v>
      </c>
    </row>
    <row r="8" spans="1:52" x14ac:dyDescent="0.35">
      <c r="A8" s="14" t="s">
        <v>32</v>
      </c>
      <c r="B8" s="28"/>
      <c r="C8" s="28"/>
      <c r="D8" s="21"/>
      <c r="E8" s="21"/>
      <c r="F8" s="21"/>
      <c r="G8" s="21"/>
      <c r="H8" s="21"/>
      <c r="I8" s="21"/>
      <c r="J8" s="21"/>
      <c r="K8" s="21"/>
      <c r="L8" s="21"/>
      <c r="M8" s="15">
        <v>3.5792102634509514E-2</v>
      </c>
      <c r="N8" s="15">
        <v>3.0174052183002911E-2</v>
      </c>
      <c r="O8" s="15">
        <v>2.3498352693401853E-2</v>
      </c>
      <c r="P8" s="15">
        <v>1.955085168107892E-2</v>
      </c>
      <c r="Q8" s="15">
        <v>1.5743394136200115E-2</v>
      </c>
      <c r="R8" s="15">
        <v>1.2882699083529663E-2</v>
      </c>
      <c r="S8" s="15">
        <v>8.6271143385469023E-3</v>
      </c>
      <c r="T8" s="15">
        <v>7.5798559267997402E-3</v>
      </c>
      <c r="U8" s="15">
        <v>6.8819638569766689E-3</v>
      </c>
      <c r="V8" s="16">
        <v>5.2864855158491712E-3</v>
      </c>
      <c r="W8" s="43">
        <v>5.1999999999999998E-3</v>
      </c>
    </row>
    <row r="9" spans="1:52" x14ac:dyDescent="0.35">
      <c r="A9" s="61"/>
      <c r="B9" s="29"/>
      <c r="C9" s="29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7"/>
      <c r="X9" s="6" t="s">
        <v>78</v>
      </c>
    </row>
    <row r="10" spans="1:52" x14ac:dyDescent="0.35">
      <c r="A10" s="61"/>
      <c r="B10" s="108" t="s">
        <v>85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9" t="s">
        <v>86</v>
      </c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5" t="s">
        <v>79</v>
      </c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</row>
    <row r="11" spans="1:52" x14ac:dyDescent="0.35">
      <c r="A11" s="61"/>
      <c r="B11" s="5">
        <v>2000</v>
      </c>
      <c r="C11" s="5">
        <v>2001</v>
      </c>
      <c r="D11" s="5">
        <v>2002</v>
      </c>
      <c r="E11" s="5">
        <v>2003</v>
      </c>
      <c r="F11" s="5">
        <v>2004</v>
      </c>
      <c r="G11" s="5">
        <v>2005</v>
      </c>
      <c r="H11" s="5">
        <v>2006</v>
      </c>
      <c r="I11" s="5">
        <v>2007</v>
      </c>
      <c r="J11" s="5">
        <v>2008</v>
      </c>
      <c r="K11" s="5">
        <v>2009</v>
      </c>
      <c r="L11" s="5">
        <v>2010</v>
      </c>
      <c r="M11" s="57">
        <v>2011</v>
      </c>
      <c r="N11" s="57">
        <v>2012</v>
      </c>
      <c r="O11" s="57">
        <v>2013</v>
      </c>
      <c r="P11" s="57">
        <v>2014</v>
      </c>
      <c r="Q11" s="57">
        <v>2015</v>
      </c>
      <c r="R11" s="57">
        <v>2016</v>
      </c>
      <c r="S11" s="57">
        <v>2017</v>
      </c>
      <c r="T11" s="57">
        <v>2018</v>
      </c>
      <c r="U11" s="57">
        <v>2019</v>
      </c>
      <c r="V11" s="57">
        <v>2020</v>
      </c>
      <c r="W11" s="57">
        <v>2021</v>
      </c>
      <c r="X11" s="47">
        <v>2022</v>
      </c>
      <c r="Y11" s="47">
        <v>2023</v>
      </c>
      <c r="Z11" s="47">
        <v>2024</v>
      </c>
      <c r="AA11" s="47">
        <v>2025</v>
      </c>
      <c r="AB11" s="47">
        <v>2026</v>
      </c>
      <c r="AC11" s="47">
        <v>2027</v>
      </c>
      <c r="AD11" s="47">
        <v>2028</v>
      </c>
      <c r="AE11" s="47">
        <v>2029</v>
      </c>
      <c r="AF11" s="47">
        <v>2030</v>
      </c>
      <c r="AG11" s="47">
        <v>2031</v>
      </c>
      <c r="AH11" s="47">
        <v>2032</v>
      </c>
      <c r="AI11" s="47">
        <v>2033</v>
      </c>
      <c r="AJ11" s="47">
        <v>2034</v>
      </c>
      <c r="AK11" s="47">
        <v>2035</v>
      </c>
      <c r="AL11" s="47">
        <v>2036</v>
      </c>
      <c r="AM11" s="47">
        <v>2037</v>
      </c>
      <c r="AN11" s="47">
        <v>2038</v>
      </c>
      <c r="AO11" s="47">
        <v>2039</v>
      </c>
      <c r="AP11" s="47">
        <v>2040</v>
      </c>
      <c r="AQ11" s="47">
        <v>2041</v>
      </c>
      <c r="AR11" s="47">
        <v>2042</v>
      </c>
      <c r="AS11" s="47">
        <v>2043</v>
      </c>
      <c r="AT11" s="47">
        <v>2044</v>
      </c>
      <c r="AU11" s="47">
        <v>2045</v>
      </c>
      <c r="AV11" s="47">
        <v>2046</v>
      </c>
      <c r="AW11" s="47">
        <v>2047</v>
      </c>
      <c r="AX11" s="47">
        <v>2048</v>
      </c>
      <c r="AY11" s="47">
        <v>2049</v>
      </c>
      <c r="AZ11" s="47">
        <v>2050</v>
      </c>
    </row>
    <row r="12" spans="1:52" x14ac:dyDescent="0.35">
      <c r="A12" s="61" t="s">
        <v>0</v>
      </c>
      <c r="B12" s="23">
        <f>C12/1.1</f>
        <v>185.5688376744418</v>
      </c>
      <c r="C12" s="23">
        <f>D12/1.1</f>
        <v>204.12572144188599</v>
      </c>
      <c r="D12" s="23">
        <f>E12/1.11</f>
        <v>224.53829358607459</v>
      </c>
      <c r="E12" s="23">
        <f>F12/1.23</f>
        <v>249.23750588054281</v>
      </c>
      <c r="F12" s="23">
        <f>G12/(1-0.21)</f>
        <v>306.56213223306764</v>
      </c>
      <c r="G12" s="23">
        <f>H12/1.37</f>
        <v>242.18408446412346</v>
      </c>
      <c r="H12" s="23">
        <f>I12/(1-0.39)</f>
        <v>331.79219571584918</v>
      </c>
      <c r="I12" s="23">
        <f>J12/(1-0.08)</f>
        <v>202.393239386668</v>
      </c>
      <c r="J12" s="23">
        <f>K12/(1-0.22)</f>
        <v>186.20178023573456</v>
      </c>
      <c r="K12" s="23">
        <f>L12/(1-0.39)</f>
        <v>145.23738858387296</v>
      </c>
      <c r="L12" s="23">
        <f>M12/1.46</f>
        <v>88.594807036162493</v>
      </c>
      <c r="M12" s="4">
        <f>$M$8*'[2]Eurostat POM Portables GU'!M3</f>
        <v>129.34841827279723</v>
      </c>
      <c r="N12" s="4">
        <f>$N$8*'[2]Eurostat POM Portables GU'!N3</f>
        <v>112.16237333617754</v>
      </c>
      <c r="O12" s="4">
        <f>$O$8*'[2]Eurostat POM Portables GU'!O3</f>
        <v>91.444967427302586</v>
      </c>
      <c r="P12" s="4">
        <f>$P$8*'[2]Eurostat POM Portables GU'!P3</f>
        <v>79.897136107150914</v>
      </c>
      <c r="Q12" s="4">
        <f>$Q$8*'[2]Eurostat POM Portables GU'!Q3</f>
        <v>71.589792103486431</v>
      </c>
      <c r="R12" s="4">
        <f>$R$8*'[2]Eurostat POM Portables GU'!R3</f>
        <v>60.652387297748128</v>
      </c>
      <c r="S12" s="4">
        <f>$S$8*'[2]Eurostat POM Portables GU'!S3</f>
        <v>40.941048792697501</v>
      </c>
      <c r="T12" s="4">
        <f>$T$8*'[2]Eurostat POM Portables GU'!T3</f>
        <v>41.305979632358039</v>
      </c>
      <c r="U12" s="4">
        <f>$U$8*'[2]Eurostat POM Portables GU'!U3</f>
        <v>39.643178075182085</v>
      </c>
      <c r="V12" s="4">
        <f>$V$8*'[2]Eurostat POM Portables GU'!V3</f>
        <v>33.553239566839842</v>
      </c>
      <c r="W12" s="4">
        <f>$W$8*'[2]Eurostat POM Portables GU'!W3</f>
        <v>31.922799999999999</v>
      </c>
      <c r="X12" s="67">
        <f>'[3]POM Portables NiCd'!AC12</f>
        <v>25.538239999999998</v>
      </c>
      <c r="Y12" s="67">
        <f>'[3]POM Portables NiCd'!AD12</f>
        <v>12.769119999999999</v>
      </c>
      <c r="Z12" s="67">
        <f>'[3]POM Portables NiCd'!AE12</f>
        <v>3.1922800000000002</v>
      </c>
      <c r="AA12" s="48">
        <f>'[3]POM Portables NiCd'!AF12</f>
        <v>0</v>
      </c>
      <c r="AB12" s="48">
        <f>'[3]POM Portables NiCd'!AG12</f>
        <v>0</v>
      </c>
      <c r="AC12" s="48">
        <f>'[3]POM Portables NiCd'!AH12</f>
        <v>0</v>
      </c>
      <c r="AD12" s="48">
        <f>'[3]POM Portables NiCd'!AI12</f>
        <v>0</v>
      </c>
      <c r="AE12" s="48">
        <f>'[3]POM Portables NiCd'!AJ12</f>
        <v>0</v>
      </c>
      <c r="AF12" s="48">
        <f>'[3]POM Portables NiCd'!AK12</f>
        <v>0</v>
      </c>
      <c r="AG12" s="48">
        <f>'[3]POM Portables NiCd'!AL12</f>
        <v>0</v>
      </c>
      <c r="AH12" s="48">
        <f>'[3]POM Portables NiCd'!AM12</f>
        <v>0</v>
      </c>
      <c r="AI12" s="48">
        <f>'[3]POM Portables NiCd'!AN12</f>
        <v>0</v>
      </c>
      <c r="AJ12" s="48">
        <f>'[3]POM Portables NiCd'!AO12</f>
        <v>0</v>
      </c>
      <c r="AK12" s="48">
        <f>'[3]POM Portables NiCd'!AP12</f>
        <v>0</v>
      </c>
      <c r="AL12" s="48">
        <f>'[3]POM Portables NiCd'!AQ12</f>
        <v>0</v>
      </c>
      <c r="AM12" s="48">
        <f>'[3]POM Portables NiCd'!AR12</f>
        <v>0</v>
      </c>
      <c r="AN12" s="48">
        <f>'[3]POM Portables NiCd'!AS12</f>
        <v>0</v>
      </c>
      <c r="AO12" s="48">
        <f>'[3]POM Portables NiCd'!AT12</f>
        <v>0</v>
      </c>
      <c r="AP12" s="48">
        <f>'[3]POM Portables NiCd'!AU12</f>
        <v>0</v>
      </c>
      <c r="AQ12" s="48">
        <f>'[3]POM Portables NiCd'!AV12</f>
        <v>0</v>
      </c>
      <c r="AR12" s="48">
        <f>'[3]POM Portables NiCd'!AW12</f>
        <v>0</v>
      </c>
      <c r="AS12" s="48">
        <f>'[3]POM Portables NiCd'!AX12</f>
        <v>0</v>
      </c>
      <c r="AT12" s="48">
        <f>'[3]POM Portables NiCd'!AY12</f>
        <v>0</v>
      </c>
      <c r="AU12" s="48">
        <f>'[3]POM Portables NiCd'!AZ12</f>
        <v>0</v>
      </c>
      <c r="AV12" s="48">
        <f>'[3]POM Portables NiCd'!BA12</f>
        <v>0</v>
      </c>
      <c r="AW12" s="48">
        <f>'[3]POM Portables NiCd'!BB12</f>
        <v>0</v>
      </c>
      <c r="AX12" s="48">
        <f>'[3]POM Portables NiCd'!BC12</f>
        <v>0</v>
      </c>
      <c r="AY12" s="48">
        <f>'[3]POM Portables NiCd'!BD12</f>
        <v>0</v>
      </c>
      <c r="AZ12" s="48">
        <f>'[3]POM Portables NiCd'!BE12</f>
        <v>0</v>
      </c>
    </row>
    <row r="13" spans="1:52" x14ac:dyDescent="0.35">
      <c r="A13" s="61" t="s">
        <v>1</v>
      </c>
      <c r="B13" s="23">
        <f t="shared" ref="B13:C42" si="0">C13/1.1</f>
        <v>225.98650511520319</v>
      </c>
      <c r="C13" s="23">
        <f t="shared" si="0"/>
        <v>248.58515562672352</v>
      </c>
      <c r="D13" s="23">
        <f t="shared" ref="D13:D42" si="1">E13/1.11</f>
        <v>273.4436711893959</v>
      </c>
      <c r="E13" s="23">
        <f t="shared" ref="E13:E42" si="2">F13/1.23</f>
        <v>303.52247502022948</v>
      </c>
      <c r="F13" s="23">
        <f t="shared" ref="F13:F42" si="3">G13/(1-0.21)</f>
        <v>373.33264427488223</v>
      </c>
      <c r="G13" s="23">
        <f t="shared" ref="G13:G42" si="4">H13/1.37</f>
        <v>294.93278897715697</v>
      </c>
      <c r="H13" s="23">
        <f t="shared" ref="H13:H42" si="5">I13/(1-0.39)</f>
        <v>404.05792089870511</v>
      </c>
      <c r="I13" s="23">
        <f t="shared" ref="I13:I42" si="6">J13/(1-0.08)</f>
        <v>246.4753317482101</v>
      </c>
      <c r="J13" s="23">
        <f t="shared" ref="J13:J42" si="7">K13/(1-0.22)</f>
        <v>226.7573052083533</v>
      </c>
      <c r="K13" s="23">
        <f t="shared" ref="K13:K42" si="8">L13/(1-0.39)</f>
        <v>176.87069806251557</v>
      </c>
      <c r="L13" s="23">
        <f t="shared" ref="L13:L42" si="9">M13/1.46</f>
        <v>107.8911258181345</v>
      </c>
      <c r="M13" s="4">
        <f>$M$8*'[2]Eurostat POM Portables GU'!M4</f>
        <v>157.52104369447636</v>
      </c>
      <c r="N13" s="4">
        <f>$N$8*'[2]Eurostat POM Portables GU'!N4</f>
        <v>128.5112882474094</v>
      </c>
      <c r="O13" s="4">
        <f>$O$8*'[2]Eurostat POM Portables GU'!O4</f>
        <v>103.34575514558135</v>
      </c>
      <c r="P13" s="4">
        <f>$P$8*'[2]Eurostat POM Portables GU'!P4</f>
        <v>82.543695797515198</v>
      </c>
      <c r="Q13" s="4">
        <f>$Q$8*'[2]Eurostat POM Portables GU'!Q4</f>
        <v>71.884337625889728</v>
      </c>
      <c r="R13" s="4">
        <f>$R$8*'[2]Eurostat POM Portables GU'!R4</f>
        <v>59.067175297983503</v>
      </c>
      <c r="S13" s="4">
        <f>$S$8*'[2]Eurostat POM Portables GU'!S4</f>
        <v>41.289369224285473</v>
      </c>
      <c r="T13" s="4">
        <f>$T$8*'[2]Eurostat POM Portables GU'!T4</f>
        <v>37.292891159854719</v>
      </c>
      <c r="U13" s="4">
        <f>$U$8*'[2]Eurostat POM Portables GU'!U4</f>
        <v>37.252070357814709</v>
      </c>
      <c r="V13" s="4">
        <f>$V$8*'[2]Eurostat POM Portables GU'!V4</f>
        <v>29.662470229429701</v>
      </c>
      <c r="W13" s="4">
        <f>$W$8*'[2]Eurostat POM Portables GU'!W4</f>
        <v>32.442799999999998</v>
      </c>
      <c r="X13" s="67">
        <f>'[3]POM Portables NiCd'!AC13</f>
        <v>25.954239999999999</v>
      </c>
      <c r="Y13" s="67">
        <f>'[3]POM Portables NiCd'!AD13</f>
        <v>12.977119999999999</v>
      </c>
      <c r="Z13" s="67">
        <f>'[3]POM Portables NiCd'!AE13</f>
        <v>3.2442799999999998</v>
      </c>
      <c r="AA13" s="48">
        <f>'[3]POM Portables NiCd'!AF13</f>
        <v>0</v>
      </c>
      <c r="AB13" s="48">
        <f>'[3]POM Portables NiCd'!AG13</f>
        <v>0</v>
      </c>
      <c r="AC13" s="48">
        <f>'[3]POM Portables NiCd'!AH13</f>
        <v>0</v>
      </c>
      <c r="AD13" s="48">
        <f>'[3]POM Portables NiCd'!AI13</f>
        <v>0</v>
      </c>
      <c r="AE13" s="48">
        <f>'[3]POM Portables NiCd'!AJ13</f>
        <v>0</v>
      </c>
      <c r="AF13" s="48">
        <f>'[3]POM Portables NiCd'!AK13</f>
        <v>0</v>
      </c>
      <c r="AG13" s="48">
        <f>'[3]POM Portables NiCd'!AL13</f>
        <v>0</v>
      </c>
      <c r="AH13" s="48">
        <f>'[3]POM Portables NiCd'!AM13</f>
        <v>0</v>
      </c>
      <c r="AI13" s="48">
        <f>'[3]POM Portables NiCd'!AN13</f>
        <v>0</v>
      </c>
      <c r="AJ13" s="48">
        <f>'[3]POM Portables NiCd'!AO13</f>
        <v>0</v>
      </c>
      <c r="AK13" s="48">
        <f>'[3]POM Portables NiCd'!AP13</f>
        <v>0</v>
      </c>
      <c r="AL13" s="48">
        <f>'[3]POM Portables NiCd'!AQ13</f>
        <v>0</v>
      </c>
      <c r="AM13" s="48">
        <f>'[3]POM Portables NiCd'!AR13</f>
        <v>0</v>
      </c>
      <c r="AN13" s="48">
        <f>'[3]POM Portables NiCd'!AS13</f>
        <v>0</v>
      </c>
      <c r="AO13" s="48">
        <f>'[3]POM Portables NiCd'!AT13</f>
        <v>0</v>
      </c>
      <c r="AP13" s="48">
        <f>'[3]POM Portables NiCd'!AU13</f>
        <v>0</v>
      </c>
      <c r="AQ13" s="48">
        <f>'[3]POM Portables NiCd'!AV13</f>
        <v>0</v>
      </c>
      <c r="AR13" s="48">
        <f>'[3]POM Portables NiCd'!AW13</f>
        <v>0</v>
      </c>
      <c r="AS13" s="48">
        <f>'[3]POM Portables NiCd'!AX13</f>
        <v>0</v>
      </c>
      <c r="AT13" s="48">
        <f>'[3]POM Portables NiCd'!AY13</f>
        <v>0</v>
      </c>
      <c r="AU13" s="48">
        <f>'[3]POM Portables NiCd'!AZ13</f>
        <v>0</v>
      </c>
      <c r="AV13" s="48">
        <f>'[3]POM Portables NiCd'!BA13</f>
        <v>0</v>
      </c>
      <c r="AW13" s="48">
        <f>'[3]POM Portables NiCd'!BB13</f>
        <v>0</v>
      </c>
      <c r="AX13" s="48">
        <f>'[3]POM Portables NiCd'!BC13</f>
        <v>0</v>
      </c>
      <c r="AY13" s="48">
        <f>'[3]POM Portables NiCd'!BD13</f>
        <v>0</v>
      </c>
      <c r="AZ13" s="48">
        <f>'[3]POM Portables NiCd'!BE13</f>
        <v>0</v>
      </c>
    </row>
    <row r="14" spans="1:52" x14ac:dyDescent="0.35">
      <c r="A14" s="61" t="s">
        <v>2</v>
      </c>
      <c r="B14" s="23">
        <f t="shared" si="0"/>
        <v>32.041713063368952</v>
      </c>
      <c r="C14" s="23">
        <f t="shared" si="0"/>
        <v>35.245884369705848</v>
      </c>
      <c r="D14" s="23">
        <f t="shared" si="1"/>
        <v>38.770472806676437</v>
      </c>
      <c r="E14" s="23">
        <f t="shared" si="2"/>
        <v>43.035224815410849</v>
      </c>
      <c r="F14" s="23">
        <f t="shared" si="3"/>
        <v>52.933326522955348</v>
      </c>
      <c r="G14" s="23">
        <f t="shared" si="4"/>
        <v>41.817327953134729</v>
      </c>
      <c r="H14" s="23">
        <f t="shared" si="5"/>
        <v>57.289739295794583</v>
      </c>
      <c r="I14" s="23">
        <f t="shared" si="6"/>
        <v>34.946740970434696</v>
      </c>
      <c r="J14" s="23">
        <f t="shared" si="7"/>
        <v>32.151001692799923</v>
      </c>
      <c r="K14" s="23">
        <f t="shared" si="8"/>
        <v>25.077781320383941</v>
      </c>
      <c r="L14" s="23">
        <f t="shared" si="9"/>
        <v>15.297446605434203</v>
      </c>
      <c r="M14" s="4">
        <f>$M$8*'[2]Eurostat POM Portables GU'!M5</f>
        <v>22.334272043933936</v>
      </c>
      <c r="N14" s="4">
        <f>$N$8*'[2]Eurostat POM Portables GU'!N5</f>
        <v>18.176336076153845</v>
      </c>
      <c r="O14" s="4">
        <f>$O$8*'[2]Eurostat POM Portables GU'!O5</f>
        <v>15.908384773433054</v>
      </c>
      <c r="P14" s="4">
        <f>$P$8*'[2]Eurostat POM Portables GU'!P5</f>
        <v>14.272121727187612</v>
      </c>
      <c r="Q14" s="4">
        <f>$Q$8*'[2]Eurostat POM Portables GU'!Q5</f>
        <v>11.964979543512086</v>
      </c>
      <c r="R14" s="4">
        <f>$R$8*'[2]Eurostat POM Portables GU'!R5</f>
        <v>9.6620243126472474</v>
      </c>
      <c r="S14" s="4">
        <f>$S$8*'[2]Eurostat POM Portables GU'!S5</f>
        <v>7.0310981859157256</v>
      </c>
      <c r="T14" s="4">
        <f>$T$8*'[2]Eurostat POM Portables GU'!T5</f>
        <v>5.2301005894918209</v>
      </c>
      <c r="U14" s="4">
        <f>$U$8*'[2]Eurostat POM Portables GU'!U5</f>
        <v>6.4828099532720218</v>
      </c>
      <c r="V14" s="4">
        <f>$V$8*'[2]Eurostat POM Portables GU'!V5</f>
        <v>4.9692963848982208</v>
      </c>
      <c r="W14" s="4">
        <f>$W$8*'[2]Eurostat POM Portables GU'!W5</f>
        <v>5.2103999999999999</v>
      </c>
      <c r="X14" s="67">
        <f>'[3]POM Portables NiCd'!AC14</f>
        <v>4.1683199999999996</v>
      </c>
      <c r="Y14" s="67">
        <f>'[3]POM Portables NiCd'!AD14</f>
        <v>2.0841599999999998</v>
      </c>
      <c r="Z14" s="67">
        <f>'[3]POM Portables NiCd'!AE14</f>
        <v>0.52103999999999995</v>
      </c>
      <c r="AA14" s="48">
        <f>'[3]POM Portables NiCd'!AF14</f>
        <v>0</v>
      </c>
      <c r="AB14" s="48">
        <f>'[3]POM Portables NiCd'!AG14</f>
        <v>0</v>
      </c>
      <c r="AC14" s="48">
        <f>'[3]POM Portables NiCd'!AH14</f>
        <v>0</v>
      </c>
      <c r="AD14" s="48">
        <f>'[3]POM Portables NiCd'!AI14</f>
        <v>0</v>
      </c>
      <c r="AE14" s="48">
        <f>'[3]POM Portables NiCd'!AJ14</f>
        <v>0</v>
      </c>
      <c r="AF14" s="48">
        <f>'[3]POM Portables NiCd'!AK14</f>
        <v>0</v>
      </c>
      <c r="AG14" s="48">
        <f>'[3]POM Portables NiCd'!AL14</f>
        <v>0</v>
      </c>
      <c r="AH14" s="48">
        <f>'[3]POM Portables NiCd'!AM14</f>
        <v>0</v>
      </c>
      <c r="AI14" s="48">
        <f>'[3]POM Portables NiCd'!AN14</f>
        <v>0</v>
      </c>
      <c r="AJ14" s="48">
        <f>'[3]POM Portables NiCd'!AO14</f>
        <v>0</v>
      </c>
      <c r="AK14" s="48">
        <f>'[3]POM Portables NiCd'!AP14</f>
        <v>0</v>
      </c>
      <c r="AL14" s="48">
        <f>'[3]POM Portables NiCd'!AQ14</f>
        <v>0</v>
      </c>
      <c r="AM14" s="48">
        <f>'[3]POM Portables NiCd'!AR14</f>
        <v>0</v>
      </c>
      <c r="AN14" s="48">
        <f>'[3]POM Portables NiCd'!AS14</f>
        <v>0</v>
      </c>
      <c r="AO14" s="48">
        <f>'[3]POM Portables NiCd'!AT14</f>
        <v>0</v>
      </c>
      <c r="AP14" s="48">
        <f>'[3]POM Portables NiCd'!AU14</f>
        <v>0</v>
      </c>
      <c r="AQ14" s="48">
        <f>'[3]POM Portables NiCd'!AV14</f>
        <v>0</v>
      </c>
      <c r="AR14" s="48">
        <f>'[3]POM Portables NiCd'!AW14</f>
        <v>0</v>
      </c>
      <c r="AS14" s="48">
        <f>'[3]POM Portables NiCd'!AX14</f>
        <v>0</v>
      </c>
      <c r="AT14" s="48">
        <f>'[3]POM Portables NiCd'!AY14</f>
        <v>0</v>
      </c>
      <c r="AU14" s="48">
        <f>'[3]POM Portables NiCd'!AZ14</f>
        <v>0</v>
      </c>
      <c r="AV14" s="48">
        <f>'[3]POM Portables NiCd'!BA14</f>
        <v>0</v>
      </c>
      <c r="AW14" s="48">
        <f>'[3]POM Portables NiCd'!BB14</f>
        <v>0</v>
      </c>
      <c r="AX14" s="48">
        <f>'[3]POM Portables NiCd'!BC14</f>
        <v>0</v>
      </c>
      <c r="AY14" s="48">
        <f>'[3]POM Portables NiCd'!BD14</f>
        <v>0</v>
      </c>
      <c r="AZ14" s="48">
        <f>'[3]POM Portables NiCd'!BE14</f>
        <v>0</v>
      </c>
    </row>
    <row r="15" spans="1:52" x14ac:dyDescent="0.35">
      <c r="A15" s="61" t="s">
        <v>3</v>
      </c>
      <c r="B15" s="23">
        <f t="shared" si="0"/>
        <v>17.034483800708362</v>
      </c>
      <c r="C15" s="23">
        <f t="shared" si="0"/>
        <v>18.7379321807792</v>
      </c>
      <c r="D15" s="23">
        <f t="shared" si="1"/>
        <v>20.611725398857121</v>
      </c>
      <c r="E15" s="23">
        <f t="shared" si="2"/>
        <v>22.879015192731408</v>
      </c>
      <c r="F15" s="23">
        <f t="shared" si="3"/>
        <v>28.141188687059632</v>
      </c>
      <c r="G15" s="23">
        <f t="shared" si="4"/>
        <v>22.231539062777109</v>
      </c>
      <c r="H15" s="23">
        <f t="shared" si="5"/>
        <v>30.457208516004641</v>
      </c>
      <c r="I15" s="23">
        <f t="shared" si="6"/>
        <v>18.578897194762831</v>
      </c>
      <c r="J15" s="23">
        <f t="shared" si="7"/>
        <v>17.092585419181805</v>
      </c>
      <c r="K15" s="23">
        <f t="shared" si="8"/>
        <v>13.332216626961809</v>
      </c>
      <c r="L15" s="23">
        <f t="shared" si="9"/>
        <v>8.1326521424467035</v>
      </c>
      <c r="M15" s="4">
        <f>$M$8*'[2]Eurostat POM Portables GU'!M6</f>
        <v>11.873672127972187</v>
      </c>
      <c r="N15" s="4">
        <f>$N$8*'[2]Eurostat POM Portables GU'!N6</f>
        <v>12.274804428045584</v>
      </c>
      <c r="O15" s="4">
        <f>$O$8*'[2]Eurostat POM Portables GU'!O6</f>
        <v>9.248481653069101</v>
      </c>
      <c r="P15" s="4">
        <f>$P$8*'[2]Eurostat POM Portables GU'!P6</f>
        <v>6.7841455333343852</v>
      </c>
      <c r="Q15" s="4">
        <f>$Q$8*'[2]Eurostat POM Portables GU'!Q6</f>
        <v>4.1877428402292303</v>
      </c>
      <c r="R15" s="4">
        <f>$R$8*'[2]Eurostat POM Portables GU'!R6</f>
        <v>5.0886661379942169</v>
      </c>
      <c r="S15" s="4">
        <f>$S$8*'[2]Eurostat POM Portables GU'!S6</f>
        <v>4.9002009442946406</v>
      </c>
      <c r="T15" s="4">
        <f>$T$8*'[2]Eurostat POM Portables GU'!T6</f>
        <v>5.1088228946630245</v>
      </c>
      <c r="U15" s="4">
        <f>$U$8*'[2]Eurostat POM Portables GU'!U6</f>
        <v>6.2350592544208618</v>
      </c>
      <c r="V15" s="4">
        <f>$V$8*'[2]Eurostat POM Portables GU'!V6</f>
        <v>5.5613827626733281</v>
      </c>
      <c r="W15" s="4">
        <f>$W$8*'[2]Eurostat POM Portables GU'!W6</f>
        <v>5.4547999999999996</v>
      </c>
      <c r="X15" s="67">
        <f>'[3]POM Portables NiCd'!AC15</f>
        <v>4.3638399999999997</v>
      </c>
      <c r="Y15" s="67">
        <f>'[3]POM Portables NiCd'!AD15</f>
        <v>2.1819199999999999</v>
      </c>
      <c r="Z15" s="67">
        <f>'[3]POM Portables NiCd'!AE15</f>
        <v>0.54547999999999996</v>
      </c>
      <c r="AA15" s="48">
        <f>'[3]POM Portables NiCd'!AF15</f>
        <v>0</v>
      </c>
      <c r="AB15" s="48">
        <f>'[3]POM Portables NiCd'!AG15</f>
        <v>0</v>
      </c>
      <c r="AC15" s="48">
        <f>'[3]POM Portables NiCd'!AH15</f>
        <v>0</v>
      </c>
      <c r="AD15" s="48">
        <f>'[3]POM Portables NiCd'!AI15</f>
        <v>0</v>
      </c>
      <c r="AE15" s="48">
        <f>'[3]POM Portables NiCd'!AJ15</f>
        <v>0</v>
      </c>
      <c r="AF15" s="48">
        <f>'[3]POM Portables NiCd'!AK15</f>
        <v>0</v>
      </c>
      <c r="AG15" s="48">
        <f>'[3]POM Portables NiCd'!AL15</f>
        <v>0</v>
      </c>
      <c r="AH15" s="48">
        <f>'[3]POM Portables NiCd'!AM15</f>
        <v>0</v>
      </c>
      <c r="AI15" s="48">
        <f>'[3]POM Portables NiCd'!AN15</f>
        <v>0</v>
      </c>
      <c r="AJ15" s="48">
        <f>'[3]POM Portables NiCd'!AO15</f>
        <v>0</v>
      </c>
      <c r="AK15" s="48">
        <f>'[3]POM Portables NiCd'!AP15</f>
        <v>0</v>
      </c>
      <c r="AL15" s="48">
        <f>'[3]POM Portables NiCd'!AQ15</f>
        <v>0</v>
      </c>
      <c r="AM15" s="48">
        <f>'[3]POM Portables NiCd'!AR15</f>
        <v>0</v>
      </c>
      <c r="AN15" s="48">
        <f>'[3]POM Portables NiCd'!AS15</f>
        <v>0</v>
      </c>
      <c r="AO15" s="48">
        <f>'[3]POM Portables NiCd'!AT15</f>
        <v>0</v>
      </c>
      <c r="AP15" s="48">
        <f>'[3]POM Portables NiCd'!AU15</f>
        <v>0</v>
      </c>
      <c r="AQ15" s="48">
        <f>'[3]POM Portables NiCd'!AV15</f>
        <v>0</v>
      </c>
      <c r="AR15" s="48">
        <f>'[3]POM Portables NiCd'!AW15</f>
        <v>0</v>
      </c>
      <c r="AS15" s="48">
        <f>'[3]POM Portables NiCd'!AX15</f>
        <v>0</v>
      </c>
      <c r="AT15" s="48">
        <f>'[3]POM Portables NiCd'!AY15</f>
        <v>0</v>
      </c>
      <c r="AU15" s="48">
        <f>'[3]POM Portables NiCd'!AZ15</f>
        <v>0</v>
      </c>
      <c r="AV15" s="48">
        <f>'[3]POM Portables NiCd'!BA15</f>
        <v>0</v>
      </c>
      <c r="AW15" s="48">
        <f>'[3]POM Portables NiCd'!BB15</f>
        <v>0</v>
      </c>
      <c r="AX15" s="48">
        <f>'[3]POM Portables NiCd'!BC15</f>
        <v>0</v>
      </c>
      <c r="AY15" s="48">
        <f>'[3]POM Portables NiCd'!BD15</f>
        <v>0</v>
      </c>
      <c r="AZ15" s="48">
        <f>'[3]POM Portables NiCd'!BE15</f>
        <v>0</v>
      </c>
    </row>
    <row r="16" spans="1:52" x14ac:dyDescent="0.35">
      <c r="A16" s="61" t="s">
        <v>4</v>
      </c>
      <c r="B16" s="23">
        <f t="shared" si="0"/>
        <v>14.151756602987955</v>
      </c>
      <c r="C16" s="23">
        <f t="shared" si="0"/>
        <v>15.566932263286752</v>
      </c>
      <c r="D16" s="23">
        <f t="shared" si="1"/>
        <v>17.123625489615428</v>
      </c>
      <c r="E16" s="23">
        <f t="shared" si="2"/>
        <v>19.007224293473126</v>
      </c>
      <c r="F16" s="23">
        <f t="shared" si="3"/>
        <v>23.378885880971946</v>
      </c>
      <c r="G16" s="23">
        <f t="shared" si="4"/>
        <v>18.469319845967838</v>
      </c>
      <c r="H16" s="23">
        <f t="shared" si="5"/>
        <v>25.302968188975942</v>
      </c>
      <c r="I16" s="23">
        <f t="shared" si="6"/>
        <v>15.434810595275325</v>
      </c>
      <c r="J16" s="23">
        <f t="shared" si="7"/>
        <v>14.200025747653299</v>
      </c>
      <c r="K16" s="23">
        <f t="shared" si="8"/>
        <v>11.076020083169574</v>
      </c>
      <c r="L16" s="23">
        <f t="shared" si="9"/>
        <v>6.7563722507334401</v>
      </c>
      <c r="M16" s="4">
        <f>$M$8*'[2]Eurostat POM Portables GU'!M7</f>
        <v>9.8643034860708223</v>
      </c>
      <c r="N16" s="4">
        <f>$N$8*'[2]Eurostat POM Portables GU'!N7</f>
        <v>7.7849054632147512</v>
      </c>
      <c r="O16" s="4">
        <f>$O$8*'[2]Eurostat POM Portables GU'!O7</f>
        <v>4.7043702092190509</v>
      </c>
      <c r="P16" s="4">
        <f>$P$8*'[2]Eurostat POM Portables GU'!P7</f>
        <v>3.714661819404995</v>
      </c>
      <c r="Q16" s="4">
        <f>$Q$8*'[2]Eurostat POM Portables GU'!Q7</f>
        <v>3.2431391920572237</v>
      </c>
      <c r="R16" s="4">
        <f>$R$8*'[2]Eurostat POM Portables GU'!R7</f>
        <v>2.7182495066247592</v>
      </c>
      <c r="S16" s="4">
        <f>$S$8*'[2]Eurostat POM Portables GU'!S7</f>
        <v>2.0101176408814281</v>
      </c>
      <c r="T16" s="4">
        <f>$T$8*'[2]Eurostat POM Portables GU'!T7</f>
        <v>1.5311308972135476</v>
      </c>
      <c r="U16" s="4">
        <f>$U$8*'[2]Eurostat POM Portables GU'!U7</f>
        <v>1.2043436749709171</v>
      </c>
      <c r="V16" s="4">
        <f>$V$8*'[2]Eurostat POM Portables GU'!V7</f>
        <v>1.0731565597173818</v>
      </c>
      <c r="W16" s="4">
        <f>$W$8*'[2]Eurostat POM Portables GU'!W7</f>
        <v>1.0244</v>
      </c>
      <c r="X16" s="67">
        <f>'[3]POM Portables NiCd'!AC16</f>
        <v>0.81952000000000003</v>
      </c>
      <c r="Y16" s="67">
        <f>'[3]POM Portables NiCd'!AD16</f>
        <v>0.40976000000000001</v>
      </c>
      <c r="Z16" s="67">
        <f>'[3]POM Portables NiCd'!AE16</f>
        <v>0.10243999999999998</v>
      </c>
      <c r="AA16" s="48">
        <f>'[3]POM Portables NiCd'!AF16</f>
        <v>0</v>
      </c>
      <c r="AB16" s="48">
        <f>'[3]POM Portables NiCd'!AG16</f>
        <v>0</v>
      </c>
      <c r="AC16" s="48">
        <f>'[3]POM Portables NiCd'!AH16</f>
        <v>0</v>
      </c>
      <c r="AD16" s="48">
        <f>'[3]POM Portables NiCd'!AI16</f>
        <v>0</v>
      </c>
      <c r="AE16" s="48">
        <f>'[3]POM Portables NiCd'!AJ16</f>
        <v>0</v>
      </c>
      <c r="AF16" s="48">
        <f>'[3]POM Portables NiCd'!AK16</f>
        <v>0</v>
      </c>
      <c r="AG16" s="48">
        <f>'[3]POM Portables NiCd'!AL16</f>
        <v>0</v>
      </c>
      <c r="AH16" s="48">
        <f>'[3]POM Portables NiCd'!AM16</f>
        <v>0</v>
      </c>
      <c r="AI16" s="48">
        <f>'[3]POM Portables NiCd'!AN16</f>
        <v>0</v>
      </c>
      <c r="AJ16" s="48">
        <f>'[3]POM Portables NiCd'!AO16</f>
        <v>0</v>
      </c>
      <c r="AK16" s="48">
        <f>'[3]POM Portables NiCd'!AP16</f>
        <v>0</v>
      </c>
      <c r="AL16" s="48">
        <f>'[3]POM Portables NiCd'!AQ16</f>
        <v>0</v>
      </c>
      <c r="AM16" s="48">
        <f>'[3]POM Portables NiCd'!AR16</f>
        <v>0</v>
      </c>
      <c r="AN16" s="48">
        <f>'[3]POM Portables NiCd'!AS16</f>
        <v>0</v>
      </c>
      <c r="AO16" s="48">
        <f>'[3]POM Portables NiCd'!AT16</f>
        <v>0</v>
      </c>
      <c r="AP16" s="48">
        <f>'[3]POM Portables NiCd'!AU16</f>
        <v>0</v>
      </c>
      <c r="AQ16" s="48">
        <f>'[3]POM Portables NiCd'!AV16</f>
        <v>0</v>
      </c>
      <c r="AR16" s="48">
        <f>'[3]POM Portables NiCd'!AW16</f>
        <v>0</v>
      </c>
      <c r="AS16" s="48">
        <f>'[3]POM Portables NiCd'!AX16</f>
        <v>0</v>
      </c>
      <c r="AT16" s="48">
        <f>'[3]POM Portables NiCd'!AY16</f>
        <v>0</v>
      </c>
      <c r="AU16" s="48">
        <f>'[3]POM Portables NiCd'!AZ16</f>
        <v>0</v>
      </c>
      <c r="AV16" s="48">
        <f>'[3]POM Portables NiCd'!BA16</f>
        <v>0</v>
      </c>
      <c r="AW16" s="48">
        <f>'[3]POM Portables NiCd'!BB16</f>
        <v>0</v>
      </c>
      <c r="AX16" s="48">
        <f>'[3]POM Portables NiCd'!BC16</f>
        <v>0</v>
      </c>
      <c r="AY16" s="48">
        <f>'[3]POM Portables NiCd'!BD16</f>
        <v>0</v>
      </c>
      <c r="AZ16" s="48">
        <f>'[3]POM Portables NiCd'!BE16</f>
        <v>0</v>
      </c>
    </row>
    <row r="17" spans="1:52" x14ac:dyDescent="0.35">
      <c r="A17" s="61" t="s">
        <v>5</v>
      </c>
      <c r="B17" s="23">
        <f t="shared" si="0"/>
        <v>173.85710270826061</v>
      </c>
      <c r="C17" s="23">
        <f t="shared" si="0"/>
        <v>191.24281297908669</v>
      </c>
      <c r="D17" s="23">
        <f t="shared" si="1"/>
        <v>210.36709427699537</v>
      </c>
      <c r="E17" s="23">
        <f t="shared" si="2"/>
        <v>233.50747464746487</v>
      </c>
      <c r="F17" s="23">
        <f t="shared" si="3"/>
        <v>287.21419381638179</v>
      </c>
      <c r="G17" s="23">
        <f t="shared" si="4"/>
        <v>226.89921311494163</v>
      </c>
      <c r="H17" s="23">
        <f t="shared" si="5"/>
        <v>310.85192196747005</v>
      </c>
      <c r="I17" s="23">
        <f t="shared" si="6"/>
        <v>189.61967240015673</v>
      </c>
      <c r="J17" s="23">
        <f t="shared" si="7"/>
        <v>174.4500986081442</v>
      </c>
      <c r="K17" s="23">
        <f t="shared" si="8"/>
        <v>136.07107691435249</v>
      </c>
      <c r="L17" s="23">
        <f t="shared" si="9"/>
        <v>83.003356917755013</v>
      </c>
      <c r="M17" s="4">
        <f>$M$8*'[2]Eurostat POM Portables GU'!M8</f>
        <v>121.18490109992231</v>
      </c>
      <c r="N17" s="4">
        <f>$N$8*'[2]Eurostat POM Portables GU'!N8</f>
        <v>112.81248626530277</v>
      </c>
      <c r="O17" s="4">
        <f>$O$8*'[2]Eurostat POM Portables GU'!O8</f>
        <v>86.262452737478199</v>
      </c>
      <c r="P17" s="4">
        <f>$P$8*'[2]Eurostat POM Portables GU'!P8</f>
        <v>77.636432025564389</v>
      </c>
      <c r="Q17" s="4">
        <f>$Q$8*'[2]Eurostat POM Portables GU'!Q8</f>
        <v>62.422557750033455</v>
      </c>
      <c r="R17" s="4">
        <f>$R$8*'[2]Eurostat POM Portables GU'!R8</f>
        <v>52.136283191044548</v>
      </c>
      <c r="S17" s="4">
        <f>$S$8*'[2]Eurostat POM Portables GU'!S8</f>
        <v>35.060592671854614</v>
      </c>
      <c r="T17" s="4">
        <f>$T$8*'[2]Eurostat POM Portables GU'!T8</f>
        <v>30.683256791685348</v>
      </c>
      <c r="U17" s="4">
        <f>$U$8*'[2]Eurostat POM Portables GU'!U8</f>
        <v>29.544270838000841</v>
      </c>
      <c r="V17" s="4">
        <f>$V$8*'[2]Eurostat POM Portables GU'!V8</f>
        <v>26.236827615159438</v>
      </c>
      <c r="W17" s="4">
        <f>$W$8*'[2]Eurostat POM Portables GU'!W8</f>
        <v>27.071199999999997</v>
      </c>
      <c r="X17" s="67">
        <f>'[3]POM Portables NiCd'!AC17</f>
        <v>21.656959999999998</v>
      </c>
      <c r="Y17" s="67">
        <f>'[3]POM Portables NiCd'!AD17</f>
        <v>10.828479999999999</v>
      </c>
      <c r="Z17" s="67">
        <f>'[3]POM Portables NiCd'!AE17</f>
        <v>2.7071199999999997</v>
      </c>
      <c r="AA17" s="48">
        <f>'[3]POM Portables NiCd'!AF17</f>
        <v>0</v>
      </c>
      <c r="AB17" s="48">
        <f>'[3]POM Portables NiCd'!AG17</f>
        <v>0</v>
      </c>
      <c r="AC17" s="48">
        <f>'[3]POM Portables NiCd'!AH17</f>
        <v>0</v>
      </c>
      <c r="AD17" s="48">
        <f>'[3]POM Portables NiCd'!AI17</f>
        <v>0</v>
      </c>
      <c r="AE17" s="48">
        <f>'[3]POM Portables NiCd'!AJ17</f>
        <v>0</v>
      </c>
      <c r="AF17" s="48">
        <f>'[3]POM Portables NiCd'!AK17</f>
        <v>0</v>
      </c>
      <c r="AG17" s="48">
        <f>'[3]POM Portables NiCd'!AL17</f>
        <v>0</v>
      </c>
      <c r="AH17" s="48">
        <f>'[3]POM Portables NiCd'!AM17</f>
        <v>0</v>
      </c>
      <c r="AI17" s="48">
        <f>'[3]POM Portables NiCd'!AN17</f>
        <v>0</v>
      </c>
      <c r="AJ17" s="48">
        <f>'[3]POM Portables NiCd'!AO17</f>
        <v>0</v>
      </c>
      <c r="AK17" s="48">
        <f>'[3]POM Portables NiCd'!AP17</f>
        <v>0</v>
      </c>
      <c r="AL17" s="48">
        <f>'[3]POM Portables NiCd'!AQ17</f>
        <v>0</v>
      </c>
      <c r="AM17" s="48">
        <f>'[3]POM Portables NiCd'!AR17</f>
        <v>0</v>
      </c>
      <c r="AN17" s="48">
        <f>'[3]POM Portables NiCd'!AS17</f>
        <v>0</v>
      </c>
      <c r="AO17" s="48">
        <f>'[3]POM Portables NiCd'!AT17</f>
        <v>0</v>
      </c>
      <c r="AP17" s="48">
        <f>'[3]POM Portables NiCd'!AU17</f>
        <v>0</v>
      </c>
      <c r="AQ17" s="48">
        <f>'[3]POM Portables NiCd'!AV17</f>
        <v>0</v>
      </c>
      <c r="AR17" s="48">
        <f>'[3]POM Portables NiCd'!AW17</f>
        <v>0</v>
      </c>
      <c r="AS17" s="48">
        <f>'[3]POM Portables NiCd'!AX17</f>
        <v>0</v>
      </c>
      <c r="AT17" s="48">
        <f>'[3]POM Portables NiCd'!AY17</f>
        <v>0</v>
      </c>
      <c r="AU17" s="48">
        <f>'[3]POM Portables NiCd'!AZ17</f>
        <v>0</v>
      </c>
      <c r="AV17" s="48">
        <f>'[3]POM Portables NiCd'!BA17</f>
        <v>0</v>
      </c>
      <c r="AW17" s="48">
        <f>'[3]POM Portables NiCd'!BB17</f>
        <v>0</v>
      </c>
      <c r="AX17" s="48">
        <f>'[3]POM Portables NiCd'!BC17</f>
        <v>0</v>
      </c>
      <c r="AY17" s="48">
        <f>'[3]POM Portables NiCd'!BD17</f>
        <v>0</v>
      </c>
      <c r="AZ17" s="48">
        <f>'[3]POM Portables NiCd'!BE17</f>
        <v>0</v>
      </c>
    </row>
    <row r="18" spans="1:52" x14ac:dyDescent="0.35">
      <c r="A18" s="61" t="s">
        <v>6</v>
      </c>
      <c r="B18" s="23">
        <f t="shared" si="0"/>
        <v>173.66197689152855</v>
      </c>
      <c r="C18" s="23">
        <f t="shared" si="0"/>
        <v>191.02817458068142</v>
      </c>
      <c r="D18" s="23">
        <f t="shared" si="1"/>
        <v>210.13099203874958</v>
      </c>
      <c r="E18" s="23">
        <f t="shared" si="2"/>
        <v>233.24540116301205</v>
      </c>
      <c r="F18" s="23">
        <f t="shared" si="3"/>
        <v>286.89184343050482</v>
      </c>
      <c r="G18" s="23">
        <f t="shared" si="4"/>
        <v>226.64455631009884</v>
      </c>
      <c r="H18" s="23">
        <f t="shared" si="5"/>
        <v>310.50304214483543</v>
      </c>
      <c r="I18" s="23">
        <f t="shared" si="6"/>
        <v>189.40685570834961</v>
      </c>
      <c r="J18" s="23">
        <f t="shared" si="7"/>
        <v>174.25430725168164</v>
      </c>
      <c r="K18" s="23">
        <f t="shared" si="8"/>
        <v>135.91835965631168</v>
      </c>
      <c r="L18" s="23">
        <f t="shared" si="9"/>
        <v>82.91019939035013</v>
      </c>
      <c r="M18" s="4">
        <f>$M$8*'[2]Eurostat POM Portables GU'!M9</f>
        <v>121.04889110991118</v>
      </c>
      <c r="N18" s="4">
        <f>$N$8*'[2]Eurostat POM Portables GU'!N9</f>
        <v>111.76468928584278</v>
      </c>
      <c r="O18" s="4">
        <f>$O$8*'[2]Eurostat POM Portables GU'!O9</f>
        <v>73.596840635734608</v>
      </c>
      <c r="P18" s="4">
        <f>$P$8*'[2]Eurostat POM Portables GU'!P9</f>
        <v>68.760345362354556</v>
      </c>
      <c r="Q18" s="4">
        <f>$Q$8*'[2]Eurostat POM Portables GU'!Q9</f>
        <v>58.07738096844222</v>
      </c>
      <c r="R18" s="4">
        <f>$R$8*'[2]Eurostat POM Portables GU'!R9</f>
        <v>50.732068990939815</v>
      </c>
      <c r="S18" s="4">
        <f>$S$8*'[2]Eurostat POM Portables GU'!S9</f>
        <v>31.877187480930804</v>
      </c>
      <c r="T18" s="4">
        <f>$T$8*'[2]Eurostat POM Portables GU'!T9</f>
        <v>33.91985527242884</v>
      </c>
      <c r="U18" s="4">
        <f>$U$8*'[2]Eurostat POM Portables GU'!U9</f>
        <v>27.761842199043883</v>
      </c>
      <c r="V18" s="4">
        <f>$V$8*'[2]Eurostat POM Portables GU'!V9</f>
        <v>26.072946564168113</v>
      </c>
      <c r="W18" s="4">
        <f>$W$8*'[2]Eurostat POM Portables GU'!W9</f>
        <v>26.5928</v>
      </c>
      <c r="X18" s="67">
        <f>'[3]POM Portables NiCd'!AC18</f>
        <v>21.274239999999999</v>
      </c>
      <c r="Y18" s="67">
        <f>'[3]POM Portables NiCd'!AD18</f>
        <v>10.637119999999999</v>
      </c>
      <c r="Z18" s="67">
        <f>'[3]POM Portables NiCd'!AE18</f>
        <v>2.6592799999999999</v>
      </c>
      <c r="AA18" s="48">
        <f>'[3]POM Portables NiCd'!AF18</f>
        <v>0</v>
      </c>
      <c r="AB18" s="48">
        <f>'[3]POM Portables NiCd'!AG18</f>
        <v>0</v>
      </c>
      <c r="AC18" s="48">
        <f>'[3]POM Portables NiCd'!AH18</f>
        <v>0</v>
      </c>
      <c r="AD18" s="48">
        <f>'[3]POM Portables NiCd'!AI18</f>
        <v>0</v>
      </c>
      <c r="AE18" s="48">
        <f>'[3]POM Portables NiCd'!AJ18</f>
        <v>0</v>
      </c>
      <c r="AF18" s="48">
        <f>'[3]POM Portables NiCd'!AK18</f>
        <v>0</v>
      </c>
      <c r="AG18" s="48">
        <f>'[3]POM Portables NiCd'!AL18</f>
        <v>0</v>
      </c>
      <c r="AH18" s="48">
        <f>'[3]POM Portables NiCd'!AM18</f>
        <v>0</v>
      </c>
      <c r="AI18" s="48">
        <f>'[3]POM Portables NiCd'!AN18</f>
        <v>0</v>
      </c>
      <c r="AJ18" s="48">
        <f>'[3]POM Portables NiCd'!AO18</f>
        <v>0</v>
      </c>
      <c r="AK18" s="48">
        <f>'[3]POM Portables NiCd'!AP18</f>
        <v>0</v>
      </c>
      <c r="AL18" s="48">
        <f>'[3]POM Portables NiCd'!AQ18</f>
        <v>0</v>
      </c>
      <c r="AM18" s="48">
        <f>'[3]POM Portables NiCd'!AR18</f>
        <v>0</v>
      </c>
      <c r="AN18" s="48">
        <f>'[3]POM Portables NiCd'!AS18</f>
        <v>0</v>
      </c>
      <c r="AO18" s="48">
        <f>'[3]POM Portables NiCd'!AT18</f>
        <v>0</v>
      </c>
      <c r="AP18" s="48">
        <f>'[3]POM Portables NiCd'!AU18</f>
        <v>0</v>
      </c>
      <c r="AQ18" s="48">
        <f>'[3]POM Portables NiCd'!AV18</f>
        <v>0</v>
      </c>
      <c r="AR18" s="48">
        <f>'[3]POM Portables NiCd'!AW18</f>
        <v>0</v>
      </c>
      <c r="AS18" s="48">
        <f>'[3]POM Portables NiCd'!AX18</f>
        <v>0</v>
      </c>
      <c r="AT18" s="48">
        <f>'[3]POM Portables NiCd'!AY18</f>
        <v>0</v>
      </c>
      <c r="AU18" s="48">
        <f>'[3]POM Portables NiCd'!AZ18</f>
        <v>0</v>
      </c>
      <c r="AV18" s="48">
        <f>'[3]POM Portables NiCd'!BA18</f>
        <v>0</v>
      </c>
      <c r="AW18" s="48">
        <f>'[3]POM Portables NiCd'!BB18</f>
        <v>0</v>
      </c>
      <c r="AX18" s="48">
        <f>'[3]POM Portables NiCd'!BC18</f>
        <v>0</v>
      </c>
      <c r="AY18" s="48">
        <f>'[3]POM Portables NiCd'!BD18</f>
        <v>0</v>
      </c>
      <c r="AZ18" s="48">
        <f>'[3]POM Portables NiCd'!BE18</f>
        <v>0</v>
      </c>
    </row>
    <row r="19" spans="1:52" x14ac:dyDescent="0.35">
      <c r="A19" s="61" t="s">
        <v>7</v>
      </c>
      <c r="B19" s="23">
        <f t="shared" si="0"/>
        <v>24.499689455481931</v>
      </c>
      <c r="C19" s="23">
        <f t="shared" si="0"/>
        <v>26.949658401030128</v>
      </c>
      <c r="D19" s="23">
        <f t="shared" si="1"/>
        <v>29.644624241133144</v>
      </c>
      <c r="E19" s="23">
        <f t="shared" si="2"/>
        <v>32.905532907657793</v>
      </c>
      <c r="F19" s="23">
        <f t="shared" si="3"/>
        <v>40.473805476419088</v>
      </c>
      <c r="G19" s="23">
        <f t="shared" si="4"/>
        <v>31.974306326371078</v>
      </c>
      <c r="H19" s="23">
        <f t="shared" si="5"/>
        <v>43.804799667128378</v>
      </c>
      <c r="I19" s="23">
        <f t="shared" si="6"/>
        <v>26.72092779694831</v>
      </c>
      <c r="J19" s="23">
        <f t="shared" si="7"/>
        <v>24.583253573192447</v>
      </c>
      <c r="K19" s="23">
        <f t="shared" si="8"/>
        <v>19.174937787090109</v>
      </c>
      <c r="L19" s="23">
        <f t="shared" si="9"/>
        <v>11.696712050124965</v>
      </c>
      <c r="M19" s="4">
        <f>$M$8*'[2]Eurostat POM Portables GU'!M10</f>
        <v>17.077199593182449</v>
      </c>
      <c r="N19" s="4">
        <f>$N$8*'[2]Eurostat POM Portables GU'!N10</f>
        <v>15.71066340201976</v>
      </c>
      <c r="O19" s="4">
        <f>$O$8*'[2]Eurostat POM Portables GU'!O10</f>
        <v>10.951336777701854</v>
      </c>
      <c r="P19" s="4">
        <f>$P$8*'[2]Eurostat POM Portables GU'!P10</f>
        <v>8.7685960806672583</v>
      </c>
      <c r="Q19" s="4">
        <f>$Q$8*'[2]Eurostat POM Portables GU'!Q10</f>
        <v>7.3049348791968534</v>
      </c>
      <c r="R19" s="4">
        <f>$R$8*'[2]Eurostat POM Portables GU'!R10</f>
        <v>6.1708128610107087</v>
      </c>
      <c r="S19" s="4">
        <f>$S$8*'[2]Eurostat POM Portables GU'!S10</f>
        <v>4.2186589115494355</v>
      </c>
      <c r="T19" s="4">
        <f>$T$8*'[2]Eurostat POM Portables GU'!T10</f>
        <v>3.6610704126442744</v>
      </c>
      <c r="U19" s="4">
        <f>$U$8*'[2]Eurostat POM Portables GU'!U10</f>
        <v>3.2689328320639177</v>
      </c>
      <c r="V19" s="4">
        <f>$V$8*'[2]Eurostat POM Portables GU'!V10</f>
        <v>2.8652751495902509</v>
      </c>
      <c r="W19" s="4">
        <f>$W$8*'[2]Eurostat POM Portables GU'!W10</f>
        <v>2.7039999999999997</v>
      </c>
      <c r="X19" s="67">
        <f>'[3]POM Portables NiCd'!AC19</f>
        <v>2.1631999999999998</v>
      </c>
      <c r="Y19" s="67">
        <f>'[3]POM Portables NiCd'!AD19</f>
        <v>1.0815999999999999</v>
      </c>
      <c r="Z19" s="67">
        <f>'[3]POM Portables NiCd'!AE19</f>
        <v>0.27039999999999997</v>
      </c>
      <c r="AA19" s="48">
        <f>'[3]POM Portables NiCd'!AF19</f>
        <v>0</v>
      </c>
      <c r="AB19" s="48">
        <f>'[3]POM Portables NiCd'!AG19</f>
        <v>0</v>
      </c>
      <c r="AC19" s="48">
        <f>'[3]POM Portables NiCd'!AH19</f>
        <v>0</v>
      </c>
      <c r="AD19" s="48">
        <f>'[3]POM Portables NiCd'!AI19</f>
        <v>0</v>
      </c>
      <c r="AE19" s="48">
        <f>'[3]POM Portables NiCd'!AJ19</f>
        <v>0</v>
      </c>
      <c r="AF19" s="48">
        <f>'[3]POM Portables NiCd'!AK19</f>
        <v>0</v>
      </c>
      <c r="AG19" s="48">
        <f>'[3]POM Portables NiCd'!AL19</f>
        <v>0</v>
      </c>
      <c r="AH19" s="48">
        <f>'[3]POM Portables NiCd'!AM19</f>
        <v>0</v>
      </c>
      <c r="AI19" s="48">
        <f>'[3]POM Portables NiCd'!AN19</f>
        <v>0</v>
      </c>
      <c r="AJ19" s="48">
        <f>'[3]POM Portables NiCd'!AO19</f>
        <v>0</v>
      </c>
      <c r="AK19" s="48">
        <f>'[3]POM Portables NiCd'!AP19</f>
        <v>0</v>
      </c>
      <c r="AL19" s="48">
        <f>'[3]POM Portables NiCd'!AQ19</f>
        <v>0</v>
      </c>
      <c r="AM19" s="48">
        <f>'[3]POM Portables NiCd'!AR19</f>
        <v>0</v>
      </c>
      <c r="AN19" s="48">
        <f>'[3]POM Portables NiCd'!AS19</f>
        <v>0</v>
      </c>
      <c r="AO19" s="48">
        <f>'[3]POM Portables NiCd'!AT19</f>
        <v>0</v>
      </c>
      <c r="AP19" s="48">
        <f>'[3]POM Portables NiCd'!AU19</f>
        <v>0</v>
      </c>
      <c r="AQ19" s="48">
        <f>'[3]POM Portables NiCd'!AV19</f>
        <v>0</v>
      </c>
      <c r="AR19" s="48">
        <f>'[3]POM Portables NiCd'!AW19</f>
        <v>0</v>
      </c>
      <c r="AS19" s="48">
        <f>'[3]POM Portables NiCd'!AX19</f>
        <v>0</v>
      </c>
      <c r="AT19" s="48">
        <f>'[3]POM Portables NiCd'!AY19</f>
        <v>0</v>
      </c>
      <c r="AU19" s="48">
        <f>'[3]POM Portables NiCd'!AZ19</f>
        <v>0</v>
      </c>
      <c r="AV19" s="48">
        <f>'[3]POM Portables NiCd'!BA19</f>
        <v>0</v>
      </c>
      <c r="AW19" s="48">
        <f>'[3]POM Portables NiCd'!BB19</f>
        <v>0</v>
      </c>
      <c r="AX19" s="48">
        <f>'[3]POM Portables NiCd'!BC19</f>
        <v>0</v>
      </c>
      <c r="AY19" s="48">
        <f>'[3]POM Portables NiCd'!BD19</f>
        <v>0</v>
      </c>
      <c r="AZ19" s="48">
        <f>'[3]POM Portables NiCd'!BE19</f>
        <v>0</v>
      </c>
    </row>
    <row r="20" spans="1:52" x14ac:dyDescent="0.35">
      <c r="A20" s="61" t="s">
        <v>8</v>
      </c>
      <c r="B20" s="23">
        <f t="shared" si="0"/>
        <v>141.87700832385963</v>
      </c>
      <c r="C20" s="23">
        <f t="shared" si="0"/>
        <v>156.06470915624561</v>
      </c>
      <c r="D20" s="23">
        <f t="shared" si="1"/>
        <v>171.6711800718702</v>
      </c>
      <c r="E20" s="23">
        <f t="shared" si="2"/>
        <v>190.55500987977592</v>
      </c>
      <c r="F20" s="23">
        <f t="shared" si="3"/>
        <v>234.3826621521244</v>
      </c>
      <c r="G20" s="23">
        <f t="shared" si="4"/>
        <v>185.16230310017829</v>
      </c>
      <c r="H20" s="23">
        <f t="shared" si="5"/>
        <v>253.67235524724427</v>
      </c>
      <c r="I20" s="23">
        <f t="shared" si="6"/>
        <v>154.74013670081899</v>
      </c>
      <c r="J20" s="23">
        <f t="shared" si="7"/>
        <v>142.36092576475349</v>
      </c>
      <c r="K20" s="23">
        <f t="shared" si="8"/>
        <v>111.04152209650773</v>
      </c>
      <c r="L20" s="23">
        <f t="shared" si="9"/>
        <v>67.735328478869718</v>
      </c>
      <c r="M20" s="4">
        <f>$M$8*'[2]Eurostat POM Portables GU'!M11</f>
        <v>98.893579579149787</v>
      </c>
      <c r="N20" s="4">
        <f>$N$8*'[2]Eurostat POM Portables GU'!N11</f>
        <v>83.038991607624013</v>
      </c>
      <c r="O20" s="4">
        <f>$O$8*'[2]Eurostat POM Portables GU'!O11</f>
        <v>63.516047330265209</v>
      </c>
      <c r="P20" s="4">
        <f>$P$8*'[2]Eurostat POM Portables GU'!P11</f>
        <v>51.829307806540214</v>
      </c>
      <c r="Q20" s="4">
        <f>$Q$8*'[2]Eurostat POM Portables GU'!Q11</f>
        <v>45.089080806077128</v>
      </c>
      <c r="R20" s="4">
        <f>$R$8*'[2]Eurostat POM Portables GU'!R11</f>
        <v>38.983047426760763</v>
      </c>
      <c r="S20" s="4">
        <f>$S$8*'[2]Eurostat POM Portables GU'!S11</f>
        <v>27.434223596579148</v>
      </c>
      <c r="T20" s="4">
        <f>$T$8*'[2]Eurostat POM Portables GU'!T11</f>
        <v>26.226301506727101</v>
      </c>
      <c r="U20" s="4">
        <f>$U$8*'[2]Eurostat POM Portables GU'!U11</f>
        <v>24.885181306827636</v>
      </c>
      <c r="V20" s="4">
        <f>$V$8*'[2]Eurostat POM Portables GU'!V11</f>
        <v>19.168796480469094</v>
      </c>
      <c r="W20" s="4">
        <f>$W$8*'[2]Eurostat POM Portables GU'!W11</f>
        <v>21.1432</v>
      </c>
      <c r="X20" s="67">
        <f>'[3]POM Portables NiCd'!AC20</f>
        <v>16.914560000000002</v>
      </c>
      <c r="Y20" s="67">
        <f>'[3]POM Portables NiCd'!AD20</f>
        <v>8.4572800000000008</v>
      </c>
      <c r="Z20" s="67">
        <f>'[3]POM Portables NiCd'!AE20</f>
        <v>2.1143200000000002</v>
      </c>
      <c r="AA20" s="48">
        <f>'[3]POM Portables NiCd'!AF20</f>
        <v>0</v>
      </c>
      <c r="AB20" s="48">
        <f>'[3]POM Portables NiCd'!AG20</f>
        <v>0</v>
      </c>
      <c r="AC20" s="48">
        <f>'[3]POM Portables NiCd'!AH20</f>
        <v>0</v>
      </c>
      <c r="AD20" s="48">
        <f>'[3]POM Portables NiCd'!AI20</f>
        <v>0</v>
      </c>
      <c r="AE20" s="48">
        <f>'[3]POM Portables NiCd'!AJ20</f>
        <v>0</v>
      </c>
      <c r="AF20" s="48">
        <f>'[3]POM Portables NiCd'!AK20</f>
        <v>0</v>
      </c>
      <c r="AG20" s="48">
        <f>'[3]POM Portables NiCd'!AL20</f>
        <v>0</v>
      </c>
      <c r="AH20" s="48">
        <f>'[3]POM Portables NiCd'!AM20</f>
        <v>0</v>
      </c>
      <c r="AI20" s="48">
        <f>'[3]POM Portables NiCd'!AN20</f>
        <v>0</v>
      </c>
      <c r="AJ20" s="48">
        <f>'[3]POM Portables NiCd'!AO20</f>
        <v>0</v>
      </c>
      <c r="AK20" s="48">
        <f>'[3]POM Portables NiCd'!AP20</f>
        <v>0</v>
      </c>
      <c r="AL20" s="48">
        <f>'[3]POM Portables NiCd'!AQ20</f>
        <v>0</v>
      </c>
      <c r="AM20" s="48">
        <f>'[3]POM Portables NiCd'!AR20</f>
        <v>0</v>
      </c>
      <c r="AN20" s="48">
        <f>'[3]POM Portables NiCd'!AS20</f>
        <v>0</v>
      </c>
      <c r="AO20" s="48">
        <f>'[3]POM Portables NiCd'!AT20</f>
        <v>0</v>
      </c>
      <c r="AP20" s="48">
        <f>'[3]POM Portables NiCd'!AU20</f>
        <v>0</v>
      </c>
      <c r="AQ20" s="48">
        <f>'[3]POM Portables NiCd'!AV20</f>
        <v>0</v>
      </c>
      <c r="AR20" s="48">
        <f>'[3]POM Portables NiCd'!AW20</f>
        <v>0</v>
      </c>
      <c r="AS20" s="48">
        <f>'[3]POM Portables NiCd'!AX20</f>
        <v>0</v>
      </c>
      <c r="AT20" s="48">
        <f>'[3]POM Portables NiCd'!AY20</f>
        <v>0</v>
      </c>
      <c r="AU20" s="48">
        <f>'[3]POM Portables NiCd'!AZ20</f>
        <v>0</v>
      </c>
      <c r="AV20" s="48">
        <f>'[3]POM Portables NiCd'!BA20</f>
        <v>0</v>
      </c>
      <c r="AW20" s="48">
        <f>'[3]POM Portables NiCd'!BB20</f>
        <v>0</v>
      </c>
      <c r="AX20" s="48">
        <f>'[3]POM Portables NiCd'!BC20</f>
        <v>0</v>
      </c>
      <c r="AY20" s="48">
        <f>'[3]POM Portables NiCd'!BD20</f>
        <v>0</v>
      </c>
      <c r="AZ20" s="48">
        <f>'[3]POM Portables NiCd'!BE20</f>
        <v>0</v>
      </c>
    </row>
    <row r="21" spans="1:52" x14ac:dyDescent="0.35">
      <c r="A21" s="61" t="s">
        <v>9</v>
      </c>
      <c r="B21" s="23">
        <f t="shared" si="0"/>
        <v>1591.3998985521803</v>
      </c>
      <c r="C21" s="23">
        <f t="shared" si="0"/>
        <v>1750.5398884073984</v>
      </c>
      <c r="D21" s="23">
        <f t="shared" si="1"/>
        <v>1925.5938772481384</v>
      </c>
      <c r="E21" s="23">
        <f t="shared" si="2"/>
        <v>2137.4092037454338</v>
      </c>
      <c r="F21" s="23">
        <f t="shared" si="3"/>
        <v>2629.0133206068836</v>
      </c>
      <c r="G21" s="23">
        <f t="shared" si="4"/>
        <v>2076.9205232794379</v>
      </c>
      <c r="H21" s="23">
        <f t="shared" si="5"/>
        <v>2845.3811168928301</v>
      </c>
      <c r="I21" s="23">
        <f t="shared" si="6"/>
        <v>1735.6824813046262</v>
      </c>
      <c r="J21" s="23">
        <f t="shared" si="7"/>
        <v>1596.8278828002562</v>
      </c>
      <c r="K21" s="23">
        <f t="shared" si="8"/>
        <v>1245.5257485841998</v>
      </c>
      <c r="L21" s="23">
        <f t="shared" si="9"/>
        <v>759.77070663636187</v>
      </c>
      <c r="M21" s="4">
        <f>M5*'[2]Eurostat POM Portables GU'!M12</f>
        <v>1109.2652316890883</v>
      </c>
      <c r="N21" s="4">
        <f>N5*'[2]Eurostat POM Portables GU'!N12</f>
        <v>948.23238466147393</v>
      </c>
      <c r="O21" s="4">
        <f>O5*'[2]Eurostat POM Portables GU'!O12</f>
        <v>731.70206213580502</v>
      </c>
      <c r="P21" s="4">
        <f>P5*'[2]Eurostat POM Portables GU'!P12</f>
        <v>592.59992984022711</v>
      </c>
      <c r="Q21" s="4">
        <f>Q5*'[2]Eurostat POM Portables GU'!Q12</f>
        <v>481</v>
      </c>
      <c r="R21" s="4">
        <f>R5*'[2]Eurostat POM Portables GU'!R12</f>
        <v>249.99999999999997</v>
      </c>
      <c r="S21" s="4">
        <f>S5*'[2]Eurostat POM Portables GU'!S12</f>
        <v>65</v>
      </c>
      <c r="T21" s="4">
        <f>T5*'[2]Eurostat POM Portables GU'!T12</f>
        <v>49.158479569617008</v>
      </c>
      <c r="U21" s="4">
        <f>U5*'[2]Eurostat POM Portables GU'!U12</f>
        <v>55.293194833678569</v>
      </c>
      <c r="V21" s="4">
        <f>V5*'[2]Eurostat POM Portables GU'!V12</f>
        <v>22.172891721201385</v>
      </c>
      <c r="W21" s="4">
        <f>$W$5*'[2]Eurostat POM Portables GU'!W12</f>
        <v>0</v>
      </c>
      <c r="X21" s="67">
        <f>'[3]POM Portables NiCd'!AC21</f>
        <v>0</v>
      </c>
      <c r="Y21" s="67">
        <f>'[3]POM Portables NiCd'!AD21</f>
        <v>0</v>
      </c>
      <c r="Z21" s="67">
        <f>'[3]POM Portables NiCd'!AE21</f>
        <v>0</v>
      </c>
      <c r="AA21" s="48">
        <f>'[3]POM Portables NiCd'!AF21</f>
        <v>0</v>
      </c>
      <c r="AB21" s="48">
        <f>'[3]POM Portables NiCd'!AG21</f>
        <v>0</v>
      </c>
      <c r="AC21" s="48">
        <f>'[3]POM Portables NiCd'!AH21</f>
        <v>0</v>
      </c>
      <c r="AD21" s="48">
        <f>'[3]POM Portables NiCd'!AI21</f>
        <v>0</v>
      </c>
      <c r="AE21" s="48">
        <f>'[3]POM Portables NiCd'!AJ21</f>
        <v>0</v>
      </c>
      <c r="AF21" s="48">
        <f>'[3]POM Portables NiCd'!AK21</f>
        <v>0</v>
      </c>
      <c r="AG21" s="48">
        <f>'[3]POM Portables NiCd'!AL21</f>
        <v>0</v>
      </c>
      <c r="AH21" s="48">
        <f>'[3]POM Portables NiCd'!AM21</f>
        <v>0</v>
      </c>
      <c r="AI21" s="48">
        <f>'[3]POM Portables NiCd'!AN21</f>
        <v>0</v>
      </c>
      <c r="AJ21" s="48">
        <f>'[3]POM Portables NiCd'!AO21</f>
        <v>0</v>
      </c>
      <c r="AK21" s="48">
        <f>'[3]POM Portables NiCd'!AP21</f>
        <v>0</v>
      </c>
      <c r="AL21" s="48">
        <f>'[3]POM Portables NiCd'!AQ21</f>
        <v>0</v>
      </c>
      <c r="AM21" s="48">
        <f>'[3]POM Portables NiCd'!AR21</f>
        <v>0</v>
      </c>
      <c r="AN21" s="48">
        <f>'[3]POM Portables NiCd'!AS21</f>
        <v>0</v>
      </c>
      <c r="AO21" s="48">
        <f>'[3]POM Portables NiCd'!AT21</f>
        <v>0</v>
      </c>
      <c r="AP21" s="48">
        <f>'[3]POM Portables NiCd'!AU21</f>
        <v>0</v>
      </c>
      <c r="AQ21" s="48">
        <f>'[3]POM Portables NiCd'!AV21</f>
        <v>0</v>
      </c>
      <c r="AR21" s="48">
        <f>'[3]POM Portables NiCd'!AW21</f>
        <v>0</v>
      </c>
      <c r="AS21" s="48">
        <f>'[3]POM Portables NiCd'!AX21</f>
        <v>0</v>
      </c>
      <c r="AT21" s="48">
        <f>'[3]POM Portables NiCd'!AY21</f>
        <v>0</v>
      </c>
      <c r="AU21" s="48">
        <f>'[3]POM Portables NiCd'!AZ21</f>
        <v>0</v>
      </c>
      <c r="AV21" s="48">
        <f>'[3]POM Portables NiCd'!BA21</f>
        <v>0</v>
      </c>
      <c r="AW21" s="48">
        <f>'[3]POM Portables NiCd'!BB21</f>
        <v>0</v>
      </c>
      <c r="AX21" s="48">
        <f>'[3]POM Portables NiCd'!BC21</f>
        <v>0</v>
      </c>
      <c r="AY21" s="48">
        <f>'[3]POM Portables NiCd'!BD21</f>
        <v>0</v>
      </c>
      <c r="AZ21" s="48">
        <f>'[3]POM Portables NiCd'!BE21</f>
        <v>0</v>
      </c>
    </row>
    <row r="22" spans="1:52" x14ac:dyDescent="0.35">
      <c r="A22" s="61" t="s">
        <v>10</v>
      </c>
      <c r="B22" s="23">
        <f t="shared" si="0"/>
        <v>1922.9864909169112</v>
      </c>
      <c r="C22" s="23">
        <f t="shared" si="0"/>
        <v>2115.2851400086024</v>
      </c>
      <c r="D22" s="23">
        <f t="shared" si="1"/>
        <v>2326.8136540094629</v>
      </c>
      <c r="E22" s="23">
        <f t="shared" si="2"/>
        <v>2582.7631559505039</v>
      </c>
      <c r="F22" s="23">
        <f t="shared" si="3"/>
        <v>3176.7986818191198</v>
      </c>
      <c r="G22" s="23">
        <f t="shared" si="4"/>
        <v>2509.6709586371048</v>
      </c>
      <c r="H22" s="23">
        <f t="shared" si="5"/>
        <v>3438.2492133328342</v>
      </c>
      <c r="I22" s="23">
        <f t="shared" si="6"/>
        <v>2097.3320201330289</v>
      </c>
      <c r="J22" s="23">
        <f t="shared" si="7"/>
        <v>1929.5454585223865</v>
      </c>
      <c r="K22" s="23">
        <f t="shared" si="8"/>
        <v>1505.0454576474615</v>
      </c>
      <c r="L22" s="23">
        <f t="shared" si="9"/>
        <v>918.07772916495151</v>
      </c>
      <c r="M22" s="4">
        <f>M4*'[2]Eurostat POM Portables GU'!M13</f>
        <v>1340.3934845808292</v>
      </c>
      <c r="N22" s="4">
        <f>N4*'[2]Eurostat POM Portables GU'!N13</f>
        <v>1073.7033296896825</v>
      </c>
      <c r="O22" s="4">
        <f>O4*'[2]Eurostat POM Portables GU'!O13</f>
        <v>725.1727407704409</v>
      </c>
      <c r="P22" s="4">
        <f>P4*'[2]Eurostat POM Portables GU'!P13</f>
        <v>549.44352242744071</v>
      </c>
      <c r="Q22" s="4">
        <f>Q4*'[2]Eurostat POM Portables GU'!Q13</f>
        <v>473.14876325088335</v>
      </c>
      <c r="R22" s="4">
        <f>R4*'[2]Eurostat POM Portables GU'!R13</f>
        <v>380.45127376802969</v>
      </c>
      <c r="S22" s="4">
        <f>S4*'[2]Eurostat POM Portables GU'!S13</f>
        <v>255.33375088599919</v>
      </c>
      <c r="T22" s="4">
        <f>T4*'[2]Eurostat POM Portables GU'!T13</f>
        <v>191.29122431442954</v>
      </c>
      <c r="U22" s="4">
        <f>U4*'[2]Eurostat POM Portables GU'!U13</f>
        <v>147.74185950221178</v>
      </c>
      <c r="V22" s="4">
        <f>V4*'[2]Eurostat POM Portables GU'!V13</f>
        <v>196.80092330271313</v>
      </c>
      <c r="W22" s="4">
        <f>$W$4*'[2]Eurostat POM Portables GU'!W13</f>
        <v>141.37327387503203</v>
      </c>
      <c r="X22" s="67">
        <f>'[3]POM Portables NiCd'!AC22</f>
        <v>113.09861910002562</v>
      </c>
      <c r="Y22" s="67">
        <f>'[3]POM Portables NiCd'!AD22</f>
        <v>56.549309550012808</v>
      </c>
      <c r="Z22" s="67">
        <f>'[3]POM Portables NiCd'!AE22</f>
        <v>14.137327387503206</v>
      </c>
      <c r="AA22" s="48">
        <f>'[3]POM Portables NiCd'!AF22</f>
        <v>0</v>
      </c>
      <c r="AB22" s="48">
        <f>'[3]POM Portables NiCd'!AG22</f>
        <v>0</v>
      </c>
      <c r="AC22" s="48">
        <f>'[3]POM Portables NiCd'!AH22</f>
        <v>0</v>
      </c>
      <c r="AD22" s="48">
        <f>'[3]POM Portables NiCd'!AI22</f>
        <v>0</v>
      </c>
      <c r="AE22" s="48">
        <f>'[3]POM Portables NiCd'!AJ22</f>
        <v>0</v>
      </c>
      <c r="AF22" s="48">
        <f>'[3]POM Portables NiCd'!AK22</f>
        <v>0</v>
      </c>
      <c r="AG22" s="48">
        <f>'[3]POM Portables NiCd'!AL22</f>
        <v>0</v>
      </c>
      <c r="AH22" s="48">
        <f>'[3]POM Portables NiCd'!AM22</f>
        <v>0</v>
      </c>
      <c r="AI22" s="48">
        <f>'[3]POM Portables NiCd'!AN22</f>
        <v>0</v>
      </c>
      <c r="AJ22" s="48">
        <f>'[3]POM Portables NiCd'!AO22</f>
        <v>0</v>
      </c>
      <c r="AK22" s="48">
        <f>'[3]POM Portables NiCd'!AP22</f>
        <v>0</v>
      </c>
      <c r="AL22" s="48">
        <f>'[3]POM Portables NiCd'!AQ22</f>
        <v>0</v>
      </c>
      <c r="AM22" s="48">
        <f>'[3]POM Portables NiCd'!AR22</f>
        <v>0</v>
      </c>
      <c r="AN22" s="48">
        <f>'[3]POM Portables NiCd'!AS22</f>
        <v>0</v>
      </c>
      <c r="AO22" s="48">
        <f>'[3]POM Portables NiCd'!AT22</f>
        <v>0</v>
      </c>
      <c r="AP22" s="48">
        <f>'[3]POM Portables NiCd'!AU22</f>
        <v>0</v>
      </c>
      <c r="AQ22" s="48">
        <f>'[3]POM Portables NiCd'!AV22</f>
        <v>0</v>
      </c>
      <c r="AR22" s="48">
        <f>'[3]POM Portables NiCd'!AW22</f>
        <v>0</v>
      </c>
      <c r="AS22" s="48">
        <f>'[3]POM Portables NiCd'!AX22</f>
        <v>0</v>
      </c>
      <c r="AT22" s="48">
        <f>'[3]POM Portables NiCd'!AY22</f>
        <v>0</v>
      </c>
      <c r="AU22" s="48">
        <f>'[3]POM Portables NiCd'!AZ22</f>
        <v>0</v>
      </c>
      <c r="AV22" s="48">
        <f>'[3]POM Portables NiCd'!BA22</f>
        <v>0</v>
      </c>
      <c r="AW22" s="48">
        <f>'[3]POM Portables NiCd'!BB22</f>
        <v>0</v>
      </c>
      <c r="AX22" s="48">
        <f>'[3]POM Portables NiCd'!BC22</f>
        <v>0</v>
      </c>
      <c r="AY22" s="48">
        <f>'[3]POM Portables NiCd'!BD22</f>
        <v>0</v>
      </c>
      <c r="AZ22" s="48">
        <f>'[3]POM Portables NiCd'!BE22</f>
        <v>0</v>
      </c>
    </row>
    <row r="23" spans="1:52" x14ac:dyDescent="0.35">
      <c r="A23" s="61" t="s">
        <v>11</v>
      </c>
      <c r="B23" s="23">
        <f t="shared" si="0"/>
        <v>94.995463409026584</v>
      </c>
      <c r="C23" s="23">
        <f t="shared" si="0"/>
        <v>104.49500974992925</v>
      </c>
      <c r="D23" s="23">
        <f t="shared" si="1"/>
        <v>114.94451072492218</v>
      </c>
      <c r="E23" s="23">
        <f t="shared" si="2"/>
        <v>127.58840690466363</v>
      </c>
      <c r="F23" s="23">
        <f t="shared" si="3"/>
        <v>156.93374049273626</v>
      </c>
      <c r="G23" s="23">
        <f t="shared" si="4"/>
        <v>123.97765498926165</v>
      </c>
      <c r="H23" s="23">
        <f t="shared" si="5"/>
        <v>169.84938733528847</v>
      </c>
      <c r="I23" s="23">
        <f t="shared" si="6"/>
        <v>103.60812627452596</v>
      </c>
      <c r="J23" s="23">
        <f t="shared" si="7"/>
        <v>95.319476172563881</v>
      </c>
      <c r="K23" s="23">
        <f t="shared" si="8"/>
        <v>74.349191414599829</v>
      </c>
      <c r="L23" s="23">
        <f t="shared" si="9"/>
        <v>45.353006762905892</v>
      </c>
      <c r="M23" s="4">
        <f>$M$8*'[2]Eurostat POM Portables GU'!M14</f>
        <v>66.215389873842597</v>
      </c>
      <c r="N23" s="4">
        <f>$N$8*'[2]Eurostat POM Portables GU'!N14</f>
        <v>47.946568918791627</v>
      </c>
      <c r="O23" s="4">
        <f>$O$8*'[2]Eurostat POM Portables GU'!O14</f>
        <v>37.291885724428738</v>
      </c>
      <c r="P23" s="4">
        <f>$P$8*'[2]Eurostat POM Portables GU'!P14</f>
        <v>30.010557330456141</v>
      </c>
      <c r="Q23" s="4">
        <f>$Q$8*'[2]Eurostat POM Portables GU'!Q14</f>
        <v>26.370185178135191</v>
      </c>
      <c r="R23" s="4">
        <f>$R$8*'[2]Eurostat POM Portables GU'!R14</f>
        <v>20.599435834563931</v>
      </c>
      <c r="S23" s="4">
        <f>$S$8*'[2]Eurostat POM Portables GU'!S14</f>
        <v>14.597077460821358</v>
      </c>
      <c r="T23" s="4">
        <f>$T$8*'[2]Eurostat POM Portables GU'!T14</f>
        <v>12.476442855512373</v>
      </c>
      <c r="U23" s="4">
        <f>$U$8*'[2]Eurostat POM Portables GU'!U14</f>
        <v>12.373771014844051</v>
      </c>
      <c r="V23" s="4">
        <f>$V$8*'[2]Eurostat POM Portables GU'!V14</f>
        <v>9.7799982043209663</v>
      </c>
      <c r="W23" s="4">
        <f>$W$8*'[2]Eurostat POM Portables GU'!W14</f>
        <v>14.9344</v>
      </c>
      <c r="X23" s="67">
        <f>'[3]POM Portables NiCd'!AC23</f>
        <v>11.947520000000001</v>
      </c>
      <c r="Y23" s="67">
        <f>'[3]POM Portables NiCd'!AD23</f>
        <v>5.9737600000000004</v>
      </c>
      <c r="Z23" s="67">
        <f>'[3]POM Portables NiCd'!AE23</f>
        <v>1.4934399999999997</v>
      </c>
      <c r="AA23" s="48">
        <f>'[3]POM Portables NiCd'!AF23</f>
        <v>0</v>
      </c>
      <c r="AB23" s="48">
        <f>'[3]POM Portables NiCd'!AG23</f>
        <v>0</v>
      </c>
      <c r="AC23" s="48">
        <f>'[3]POM Portables NiCd'!AH23</f>
        <v>0</v>
      </c>
      <c r="AD23" s="48">
        <f>'[3]POM Portables NiCd'!AI23</f>
        <v>0</v>
      </c>
      <c r="AE23" s="48">
        <f>'[3]POM Portables NiCd'!AJ23</f>
        <v>0</v>
      </c>
      <c r="AF23" s="48">
        <f>'[3]POM Portables NiCd'!AK23</f>
        <v>0</v>
      </c>
      <c r="AG23" s="48">
        <f>'[3]POM Portables NiCd'!AL23</f>
        <v>0</v>
      </c>
      <c r="AH23" s="48">
        <f>'[3]POM Portables NiCd'!AM23</f>
        <v>0</v>
      </c>
      <c r="AI23" s="48">
        <f>'[3]POM Portables NiCd'!AN23</f>
        <v>0</v>
      </c>
      <c r="AJ23" s="48">
        <f>'[3]POM Portables NiCd'!AO23</f>
        <v>0</v>
      </c>
      <c r="AK23" s="48">
        <f>'[3]POM Portables NiCd'!AP23</f>
        <v>0</v>
      </c>
      <c r="AL23" s="48">
        <f>'[3]POM Portables NiCd'!AQ23</f>
        <v>0</v>
      </c>
      <c r="AM23" s="48">
        <f>'[3]POM Portables NiCd'!AR23</f>
        <v>0</v>
      </c>
      <c r="AN23" s="48">
        <f>'[3]POM Portables NiCd'!AS23</f>
        <v>0</v>
      </c>
      <c r="AO23" s="48">
        <f>'[3]POM Portables NiCd'!AT23</f>
        <v>0</v>
      </c>
      <c r="AP23" s="48">
        <f>'[3]POM Portables NiCd'!AU23</f>
        <v>0</v>
      </c>
      <c r="AQ23" s="48">
        <f>'[3]POM Portables NiCd'!AV23</f>
        <v>0</v>
      </c>
      <c r="AR23" s="48">
        <f>'[3]POM Portables NiCd'!AW23</f>
        <v>0</v>
      </c>
      <c r="AS23" s="48">
        <f>'[3]POM Portables NiCd'!AX23</f>
        <v>0</v>
      </c>
      <c r="AT23" s="48">
        <f>'[3]POM Portables NiCd'!AY23</f>
        <v>0</v>
      </c>
      <c r="AU23" s="48">
        <f>'[3]POM Portables NiCd'!AZ23</f>
        <v>0</v>
      </c>
      <c r="AV23" s="48">
        <f>'[3]POM Portables NiCd'!BA23</f>
        <v>0</v>
      </c>
      <c r="AW23" s="48">
        <f>'[3]POM Portables NiCd'!BB23</f>
        <v>0</v>
      </c>
      <c r="AX23" s="48">
        <f>'[3]POM Portables NiCd'!BC23</f>
        <v>0</v>
      </c>
      <c r="AY23" s="48">
        <f>'[3]POM Portables NiCd'!BD23</f>
        <v>0</v>
      </c>
      <c r="AZ23" s="48">
        <f>'[3]POM Portables NiCd'!BE23</f>
        <v>0</v>
      </c>
    </row>
    <row r="24" spans="1:52" x14ac:dyDescent="0.35">
      <c r="A24" s="61" t="s">
        <v>12</v>
      </c>
      <c r="B24" s="23">
        <f t="shared" si="0"/>
        <v>104.90580094304933</v>
      </c>
      <c r="C24" s="23">
        <f t="shared" si="0"/>
        <v>115.39638103735427</v>
      </c>
      <c r="D24" s="23">
        <f t="shared" si="1"/>
        <v>126.93601914108972</v>
      </c>
      <c r="E24" s="23">
        <f t="shared" si="2"/>
        <v>140.89898124660959</v>
      </c>
      <c r="F24" s="23">
        <f t="shared" si="3"/>
        <v>173.3057469333298</v>
      </c>
      <c r="G24" s="23">
        <f t="shared" si="4"/>
        <v>136.91154007733056</v>
      </c>
      <c r="H24" s="23">
        <f t="shared" si="5"/>
        <v>187.56880990594289</v>
      </c>
      <c r="I24" s="23">
        <f t="shared" si="6"/>
        <v>114.41697404262516</v>
      </c>
      <c r="J24" s="23">
        <f t="shared" si="7"/>
        <v>105.26361611921514</v>
      </c>
      <c r="K24" s="23">
        <f t="shared" si="8"/>
        <v>82.105620572987817</v>
      </c>
      <c r="L24" s="23">
        <f t="shared" si="9"/>
        <v>50.084428549522563</v>
      </c>
      <c r="M24" s="4">
        <f>$M$8*'[2]Eurostat POM Portables GU'!M15</f>
        <v>73.123265682302943</v>
      </c>
      <c r="N24" s="4">
        <f>$N$8*'[2]Eurostat POM Portables GU'!N15</f>
        <v>47.355157496004772</v>
      </c>
      <c r="O24" s="4">
        <f>$O$8*'[2]Eurostat POM Portables GU'!O15</f>
        <v>36.368400463578048</v>
      </c>
      <c r="P24" s="4">
        <f>$P$8*'[2]Eurostat POM Portables GU'!P15</f>
        <v>31.078320578067707</v>
      </c>
      <c r="Q24" s="4">
        <f>$Q$8*'[2]Eurostat POM Portables GU'!Q15</f>
        <v>28.401083021705006</v>
      </c>
      <c r="R24" s="4">
        <f>$R$8*'[2]Eurostat POM Portables GU'!R15</f>
        <v>21.694465256663953</v>
      </c>
      <c r="S24" s="4">
        <f>$S$8*'[2]Eurostat POM Portables GU'!S15</f>
        <v>20.33410849595505</v>
      </c>
      <c r="T24" s="4">
        <f>$T$8*'[2]Eurostat POM Portables GU'!T15</f>
        <v>21.541950543964862</v>
      </c>
      <c r="U24" s="4">
        <f>$U$8*'[2]Eurostat POM Portables GU'!U15</f>
        <v>20.095334462371873</v>
      </c>
      <c r="V24" s="4">
        <f>$V$8*'[2]Eurostat POM Portables GU'!V15</f>
        <v>13.253219188233873</v>
      </c>
      <c r="W24" s="4">
        <f>$W$8*'[2]Eurostat POM Portables GU'!W15</f>
        <v>16.499600000000001</v>
      </c>
      <c r="X24" s="67">
        <f>'[3]POM Portables NiCd'!AC24</f>
        <v>13.199680000000001</v>
      </c>
      <c r="Y24" s="67">
        <f>'[3]POM Portables NiCd'!AD24</f>
        <v>6.5998400000000004</v>
      </c>
      <c r="Z24" s="67">
        <f>'[3]POM Portables NiCd'!AE24</f>
        <v>1.6499600000000001</v>
      </c>
      <c r="AA24" s="48">
        <f>'[3]POM Portables NiCd'!AF24</f>
        <v>0</v>
      </c>
      <c r="AB24" s="48">
        <f>'[3]POM Portables NiCd'!AG24</f>
        <v>0</v>
      </c>
      <c r="AC24" s="48">
        <f>'[3]POM Portables NiCd'!AH24</f>
        <v>0</v>
      </c>
      <c r="AD24" s="48">
        <f>'[3]POM Portables NiCd'!AI24</f>
        <v>0</v>
      </c>
      <c r="AE24" s="48">
        <f>'[3]POM Portables NiCd'!AJ24</f>
        <v>0</v>
      </c>
      <c r="AF24" s="48">
        <f>'[3]POM Portables NiCd'!AK24</f>
        <v>0</v>
      </c>
      <c r="AG24" s="48">
        <f>'[3]POM Portables NiCd'!AL24</f>
        <v>0</v>
      </c>
      <c r="AH24" s="48">
        <f>'[3]POM Portables NiCd'!AM24</f>
        <v>0</v>
      </c>
      <c r="AI24" s="48">
        <f>'[3]POM Portables NiCd'!AN24</f>
        <v>0</v>
      </c>
      <c r="AJ24" s="48">
        <f>'[3]POM Portables NiCd'!AO24</f>
        <v>0</v>
      </c>
      <c r="AK24" s="48">
        <f>'[3]POM Portables NiCd'!AP24</f>
        <v>0</v>
      </c>
      <c r="AL24" s="48">
        <f>'[3]POM Portables NiCd'!AQ24</f>
        <v>0</v>
      </c>
      <c r="AM24" s="48">
        <f>'[3]POM Portables NiCd'!AR24</f>
        <v>0</v>
      </c>
      <c r="AN24" s="48">
        <f>'[3]POM Portables NiCd'!AS24</f>
        <v>0</v>
      </c>
      <c r="AO24" s="48">
        <f>'[3]POM Portables NiCd'!AT24</f>
        <v>0</v>
      </c>
      <c r="AP24" s="48">
        <f>'[3]POM Portables NiCd'!AU24</f>
        <v>0</v>
      </c>
      <c r="AQ24" s="48">
        <f>'[3]POM Portables NiCd'!AV24</f>
        <v>0</v>
      </c>
      <c r="AR24" s="48">
        <f>'[3]POM Portables NiCd'!AW24</f>
        <v>0</v>
      </c>
      <c r="AS24" s="48">
        <f>'[3]POM Portables NiCd'!AX24</f>
        <v>0</v>
      </c>
      <c r="AT24" s="48">
        <f>'[3]POM Portables NiCd'!AY24</f>
        <v>0</v>
      </c>
      <c r="AU24" s="48">
        <f>'[3]POM Portables NiCd'!AZ24</f>
        <v>0</v>
      </c>
      <c r="AV24" s="48">
        <f>'[3]POM Portables NiCd'!BA24</f>
        <v>0</v>
      </c>
      <c r="AW24" s="48">
        <f>'[3]POM Portables NiCd'!BB24</f>
        <v>0</v>
      </c>
      <c r="AX24" s="48">
        <f>'[3]POM Portables NiCd'!BC24</f>
        <v>0</v>
      </c>
      <c r="AY24" s="48">
        <f>'[3]POM Portables NiCd'!BD24</f>
        <v>0</v>
      </c>
      <c r="AZ24" s="48">
        <f>'[3]POM Portables NiCd'!BE24</f>
        <v>0</v>
      </c>
    </row>
    <row r="25" spans="1:52" x14ac:dyDescent="0.35">
      <c r="A25" s="61" t="s">
        <v>13</v>
      </c>
      <c r="B25" s="23">
        <f t="shared" si="0"/>
        <v>9.6176488089246881</v>
      </c>
      <c r="C25" s="23">
        <f t="shared" si="0"/>
        <v>10.579413689817159</v>
      </c>
      <c r="D25" s="23">
        <f t="shared" si="1"/>
        <v>11.637355058798876</v>
      </c>
      <c r="E25" s="23">
        <f t="shared" si="2"/>
        <v>12.917464115266753</v>
      </c>
      <c r="F25" s="23">
        <f t="shared" si="3"/>
        <v>15.888480861778106</v>
      </c>
      <c r="G25" s="23">
        <f t="shared" si="4"/>
        <v>12.551899880804704</v>
      </c>
      <c r="H25" s="23">
        <f t="shared" si="5"/>
        <v>17.196102836702448</v>
      </c>
      <c r="I25" s="23">
        <f t="shared" si="6"/>
        <v>10.489622730388493</v>
      </c>
      <c r="J25" s="23">
        <f t="shared" si="7"/>
        <v>9.6504529119574141</v>
      </c>
      <c r="K25" s="23">
        <f t="shared" si="8"/>
        <v>7.527353271326783</v>
      </c>
      <c r="L25" s="23">
        <f t="shared" si="9"/>
        <v>4.5916854955093376</v>
      </c>
      <c r="M25" s="4">
        <f>$M$8*'[2]Eurostat POM Portables GU'!M16</f>
        <v>6.7038608234436321</v>
      </c>
      <c r="N25" s="4">
        <f>$N$8*'[2]Eurostat POM Portables GU'!N16</f>
        <v>4.9938056362869814</v>
      </c>
      <c r="O25" s="4">
        <f>$O$8*'[2]Eurostat POM Portables GU'!O16</f>
        <v>4.8406606548407822</v>
      </c>
      <c r="P25" s="4">
        <f>$P$8*'[2]Eurostat POM Portables GU'!P16</f>
        <v>3.6071321351590608</v>
      </c>
      <c r="Q25" s="4">
        <f>$Q$8*'[2]Eurostat POM Portables GU'!Q16</f>
        <v>2.6685053060859194</v>
      </c>
      <c r="R25" s="4">
        <f>$R$8*'[2]Eurostat POM Portables GU'!R16</f>
        <v>2.8522295770934676</v>
      </c>
      <c r="S25" s="4">
        <f>$S$8*'[2]Eurostat POM Portables GU'!S16</f>
        <v>2.2749700510748179</v>
      </c>
      <c r="T25" s="4">
        <f>$T$8*'[2]Eurostat POM Portables GU'!T16</f>
        <v>1.931347290148574</v>
      </c>
      <c r="U25" s="4">
        <f>$U$8*'[2]Eurostat POM Portables GU'!U16</f>
        <v>1.1630518918290571</v>
      </c>
      <c r="V25" s="4">
        <f>$V$8*'[2]Eurostat POM Portables GU'!V16</f>
        <v>1.6483261838417715</v>
      </c>
      <c r="W25" s="4">
        <f>$W$8*'[2]Eurostat POM Portables GU'!W16</f>
        <v>1.7674799999999997</v>
      </c>
      <c r="X25" s="67">
        <f>'[3]POM Portables NiCd'!AC25</f>
        <v>1.4139839999999997</v>
      </c>
      <c r="Y25" s="67">
        <f>'[3]POM Portables NiCd'!AD25</f>
        <v>0.70699199999999984</v>
      </c>
      <c r="Z25" s="67">
        <f>'[3]POM Portables NiCd'!AE25</f>
        <v>0.17674799999999991</v>
      </c>
      <c r="AA25" s="48">
        <f>'[3]POM Portables NiCd'!AF25</f>
        <v>0</v>
      </c>
      <c r="AB25" s="48">
        <f>'[3]POM Portables NiCd'!AG25</f>
        <v>0</v>
      </c>
      <c r="AC25" s="48">
        <f>'[3]POM Portables NiCd'!AH25</f>
        <v>0</v>
      </c>
      <c r="AD25" s="48">
        <f>'[3]POM Portables NiCd'!AI25</f>
        <v>0</v>
      </c>
      <c r="AE25" s="48">
        <f>'[3]POM Portables NiCd'!AJ25</f>
        <v>0</v>
      </c>
      <c r="AF25" s="48">
        <f>'[3]POM Portables NiCd'!AK25</f>
        <v>0</v>
      </c>
      <c r="AG25" s="48">
        <f>'[3]POM Portables NiCd'!AL25</f>
        <v>0</v>
      </c>
      <c r="AH25" s="48">
        <f>'[3]POM Portables NiCd'!AM25</f>
        <v>0</v>
      </c>
      <c r="AI25" s="48">
        <f>'[3]POM Portables NiCd'!AN25</f>
        <v>0</v>
      </c>
      <c r="AJ25" s="48">
        <f>'[3]POM Portables NiCd'!AO25</f>
        <v>0</v>
      </c>
      <c r="AK25" s="48">
        <f>'[3]POM Portables NiCd'!AP25</f>
        <v>0</v>
      </c>
      <c r="AL25" s="48">
        <f>'[3]POM Portables NiCd'!AQ25</f>
        <v>0</v>
      </c>
      <c r="AM25" s="48">
        <f>'[3]POM Portables NiCd'!AR25</f>
        <v>0</v>
      </c>
      <c r="AN25" s="48">
        <f>'[3]POM Portables NiCd'!AS25</f>
        <v>0</v>
      </c>
      <c r="AO25" s="48">
        <f>'[3]POM Portables NiCd'!AT25</f>
        <v>0</v>
      </c>
      <c r="AP25" s="48">
        <f>'[3]POM Portables NiCd'!AU25</f>
        <v>0</v>
      </c>
      <c r="AQ25" s="48">
        <f>'[3]POM Portables NiCd'!AV25</f>
        <v>0</v>
      </c>
      <c r="AR25" s="48">
        <f>'[3]POM Portables NiCd'!AW25</f>
        <v>0</v>
      </c>
      <c r="AS25" s="48">
        <f>'[3]POM Portables NiCd'!AX25</f>
        <v>0</v>
      </c>
      <c r="AT25" s="48">
        <f>'[3]POM Portables NiCd'!AY25</f>
        <v>0</v>
      </c>
      <c r="AU25" s="48">
        <f>'[3]POM Portables NiCd'!AZ25</f>
        <v>0</v>
      </c>
      <c r="AV25" s="48">
        <f>'[3]POM Portables NiCd'!BA25</f>
        <v>0</v>
      </c>
      <c r="AW25" s="48">
        <f>'[3]POM Portables NiCd'!BB25</f>
        <v>0</v>
      </c>
      <c r="AX25" s="48">
        <f>'[3]POM Portables NiCd'!BC25</f>
        <v>0</v>
      </c>
      <c r="AY25" s="48">
        <f>'[3]POM Portables NiCd'!BD25</f>
        <v>0</v>
      </c>
      <c r="AZ25" s="48">
        <f>'[3]POM Portables NiCd'!BE25</f>
        <v>0</v>
      </c>
    </row>
    <row r="26" spans="1:52" x14ac:dyDescent="0.35">
      <c r="A26" s="61" t="s">
        <v>14</v>
      </c>
      <c r="B26" s="23">
        <f t="shared" si="0"/>
        <v>107.62729259747007</v>
      </c>
      <c r="C26" s="23">
        <f t="shared" si="0"/>
        <v>118.39002185721709</v>
      </c>
      <c r="D26" s="23">
        <f t="shared" si="1"/>
        <v>130.22902404293882</v>
      </c>
      <c r="E26" s="23">
        <f t="shared" si="2"/>
        <v>144.55421668766209</v>
      </c>
      <c r="F26" s="23">
        <f t="shared" si="3"/>
        <v>177.80168652582438</v>
      </c>
      <c r="G26" s="23">
        <f t="shared" si="4"/>
        <v>140.46333235540126</v>
      </c>
      <c r="H26" s="23">
        <f t="shared" si="5"/>
        <v>192.43476532689976</v>
      </c>
      <c r="I26" s="23">
        <f t="shared" si="6"/>
        <v>117.38520684940886</v>
      </c>
      <c r="J26" s="23">
        <f t="shared" si="7"/>
        <v>107.99439030145615</v>
      </c>
      <c r="K26" s="23">
        <f t="shared" si="8"/>
        <v>84.235624435135804</v>
      </c>
      <c r="L26" s="23">
        <f t="shared" si="9"/>
        <v>51.383730905432841</v>
      </c>
      <c r="M26" s="4">
        <f>$M$8*'[2]Eurostat POM Portables GU'!M17</f>
        <v>75.020247121931945</v>
      </c>
      <c r="N26" s="4">
        <f>$N$8*'[2]Eurostat POM Portables GU'!N17</f>
        <v>58.869575809038679</v>
      </c>
      <c r="O26" s="4">
        <f>$O$8*'[2]Eurostat POM Portables GU'!O17</f>
        <v>44.952348702477742</v>
      </c>
      <c r="P26" s="4">
        <f>$P$8*'[2]Eurostat POM Portables GU'!P17</f>
        <v>46.491925297605668</v>
      </c>
      <c r="Q26" s="4">
        <f>$Q$8*'[2]Eurostat POM Portables GU'!Q17</f>
        <v>42.554394350148911</v>
      </c>
      <c r="R26" s="4">
        <f>$R$8*'[2]Eurostat POM Portables GU'!R17</f>
        <v>25.353151796386378</v>
      </c>
      <c r="S26" s="4">
        <f>$S$8*'[2]Eurostat POM Portables GU'!S17</f>
        <v>25.803698986593783</v>
      </c>
      <c r="T26" s="4">
        <f>$T$8*'[2]Eurostat POM Portables GU'!T17</f>
        <v>17.706543445004193</v>
      </c>
      <c r="U26" s="4">
        <f>$U$8*'[2]Eurostat POM Portables GU'!U17</f>
        <v>18.347315642699801</v>
      </c>
      <c r="V26" s="4">
        <f>$V$8*'[2]Eurostat POM Portables GU'!V17</f>
        <v>18.730018182653613</v>
      </c>
      <c r="W26" s="4">
        <f>$W$8*'[2]Eurostat POM Portables GU'!W17</f>
        <v>19.198399999999999</v>
      </c>
      <c r="X26" s="67">
        <f>'[3]POM Portables NiCd'!AC26</f>
        <v>15.35872</v>
      </c>
      <c r="Y26" s="67">
        <f>'[3]POM Portables NiCd'!AD26</f>
        <v>7.67936</v>
      </c>
      <c r="Z26" s="67">
        <f>'[3]POM Portables NiCd'!AE26</f>
        <v>1.9198399999999998</v>
      </c>
      <c r="AA26" s="48">
        <f>'[3]POM Portables NiCd'!AF26</f>
        <v>0</v>
      </c>
      <c r="AB26" s="48">
        <f>'[3]POM Portables NiCd'!AG26</f>
        <v>0</v>
      </c>
      <c r="AC26" s="48">
        <f>'[3]POM Portables NiCd'!AH26</f>
        <v>0</v>
      </c>
      <c r="AD26" s="48">
        <f>'[3]POM Portables NiCd'!AI26</f>
        <v>0</v>
      </c>
      <c r="AE26" s="48">
        <f>'[3]POM Portables NiCd'!AJ26</f>
        <v>0</v>
      </c>
      <c r="AF26" s="48">
        <f>'[3]POM Portables NiCd'!AK26</f>
        <v>0</v>
      </c>
      <c r="AG26" s="48">
        <f>'[3]POM Portables NiCd'!AL26</f>
        <v>0</v>
      </c>
      <c r="AH26" s="48">
        <f>'[3]POM Portables NiCd'!AM26</f>
        <v>0</v>
      </c>
      <c r="AI26" s="48">
        <f>'[3]POM Portables NiCd'!AN26</f>
        <v>0</v>
      </c>
      <c r="AJ26" s="48">
        <f>'[3]POM Portables NiCd'!AO26</f>
        <v>0</v>
      </c>
      <c r="AK26" s="48">
        <f>'[3]POM Portables NiCd'!AP26</f>
        <v>0</v>
      </c>
      <c r="AL26" s="48">
        <f>'[3]POM Portables NiCd'!AQ26</f>
        <v>0</v>
      </c>
      <c r="AM26" s="48">
        <f>'[3]POM Portables NiCd'!AR26</f>
        <v>0</v>
      </c>
      <c r="AN26" s="48">
        <f>'[3]POM Portables NiCd'!AS26</f>
        <v>0</v>
      </c>
      <c r="AO26" s="48">
        <f>'[3]POM Portables NiCd'!AT26</f>
        <v>0</v>
      </c>
      <c r="AP26" s="48">
        <f>'[3]POM Portables NiCd'!AU26</f>
        <v>0</v>
      </c>
      <c r="AQ26" s="48">
        <f>'[3]POM Portables NiCd'!AV26</f>
        <v>0</v>
      </c>
      <c r="AR26" s="48">
        <f>'[3]POM Portables NiCd'!AW26</f>
        <v>0</v>
      </c>
      <c r="AS26" s="48">
        <f>'[3]POM Portables NiCd'!AX26</f>
        <v>0</v>
      </c>
      <c r="AT26" s="48">
        <f>'[3]POM Portables NiCd'!AY26</f>
        <v>0</v>
      </c>
      <c r="AU26" s="48">
        <f>'[3]POM Portables NiCd'!AZ26</f>
        <v>0</v>
      </c>
      <c r="AV26" s="48">
        <f>'[3]POM Portables NiCd'!BA26</f>
        <v>0</v>
      </c>
      <c r="AW26" s="48">
        <f>'[3]POM Portables NiCd'!BB26</f>
        <v>0</v>
      </c>
      <c r="AX26" s="48">
        <f>'[3]POM Portables NiCd'!BC26</f>
        <v>0</v>
      </c>
      <c r="AY26" s="48">
        <f>'[3]POM Portables NiCd'!BD26</f>
        <v>0</v>
      </c>
      <c r="AZ26" s="48">
        <f>'[3]POM Portables NiCd'!BE26</f>
        <v>0</v>
      </c>
    </row>
    <row r="27" spans="1:52" x14ac:dyDescent="0.35">
      <c r="A27" s="61" t="s">
        <v>15</v>
      </c>
      <c r="B27" s="23">
        <f t="shared" si="0"/>
        <v>1515.154380322663</v>
      </c>
      <c r="C27" s="23">
        <f t="shared" si="0"/>
        <v>1666.6698183549295</v>
      </c>
      <c r="D27" s="23">
        <f t="shared" si="1"/>
        <v>1833.3368001904225</v>
      </c>
      <c r="E27" s="23">
        <f t="shared" si="2"/>
        <v>2035.0038482113691</v>
      </c>
      <c r="F27" s="23">
        <f t="shared" si="3"/>
        <v>2503.054733299984</v>
      </c>
      <c r="G27" s="23">
        <f t="shared" si="4"/>
        <v>1977.4132393069876</v>
      </c>
      <c r="H27" s="23">
        <f t="shared" si="5"/>
        <v>2709.0561378505731</v>
      </c>
      <c r="I27" s="23">
        <f t="shared" si="6"/>
        <v>1652.5242440888496</v>
      </c>
      <c r="J27" s="23">
        <f t="shared" si="7"/>
        <v>1520.3223045617417</v>
      </c>
      <c r="K27" s="23">
        <f t="shared" si="8"/>
        <v>1185.8513975581586</v>
      </c>
      <c r="L27" s="23">
        <f t="shared" si="9"/>
        <v>723.36935251047669</v>
      </c>
      <c r="M27" s="4">
        <f>$M$8*'[2]Eurostat POM Portables GU'!M18</f>
        <v>1056.119254665296</v>
      </c>
      <c r="N27" s="4">
        <f>$N$8*'[2]Eurostat POM Portables GU'!N18</f>
        <v>888.11251581369856</v>
      </c>
      <c r="O27" s="4">
        <f>$O$8*'[2]Eurostat POM Portables GU'!O18</f>
        <v>623.50611280906901</v>
      </c>
      <c r="P27" s="4">
        <f>$P$8*'[2]Eurostat POM Portables GU'!P18</f>
        <v>480.31832489584508</v>
      </c>
      <c r="Q27" s="4">
        <f>$Q$8*'[2]Eurostat POM Portables GU'!Q18</f>
        <v>386.0928082864973</v>
      </c>
      <c r="R27" s="4">
        <f>$R$8*'[2]Eurostat POM Portables GU'!R18</f>
        <v>317.58477446703938</v>
      </c>
      <c r="S27" s="4">
        <f>$S$8*'[2]Eurostat POM Portables GU'!S18</f>
        <v>220.91939981388614</v>
      </c>
      <c r="T27" s="4">
        <f>$T$8*'[2]Eurostat POM Portables GU'!T18</f>
        <v>183.68179215041837</v>
      </c>
      <c r="U27" s="4">
        <f>$U$8*'[2]Eurostat POM Portables GU'!U18</f>
        <v>177.18368836632388</v>
      </c>
      <c r="V27" s="4">
        <f>$V$8*'[2]Eurostat POM Portables GU'!V18</f>
        <v>148.89097284631475</v>
      </c>
      <c r="W27" s="4">
        <f>$W$8*'[2]Eurostat POM Portables GU'!W18</f>
        <v>168.25119999999998</v>
      </c>
      <c r="X27" s="67">
        <f>'[3]POM Portables NiCd'!AC27</f>
        <v>134.60095999999999</v>
      </c>
      <c r="Y27" s="67">
        <f>'[3]POM Portables NiCd'!AD27</f>
        <v>67.300479999999993</v>
      </c>
      <c r="Z27" s="67">
        <f>'[3]POM Portables NiCd'!AE27</f>
        <v>16.825119999999998</v>
      </c>
      <c r="AA27" s="48">
        <f>'[3]POM Portables NiCd'!AF27</f>
        <v>0</v>
      </c>
      <c r="AB27" s="48">
        <f>'[3]POM Portables NiCd'!AG27</f>
        <v>0</v>
      </c>
      <c r="AC27" s="48">
        <f>'[3]POM Portables NiCd'!AH27</f>
        <v>0</v>
      </c>
      <c r="AD27" s="48">
        <f>'[3]POM Portables NiCd'!AI27</f>
        <v>0</v>
      </c>
      <c r="AE27" s="48">
        <f>'[3]POM Portables NiCd'!AJ27</f>
        <v>0</v>
      </c>
      <c r="AF27" s="48">
        <f>'[3]POM Portables NiCd'!AK27</f>
        <v>0</v>
      </c>
      <c r="AG27" s="48">
        <f>'[3]POM Portables NiCd'!AL27</f>
        <v>0</v>
      </c>
      <c r="AH27" s="48">
        <f>'[3]POM Portables NiCd'!AM27</f>
        <v>0</v>
      </c>
      <c r="AI27" s="48">
        <f>'[3]POM Portables NiCd'!AN27</f>
        <v>0</v>
      </c>
      <c r="AJ27" s="48">
        <f>'[3]POM Portables NiCd'!AO27</f>
        <v>0</v>
      </c>
      <c r="AK27" s="48">
        <f>'[3]POM Portables NiCd'!AP27</f>
        <v>0</v>
      </c>
      <c r="AL27" s="48">
        <f>'[3]POM Portables NiCd'!AQ27</f>
        <v>0</v>
      </c>
      <c r="AM27" s="48">
        <f>'[3]POM Portables NiCd'!AR27</f>
        <v>0</v>
      </c>
      <c r="AN27" s="48">
        <f>'[3]POM Portables NiCd'!AS27</f>
        <v>0</v>
      </c>
      <c r="AO27" s="48">
        <f>'[3]POM Portables NiCd'!AT27</f>
        <v>0</v>
      </c>
      <c r="AP27" s="48">
        <f>'[3]POM Portables NiCd'!AU27</f>
        <v>0</v>
      </c>
      <c r="AQ27" s="48">
        <f>'[3]POM Portables NiCd'!AV27</f>
        <v>0</v>
      </c>
      <c r="AR27" s="48">
        <f>'[3]POM Portables NiCd'!AW27</f>
        <v>0</v>
      </c>
      <c r="AS27" s="48">
        <f>'[3]POM Portables NiCd'!AX27</f>
        <v>0</v>
      </c>
      <c r="AT27" s="48">
        <f>'[3]POM Portables NiCd'!AY27</f>
        <v>0</v>
      </c>
      <c r="AU27" s="48">
        <f>'[3]POM Portables NiCd'!AZ27</f>
        <v>0</v>
      </c>
      <c r="AV27" s="48">
        <f>'[3]POM Portables NiCd'!BA27</f>
        <v>0</v>
      </c>
      <c r="AW27" s="48">
        <f>'[3]POM Portables NiCd'!BB27</f>
        <v>0</v>
      </c>
      <c r="AX27" s="48">
        <f>'[3]POM Portables NiCd'!BC27</f>
        <v>0</v>
      </c>
      <c r="AY27" s="48">
        <f>'[3]POM Portables NiCd'!BD27</f>
        <v>0</v>
      </c>
      <c r="AZ27" s="48">
        <f>'[3]POM Portables NiCd'!BE27</f>
        <v>0</v>
      </c>
    </row>
    <row r="28" spans="1:52" x14ac:dyDescent="0.35">
      <c r="A28" s="61" t="s">
        <v>16</v>
      </c>
      <c r="B28" s="23">
        <f t="shared" si="0"/>
        <v>59.107050264381705</v>
      </c>
      <c r="C28" s="23">
        <f t="shared" si="0"/>
        <v>65.017755290819878</v>
      </c>
      <c r="D28" s="23">
        <f t="shared" si="1"/>
        <v>71.519530819901874</v>
      </c>
      <c r="E28" s="23">
        <f t="shared" si="2"/>
        <v>79.386679210091089</v>
      </c>
      <c r="F28" s="23">
        <f t="shared" si="3"/>
        <v>97.645615428412029</v>
      </c>
      <c r="G28" s="23">
        <f t="shared" si="4"/>
        <v>77.140036188445507</v>
      </c>
      <c r="H28" s="23">
        <f t="shared" si="5"/>
        <v>105.68184957817036</v>
      </c>
      <c r="I28" s="23">
        <f t="shared" si="6"/>
        <v>64.465928242683916</v>
      </c>
      <c r="J28" s="23">
        <f t="shared" si="7"/>
        <v>59.308653983269203</v>
      </c>
      <c r="K28" s="23">
        <f t="shared" si="8"/>
        <v>46.260750106949978</v>
      </c>
      <c r="L28" s="23">
        <f t="shared" si="9"/>
        <v>28.219057565239485</v>
      </c>
      <c r="M28" s="4">
        <f>$M$8*'[2]Eurostat POM Portables GU'!M19</f>
        <v>41.199824045249649</v>
      </c>
      <c r="N28" s="4">
        <f>$N$8*'[2]Eurostat POM Portables GU'!N19</f>
        <v>14.56033801064714</v>
      </c>
      <c r="O28" s="4">
        <f>$O$8*'[2]Eurostat POM Portables GU'!O19</f>
        <v>12.114622727788714</v>
      </c>
      <c r="P28" s="4">
        <f>$P$8*'[2]Eurostat POM Portables GU'!P19</f>
        <v>10.811581877933282</v>
      </c>
      <c r="Q28" s="4">
        <f>$Q$8*'[2]Eurostat POM Portables GU'!Q19</f>
        <v>8.0131986945962232</v>
      </c>
      <c r="R28" s="4">
        <f>$R$8*'[2]Eurostat POM Portables GU'!R19</f>
        <v>5.4799265918600959</v>
      </c>
      <c r="S28" s="4">
        <f>$S$8*'[2]Eurostat POM Portables GU'!S19</f>
        <v>4.2327901248359749</v>
      </c>
      <c r="T28" s="4">
        <f>$T$8*'[2]Eurostat POM Portables GU'!T19</f>
        <v>3.9551157636126169</v>
      </c>
      <c r="U28" s="4">
        <f>$U$8*'[2]Eurostat POM Portables GU'!U19</f>
        <v>3.8896102703607864</v>
      </c>
      <c r="V28" s="4">
        <f>$V$8*'[2]Eurostat POM Portables GU'!V19</f>
        <v>3.5240452556622794</v>
      </c>
      <c r="W28" s="4">
        <f>$W$8*'[2]Eurostat POM Portables GU'!W19</f>
        <v>3.5619999999999998</v>
      </c>
      <c r="X28" s="67">
        <f>'[3]POM Portables NiCd'!AC28</f>
        <v>2.8495999999999997</v>
      </c>
      <c r="Y28" s="67">
        <f>'[3]POM Portables NiCd'!AD28</f>
        <v>1.4247999999999998</v>
      </c>
      <c r="Z28" s="67">
        <f>'[3]POM Portables NiCd'!AE28</f>
        <v>0.35619999999999985</v>
      </c>
      <c r="AA28" s="48">
        <f>'[3]POM Portables NiCd'!AF28</f>
        <v>0</v>
      </c>
      <c r="AB28" s="48">
        <f>'[3]POM Portables NiCd'!AG28</f>
        <v>0</v>
      </c>
      <c r="AC28" s="48">
        <f>'[3]POM Portables NiCd'!AH28</f>
        <v>0</v>
      </c>
      <c r="AD28" s="48">
        <f>'[3]POM Portables NiCd'!AI28</f>
        <v>0</v>
      </c>
      <c r="AE28" s="48">
        <f>'[3]POM Portables NiCd'!AJ28</f>
        <v>0</v>
      </c>
      <c r="AF28" s="48">
        <f>'[3]POM Portables NiCd'!AK28</f>
        <v>0</v>
      </c>
      <c r="AG28" s="48">
        <f>'[3]POM Portables NiCd'!AL28</f>
        <v>0</v>
      </c>
      <c r="AH28" s="48">
        <f>'[3]POM Portables NiCd'!AM28</f>
        <v>0</v>
      </c>
      <c r="AI28" s="48">
        <f>'[3]POM Portables NiCd'!AN28</f>
        <v>0</v>
      </c>
      <c r="AJ28" s="48">
        <f>'[3]POM Portables NiCd'!AO28</f>
        <v>0</v>
      </c>
      <c r="AK28" s="48">
        <f>'[3]POM Portables NiCd'!AP28</f>
        <v>0</v>
      </c>
      <c r="AL28" s="48">
        <f>'[3]POM Portables NiCd'!AQ28</f>
        <v>0</v>
      </c>
      <c r="AM28" s="48">
        <f>'[3]POM Portables NiCd'!AR28</f>
        <v>0</v>
      </c>
      <c r="AN28" s="48">
        <f>'[3]POM Portables NiCd'!AS28</f>
        <v>0</v>
      </c>
      <c r="AO28" s="48">
        <f>'[3]POM Portables NiCd'!AT28</f>
        <v>0</v>
      </c>
      <c r="AP28" s="48">
        <f>'[3]POM Portables NiCd'!AU28</f>
        <v>0</v>
      </c>
      <c r="AQ28" s="48">
        <f>'[3]POM Portables NiCd'!AV28</f>
        <v>0</v>
      </c>
      <c r="AR28" s="48">
        <f>'[3]POM Portables NiCd'!AW28</f>
        <v>0</v>
      </c>
      <c r="AS28" s="48">
        <f>'[3]POM Portables NiCd'!AX28</f>
        <v>0</v>
      </c>
      <c r="AT28" s="48">
        <f>'[3]POM Portables NiCd'!AY28</f>
        <v>0</v>
      </c>
      <c r="AU28" s="48">
        <f>'[3]POM Portables NiCd'!AZ28</f>
        <v>0</v>
      </c>
      <c r="AV28" s="48">
        <f>'[3]POM Portables NiCd'!BA28</f>
        <v>0</v>
      </c>
      <c r="AW28" s="48">
        <f>'[3]POM Portables NiCd'!BB28</f>
        <v>0</v>
      </c>
      <c r="AX28" s="48">
        <f>'[3]POM Portables NiCd'!BC28</f>
        <v>0</v>
      </c>
      <c r="AY28" s="48">
        <f>'[3]POM Portables NiCd'!BD28</f>
        <v>0</v>
      </c>
      <c r="AZ28" s="48">
        <f>'[3]POM Portables NiCd'!BE28</f>
        <v>0</v>
      </c>
    </row>
    <row r="29" spans="1:52" x14ac:dyDescent="0.35">
      <c r="A29" s="61" t="s">
        <v>17</v>
      </c>
      <c r="B29" s="23">
        <f t="shared" si="0"/>
        <v>36.355020591130156</v>
      </c>
      <c r="C29" s="23">
        <f t="shared" si="0"/>
        <v>39.990522650243179</v>
      </c>
      <c r="D29" s="23">
        <f t="shared" si="1"/>
        <v>43.989574915267504</v>
      </c>
      <c r="E29" s="23">
        <f t="shared" si="2"/>
        <v>48.828428155946931</v>
      </c>
      <c r="F29" s="23">
        <f t="shared" si="3"/>
        <v>60.05896663181472</v>
      </c>
      <c r="G29" s="23">
        <f t="shared" si="4"/>
        <v>47.446583639133628</v>
      </c>
      <c r="H29" s="23">
        <f t="shared" si="5"/>
        <v>65.001819585613077</v>
      </c>
      <c r="I29" s="23">
        <f t="shared" si="6"/>
        <v>39.651109947223979</v>
      </c>
      <c r="J29" s="23">
        <f t="shared" si="7"/>
        <v>36.479021151446062</v>
      </c>
      <c r="K29" s="23">
        <f t="shared" si="8"/>
        <v>28.453636498127931</v>
      </c>
      <c r="L29" s="23">
        <f t="shared" si="9"/>
        <v>17.356718263858038</v>
      </c>
      <c r="M29" s="4">
        <f>$M$8*'[2]Eurostat POM Portables GU'!M20</f>
        <v>25.340808665232736</v>
      </c>
      <c r="N29" s="4">
        <f>$N$8*'[2]Eurostat POM Portables GU'!N20</f>
        <v>23.596108807108276</v>
      </c>
      <c r="O29" s="4">
        <f>$O$8*'[2]Eurostat POM Portables GU'!O20</f>
        <v>18.681190391254475</v>
      </c>
      <c r="P29" s="4">
        <f>$P$8*'[2]Eurostat POM Portables GU'!P20</f>
        <v>13.411884253220139</v>
      </c>
      <c r="Q29" s="4">
        <f>$Q$8*'[2]Eurostat POM Portables GU'!Q20</f>
        <v>11.020454612310761</v>
      </c>
      <c r="R29" s="4">
        <f>$R$8*'[2]Eurostat POM Portables GU'!R20</f>
        <v>9.631840148694538</v>
      </c>
      <c r="S29" s="4">
        <f>$S$8*'[2]Eurostat POM Portables GU'!S20</f>
        <v>7.1735490978738117</v>
      </c>
      <c r="T29" s="4">
        <f>$T$8*'[2]Eurostat POM Portables GU'!T20</f>
        <v>5.7761382507466204</v>
      </c>
      <c r="U29" s="4">
        <f>$U$8*'[2]Eurostat POM Portables GU'!U20</f>
        <v>5.1615761221903567</v>
      </c>
      <c r="V29" s="4">
        <f>$V$8*'[2]Eurostat POM Portables GU'!V20</f>
        <v>4.3190586664487727</v>
      </c>
      <c r="W29" s="4">
        <f>$W$8*'[2]Eurostat POM Portables GU'!W20</f>
        <v>4.8308</v>
      </c>
      <c r="X29" s="67">
        <f>'[3]POM Portables NiCd'!AC29</f>
        <v>3.8646400000000001</v>
      </c>
      <c r="Y29" s="67">
        <f>'[3]POM Portables NiCd'!AD29</f>
        <v>1.93232</v>
      </c>
      <c r="Z29" s="67">
        <f>'[3]POM Portables NiCd'!AE29</f>
        <v>0.48307999999999995</v>
      </c>
      <c r="AA29" s="48">
        <f>'[3]POM Portables NiCd'!AF29</f>
        <v>0</v>
      </c>
      <c r="AB29" s="48">
        <f>'[3]POM Portables NiCd'!AG29</f>
        <v>0</v>
      </c>
      <c r="AC29" s="48">
        <f>'[3]POM Portables NiCd'!AH29</f>
        <v>0</v>
      </c>
      <c r="AD29" s="48">
        <f>'[3]POM Portables NiCd'!AI29</f>
        <v>0</v>
      </c>
      <c r="AE29" s="48">
        <f>'[3]POM Portables NiCd'!AJ29</f>
        <v>0</v>
      </c>
      <c r="AF29" s="48">
        <f>'[3]POM Portables NiCd'!AK29</f>
        <v>0</v>
      </c>
      <c r="AG29" s="48">
        <f>'[3]POM Portables NiCd'!AL29</f>
        <v>0</v>
      </c>
      <c r="AH29" s="48">
        <f>'[3]POM Portables NiCd'!AM29</f>
        <v>0</v>
      </c>
      <c r="AI29" s="48">
        <f>'[3]POM Portables NiCd'!AN29</f>
        <v>0</v>
      </c>
      <c r="AJ29" s="48">
        <f>'[3]POM Portables NiCd'!AO29</f>
        <v>0</v>
      </c>
      <c r="AK29" s="48">
        <f>'[3]POM Portables NiCd'!AP29</f>
        <v>0</v>
      </c>
      <c r="AL29" s="48">
        <f>'[3]POM Portables NiCd'!AQ29</f>
        <v>0</v>
      </c>
      <c r="AM29" s="48">
        <f>'[3]POM Portables NiCd'!AR29</f>
        <v>0</v>
      </c>
      <c r="AN29" s="48">
        <f>'[3]POM Portables NiCd'!AS29</f>
        <v>0</v>
      </c>
      <c r="AO29" s="48">
        <f>'[3]POM Portables NiCd'!AT29</f>
        <v>0</v>
      </c>
      <c r="AP29" s="48">
        <f>'[3]POM Portables NiCd'!AU29</f>
        <v>0</v>
      </c>
      <c r="AQ29" s="48">
        <f>'[3]POM Portables NiCd'!AV29</f>
        <v>0</v>
      </c>
      <c r="AR29" s="48">
        <f>'[3]POM Portables NiCd'!AW29</f>
        <v>0</v>
      </c>
      <c r="AS29" s="48">
        <f>'[3]POM Portables NiCd'!AX29</f>
        <v>0</v>
      </c>
      <c r="AT29" s="48">
        <f>'[3]POM Portables NiCd'!AY29</f>
        <v>0</v>
      </c>
      <c r="AU29" s="48">
        <f>'[3]POM Portables NiCd'!AZ29</f>
        <v>0</v>
      </c>
      <c r="AV29" s="48">
        <f>'[3]POM Portables NiCd'!BA29</f>
        <v>0</v>
      </c>
      <c r="AW29" s="48">
        <f>'[3]POM Portables NiCd'!BB29</f>
        <v>0</v>
      </c>
      <c r="AX29" s="48">
        <f>'[3]POM Portables NiCd'!BC29</f>
        <v>0</v>
      </c>
      <c r="AY29" s="48">
        <f>'[3]POM Portables NiCd'!BD29</f>
        <v>0</v>
      </c>
      <c r="AZ29" s="48">
        <f>'[3]POM Portables NiCd'!BE29</f>
        <v>0</v>
      </c>
    </row>
    <row r="30" spans="1:52" x14ac:dyDescent="0.35">
      <c r="A30" s="61" t="s">
        <v>18</v>
      </c>
      <c r="B30" s="23">
        <f t="shared" si="0"/>
        <v>9.381443872880622</v>
      </c>
      <c r="C30" s="23">
        <f t="shared" si="0"/>
        <v>10.319588260168684</v>
      </c>
      <c r="D30" s="23">
        <f t="shared" si="1"/>
        <v>11.351547086185553</v>
      </c>
      <c r="E30" s="23">
        <f t="shared" si="2"/>
        <v>12.600217265665965</v>
      </c>
      <c r="F30" s="23">
        <f t="shared" si="3"/>
        <v>15.498267236769136</v>
      </c>
      <c r="G30" s="23">
        <f t="shared" si="4"/>
        <v>12.243631117047618</v>
      </c>
      <c r="H30" s="23">
        <f t="shared" si="5"/>
        <v>16.773774630355238</v>
      </c>
      <c r="I30" s="23">
        <f t="shared" si="6"/>
        <v>10.232002524516695</v>
      </c>
      <c r="J30" s="23">
        <f t="shared" si="7"/>
        <v>9.4134423225553601</v>
      </c>
      <c r="K30" s="23">
        <f t="shared" si="8"/>
        <v>7.3424850115931815</v>
      </c>
      <c r="L30" s="23">
        <f t="shared" si="9"/>
        <v>4.4789158570718408</v>
      </c>
      <c r="M30" s="4">
        <f>$M$8*'[2]Eurostat POM Portables GU'!M21</f>
        <v>6.5392171513248876</v>
      </c>
      <c r="N30" s="4">
        <f>$N$8*'[2]Eurostat POM Portables GU'!N21</f>
        <v>5.6334955425666431</v>
      </c>
      <c r="O30" s="4">
        <f>$O$8*'[2]Eurostat POM Portables GU'!O21</f>
        <v>4.2907992018151786</v>
      </c>
      <c r="P30" s="4">
        <f>$P$8*'[2]Eurostat POM Portables GU'!P21</f>
        <v>3.3451507226326029</v>
      </c>
      <c r="Q30" s="4">
        <f>$Q$8*'[2]Eurostat POM Portables GU'!Q21</f>
        <v>2.7078637914264196</v>
      </c>
      <c r="R30" s="4">
        <f>$R$8*'[2]Eurostat POM Portables GU'!R21</f>
        <v>2.5250090203718139</v>
      </c>
      <c r="S30" s="4">
        <f>$S$8*'[2]Eurostat POM Portables GU'!S21</f>
        <v>1.7340499820479274</v>
      </c>
      <c r="T30" s="4">
        <f>$T$8*'[2]Eurostat POM Portables GU'!T21</f>
        <v>1.5841898887011456</v>
      </c>
      <c r="U30" s="4">
        <f>$U$8*'[2]Eurostat POM Portables GU'!U21</f>
        <v>1.6654352533883539</v>
      </c>
      <c r="V30" s="4">
        <f>$V$8*'[2]Eurostat POM Portables GU'!V21</f>
        <v>1.3797727196366336</v>
      </c>
      <c r="W30" s="4">
        <f>$W$8*'[2]Eurostat POM Portables GU'!W21</f>
        <v>1.482</v>
      </c>
      <c r="X30" s="67">
        <f>'[3]POM Portables NiCd'!AC30</f>
        <v>1.1856</v>
      </c>
      <c r="Y30" s="67">
        <f>'[3]POM Portables NiCd'!AD30</f>
        <v>0.59279999999999999</v>
      </c>
      <c r="Z30" s="67">
        <f>'[3]POM Portables NiCd'!AE30</f>
        <v>0.1482</v>
      </c>
      <c r="AA30" s="48">
        <f>'[3]POM Portables NiCd'!AF30</f>
        <v>0</v>
      </c>
      <c r="AB30" s="48">
        <f>'[3]POM Portables NiCd'!AG30</f>
        <v>0</v>
      </c>
      <c r="AC30" s="48">
        <f>'[3]POM Portables NiCd'!AH30</f>
        <v>0</v>
      </c>
      <c r="AD30" s="48">
        <f>'[3]POM Portables NiCd'!AI30</f>
        <v>0</v>
      </c>
      <c r="AE30" s="48">
        <f>'[3]POM Portables NiCd'!AJ30</f>
        <v>0</v>
      </c>
      <c r="AF30" s="48">
        <f>'[3]POM Portables NiCd'!AK30</f>
        <v>0</v>
      </c>
      <c r="AG30" s="48">
        <f>'[3]POM Portables NiCd'!AL30</f>
        <v>0</v>
      </c>
      <c r="AH30" s="48">
        <f>'[3]POM Portables NiCd'!AM30</f>
        <v>0</v>
      </c>
      <c r="AI30" s="48">
        <f>'[3]POM Portables NiCd'!AN30</f>
        <v>0</v>
      </c>
      <c r="AJ30" s="48">
        <f>'[3]POM Portables NiCd'!AO30</f>
        <v>0</v>
      </c>
      <c r="AK30" s="48">
        <f>'[3]POM Portables NiCd'!AP30</f>
        <v>0</v>
      </c>
      <c r="AL30" s="48">
        <f>'[3]POM Portables NiCd'!AQ30</f>
        <v>0</v>
      </c>
      <c r="AM30" s="48">
        <f>'[3]POM Portables NiCd'!AR30</f>
        <v>0</v>
      </c>
      <c r="AN30" s="48">
        <f>'[3]POM Portables NiCd'!AS30</f>
        <v>0</v>
      </c>
      <c r="AO30" s="48">
        <f>'[3]POM Portables NiCd'!AT30</f>
        <v>0</v>
      </c>
      <c r="AP30" s="48">
        <f>'[3]POM Portables NiCd'!AU30</f>
        <v>0</v>
      </c>
      <c r="AQ30" s="48">
        <f>'[3]POM Portables NiCd'!AV30</f>
        <v>0</v>
      </c>
      <c r="AR30" s="48">
        <f>'[3]POM Portables NiCd'!AW30</f>
        <v>0</v>
      </c>
      <c r="AS30" s="48">
        <f>'[3]POM Portables NiCd'!AX30</f>
        <v>0</v>
      </c>
      <c r="AT30" s="48">
        <f>'[3]POM Portables NiCd'!AY30</f>
        <v>0</v>
      </c>
      <c r="AU30" s="48">
        <f>'[3]POM Portables NiCd'!AZ30</f>
        <v>0</v>
      </c>
      <c r="AV30" s="48">
        <f>'[3]POM Portables NiCd'!BA30</f>
        <v>0</v>
      </c>
      <c r="AW30" s="48">
        <f>'[3]POM Portables NiCd'!BB30</f>
        <v>0</v>
      </c>
      <c r="AX30" s="48">
        <f>'[3]POM Portables NiCd'!BC30</f>
        <v>0</v>
      </c>
      <c r="AY30" s="48">
        <f>'[3]POM Portables NiCd'!BD30</f>
        <v>0</v>
      </c>
      <c r="AZ30" s="48">
        <f>'[3]POM Portables NiCd'!BE30</f>
        <v>0</v>
      </c>
    </row>
    <row r="31" spans="1:52" x14ac:dyDescent="0.35">
      <c r="A31" s="61" t="s">
        <v>19</v>
      </c>
      <c r="B31" s="23">
        <f t="shared" si="0"/>
        <v>4.4832723839146533</v>
      </c>
      <c r="C31" s="23">
        <f t="shared" si="0"/>
        <v>4.9315996223061189</v>
      </c>
      <c r="D31" s="23">
        <f t="shared" si="1"/>
        <v>5.4247595845367309</v>
      </c>
      <c r="E31" s="23">
        <f t="shared" si="2"/>
        <v>6.0214831388357721</v>
      </c>
      <c r="F31" s="23">
        <f t="shared" si="3"/>
        <v>7.4064242607679995</v>
      </c>
      <c r="G31" s="23">
        <f t="shared" si="4"/>
        <v>5.8510751660067202</v>
      </c>
      <c r="H31" s="23">
        <f t="shared" si="5"/>
        <v>8.0159729774292074</v>
      </c>
      <c r="I31" s="23">
        <f t="shared" si="6"/>
        <v>4.8897435162318166</v>
      </c>
      <c r="J31" s="23">
        <f t="shared" si="7"/>
        <v>4.4985640349332714</v>
      </c>
      <c r="K31" s="23">
        <f t="shared" si="8"/>
        <v>3.5088799472479519</v>
      </c>
      <c r="L31" s="23">
        <f t="shared" si="9"/>
        <v>2.1404167678212507</v>
      </c>
      <c r="M31" s="4">
        <f>$M$8*'[2]Eurostat POM Portables GU'!M22</f>
        <v>3.1250084810190257</v>
      </c>
      <c r="N31" s="4">
        <f>$N$8*'[2]Eurostat POM Portables GU'!N22</f>
        <v>3.1462484211217134</v>
      </c>
      <c r="O31" s="4">
        <f>$O$8*'[2]Eurostat POM Portables GU'!O22</f>
        <v>2.090883422658897</v>
      </c>
      <c r="P31" s="4">
        <f>$P$8*'[2]Eurostat POM Portables GU'!P22</f>
        <v>2.0068949250627512</v>
      </c>
      <c r="Q31" s="4">
        <f>$Q$8*'[2]Eurostat POM Portables GU'!Q22</f>
        <v>1.1634368266651887</v>
      </c>
      <c r="R31" s="4">
        <f>$R$8*'[2]Eurostat POM Portables GU'!R22</f>
        <v>0.97135551089813665</v>
      </c>
      <c r="S31" s="4">
        <f>$S$8*'[2]Eurostat POM Portables GU'!S22</f>
        <v>0.587506486455044</v>
      </c>
      <c r="T31" s="4">
        <f>$T$8*'[2]Eurostat POM Portables GU'!T22</f>
        <v>0.61017840210737906</v>
      </c>
      <c r="U31" s="4">
        <f>$U$8*'[2]Eurostat POM Portables GU'!U22</f>
        <v>1.1809449978571964</v>
      </c>
      <c r="V31" s="4">
        <f>$V$8*'[2]Eurostat POM Portables GU'!V22</f>
        <v>0.75649607731801638</v>
      </c>
      <c r="W31" s="4">
        <f>$W$8*'[2]Eurostat POM Portables GU'!W22</f>
        <v>0.8528</v>
      </c>
      <c r="X31" s="67">
        <f>'[3]POM Portables NiCd'!AC31</f>
        <v>0.68223999999999996</v>
      </c>
      <c r="Y31" s="67">
        <f>'[3]POM Portables NiCd'!AD31</f>
        <v>0.34111999999999998</v>
      </c>
      <c r="Z31" s="67">
        <f>'[3]POM Portables NiCd'!AE31</f>
        <v>8.5280000000000022E-2</v>
      </c>
      <c r="AA31" s="48">
        <f>'[3]POM Portables NiCd'!AF31</f>
        <v>0</v>
      </c>
      <c r="AB31" s="48">
        <f>'[3]POM Portables NiCd'!AG31</f>
        <v>0</v>
      </c>
      <c r="AC31" s="48">
        <f>'[3]POM Portables NiCd'!AH31</f>
        <v>0</v>
      </c>
      <c r="AD31" s="48">
        <f>'[3]POM Portables NiCd'!AI31</f>
        <v>0</v>
      </c>
      <c r="AE31" s="48">
        <f>'[3]POM Portables NiCd'!AJ31</f>
        <v>0</v>
      </c>
      <c r="AF31" s="48">
        <f>'[3]POM Portables NiCd'!AK31</f>
        <v>0</v>
      </c>
      <c r="AG31" s="48">
        <f>'[3]POM Portables NiCd'!AL31</f>
        <v>0</v>
      </c>
      <c r="AH31" s="48">
        <f>'[3]POM Portables NiCd'!AM31</f>
        <v>0</v>
      </c>
      <c r="AI31" s="48">
        <f>'[3]POM Portables NiCd'!AN31</f>
        <v>0</v>
      </c>
      <c r="AJ31" s="48">
        <f>'[3]POM Portables NiCd'!AO31</f>
        <v>0</v>
      </c>
      <c r="AK31" s="48">
        <f>'[3]POM Portables NiCd'!AP31</f>
        <v>0</v>
      </c>
      <c r="AL31" s="48">
        <f>'[3]POM Portables NiCd'!AQ31</f>
        <v>0</v>
      </c>
      <c r="AM31" s="48">
        <f>'[3]POM Portables NiCd'!AR31</f>
        <v>0</v>
      </c>
      <c r="AN31" s="48">
        <f>'[3]POM Portables NiCd'!AS31</f>
        <v>0</v>
      </c>
      <c r="AO31" s="48">
        <f>'[3]POM Portables NiCd'!AT31</f>
        <v>0</v>
      </c>
      <c r="AP31" s="48">
        <f>'[3]POM Portables NiCd'!AU31</f>
        <v>0</v>
      </c>
      <c r="AQ31" s="48">
        <f>'[3]POM Portables NiCd'!AV31</f>
        <v>0</v>
      </c>
      <c r="AR31" s="48">
        <f>'[3]POM Portables NiCd'!AW31</f>
        <v>0</v>
      </c>
      <c r="AS31" s="48">
        <f>'[3]POM Portables NiCd'!AX31</f>
        <v>0</v>
      </c>
      <c r="AT31" s="48">
        <f>'[3]POM Portables NiCd'!AY31</f>
        <v>0</v>
      </c>
      <c r="AU31" s="48">
        <f>'[3]POM Portables NiCd'!AZ31</f>
        <v>0</v>
      </c>
      <c r="AV31" s="48">
        <f>'[3]POM Portables NiCd'!BA31</f>
        <v>0</v>
      </c>
      <c r="AW31" s="48">
        <f>'[3]POM Portables NiCd'!BB31</f>
        <v>0</v>
      </c>
      <c r="AX31" s="48">
        <f>'[3]POM Portables NiCd'!BC31</f>
        <v>0</v>
      </c>
      <c r="AY31" s="48">
        <f>'[3]POM Portables NiCd'!BD31</f>
        <v>0</v>
      </c>
      <c r="AZ31" s="48">
        <f>'[3]POM Portables NiCd'!BE31</f>
        <v>0</v>
      </c>
    </row>
    <row r="32" spans="1:52" x14ac:dyDescent="0.35">
      <c r="A32" s="61" t="s">
        <v>20</v>
      </c>
      <c r="B32" s="23">
        <f t="shared" si="0"/>
        <v>399.34038861189168</v>
      </c>
      <c r="C32" s="23">
        <f t="shared" si="0"/>
        <v>439.27442747308089</v>
      </c>
      <c r="D32" s="23">
        <f t="shared" si="1"/>
        <v>483.20187022038903</v>
      </c>
      <c r="E32" s="23">
        <f t="shared" si="2"/>
        <v>536.35407594463186</v>
      </c>
      <c r="F32" s="23">
        <f t="shared" si="3"/>
        <v>659.71551341189718</v>
      </c>
      <c r="G32" s="23">
        <f t="shared" si="4"/>
        <v>521.17525559539877</v>
      </c>
      <c r="H32" s="23">
        <f t="shared" si="5"/>
        <v>714.01010016569637</v>
      </c>
      <c r="I32" s="23">
        <f t="shared" si="6"/>
        <v>435.54616110107474</v>
      </c>
      <c r="J32" s="23">
        <f t="shared" si="7"/>
        <v>400.70246821298878</v>
      </c>
      <c r="K32" s="23">
        <f t="shared" si="8"/>
        <v>312.54792520613125</v>
      </c>
      <c r="L32" s="23">
        <f t="shared" si="9"/>
        <v>190.65423437574006</v>
      </c>
      <c r="M32" s="4">
        <f>$M$8*'[2]Eurostat POM Portables GU'!M23</f>
        <v>278.3551821885805</v>
      </c>
      <c r="N32" s="4">
        <f>$N$8*'[2]Eurostat POM Portables GU'!N23</f>
        <v>224.01216340661361</v>
      </c>
      <c r="O32" s="4">
        <f>$O$8*'[2]Eurostat POM Portables GU'!O23</f>
        <v>159.53031643550517</v>
      </c>
      <c r="P32" s="4">
        <f>$P$8*'[2]Eurostat POM Portables GU'!P23</f>
        <v>150.48290538926446</v>
      </c>
      <c r="Q32" s="4">
        <f>$Q$8*'[2]Eurostat POM Portables GU'!Q23</f>
        <v>130.67017133046096</v>
      </c>
      <c r="R32" s="4">
        <f>$R$8*'[2]Eurostat POM Portables GU'!R23</f>
        <v>113.11009795339045</v>
      </c>
      <c r="S32" s="4">
        <f>$S$8*'[2]Eurostat POM Portables GU'!S23</f>
        <v>76.695046469681955</v>
      </c>
      <c r="T32" s="4">
        <f>$T$8*'[2]Eurostat POM Portables GU'!T23</f>
        <v>72.615019778741512</v>
      </c>
      <c r="U32" s="4">
        <f>$U$8*'[2]Eurostat POM Portables GU'!U23</f>
        <v>60.28600338711562</v>
      </c>
      <c r="V32" s="4">
        <f>$V$8*'[2]Eurostat POM Portables GU'!V23</f>
        <v>57.569827267597475</v>
      </c>
      <c r="W32" s="4">
        <f>$W$8*'[2]Eurostat POM Portables GU'!W23</f>
        <v>61.729199999999999</v>
      </c>
      <c r="X32" s="67">
        <f>'[3]POM Portables NiCd'!AC32</f>
        <v>49.383359999999996</v>
      </c>
      <c r="Y32" s="67">
        <f>'[3]POM Portables NiCd'!AD32</f>
        <v>24.691679999999998</v>
      </c>
      <c r="Z32" s="67">
        <f>'[3]POM Portables NiCd'!AE32</f>
        <v>6.1729199999999977</v>
      </c>
      <c r="AA32" s="48">
        <f>'[3]POM Portables NiCd'!AF32</f>
        <v>0</v>
      </c>
      <c r="AB32" s="48">
        <f>'[3]POM Portables NiCd'!AG32</f>
        <v>0</v>
      </c>
      <c r="AC32" s="48">
        <f>'[3]POM Portables NiCd'!AH32</f>
        <v>0</v>
      </c>
      <c r="AD32" s="48">
        <f>'[3]POM Portables NiCd'!AI32</f>
        <v>0</v>
      </c>
      <c r="AE32" s="48">
        <f>'[3]POM Portables NiCd'!AJ32</f>
        <v>0</v>
      </c>
      <c r="AF32" s="48">
        <f>'[3]POM Portables NiCd'!AK32</f>
        <v>0</v>
      </c>
      <c r="AG32" s="48">
        <f>'[3]POM Portables NiCd'!AL32</f>
        <v>0</v>
      </c>
      <c r="AH32" s="48">
        <f>'[3]POM Portables NiCd'!AM32</f>
        <v>0</v>
      </c>
      <c r="AI32" s="48">
        <f>'[3]POM Portables NiCd'!AN32</f>
        <v>0</v>
      </c>
      <c r="AJ32" s="48">
        <f>'[3]POM Portables NiCd'!AO32</f>
        <v>0</v>
      </c>
      <c r="AK32" s="48">
        <f>'[3]POM Portables NiCd'!AP32</f>
        <v>0</v>
      </c>
      <c r="AL32" s="48">
        <f>'[3]POM Portables NiCd'!AQ32</f>
        <v>0</v>
      </c>
      <c r="AM32" s="48">
        <f>'[3]POM Portables NiCd'!AR32</f>
        <v>0</v>
      </c>
      <c r="AN32" s="48">
        <f>'[3]POM Portables NiCd'!AS32</f>
        <v>0</v>
      </c>
      <c r="AO32" s="48">
        <f>'[3]POM Portables NiCd'!AT32</f>
        <v>0</v>
      </c>
      <c r="AP32" s="48">
        <f>'[3]POM Portables NiCd'!AU32</f>
        <v>0</v>
      </c>
      <c r="AQ32" s="48">
        <f>'[3]POM Portables NiCd'!AV32</f>
        <v>0</v>
      </c>
      <c r="AR32" s="48">
        <f>'[3]POM Portables NiCd'!AW32</f>
        <v>0</v>
      </c>
      <c r="AS32" s="48">
        <f>'[3]POM Portables NiCd'!AX32</f>
        <v>0</v>
      </c>
      <c r="AT32" s="48">
        <f>'[3]POM Portables NiCd'!AY32</f>
        <v>0</v>
      </c>
      <c r="AU32" s="48">
        <f>'[3]POM Portables NiCd'!AZ32</f>
        <v>0</v>
      </c>
      <c r="AV32" s="48">
        <f>'[3]POM Portables NiCd'!BA32</f>
        <v>0</v>
      </c>
      <c r="AW32" s="48">
        <f>'[3]POM Portables NiCd'!BB32</f>
        <v>0</v>
      </c>
      <c r="AX32" s="48">
        <f>'[3]POM Portables NiCd'!BC32</f>
        <v>0</v>
      </c>
      <c r="AY32" s="48">
        <f>'[3]POM Portables NiCd'!BD32</f>
        <v>0</v>
      </c>
      <c r="AZ32" s="48">
        <f>'[3]POM Portables NiCd'!BE32</f>
        <v>0</v>
      </c>
    </row>
    <row r="33" spans="1:52" x14ac:dyDescent="0.35">
      <c r="A33" s="61" t="s">
        <v>21</v>
      </c>
      <c r="B33" s="23">
        <f t="shared" si="0"/>
        <v>141.24952477636865</v>
      </c>
      <c r="C33" s="23">
        <f t="shared" si="0"/>
        <v>155.37447725400551</v>
      </c>
      <c r="D33" s="23">
        <f t="shared" si="1"/>
        <v>170.91192497940608</v>
      </c>
      <c r="E33" s="23">
        <f t="shared" si="2"/>
        <v>189.71223672714078</v>
      </c>
      <c r="F33" s="23">
        <f t="shared" si="3"/>
        <v>233.34605117438315</v>
      </c>
      <c r="G33" s="23">
        <f t="shared" si="4"/>
        <v>184.3433804277627</v>
      </c>
      <c r="H33" s="23">
        <f t="shared" si="5"/>
        <v>252.5504311860349</v>
      </c>
      <c r="I33" s="23">
        <f t="shared" si="6"/>
        <v>154.05576302348129</v>
      </c>
      <c r="J33" s="23">
        <f t="shared" si="7"/>
        <v>141.7313019816028</v>
      </c>
      <c r="K33" s="23">
        <f t="shared" si="8"/>
        <v>110.5504155456502</v>
      </c>
      <c r="L33" s="23">
        <f t="shared" si="9"/>
        <v>67.435753482846621</v>
      </c>
      <c r="M33" s="4">
        <f>$M$8*'[2]Eurostat POM Portables GU'!M24</f>
        <v>98.456200084956066</v>
      </c>
      <c r="N33" s="4">
        <f>$N$8*'[2]Eurostat POM Portables GU'!N24</f>
        <v>81.047504163545824</v>
      </c>
      <c r="O33" s="4">
        <f>$O$8*'[2]Eurostat POM Portables GU'!O24</f>
        <v>68.685684922813621</v>
      </c>
      <c r="P33" s="4">
        <f>$P$8*'[2]Eurostat POM Portables GU'!P24</f>
        <v>60.699529214245722</v>
      </c>
      <c r="Q33" s="4">
        <f>$Q$8*'[2]Eurostat POM Portables GU'!Q24</f>
        <v>30.935769477633226</v>
      </c>
      <c r="R33" s="4">
        <f>$R$8*'[2]Eurostat POM Portables GU'!R24</f>
        <v>28.728418956271149</v>
      </c>
      <c r="S33" s="4">
        <f>$S$8*'[2]Eurostat POM Portables GU'!S24</f>
        <v>31.048984504430301</v>
      </c>
      <c r="T33" s="4">
        <f>$T$8*'[2]Eurostat POM Portables GU'!T24</f>
        <v>23.664310203468787</v>
      </c>
      <c r="U33" s="4">
        <f>$U$8*'[2]Eurostat POM Portables GU'!U24</f>
        <v>30.053536163417114</v>
      </c>
      <c r="V33" s="4">
        <f>$V$8*'[2]Eurostat POM Portables GU'!V24</f>
        <v>18.640147928884179</v>
      </c>
      <c r="W33" s="4">
        <f>$W$8*'[2]Eurostat POM Portables GU'!W24</f>
        <v>18.355999999999998</v>
      </c>
      <c r="X33" s="67">
        <f>'[3]POM Portables NiCd'!AC33</f>
        <v>14.684799999999999</v>
      </c>
      <c r="Y33" s="67">
        <f>'[3]POM Portables NiCd'!AD33</f>
        <v>7.3423999999999996</v>
      </c>
      <c r="Z33" s="67">
        <f>'[3]POM Portables NiCd'!AE33</f>
        <v>1.8355999999999995</v>
      </c>
      <c r="AA33" s="48">
        <f>'[3]POM Portables NiCd'!AF33</f>
        <v>0</v>
      </c>
      <c r="AB33" s="48">
        <f>'[3]POM Portables NiCd'!AG33</f>
        <v>0</v>
      </c>
      <c r="AC33" s="48">
        <f>'[3]POM Portables NiCd'!AH33</f>
        <v>0</v>
      </c>
      <c r="AD33" s="48">
        <f>'[3]POM Portables NiCd'!AI33</f>
        <v>0</v>
      </c>
      <c r="AE33" s="48">
        <f>'[3]POM Portables NiCd'!AJ33</f>
        <v>0</v>
      </c>
      <c r="AF33" s="48">
        <f>'[3]POM Portables NiCd'!AK33</f>
        <v>0</v>
      </c>
      <c r="AG33" s="48">
        <f>'[3]POM Portables NiCd'!AL33</f>
        <v>0</v>
      </c>
      <c r="AH33" s="48">
        <f>'[3]POM Portables NiCd'!AM33</f>
        <v>0</v>
      </c>
      <c r="AI33" s="48">
        <f>'[3]POM Portables NiCd'!AN33</f>
        <v>0</v>
      </c>
      <c r="AJ33" s="48">
        <f>'[3]POM Portables NiCd'!AO33</f>
        <v>0</v>
      </c>
      <c r="AK33" s="48">
        <f>'[3]POM Portables NiCd'!AP33</f>
        <v>0</v>
      </c>
      <c r="AL33" s="48">
        <f>'[3]POM Portables NiCd'!AQ33</f>
        <v>0</v>
      </c>
      <c r="AM33" s="48">
        <f>'[3]POM Portables NiCd'!AR33</f>
        <v>0</v>
      </c>
      <c r="AN33" s="48">
        <f>'[3]POM Portables NiCd'!AS33</f>
        <v>0</v>
      </c>
      <c r="AO33" s="48">
        <f>'[3]POM Portables NiCd'!AT33</f>
        <v>0</v>
      </c>
      <c r="AP33" s="48">
        <f>'[3]POM Portables NiCd'!AU33</f>
        <v>0</v>
      </c>
      <c r="AQ33" s="48">
        <f>'[3]POM Portables NiCd'!AV33</f>
        <v>0</v>
      </c>
      <c r="AR33" s="48">
        <f>'[3]POM Portables NiCd'!AW33</f>
        <v>0</v>
      </c>
      <c r="AS33" s="48">
        <f>'[3]POM Portables NiCd'!AX33</f>
        <v>0</v>
      </c>
      <c r="AT33" s="48">
        <f>'[3]POM Portables NiCd'!AY33</f>
        <v>0</v>
      </c>
      <c r="AU33" s="48">
        <f>'[3]POM Portables NiCd'!AZ33</f>
        <v>0</v>
      </c>
      <c r="AV33" s="48">
        <f>'[3]POM Portables NiCd'!BA33</f>
        <v>0</v>
      </c>
      <c r="AW33" s="48">
        <f>'[3]POM Portables NiCd'!BB33</f>
        <v>0</v>
      </c>
      <c r="AX33" s="48">
        <f>'[3]POM Portables NiCd'!BC33</f>
        <v>0</v>
      </c>
      <c r="AY33" s="48">
        <f>'[3]POM Portables NiCd'!BD33</f>
        <v>0</v>
      </c>
      <c r="AZ33" s="48">
        <f>'[3]POM Portables NiCd'!BE33</f>
        <v>0</v>
      </c>
    </row>
    <row r="34" spans="1:52" x14ac:dyDescent="0.35">
      <c r="A34" s="61" t="s">
        <v>22</v>
      </c>
      <c r="B34" s="23">
        <f t="shared" si="0"/>
        <v>513.3862936018636</v>
      </c>
      <c r="C34" s="23">
        <f t="shared" si="0"/>
        <v>564.72492296204996</v>
      </c>
      <c r="D34" s="23">
        <f t="shared" si="1"/>
        <v>621.19741525825498</v>
      </c>
      <c r="E34" s="23">
        <f t="shared" si="2"/>
        <v>689.52913093666314</v>
      </c>
      <c r="F34" s="23">
        <f t="shared" si="3"/>
        <v>848.12083105209558</v>
      </c>
      <c r="G34" s="23">
        <f t="shared" si="4"/>
        <v>670.01545653115556</v>
      </c>
      <c r="H34" s="23">
        <f t="shared" si="5"/>
        <v>917.92117544768314</v>
      </c>
      <c r="I34" s="23">
        <f t="shared" si="6"/>
        <v>559.93191702308673</v>
      </c>
      <c r="J34" s="23">
        <f t="shared" si="7"/>
        <v>515.13736366123976</v>
      </c>
      <c r="K34" s="23">
        <f t="shared" si="8"/>
        <v>401.80714365576705</v>
      </c>
      <c r="L34" s="23">
        <f t="shared" si="9"/>
        <v>245.10235763001791</v>
      </c>
      <c r="M34" s="4">
        <f>$M$8*'[2]Eurostat POM Portables GU'!M25</f>
        <v>357.84944213982612</v>
      </c>
      <c r="N34" s="4">
        <f>$N$8*'[2]Eurostat POM Portables GU'!N25</f>
        <v>319.81477908764788</v>
      </c>
      <c r="O34" s="4">
        <f>$O$8*'[2]Eurostat POM Portables GU'!O25</f>
        <v>264.68544473847845</v>
      </c>
      <c r="P34" s="4">
        <f>$P$8*'[2]Eurostat POM Portables GU'!P25</f>
        <v>230.68049898505018</v>
      </c>
      <c r="Q34" s="4">
        <f>$Q$8*'[2]Eurostat POM Portables GU'!Q25</f>
        <v>193.7067214518062</v>
      </c>
      <c r="R34" s="4">
        <f>$R$8*'[2]Eurostat POM Portables GU'!R25</f>
        <v>165.06602335726558</v>
      </c>
      <c r="S34" s="4">
        <f>$S$8*'[2]Eurostat POM Portables GU'!S25</f>
        <v>115.82763710933071</v>
      </c>
      <c r="T34" s="4">
        <f>$T$8*'[2]Eurostat POM Portables GU'!T25</f>
        <v>101.10011835165493</v>
      </c>
      <c r="U34" s="4">
        <f>$U$8*'[2]Eurostat POM Portables GU'!U25</f>
        <v>133.51009882534737</v>
      </c>
      <c r="V34" s="4">
        <f>$V$8*'[2]Eurostat POM Portables GU'!V25</f>
        <v>103.38779723346224</v>
      </c>
      <c r="W34" s="4">
        <f>$W$8*'[2]Eurostat POM Portables GU'!W25</f>
        <v>108.39919999999999</v>
      </c>
      <c r="X34" s="67">
        <f>'[3]POM Portables NiCd'!AC34</f>
        <v>86.719359999999995</v>
      </c>
      <c r="Y34" s="67">
        <f>'[3]POM Portables NiCd'!AD34</f>
        <v>43.359679999999997</v>
      </c>
      <c r="Z34" s="67">
        <f>'[3]POM Portables NiCd'!AE34</f>
        <v>10.839919999999999</v>
      </c>
      <c r="AA34" s="48">
        <f>'[3]POM Portables NiCd'!AF34</f>
        <v>0</v>
      </c>
      <c r="AB34" s="48">
        <f>'[3]POM Portables NiCd'!AG34</f>
        <v>0</v>
      </c>
      <c r="AC34" s="48">
        <f>'[3]POM Portables NiCd'!AH34</f>
        <v>0</v>
      </c>
      <c r="AD34" s="48">
        <f>'[3]POM Portables NiCd'!AI34</f>
        <v>0</v>
      </c>
      <c r="AE34" s="48">
        <f>'[3]POM Portables NiCd'!AJ34</f>
        <v>0</v>
      </c>
      <c r="AF34" s="48">
        <f>'[3]POM Portables NiCd'!AK34</f>
        <v>0</v>
      </c>
      <c r="AG34" s="48">
        <f>'[3]POM Portables NiCd'!AL34</f>
        <v>0</v>
      </c>
      <c r="AH34" s="48">
        <f>'[3]POM Portables NiCd'!AM34</f>
        <v>0</v>
      </c>
      <c r="AI34" s="48">
        <f>'[3]POM Portables NiCd'!AN34</f>
        <v>0</v>
      </c>
      <c r="AJ34" s="48">
        <f>'[3]POM Portables NiCd'!AO34</f>
        <v>0</v>
      </c>
      <c r="AK34" s="48">
        <f>'[3]POM Portables NiCd'!AP34</f>
        <v>0</v>
      </c>
      <c r="AL34" s="48">
        <f>'[3]POM Portables NiCd'!AQ34</f>
        <v>0</v>
      </c>
      <c r="AM34" s="48">
        <f>'[3]POM Portables NiCd'!AR34</f>
        <v>0</v>
      </c>
      <c r="AN34" s="48">
        <f>'[3]POM Portables NiCd'!AS34</f>
        <v>0</v>
      </c>
      <c r="AO34" s="48">
        <f>'[3]POM Portables NiCd'!AT34</f>
        <v>0</v>
      </c>
      <c r="AP34" s="48">
        <f>'[3]POM Portables NiCd'!AU34</f>
        <v>0</v>
      </c>
      <c r="AQ34" s="48">
        <f>'[3]POM Portables NiCd'!AV34</f>
        <v>0</v>
      </c>
      <c r="AR34" s="48">
        <f>'[3]POM Portables NiCd'!AW34</f>
        <v>0</v>
      </c>
      <c r="AS34" s="48">
        <f>'[3]POM Portables NiCd'!AX34</f>
        <v>0</v>
      </c>
      <c r="AT34" s="48">
        <f>'[3]POM Portables NiCd'!AY34</f>
        <v>0</v>
      </c>
      <c r="AU34" s="48">
        <f>'[3]POM Portables NiCd'!AZ34</f>
        <v>0</v>
      </c>
      <c r="AV34" s="48">
        <f>'[3]POM Portables NiCd'!BA34</f>
        <v>0</v>
      </c>
      <c r="AW34" s="48">
        <f>'[3]POM Portables NiCd'!BB34</f>
        <v>0</v>
      </c>
      <c r="AX34" s="48">
        <f>'[3]POM Portables NiCd'!BC34</f>
        <v>0</v>
      </c>
      <c r="AY34" s="48">
        <f>'[3]POM Portables NiCd'!BD34</f>
        <v>0</v>
      </c>
      <c r="AZ34" s="48">
        <f>'[3]POM Portables NiCd'!BE34</f>
        <v>0</v>
      </c>
    </row>
    <row r="35" spans="1:52" x14ac:dyDescent="0.35">
      <c r="A35" s="61" t="s">
        <v>23</v>
      </c>
      <c r="B35" s="23">
        <f t="shared" si="0"/>
        <v>87.293128538024405</v>
      </c>
      <c r="C35" s="23">
        <f t="shared" si="0"/>
        <v>96.02244139182686</v>
      </c>
      <c r="D35" s="23">
        <f t="shared" si="1"/>
        <v>105.62468553100956</v>
      </c>
      <c r="E35" s="23">
        <f t="shared" si="2"/>
        <v>117.24340093942062</v>
      </c>
      <c r="F35" s="23">
        <f t="shared" si="3"/>
        <v>144.20938315548736</v>
      </c>
      <c r="G35" s="23">
        <f t="shared" si="4"/>
        <v>113.92541269283501</v>
      </c>
      <c r="H35" s="23">
        <f t="shared" si="5"/>
        <v>156.07781538918397</v>
      </c>
      <c r="I35" s="23">
        <f t="shared" si="6"/>
        <v>95.207467387402218</v>
      </c>
      <c r="J35" s="23">
        <f t="shared" si="7"/>
        <v>87.590869996410049</v>
      </c>
      <c r="K35" s="23">
        <f t="shared" si="8"/>
        <v>68.320878597199837</v>
      </c>
      <c r="L35" s="23">
        <f t="shared" si="9"/>
        <v>41.675735944291901</v>
      </c>
      <c r="M35" s="4">
        <f>$M$8*'[2]Eurostat POM Portables GU'!M26</f>
        <v>60.84657447866617</v>
      </c>
      <c r="N35" s="4">
        <f>$N$8*'[2]Eurostat POM Portables GU'!N26</f>
        <v>52.212274675902741</v>
      </c>
      <c r="O35" s="4">
        <f>$O$8*'[2]Eurostat POM Portables GU'!O26</f>
        <v>40.576485463912455</v>
      </c>
      <c r="P35" s="4">
        <f>$P$8*'[2]Eurostat POM Portables GU'!P26</f>
        <v>35.582550059563637</v>
      </c>
      <c r="Q35" s="4">
        <f>$Q$8*'[2]Eurostat POM Portables GU'!Q26</f>
        <v>24.355030728701578</v>
      </c>
      <c r="R35" s="4">
        <f>$R$8*'[2]Eurostat POM Portables GU'!R26</f>
        <v>22.905438970515743</v>
      </c>
      <c r="S35" s="4">
        <f>$S$8*'[2]Eurostat POM Portables GU'!S26</f>
        <v>19.33336323268361</v>
      </c>
      <c r="T35" s="4">
        <f>$T$8*'[2]Eurostat POM Portables GU'!T26</f>
        <v>18.616126156220162</v>
      </c>
      <c r="U35" s="4">
        <f>$U$8*'[2]Eurostat POM Portables GU'!U26</f>
        <v>17.796758534141667</v>
      </c>
      <c r="V35" s="4">
        <f>$V$8*'[2]Eurostat POM Portables GU'!V26</f>
        <v>12.856732774545184</v>
      </c>
      <c r="W35" s="4">
        <f>$W$8*'[2]Eurostat POM Portables GU'!W26</f>
        <v>14.923999999999999</v>
      </c>
      <c r="X35" s="67">
        <f>'[3]POM Portables NiCd'!AC35</f>
        <v>11.9392</v>
      </c>
      <c r="Y35" s="67">
        <f>'[3]POM Portables NiCd'!AD35</f>
        <v>5.9695999999999998</v>
      </c>
      <c r="Z35" s="67">
        <f>'[3]POM Portables NiCd'!AE35</f>
        <v>1.4923999999999999</v>
      </c>
      <c r="AA35" s="48">
        <f>'[3]POM Portables NiCd'!AF35</f>
        <v>0</v>
      </c>
      <c r="AB35" s="48">
        <f>'[3]POM Portables NiCd'!AG35</f>
        <v>0</v>
      </c>
      <c r="AC35" s="48">
        <f>'[3]POM Portables NiCd'!AH35</f>
        <v>0</v>
      </c>
      <c r="AD35" s="48">
        <f>'[3]POM Portables NiCd'!AI35</f>
        <v>0</v>
      </c>
      <c r="AE35" s="48">
        <f>'[3]POM Portables NiCd'!AJ35</f>
        <v>0</v>
      </c>
      <c r="AF35" s="48">
        <f>'[3]POM Portables NiCd'!AK35</f>
        <v>0</v>
      </c>
      <c r="AG35" s="48">
        <f>'[3]POM Portables NiCd'!AL35</f>
        <v>0</v>
      </c>
      <c r="AH35" s="48">
        <f>'[3]POM Portables NiCd'!AM35</f>
        <v>0</v>
      </c>
      <c r="AI35" s="48">
        <f>'[3]POM Portables NiCd'!AN35</f>
        <v>0</v>
      </c>
      <c r="AJ35" s="48">
        <f>'[3]POM Portables NiCd'!AO35</f>
        <v>0</v>
      </c>
      <c r="AK35" s="48">
        <f>'[3]POM Portables NiCd'!AP35</f>
        <v>0</v>
      </c>
      <c r="AL35" s="48">
        <f>'[3]POM Portables NiCd'!AQ35</f>
        <v>0</v>
      </c>
      <c r="AM35" s="48">
        <f>'[3]POM Portables NiCd'!AR35</f>
        <v>0</v>
      </c>
      <c r="AN35" s="48">
        <f>'[3]POM Portables NiCd'!AS35</f>
        <v>0</v>
      </c>
      <c r="AO35" s="48">
        <f>'[3]POM Portables NiCd'!AT35</f>
        <v>0</v>
      </c>
      <c r="AP35" s="48">
        <f>'[3]POM Portables NiCd'!AU35</f>
        <v>0</v>
      </c>
      <c r="AQ35" s="48">
        <f>'[3]POM Portables NiCd'!AV35</f>
        <v>0</v>
      </c>
      <c r="AR35" s="48">
        <f>'[3]POM Portables NiCd'!AW35</f>
        <v>0</v>
      </c>
      <c r="AS35" s="48">
        <f>'[3]POM Portables NiCd'!AX35</f>
        <v>0</v>
      </c>
      <c r="AT35" s="48">
        <f>'[3]POM Portables NiCd'!AY35</f>
        <v>0</v>
      </c>
      <c r="AU35" s="48">
        <f>'[3]POM Portables NiCd'!AZ35</f>
        <v>0</v>
      </c>
      <c r="AV35" s="48">
        <f>'[3]POM Portables NiCd'!BA35</f>
        <v>0</v>
      </c>
      <c r="AW35" s="48">
        <f>'[3]POM Portables NiCd'!BB35</f>
        <v>0</v>
      </c>
      <c r="AX35" s="48">
        <f>'[3]POM Portables NiCd'!BC35</f>
        <v>0</v>
      </c>
      <c r="AY35" s="48">
        <f>'[3]POM Portables NiCd'!BD35</f>
        <v>0</v>
      </c>
      <c r="AZ35" s="48">
        <f>'[3]POM Portables NiCd'!BE35</f>
        <v>0</v>
      </c>
    </row>
    <row r="36" spans="1:52" x14ac:dyDescent="0.35">
      <c r="A36" s="61" t="s">
        <v>24</v>
      </c>
      <c r="B36" s="23">
        <f t="shared" si="0"/>
        <v>138.45768513012615</v>
      </c>
      <c r="C36" s="23">
        <f t="shared" si="0"/>
        <v>152.30345364313877</v>
      </c>
      <c r="D36" s="23">
        <f t="shared" si="1"/>
        <v>167.53379900745264</v>
      </c>
      <c r="E36" s="23">
        <f t="shared" si="2"/>
        <v>185.96251689827244</v>
      </c>
      <c r="F36" s="23">
        <f t="shared" si="3"/>
        <v>228.7338957848751</v>
      </c>
      <c r="G36" s="23">
        <f t="shared" si="4"/>
        <v>180.69977767005133</v>
      </c>
      <c r="H36" s="23">
        <f t="shared" si="5"/>
        <v>247.55869540797033</v>
      </c>
      <c r="I36" s="23">
        <f t="shared" si="6"/>
        <v>151.0108041988619</v>
      </c>
      <c r="J36" s="23">
        <f t="shared" si="7"/>
        <v>138.92993986295295</v>
      </c>
      <c r="K36" s="23">
        <f t="shared" si="8"/>
        <v>108.36535309310331</v>
      </c>
      <c r="L36" s="23">
        <f t="shared" si="9"/>
        <v>66.102865386793013</v>
      </c>
      <c r="M36" s="4">
        <f>$M$8*'[2]Eurostat POM Portables GU'!M27</f>
        <v>96.510183464717798</v>
      </c>
      <c r="N36" s="4">
        <f>$N$8*'[2]Eurostat POM Portables GU'!N27</f>
        <v>82.663626398467457</v>
      </c>
      <c r="O36" s="4">
        <f>$O$8*'[2]Eurostat POM Portables GU'!O27</f>
        <v>40.816638628439023</v>
      </c>
      <c r="P36" s="4">
        <f>$P$8*'[2]Eurostat POM Portables GU'!P27</f>
        <v>33.959829370034086</v>
      </c>
      <c r="Q36" s="4">
        <f>$Q$8*'[2]Eurostat POM Portables GU'!Q27</f>
        <v>41.657020884385503</v>
      </c>
      <c r="R36" s="4">
        <f>$R$8*'[2]Eurostat POM Portables GU'!R27</f>
        <v>30.145515855459411</v>
      </c>
      <c r="S36" s="4">
        <f>$S$8*'[2]Eurostat POM Portables GU'!S27</f>
        <v>31.27328947723252</v>
      </c>
      <c r="T36" s="4">
        <f>$T$8*'[2]Eurostat POM Portables GU'!T27</f>
        <v>21.238756306892871</v>
      </c>
      <c r="U36" s="4">
        <f>$U$8*'[2]Eurostat POM Portables GU'!U27</f>
        <v>29.427277452432236</v>
      </c>
      <c r="V36" s="4">
        <f>$V$8*'[2]Eurostat POM Portables GU'!V27</f>
        <v>26.242114100675284</v>
      </c>
      <c r="W36" s="4">
        <f>$W$8*'[2]Eurostat POM Portables GU'!W27</f>
        <v>35.744799999999998</v>
      </c>
      <c r="X36" s="67">
        <f>'[3]POM Portables NiCd'!AC36</f>
        <v>28.595839999999999</v>
      </c>
      <c r="Y36" s="67">
        <f>'[3]POM Portables NiCd'!AD36</f>
        <v>14.29792</v>
      </c>
      <c r="Z36" s="67">
        <f>'[3]POM Portables NiCd'!AE36</f>
        <v>3.5744799999999994</v>
      </c>
      <c r="AA36" s="48">
        <f>'[3]POM Portables NiCd'!AF36</f>
        <v>0</v>
      </c>
      <c r="AB36" s="48">
        <f>'[3]POM Portables NiCd'!AG36</f>
        <v>0</v>
      </c>
      <c r="AC36" s="48">
        <f>'[3]POM Portables NiCd'!AH36</f>
        <v>0</v>
      </c>
      <c r="AD36" s="48">
        <f>'[3]POM Portables NiCd'!AI36</f>
        <v>0</v>
      </c>
      <c r="AE36" s="48">
        <f>'[3]POM Portables NiCd'!AJ36</f>
        <v>0</v>
      </c>
      <c r="AF36" s="48">
        <f>'[3]POM Portables NiCd'!AK36</f>
        <v>0</v>
      </c>
      <c r="AG36" s="48">
        <f>'[3]POM Portables NiCd'!AL36</f>
        <v>0</v>
      </c>
      <c r="AH36" s="48">
        <f>'[3]POM Portables NiCd'!AM36</f>
        <v>0</v>
      </c>
      <c r="AI36" s="48">
        <f>'[3]POM Portables NiCd'!AN36</f>
        <v>0</v>
      </c>
      <c r="AJ36" s="48">
        <f>'[3]POM Portables NiCd'!AO36</f>
        <v>0</v>
      </c>
      <c r="AK36" s="48">
        <f>'[3]POM Portables NiCd'!AP36</f>
        <v>0</v>
      </c>
      <c r="AL36" s="48">
        <f>'[3]POM Portables NiCd'!AQ36</f>
        <v>0</v>
      </c>
      <c r="AM36" s="48">
        <f>'[3]POM Portables NiCd'!AR36</f>
        <v>0</v>
      </c>
      <c r="AN36" s="48">
        <f>'[3]POM Portables NiCd'!AS36</f>
        <v>0</v>
      </c>
      <c r="AO36" s="48">
        <f>'[3]POM Portables NiCd'!AT36</f>
        <v>0</v>
      </c>
      <c r="AP36" s="48">
        <f>'[3]POM Portables NiCd'!AU36</f>
        <v>0</v>
      </c>
      <c r="AQ36" s="48">
        <f>'[3]POM Portables NiCd'!AV36</f>
        <v>0</v>
      </c>
      <c r="AR36" s="48">
        <f>'[3]POM Portables NiCd'!AW36</f>
        <v>0</v>
      </c>
      <c r="AS36" s="48">
        <f>'[3]POM Portables NiCd'!AX36</f>
        <v>0</v>
      </c>
      <c r="AT36" s="48">
        <f>'[3]POM Portables NiCd'!AY36</f>
        <v>0</v>
      </c>
      <c r="AU36" s="48">
        <f>'[3]POM Portables NiCd'!AZ36</f>
        <v>0</v>
      </c>
      <c r="AV36" s="48">
        <f>'[3]POM Portables NiCd'!BA36</f>
        <v>0</v>
      </c>
      <c r="AW36" s="48">
        <f>'[3]POM Portables NiCd'!BB36</f>
        <v>0</v>
      </c>
      <c r="AX36" s="48">
        <f>'[3]POM Portables NiCd'!BC36</f>
        <v>0</v>
      </c>
      <c r="AY36" s="48">
        <f>'[3]POM Portables NiCd'!BD36</f>
        <v>0</v>
      </c>
      <c r="AZ36" s="48">
        <f>'[3]POM Portables NiCd'!BE36</f>
        <v>0</v>
      </c>
    </row>
    <row r="37" spans="1:52" x14ac:dyDescent="0.35">
      <c r="A37" s="61" t="s">
        <v>25</v>
      </c>
      <c r="B37" s="23">
        <f t="shared" si="0"/>
        <v>50.321921157214071</v>
      </c>
      <c r="C37" s="23">
        <f t="shared" si="0"/>
        <v>55.354113272935486</v>
      </c>
      <c r="D37" s="23">
        <f t="shared" si="1"/>
        <v>60.889524600229038</v>
      </c>
      <c r="E37" s="23">
        <f t="shared" si="2"/>
        <v>67.587372306254238</v>
      </c>
      <c r="F37" s="23">
        <f t="shared" si="3"/>
        <v>83.13246793669272</v>
      </c>
      <c r="G37" s="23">
        <f t="shared" si="4"/>
        <v>65.674649669987247</v>
      </c>
      <c r="H37" s="23">
        <f t="shared" si="5"/>
        <v>89.974270047882541</v>
      </c>
      <c r="I37" s="23">
        <f t="shared" si="6"/>
        <v>54.884304729208345</v>
      </c>
      <c r="J37" s="23">
        <f t="shared" si="7"/>
        <v>50.493560350871682</v>
      </c>
      <c r="K37" s="23">
        <f t="shared" si="8"/>
        <v>39.384977073679913</v>
      </c>
      <c r="L37" s="23">
        <f t="shared" si="9"/>
        <v>24.024836014944746</v>
      </c>
      <c r="M37" s="4">
        <f>$M$8*'[2]Eurostat POM Portables GU'!M28</f>
        <v>35.076260581819326</v>
      </c>
      <c r="N37" s="4">
        <f>$N$8*'[2]Eurostat POM Portables GU'!N28</f>
        <v>30.17405218300291</v>
      </c>
      <c r="O37" s="4">
        <f>$O$8*'[2]Eurostat POM Portables GU'!O28</f>
        <v>22.323435058731761</v>
      </c>
      <c r="P37" s="4">
        <f>$P$8*'[2]Eurostat POM Portables GU'!P28</f>
        <v>16.461817115468449</v>
      </c>
      <c r="Q37" s="4">
        <f>$Q$8*'[2]Eurostat POM Portables GU'!Q28</f>
        <v>14.783047093891907</v>
      </c>
      <c r="R37" s="4">
        <f>$R$8*'[2]Eurostat POM Portables GU'!R28</f>
        <v>15.923016067242663</v>
      </c>
      <c r="S37" s="4">
        <f>$S$8*'[2]Eurostat POM Portables GU'!S28</f>
        <v>12.595586934278478</v>
      </c>
      <c r="T37" s="4">
        <f>$T$8*'[2]Eurostat POM Portables GU'!T28</f>
        <v>11.627498991710802</v>
      </c>
      <c r="U37" s="4">
        <f>$U$8*'[2]Eurostat POM Portables GU'!U28</f>
        <v>12.029672821995216</v>
      </c>
      <c r="V37" s="4">
        <f>$V$8*'[2]Eurostat POM Portables GU'!V28</f>
        <v>10.731565597173818</v>
      </c>
      <c r="W37" s="4">
        <f>$W$8*'[2]Eurostat POM Portables GU'!W28</f>
        <v>11.804</v>
      </c>
      <c r="X37" s="67">
        <f>'[3]POM Portables NiCd'!AC37</f>
        <v>9.4432000000000009</v>
      </c>
      <c r="Y37" s="67">
        <f>'[3]POM Portables NiCd'!AD37</f>
        <v>4.7216000000000005</v>
      </c>
      <c r="Z37" s="67">
        <f>'[3]POM Portables NiCd'!AE37</f>
        <v>1.1804000000000001</v>
      </c>
      <c r="AA37" s="48">
        <f>'[3]POM Portables NiCd'!AF37</f>
        <v>0</v>
      </c>
      <c r="AB37" s="48">
        <f>'[3]POM Portables NiCd'!AG37</f>
        <v>0</v>
      </c>
      <c r="AC37" s="48">
        <f>'[3]POM Portables NiCd'!AH37</f>
        <v>0</v>
      </c>
      <c r="AD37" s="48">
        <f>'[3]POM Portables NiCd'!AI37</f>
        <v>0</v>
      </c>
      <c r="AE37" s="48">
        <f>'[3]POM Portables NiCd'!AJ37</f>
        <v>0</v>
      </c>
      <c r="AF37" s="48">
        <f>'[3]POM Portables NiCd'!AK37</f>
        <v>0</v>
      </c>
      <c r="AG37" s="48">
        <f>'[3]POM Portables NiCd'!AL37</f>
        <v>0</v>
      </c>
      <c r="AH37" s="48">
        <f>'[3]POM Portables NiCd'!AM37</f>
        <v>0</v>
      </c>
      <c r="AI37" s="48">
        <f>'[3]POM Portables NiCd'!AN37</f>
        <v>0</v>
      </c>
      <c r="AJ37" s="48">
        <f>'[3]POM Portables NiCd'!AO37</f>
        <v>0</v>
      </c>
      <c r="AK37" s="48">
        <f>'[3]POM Portables NiCd'!AP37</f>
        <v>0</v>
      </c>
      <c r="AL37" s="48">
        <f>'[3]POM Portables NiCd'!AQ37</f>
        <v>0</v>
      </c>
      <c r="AM37" s="48">
        <f>'[3]POM Portables NiCd'!AR37</f>
        <v>0</v>
      </c>
      <c r="AN37" s="48">
        <f>'[3]POM Portables NiCd'!AS37</f>
        <v>0</v>
      </c>
      <c r="AO37" s="48">
        <f>'[3]POM Portables NiCd'!AT37</f>
        <v>0</v>
      </c>
      <c r="AP37" s="48">
        <f>'[3]POM Portables NiCd'!AU37</f>
        <v>0</v>
      </c>
      <c r="AQ37" s="48">
        <f>'[3]POM Portables NiCd'!AV37</f>
        <v>0</v>
      </c>
      <c r="AR37" s="48">
        <f>'[3]POM Portables NiCd'!AW37</f>
        <v>0</v>
      </c>
      <c r="AS37" s="48">
        <f>'[3]POM Portables NiCd'!AX37</f>
        <v>0</v>
      </c>
      <c r="AT37" s="48">
        <f>'[3]POM Portables NiCd'!AY37</f>
        <v>0</v>
      </c>
      <c r="AU37" s="48">
        <f>'[3]POM Portables NiCd'!AZ37</f>
        <v>0</v>
      </c>
      <c r="AV37" s="48">
        <f>'[3]POM Portables NiCd'!BA37</f>
        <v>0</v>
      </c>
      <c r="AW37" s="48">
        <f>'[3]POM Portables NiCd'!BB37</f>
        <v>0</v>
      </c>
      <c r="AX37" s="48">
        <f>'[3]POM Portables NiCd'!BC37</f>
        <v>0</v>
      </c>
      <c r="AY37" s="48">
        <f>'[3]POM Portables NiCd'!BD37</f>
        <v>0</v>
      </c>
      <c r="AZ37" s="48">
        <f>'[3]POM Portables NiCd'!BE37</f>
        <v>0</v>
      </c>
    </row>
    <row r="38" spans="1:52" x14ac:dyDescent="0.35">
      <c r="A38" s="61" t="s">
        <v>26</v>
      </c>
      <c r="B38" s="23">
        <f t="shared" si="0"/>
        <v>34.403762423809617</v>
      </c>
      <c r="C38" s="23">
        <f t="shared" si="0"/>
        <v>37.844138666190581</v>
      </c>
      <c r="D38" s="23">
        <f t="shared" si="1"/>
        <v>41.628552532809643</v>
      </c>
      <c r="E38" s="23">
        <f t="shared" si="2"/>
        <v>46.207693311418709</v>
      </c>
      <c r="F38" s="23">
        <f t="shared" si="3"/>
        <v>56.835462773045009</v>
      </c>
      <c r="G38" s="23">
        <f t="shared" si="4"/>
        <v>44.900015590705557</v>
      </c>
      <c r="H38" s="23">
        <f t="shared" si="5"/>
        <v>61.513021359266617</v>
      </c>
      <c r="I38" s="23">
        <f t="shared" si="6"/>
        <v>37.522943029152636</v>
      </c>
      <c r="J38" s="23">
        <f t="shared" si="7"/>
        <v>34.521107586820428</v>
      </c>
      <c r="K38" s="23">
        <f t="shared" si="8"/>
        <v>26.926463917719936</v>
      </c>
      <c r="L38" s="23">
        <f t="shared" si="9"/>
        <v>16.42514298980916</v>
      </c>
      <c r="M38" s="4">
        <f>$M$8*'[2]Eurostat POM Portables GU'!M29</f>
        <v>23.980708765121374</v>
      </c>
      <c r="N38" s="4">
        <f>$N$8*'[2]Eurostat POM Portables GU'!N29</f>
        <v>21.785665676128101</v>
      </c>
      <c r="O38" s="4">
        <f>$O$8*'[2]Eurostat POM Portables GU'!O29</f>
        <v>16.918813939249336</v>
      </c>
      <c r="P38" s="4">
        <f>$P$8*'[2]Eurostat POM Portables GU'!P29</f>
        <v>14.057062358695743</v>
      </c>
      <c r="Q38" s="4">
        <f>$Q$8*'[2]Eurostat POM Portables GU'!Q29</f>
        <v>10.437870312300676</v>
      </c>
      <c r="R38" s="4">
        <f>$R$8*'[2]Eurostat POM Portables GU'!R29</f>
        <v>11.233713600837866</v>
      </c>
      <c r="S38" s="4">
        <f>$S$8*'[2]Eurostat POM Portables GU'!S29</f>
        <v>6.8154203274520526</v>
      </c>
      <c r="T38" s="4">
        <f>$T$8*'[2]Eurostat POM Portables GU'!T29</f>
        <v>6.2382214277561863</v>
      </c>
      <c r="U38" s="4">
        <f>$U$8*'[2]Eurostat POM Portables GU'!U29</f>
        <v>5.7326758928615655</v>
      </c>
      <c r="V38" s="4">
        <f>$V$8*'[2]Eurostat POM Portables GU'!V29</f>
        <v>4.3666370360914151</v>
      </c>
      <c r="W38" s="4">
        <f>$W$8*'[2]Eurostat POM Portables GU'!W29</f>
        <v>4.5968</v>
      </c>
      <c r="X38" s="67">
        <f>'[3]POM Portables NiCd'!AC38</f>
        <v>3.6774399999999998</v>
      </c>
      <c r="Y38" s="67">
        <f>'[3]POM Portables NiCd'!AD38</f>
        <v>1.8387199999999999</v>
      </c>
      <c r="Z38" s="67">
        <f>'[3]POM Portables NiCd'!AE38</f>
        <v>0.45968000000000009</v>
      </c>
      <c r="AA38" s="48">
        <f>'[3]POM Portables NiCd'!AF38</f>
        <v>0</v>
      </c>
      <c r="AB38" s="48">
        <f>'[3]POM Portables NiCd'!AG38</f>
        <v>0</v>
      </c>
      <c r="AC38" s="48">
        <f>'[3]POM Portables NiCd'!AH38</f>
        <v>0</v>
      </c>
      <c r="AD38" s="48">
        <f>'[3]POM Portables NiCd'!AI38</f>
        <v>0</v>
      </c>
      <c r="AE38" s="48">
        <f>'[3]POM Portables NiCd'!AJ38</f>
        <v>0</v>
      </c>
      <c r="AF38" s="48">
        <f>'[3]POM Portables NiCd'!AK38</f>
        <v>0</v>
      </c>
      <c r="AG38" s="48">
        <f>'[3]POM Portables NiCd'!AL38</f>
        <v>0</v>
      </c>
      <c r="AH38" s="48">
        <f>'[3]POM Portables NiCd'!AM38</f>
        <v>0</v>
      </c>
      <c r="AI38" s="48">
        <f>'[3]POM Portables NiCd'!AN38</f>
        <v>0</v>
      </c>
      <c r="AJ38" s="48">
        <f>'[3]POM Portables NiCd'!AO38</f>
        <v>0</v>
      </c>
      <c r="AK38" s="48">
        <f>'[3]POM Portables NiCd'!AP38</f>
        <v>0</v>
      </c>
      <c r="AL38" s="48">
        <f>'[3]POM Portables NiCd'!AQ38</f>
        <v>0</v>
      </c>
      <c r="AM38" s="48">
        <f>'[3]POM Portables NiCd'!AR38</f>
        <v>0</v>
      </c>
      <c r="AN38" s="48">
        <f>'[3]POM Portables NiCd'!AS38</f>
        <v>0</v>
      </c>
      <c r="AO38" s="48">
        <f>'[3]POM Portables NiCd'!AT38</f>
        <v>0</v>
      </c>
      <c r="AP38" s="48">
        <f>'[3]POM Portables NiCd'!AU38</f>
        <v>0</v>
      </c>
      <c r="AQ38" s="48">
        <f>'[3]POM Portables NiCd'!AV38</f>
        <v>0</v>
      </c>
      <c r="AR38" s="48">
        <f>'[3]POM Portables NiCd'!AW38</f>
        <v>0</v>
      </c>
      <c r="AS38" s="48">
        <f>'[3]POM Portables NiCd'!AX38</f>
        <v>0</v>
      </c>
      <c r="AT38" s="48">
        <f>'[3]POM Portables NiCd'!AY38</f>
        <v>0</v>
      </c>
      <c r="AU38" s="48">
        <f>'[3]POM Portables NiCd'!AZ38</f>
        <v>0</v>
      </c>
      <c r="AV38" s="48">
        <f>'[3]POM Portables NiCd'!BA38</f>
        <v>0</v>
      </c>
      <c r="AW38" s="48">
        <f>'[3]POM Portables NiCd'!BB38</f>
        <v>0</v>
      </c>
      <c r="AX38" s="48">
        <f>'[3]POM Portables NiCd'!BC38</f>
        <v>0</v>
      </c>
      <c r="AY38" s="48">
        <f>'[3]POM Portables NiCd'!BD38</f>
        <v>0</v>
      </c>
      <c r="AZ38" s="48">
        <f>'[3]POM Portables NiCd'!BE38</f>
        <v>0</v>
      </c>
    </row>
    <row r="39" spans="1:52" x14ac:dyDescent="0.35">
      <c r="A39" s="61" t="s">
        <v>27</v>
      </c>
      <c r="B39" s="23">
        <f t="shared" si="0"/>
        <v>862.96498289118495</v>
      </c>
      <c r="C39" s="23">
        <f t="shared" si="0"/>
        <v>949.26148118030346</v>
      </c>
      <c r="D39" s="23">
        <f t="shared" si="1"/>
        <v>1044.1876292983338</v>
      </c>
      <c r="E39" s="23">
        <f t="shared" si="2"/>
        <v>1159.0482685211507</v>
      </c>
      <c r="F39" s="23">
        <f t="shared" si="3"/>
        <v>1425.6293702810153</v>
      </c>
      <c r="G39" s="23">
        <f t="shared" si="4"/>
        <v>1126.2472025220022</v>
      </c>
      <c r="H39" s="23">
        <f t="shared" si="5"/>
        <v>1542.9586674551433</v>
      </c>
      <c r="I39" s="23">
        <f t="shared" si="6"/>
        <v>941.20478714763738</v>
      </c>
      <c r="J39" s="23">
        <f t="shared" si="7"/>
        <v>865.90840417582638</v>
      </c>
      <c r="K39" s="23">
        <f t="shared" si="8"/>
        <v>675.4085552571446</v>
      </c>
      <c r="L39" s="23">
        <f t="shared" si="9"/>
        <v>411.99921870685819</v>
      </c>
      <c r="M39" s="4">
        <f>M6*'[2]Eurostat POM Portables GU'!M30</f>
        <v>601.51885931201298</v>
      </c>
      <c r="N39" s="4">
        <f>N6*'[2]Eurostat POM Portables GU'!N30</f>
        <v>501.20831226463525</v>
      </c>
      <c r="O39" s="4">
        <f>O6*'[2]Eurostat POM Portables GU'!O30</f>
        <v>424.69116811573213</v>
      </c>
      <c r="P39" s="4">
        <f>P6*'[2]Eurostat POM Portables GU'!P30</f>
        <v>385.02657202684969</v>
      </c>
      <c r="Q39" s="4">
        <f>Q6*'[2]Eurostat POM Portables GU'!Q30</f>
        <v>354.78394937923861</v>
      </c>
      <c r="R39" s="4">
        <f>R6*'[2]Eurostat POM Portables GU'!R30</f>
        <v>355.18235666521156</v>
      </c>
      <c r="S39" s="4">
        <f>S6*'[2]Eurostat POM Portables GU'!S30</f>
        <v>313.52750505979589</v>
      </c>
      <c r="T39" s="4">
        <f>T6*'[2]Eurostat POM Portables GU'!T30</f>
        <v>313.39175466435364</v>
      </c>
      <c r="U39" s="4">
        <f>U6*'[2]Eurostat POM Portables GU'!U30</f>
        <v>299.33435490148833</v>
      </c>
      <c r="V39" s="4">
        <f>V6*'[2]Eurostat POM Portables GU'!V30</f>
        <v>242.58922312000391</v>
      </c>
      <c r="W39" s="4">
        <f>$W$6*'[2]Eurostat POM Portables GU'!W30</f>
        <v>278.60537305672221</v>
      </c>
      <c r="X39" s="67">
        <f>'[3]POM Portables NiCd'!AC39</f>
        <v>222.88429844537777</v>
      </c>
      <c r="Y39" s="67">
        <f>'[3]POM Portables NiCd'!AD39</f>
        <v>111.44214922268888</v>
      </c>
      <c r="Z39" s="67">
        <f>'[3]POM Portables NiCd'!AE39</f>
        <v>27.860537305672224</v>
      </c>
      <c r="AA39" s="48">
        <f>'[3]POM Portables NiCd'!AF39</f>
        <v>0</v>
      </c>
      <c r="AB39" s="48">
        <f>'[3]POM Portables NiCd'!AG39</f>
        <v>0</v>
      </c>
      <c r="AC39" s="48">
        <f>'[3]POM Portables NiCd'!AH39</f>
        <v>0</v>
      </c>
      <c r="AD39" s="48">
        <f>'[3]POM Portables NiCd'!AI39</f>
        <v>0</v>
      </c>
      <c r="AE39" s="48">
        <f>'[3]POM Portables NiCd'!AJ39</f>
        <v>0</v>
      </c>
      <c r="AF39" s="48">
        <f>'[3]POM Portables NiCd'!AK39</f>
        <v>0</v>
      </c>
      <c r="AG39" s="48">
        <f>'[3]POM Portables NiCd'!AL39</f>
        <v>0</v>
      </c>
      <c r="AH39" s="48">
        <f>'[3]POM Portables NiCd'!AM39</f>
        <v>0</v>
      </c>
      <c r="AI39" s="48">
        <f>'[3]POM Portables NiCd'!AN39</f>
        <v>0</v>
      </c>
      <c r="AJ39" s="48">
        <f>'[3]POM Portables NiCd'!AO39</f>
        <v>0</v>
      </c>
      <c r="AK39" s="48">
        <f>'[3]POM Portables NiCd'!AP39</f>
        <v>0</v>
      </c>
      <c r="AL39" s="48">
        <f>'[3]POM Portables NiCd'!AQ39</f>
        <v>0</v>
      </c>
      <c r="AM39" s="48">
        <f>'[3]POM Portables NiCd'!AR39</f>
        <v>0</v>
      </c>
      <c r="AN39" s="48">
        <f>'[3]POM Portables NiCd'!AS39</f>
        <v>0</v>
      </c>
      <c r="AO39" s="48">
        <f>'[3]POM Portables NiCd'!AT39</f>
        <v>0</v>
      </c>
      <c r="AP39" s="48">
        <f>'[3]POM Portables NiCd'!AU39</f>
        <v>0</v>
      </c>
      <c r="AQ39" s="48">
        <f>'[3]POM Portables NiCd'!AV39</f>
        <v>0</v>
      </c>
      <c r="AR39" s="48">
        <f>'[3]POM Portables NiCd'!AW39</f>
        <v>0</v>
      </c>
      <c r="AS39" s="48">
        <f>'[3]POM Portables NiCd'!AX39</f>
        <v>0</v>
      </c>
      <c r="AT39" s="48">
        <f>'[3]POM Portables NiCd'!AY39</f>
        <v>0</v>
      </c>
      <c r="AU39" s="48">
        <f>'[3]POM Portables NiCd'!AZ39</f>
        <v>0</v>
      </c>
      <c r="AV39" s="48">
        <f>'[3]POM Portables NiCd'!BA39</f>
        <v>0</v>
      </c>
      <c r="AW39" s="48">
        <f>'[3]POM Portables NiCd'!BB39</f>
        <v>0</v>
      </c>
      <c r="AX39" s="48">
        <f>'[3]POM Portables NiCd'!BC39</f>
        <v>0</v>
      </c>
      <c r="AY39" s="48">
        <f>'[3]POM Portables NiCd'!BD39</f>
        <v>0</v>
      </c>
      <c r="AZ39" s="48">
        <f>'[3]POM Portables NiCd'!BE39</f>
        <v>0</v>
      </c>
    </row>
    <row r="40" spans="1:52" x14ac:dyDescent="0.35">
      <c r="A40" s="61" t="s">
        <v>28</v>
      </c>
      <c r="B40" s="23">
        <f t="shared" si="0"/>
        <v>27.688615098202042</v>
      </c>
      <c r="C40" s="23">
        <f t="shared" si="0"/>
        <v>30.457476608022247</v>
      </c>
      <c r="D40" s="23">
        <f t="shared" si="1"/>
        <v>33.503224268824475</v>
      </c>
      <c r="E40" s="23">
        <f t="shared" si="2"/>
        <v>37.188578938395167</v>
      </c>
      <c r="F40" s="23">
        <f t="shared" si="3"/>
        <v>45.741952094226058</v>
      </c>
      <c r="G40" s="23">
        <f t="shared" si="4"/>
        <v>36.136142154438588</v>
      </c>
      <c r="H40" s="23">
        <f t="shared" si="5"/>
        <v>49.506514751580866</v>
      </c>
      <c r="I40" s="23">
        <f t="shared" si="6"/>
        <v>30.198973998464329</v>
      </c>
      <c r="J40" s="23">
        <f t="shared" si="7"/>
        <v>27.783056078587183</v>
      </c>
      <c r="K40" s="23">
        <f t="shared" si="8"/>
        <v>21.670783741298003</v>
      </c>
      <c r="L40" s="23">
        <f t="shared" si="9"/>
        <v>13.219178082191782</v>
      </c>
      <c r="M40" s="4">
        <f>M7*'[2]Eurostat POM Portables GU'!M31</f>
        <v>19.3</v>
      </c>
      <c r="N40" s="4">
        <f>N7*'[2]Eurostat POM Portables GU'!N31</f>
        <v>15.899999999999999</v>
      </c>
      <c r="O40" s="4">
        <f>O7*'[2]Eurostat POM Portables GU'!O31</f>
        <v>15.399999999999999</v>
      </c>
      <c r="P40" s="4">
        <f>P7*'[2]Eurostat POM Portables GU'!P31</f>
        <v>11</v>
      </c>
      <c r="Q40" s="4">
        <f>Q7*'[2]Eurostat POM Portables GU'!Q31</f>
        <v>11.3</v>
      </c>
      <c r="R40" s="4">
        <f>R7*'[2]Eurostat POM Portables GU'!R31</f>
        <v>9.6</v>
      </c>
      <c r="S40" s="4">
        <f>S7*'[2]Eurostat POM Portables GU'!S31</f>
        <v>5.9</v>
      </c>
      <c r="T40" s="4">
        <f>T7*'[2]Eurostat POM Portables GU'!T31</f>
        <v>7.9</v>
      </c>
      <c r="U40" s="4">
        <f>U7*'[2]Eurostat POM Portables GU'!U31</f>
        <v>6.1489923637825115</v>
      </c>
      <c r="V40" s="4">
        <f>V7*'[2]Eurostat POM Portables GU'!V31</f>
        <v>6.7002659539277829</v>
      </c>
      <c r="W40" s="4">
        <f>$W$7*'[2]Eurostat POM Portables GU'!W31</f>
        <v>48.223968719890657</v>
      </c>
      <c r="X40" s="67">
        <f>'[3]POM Portables NiCd'!AC40</f>
        <v>38.579174975912522</v>
      </c>
      <c r="Y40" s="67">
        <f>'[3]POM Portables NiCd'!AD40</f>
        <v>19.289587487956261</v>
      </c>
      <c r="Z40" s="67">
        <f>'[3]POM Portables NiCd'!AE40</f>
        <v>4.8223968719890653</v>
      </c>
      <c r="AA40" s="48">
        <f>'[3]POM Portables NiCd'!AF40</f>
        <v>0</v>
      </c>
      <c r="AB40" s="48">
        <f>'[3]POM Portables NiCd'!AG40</f>
        <v>0</v>
      </c>
      <c r="AC40" s="48">
        <f>'[3]POM Portables NiCd'!AH40</f>
        <v>0</v>
      </c>
      <c r="AD40" s="48">
        <f>'[3]POM Portables NiCd'!AI40</f>
        <v>0</v>
      </c>
      <c r="AE40" s="48">
        <f>'[3]POM Portables NiCd'!AJ40</f>
        <v>0</v>
      </c>
      <c r="AF40" s="48">
        <f>'[3]POM Portables NiCd'!AK40</f>
        <v>0</v>
      </c>
      <c r="AG40" s="48">
        <f>'[3]POM Portables NiCd'!AL40</f>
        <v>0</v>
      </c>
      <c r="AH40" s="48">
        <f>'[3]POM Portables NiCd'!AM40</f>
        <v>0</v>
      </c>
      <c r="AI40" s="48">
        <f>'[3]POM Portables NiCd'!AN40</f>
        <v>0</v>
      </c>
      <c r="AJ40" s="48">
        <f>'[3]POM Portables NiCd'!AO40</f>
        <v>0</v>
      </c>
      <c r="AK40" s="48">
        <f>'[3]POM Portables NiCd'!AP40</f>
        <v>0</v>
      </c>
      <c r="AL40" s="48">
        <f>'[3]POM Portables NiCd'!AQ40</f>
        <v>0</v>
      </c>
      <c r="AM40" s="48">
        <f>'[3]POM Portables NiCd'!AR40</f>
        <v>0</v>
      </c>
      <c r="AN40" s="48">
        <f>'[3]POM Portables NiCd'!AS40</f>
        <v>0</v>
      </c>
      <c r="AO40" s="48">
        <f>'[3]POM Portables NiCd'!AT40</f>
        <v>0</v>
      </c>
      <c r="AP40" s="48">
        <f>'[3]POM Portables NiCd'!AU40</f>
        <v>0</v>
      </c>
      <c r="AQ40" s="48">
        <f>'[3]POM Portables NiCd'!AV40</f>
        <v>0</v>
      </c>
      <c r="AR40" s="48">
        <f>'[3]POM Portables NiCd'!AW40</f>
        <v>0</v>
      </c>
      <c r="AS40" s="48">
        <f>'[3]POM Portables NiCd'!AX40</f>
        <v>0</v>
      </c>
      <c r="AT40" s="48">
        <f>'[3]POM Portables NiCd'!AY40</f>
        <v>0</v>
      </c>
      <c r="AU40" s="48">
        <f>'[3]POM Portables NiCd'!AZ40</f>
        <v>0</v>
      </c>
      <c r="AV40" s="48">
        <f>'[3]POM Portables NiCd'!BA40</f>
        <v>0</v>
      </c>
      <c r="AW40" s="48">
        <f>'[3]POM Portables NiCd'!BB40</f>
        <v>0</v>
      </c>
      <c r="AX40" s="48">
        <f>'[3]POM Portables NiCd'!BC40</f>
        <v>0</v>
      </c>
      <c r="AY40" s="48">
        <f>'[3]POM Portables NiCd'!BD40</f>
        <v>0</v>
      </c>
      <c r="AZ40" s="48">
        <f>'[3]POM Portables NiCd'!BE40</f>
        <v>0</v>
      </c>
    </row>
    <row r="41" spans="1:52" x14ac:dyDescent="0.35">
      <c r="A41" s="61" t="s">
        <v>29</v>
      </c>
      <c r="B41" s="23">
        <f t="shared" si="0"/>
        <v>181.51835845995072</v>
      </c>
      <c r="C41" s="23">
        <f t="shared" si="0"/>
        <v>199.67019430594581</v>
      </c>
      <c r="D41" s="23">
        <f t="shared" si="1"/>
        <v>219.63721373654042</v>
      </c>
      <c r="E41" s="23">
        <f t="shared" si="2"/>
        <v>243.7973072475599</v>
      </c>
      <c r="F41" s="23">
        <f t="shared" si="3"/>
        <v>299.87068791449866</v>
      </c>
      <c r="G41" s="23">
        <f t="shared" si="4"/>
        <v>236.89784345245397</v>
      </c>
      <c r="H41" s="23">
        <f t="shared" si="5"/>
        <v>324.55004552986196</v>
      </c>
      <c r="I41" s="23">
        <f t="shared" si="6"/>
        <v>197.97552777321579</v>
      </c>
      <c r="J41" s="23">
        <f t="shared" si="7"/>
        <v>182.13748555135854</v>
      </c>
      <c r="K41" s="23">
        <f t="shared" si="8"/>
        <v>142.06723873005967</v>
      </c>
      <c r="L41" s="23">
        <f t="shared" si="9"/>
        <v>86.66101562533639</v>
      </c>
      <c r="M41" s="4">
        <f>$M$8*'[2]Eurostat POM Portables GU'!M32</f>
        <v>126.52508281299113</v>
      </c>
      <c r="N41" s="4">
        <f>$N$8*'[2]Eurostat POM Portables GU'!N32</f>
        <v>106.42388204945127</v>
      </c>
      <c r="O41" s="4">
        <f>$O$8*'[2]Eurostat POM Portables GU'!O32</f>
        <v>84.570571343553269</v>
      </c>
      <c r="P41" s="4">
        <f>$P$8*'[2]Eurostat POM Portables GU'!P32</f>
        <v>74.840660235170105</v>
      </c>
      <c r="Q41" s="4">
        <f>$Q$8*'[2]Eurostat POM Portables GU'!Q32</f>
        <v>63.603312310248462</v>
      </c>
      <c r="R41" s="4">
        <f>$R$8*'[2]Eurostat POM Portables GU'!R32</f>
        <v>53.141133719559861</v>
      </c>
      <c r="S41" s="4">
        <f>$S$8*'[2]Eurostat POM Portables GU'!S32</f>
        <v>36.061337935126055</v>
      </c>
      <c r="T41" s="4">
        <f>$T$8*'[2]Eurostat POM Portables GU'!T32</f>
        <v>34.404966051744019</v>
      </c>
      <c r="U41" s="4">
        <f>$U$8*'[2]Eurostat POM Portables GU'!U32</f>
        <v>33.61839344133103</v>
      </c>
      <c r="V41" s="4">
        <f>$V$8*'[2]Eurostat POM Portables GU'!V32</f>
        <v>30.460729542322923</v>
      </c>
      <c r="W41" s="4">
        <f>$W$8*'[2]Eurostat POM Portables GU'!W32</f>
        <v>34.397999999999996</v>
      </c>
      <c r="X41" s="67">
        <f>'[3]POM Portables NiCd'!AC41</f>
        <v>27.518399999999996</v>
      </c>
      <c r="Y41" s="67">
        <f>'[3]POM Portables NiCd'!AD41</f>
        <v>13.759199999999998</v>
      </c>
      <c r="Z41" s="67">
        <f>'[3]POM Portables NiCd'!AE41</f>
        <v>3.4398</v>
      </c>
      <c r="AA41" s="48">
        <f>'[3]POM Portables NiCd'!AF41</f>
        <v>0</v>
      </c>
      <c r="AB41" s="48">
        <f>'[3]POM Portables NiCd'!AG41</f>
        <v>0</v>
      </c>
      <c r="AC41" s="48">
        <f>'[3]POM Portables NiCd'!AH41</f>
        <v>0</v>
      </c>
      <c r="AD41" s="48">
        <f>'[3]POM Portables NiCd'!AI41</f>
        <v>0</v>
      </c>
      <c r="AE41" s="48">
        <f>'[3]POM Portables NiCd'!AJ41</f>
        <v>0</v>
      </c>
      <c r="AF41" s="48">
        <f>'[3]POM Portables NiCd'!AK41</f>
        <v>0</v>
      </c>
      <c r="AG41" s="48">
        <f>'[3]POM Portables NiCd'!AL41</f>
        <v>0</v>
      </c>
      <c r="AH41" s="48">
        <f>'[3]POM Portables NiCd'!AM41</f>
        <v>0</v>
      </c>
      <c r="AI41" s="48">
        <f>'[3]POM Portables NiCd'!AN41</f>
        <v>0</v>
      </c>
      <c r="AJ41" s="48">
        <f>'[3]POM Portables NiCd'!AO41</f>
        <v>0</v>
      </c>
      <c r="AK41" s="48">
        <f>'[3]POM Portables NiCd'!AP41</f>
        <v>0</v>
      </c>
      <c r="AL41" s="48">
        <f>'[3]POM Portables NiCd'!AQ41</f>
        <v>0</v>
      </c>
      <c r="AM41" s="48">
        <f>'[3]POM Portables NiCd'!AR41</f>
        <v>0</v>
      </c>
      <c r="AN41" s="48">
        <f>'[3]POM Portables NiCd'!AS41</f>
        <v>0</v>
      </c>
      <c r="AO41" s="48">
        <f>'[3]POM Portables NiCd'!AT41</f>
        <v>0</v>
      </c>
      <c r="AP41" s="48">
        <f>'[3]POM Portables NiCd'!AU41</f>
        <v>0</v>
      </c>
      <c r="AQ41" s="48">
        <f>'[3]POM Portables NiCd'!AV41</f>
        <v>0</v>
      </c>
      <c r="AR41" s="48">
        <f>'[3]POM Portables NiCd'!AW41</f>
        <v>0</v>
      </c>
      <c r="AS41" s="48">
        <f>'[3]POM Portables NiCd'!AX41</f>
        <v>0</v>
      </c>
      <c r="AT41" s="48">
        <f>'[3]POM Portables NiCd'!AY41</f>
        <v>0</v>
      </c>
      <c r="AU41" s="48">
        <f>'[3]POM Portables NiCd'!AZ41</f>
        <v>0</v>
      </c>
      <c r="AV41" s="48">
        <f>'[3]POM Portables NiCd'!BA41</f>
        <v>0</v>
      </c>
      <c r="AW41" s="48">
        <f>'[3]POM Portables NiCd'!BB41</f>
        <v>0</v>
      </c>
      <c r="AX41" s="48">
        <f>'[3]POM Portables NiCd'!BC41</f>
        <v>0</v>
      </c>
      <c r="AY41" s="48">
        <f>'[3]POM Portables NiCd'!BD41</f>
        <v>0</v>
      </c>
      <c r="AZ41" s="48">
        <f>'[3]POM Portables NiCd'!BE41</f>
        <v>0</v>
      </c>
    </row>
    <row r="42" spans="1:52" x14ac:dyDescent="0.35">
      <c r="A42" s="61" t="s">
        <v>30</v>
      </c>
      <c r="B42" s="23">
        <f t="shared" si="0"/>
        <v>1909.2325850995851</v>
      </c>
      <c r="C42" s="23">
        <f t="shared" si="0"/>
        <v>2100.1558436095438</v>
      </c>
      <c r="D42" s="23">
        <f t="shared" si="1"/>
        <v>2310.1714279704984</v>
      </c>
      <c r="E42" s="23">
        <f t="shared" si="2"/>
        <v>2564.2902850472533</v>
      </c>
      <c r="F42" s="23">
        <f t="shared" si="3"/>
        <v>3154.0770506081217</v>
      </c>
      <c r="G42" s="23">
        <f t="shared" si="4"/>
        <v>2491.7208699804164</v>
      </c>
      <c r="H42" s="23">
        <f t="shared" si="5"/>
        <v>3413.6575918731705</v>
      </c>
      <c r="I42" s="23">
        <f t="shared" si="6"/>
        <v>2082.3311310426338</v>
      </c>
      <c r="J42" s="23">
        <f t="shared" si="7"/>
        <v>1915.7446405592232</v>
      </c>
      <c r="K42" s="23">
        <f t="shared" si="8"/>
        <v>1494.2808196361941</v>
      </c>
      <c r="L42" s="23">
        <f t="shared" si="9"/>
        <v>911.51129997807845</v>
      </c>
      <c r="M42" s="4">
        <f>$M$8*'[2]Eurostat POM Portables GU'!M33</f>
        <v>1330.8064979679946</v>
      </c>
      <c r="N42" s="4">
        <f>$N$8*'[2]Eurostat POM Portables GU'!N33</f>
        <v>1067.4693148693293</v>
      </c>
      <c r="O42" s="4">
        <f>$O$8*'[2]Eurostat POM Portables GU'!O33</f>
        <v>875.94315869787533</v>
      </c>
      <c r="P42" s="4">
        <f>$P$8*'[2]Eurostat POM Portables GU'!P33</f>
        <v>736.24552293648128</v>
      </c>
      <c r="Q42" s="4">
        <f>$Q$8*'[2]Eurostat POM Portables GU'!Q33</f>
        <v>597.46396431379105</v>
      </c>
      <c r="R42" s="4">
        <f>$R$8*'[2]Eurostat POM Portables GU'!R33</f>
        <v>501.37545310934007</v>
      </c>
      <c r="S42" s="4">
        <f>$S$8*'[2]Eurostat POM Portables GU'!S33</f>
        <v>336.57414955187238</v>
      </c>
      <c r="T42" s="4">
        <f>$T$8*'[2]Eurostat POM Portables GU'!T33</f>
        <v>289.29077264041831</v>
      </c>
      <c r="U42" s="4">
        <f>$U$8*'[2]Eurostat POM Portables GU'!U33</f>
        <v>259.78606305726498</v>
      </c>
      <c r="V42" s="4">
        <f>$V$8*'[2]Eurostat POM Portables GU'!V33</f>
        <v>213.40373714184102</v>
      </c>
      <c r="W42" s="4">
        <f>$W$8*'[2]Eurostat POM Portables GU'!W33</f>
        <v>226.06287599999999</v>
      </c>
      <c r="X42" s="67">
        <f>'[3]POM Portables NiCd'!AC42</f>
        <v>180.85030079999999</v>
      </c>
      <c r="Y42" s="67">
        <f>'[3]POM Portables NiCd'!AD42</f>
        <v>90.425150399999993</v>
      </c>
      <c r="Z42" s="67">
        <f>'[3]POM Portables NiCd'!AE42</f>
        <v>22.606287600000002</v>
      </c>
      <c r="AA42" s="48">
        <f>'[3]POM Portables NiCd'!AF42</f>
        <v>0</v>
      </c>
      <c r="AB42" s="48">
        <f>'[3]POM Portables NiCd'!AG42</f>
        <v>0</v>
      </c>
      <c r="AC42" s="48">
        <f>'[3]POM Portables NiCd'!AH42</f>
        <v>0</v>
      </c>
      <c r="AD42" s="48">
        <f>'[3]POM Portables NiCd'!AI42</f>
        <v>0</v>
      </c>
      <c r="AE42" s="48">
        <f>'[3]POM Portables NiCd'!AJ42</f>
        <v>0</v>
      </c>
      <c r="AF42" s="48">
        <f>'[3]POM Portables NiCd'!AK42</f>
        <v>0</v>
      </c>
      <c r="AG42" s="48">
        <f>'[3]POM Portables NiCd'!AL42</f>
        <v>0</v>
      </c>
      <c r="AH42" s="48">
        <f>'[3]POM Portables NiCd'!AM42</f>
        <v>0</v>
      </c>
      <c r="AI42" s="48">
        <f>'[3]POM Portables NiCd'!AN42</f>
        <v>0</v>
      </c>
      <c r="AJ42" s="48">
        <f>'[3]POM Portables NiCd'!AO42</f>
        <v>0</v>
      </c>
      <c r="AK42" s="48">
        <f>'[3]POM Portables NiCd'!AP42</f>
        <v>0</v>
      </c>
      <c r="AL42" s="48">
        <f>'[3]POM Portables NiCd'!AQ42</f>
        <v>0</v>
      </c>
      <c r="AM42" s="48">
        <f>'[3]POM Portables NiCd'!AR42</f>
        <v>0</v>
      </c>
      <c r="AN42" s="48">
        <f>'[3]POM Portables NiCd'!AS42</f>
        <v>0</v>
      </c>
      <c r="AO42" s="48">
        <f>'[3]POM Portables NiCd'!AT42</f>
        <v>0</v>
      </c>
      <c r="AP42" s="48">
        <f>'[3]POM Portables NiCd'!AU42</f>
        <v>0</v>
      </c>
      <c r="AQ42" s="48">
        <f>'[3]POM Portables NiCd'!AV42</f>
        <v>0</v>
      </c>
      <c r="AR42" s="48">
        <f>'[3]POM Portables NiCd'!AW42</f>
        <v>0</v>
      </c>
      <c r="AS42" s="48">
        <f>'[3]POM Portables NiCd'!AX42</f>
        <v>0</v>
      </c>
      <c r="AT42" s="48">
        <f>'[3]POM Portables NiCd'!AY42</f>
        <v>0</v>
      </c>
      <c r="AU42" s="48">
        <f>'[3]POM Portables NiCd'!AZ42</f>
        <v>0</v>
      </c>
      <c r="AV42" s="48">
        <f>'[3]POM Portables NiCd'!BA42</f>
        <v>0</v>
      </c>
      <c r="AW42" s="48">
        <f>'[3]POM Portables NiCd'!BB42</f>
        <v>0</v>
      </c>
      <c r="AX42" s="48">
        <f>'[3]POM Portables NiCd'!BC42</f>
        <v>0</v>
      </c>
      <c r="AY42" s="48">
        <f>'[3]POM Portables NiCd'!BD42</f>
        <v>0</v>
      </c>
      <c r="AZ42" s="48">
        <f>'[3]POM Portables NiCd'!BE42</f>
        <v>0</v>
      </c>
    </row>
    <row r="43" spans="1:52" x14ac:dyDescent="0.35">
      <c r="A43" s="61" t="s">
        <v>31</v>
      </c>
      <c r="B43" s="4">
        <f t="shared" ref="B43:M43" si="10">SUM(B12:B42)</f>
        <v>10790.550082086596</v>
      </c>
      <c r="C43" s="4">
        <f t="shared" si="10"/>
        <v>11869.605090295256</v>
      </c>
      <c r="D43" s="4">
        <f t="shared" si="10"/>
        <v>13056.565599324782</v>
      </c>
      <c r="E43" s="4">
        <f t="shared" si="10"/>
        <v>14492.787815250507</v>
      </c>
      <c r="F43" s="4">
        <f t="shared" si="10"/>
        <v>17826.129012758127</v>
      </c>
      <c r="G43" s="4">
        <f t="shared" si="10"/>
        <v>14082.641920078922</v>
      </c>
      <c r="H43" s="4">
        <f t="shared" si="10"/>
        <v>19293.219430508121</v>
      </c>
      <c r="I43" s="4">
        <f t="shared" si="10"/>
        <v>11768.863852609955</v>
      </c>
      <c r="J43" s="4">
        <f t="shared" si="10"/>
        <v>10827.354744401158</v>
      </c>
      <c r="K43" s="4">
        <f t="shared" si="10"/>
        <v>8445.3367006329026</v>
      </c>
      <c r="L43" s="4">
        <f t="shared" si="10"/>
        <v>5151.6553873860721</v>
      </c>
      <c r="M43" s="4">
        <f t="shared" si="10"/>
        <v>7521.4168655836629</v>
      </c>
      <c r="N43" s="4">
        <f t="shared" ref="N43:AZ43" si="11">SUM(N12:N42)</f>
        <v>6221.0976416929343</v>
      </c>
      <c r="O43" s="4">
        <f t="shared" si="11"/>
        <v>4714.1320610382336</v>
      </c>
      <c r="P43" s="4">
        <f t="shared" si="11"/>
        <v>3906.368614234194</v>
      </c>
      <c r="Q43" s="4">
        <f t="shared" si="11"/>
        <v>3272.6014963098369</v>
      </c>
      <c r="R43" s="4">
        <f t="shared" si="11"/>
        <v>2628.7653452494492</v>
      </c>
      <c r="S43" s="4">
        <f t="shared" si="11"/>
        <v>1798.4057194364161</v>
      </c>
      <c r="T43" s="4">
        <f t="shared" si="11"/>
        <v>1574.7603562042907</v>
      </c>
      <c r="U43" s="4">
        <f t="shared" si="11"/>
        <v>1508.0972976905305</v>
      </c>
      <c r="V43" s="4">
        <f t="shared" si="11"/>
        <v>1297.367891357816</v>
      </c>
      <c r="W43" s="4">
        <f t="shared" si="11"/>
        <v>1369.1625716516446</v>
      </c>
      <c r="X43" s="4">
        <f t="shared" si="11"/>
        <v>1095.3300573213162</v>
      </c>
      <c r="Y43" s="4">
        <f t="shared" si="11"/>
        <v>547.66502866065809</v>
      </c>
      <c r="Z43" s="4">
        <f t="shared" si="11"/>
        <v>136.91625716516452</v>
      </c>
      <c r="AA43" s="4">
        <f t="shared" si="11"/>
        <v>0</v>
      </c>
      <c r="AB43" s="4">
        <f t="shared" si="11"/>
        <v>0</v>
      </c>
      <c r="AC43" s="4">
        <f t="shared" si="11"/>
        <v>0</v>
      </c>
      <c r="AD43" s="4">
        <f t="shared" si="11"/>
        <v>0</v>
      </c>
      <c r="AE43" s="4">
        <f t="shared" si="11"/>
        <v>0</v>
      </c>
      <c r="AF43" s="4">
        <f t="shared" si="11"/>
        <v>0</v>
      </c>
      <c r="AG43" s="4">
        <f t="shared" si="11"/>
        <v>0</v>
      </c>
      <c r="AH43" s="4">
        <f t="shared" si="11"/>
        <v>0</v>
      </c>
      <c r="AI43" s="4">
        <f t="shared" si="11"/>
        <v>0</v>
      </c>
      <c r="AJ43" s="4">
        <f t="shared" si="11"/>
        <v>0</v>
      </c>
      <c r="AK43" s="4">
        <f t="shared" si="11"/>
        <v>0</v>
      </c>
      <c r="AL43" s="4">
        <f t="shared" si="11"/>
        <v>0</v>
      </c>
      <c r="AM43" s="4">
        <f t="shared" si="11"/>
        <v>0</v>
      </c>
      <c r="AN43" s="4">
        <f t="shared" si="11"/>
        <v>0</v>
      </c>
      <c r="AO43" s="4">
        <f t="shared" si="11"/>
        <v>0</v>
      </c>
      <c r="AP43" s="4">
        <f t="shared" si="11"/>
        <v>0</v>
      </c>
      <c r="AQ43" s="4">
        <f t="shared" si="11"/>
        <v>0</v>
      </c>
      <c r="AR43" s="4">
        <f t="shared" si="11"/>
        <v>0</v>
      </c>
      <c r="AS43" s="4">
        <f t="shared" si="11"/>
        <v>0</v>
      </c>
      <c r="AT43" s="4">
        <f t="shared" si="11"/>
        <v>0</v>
      </c>
      <c r="AU43" s="4">
        <f t="shared" si="11"/>
        <v>0</v>
      </c>
      <c r="AV43" s="4">
        <f t="shared" si="11"/>
        <v>0</v>
      </c>
      <c r="AW43" s="4">
        <f t="shared" si="11"/>
        <v>0</v>
      </c>
      <c r="AX43" s="4">
        <f t="shared" si="11"/>
        <v>0</v>
      </c>
      <c r="AY43" s="4">
        <f t="shared" si="11"/>
        <v>0</v>
      </c>
      <c r="AZ43" s="4">
        <f t="shared" si="11"/>
        <v>0</v>
      </c>
    </row>
    <row r="44" spans="1:52" x14ac:dyDescent="0.35">
      <c r="A44" s="58" t="s">
        <v>68</v>
      </c>
      <c r="B44" s="39">
        <f t="shared" ref="B44:L44" si="12">_xlfn.RRI(1,B43,C43)</f>
        <v>9.9999999999999867E-2</v>
      </c>
      <c r="C44" s="39">
        <f t="shared" si="12"/>
        <v>0.10000000000000009</v>
      </c>
      <c r="D44" s="39">
        <f t="shared" si="12"/>
        <v>0.10999999999999988</v>
      </c>
      <c r="E44" s="39">
        <f t="shared" si="12"/>
        <v>0.2300000000000002</v>
      </c>
      <c r="F44" s="39">
        <f t="shared" si="12"/>
        <v>-0.20999999999999985</v>
      </c>
      <c r="G44" s="39">
        <f t="shared" si="12"/>
        <v>0.36999999999999988</v>
      </c>
      <c r="H44" s="39">
        <f t="shared" si="12"/>
        <v>-0.3899999999999999</v>
      </c>
      <c r="I44" s="39">
        <f t="shared" si="12"/>
        <v>-7.999999999999996E-2</v>
      </c>
      <c r="J44" s="39">
        <f t="shared" si="12"/>
        <v>-0.22000000000000008</v>
      </c>
      <c r="K44" s="39">
        <f t="shared" si="12"/>
        <v>-0.38999999999999979</v>
      </c>
      <c r="L44" s="39">
        <f t="shared" si="12"/>
        <v>0.45999999999999952</v>
      </c>
      <c r="M44" s="39">
        <f>_xlfn.RRI(1,M43,N43)</f>
        <v>-0.17288221715787366</v>
      </c>
      <c r="N44" s="39">
        <f t="shared" ref="N44:V44" si="13">_xlfn.RRI(1,N43,O43)</f>
        <v>-0.24223467745550664</v>
      </c>
      <c r="O44" s="39">
        <f t="shared" si="13"/>
        <v>-0.17134934625190346</v>
      </c>
      <c r="P44" s="39">
        <f t="shared" si="13"/>
        <v>-0.16223945574798271</v>
      </c>
      <c r="Q44" s="39">
        <f t="shared" si="13"/>
        <v>-0.19673527369170152</v>
      </c>
      <c r="R44" s="39">
        <f t="shared" si="13"/>
        <v>-0.31587438084331509</v>
      </c>
      <c r="S44" s="39">
        <f t="shared" si="13"/>
        <v>-0.12435756893734262</v>
      </c>
      <c r="T44" s="39">
        <f t="shared" si="13"/>
        <v>-4.2332192483204856E-2</v>
      </c>
      <c r="U44" s="39">
        <f t="shared" si="13"/>
        <v>-0.13973196998325055</v>
      </c>
      <c r="V44" s="39">
        <f t="shared" si="13"/>
        <v>5.5338721400518764E-2</v>
      </c>
      <c r="W44" s="39">
        <f t="shared" ref="W44" si="14">_xlfn.RRI(1,W43,X43)</f>
        <v>-0.19999999999999962</v>
      </c>
      <c r="X44" s="39">
        <f t="shared" ref="X44" si="15">_xlfn.RRI(1,X43,Y43)</f>
        <v>-0.5</v>
      </c>
      <c r="Y44" s="39">
        <f t="shared" ref="Y44" si="16">_xlfn.RRI(1,Y43,Z43)</f>
        <v>-0.75</v>
      </c>
      <c r="Z44" s="39">
        <f t="shared" ref="Z44" si="17">_xlfn.RRI(1,Z43,AA43)</f>
        <v>-1</v>
      </c>
    </row>
    <row r="45" spans="1:52" x14ac:dyDescent="0.35"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52" x14ac:dyDescent="0.35">
      <c r="A46" s="24" t="s">
        <v>65</v>
      </c>
      <c r="B46" s="24"/>
      <c r="C46" s="24"/>
      <c r="D46" s="6"/>
      <c r="E46" s="6"/>
      <c r="F46" s="6"/>
      <c r="G46" s="6"/>
      <c r="H46" s="6"/>
      <c r="I46" s="6"/>
      <c r="J46" s="6"/>
      <c r="K46" s="6"/>
      <c r="L46" s="6"/>
    </row>
    <row r="47" spans="1:52" x14ac:dyDescent="0.35">
      <c r="A47" s="48" t="s">
        <v>91</v>
      </c>
      <c r="B47" s="48"/>
      <c r="C47" s="48"/>
    </row>
    <row r="67" spans="1:13" x14ac:dyDescent="0.35">
      <c r="A67" s="61"/>
      <c r="M67" s="2"/>
    </row>
    <row r="68" spans="1:13" x14ac:dyDescent="0.35">
      <c r="A68" s="61"/>
      <c r="M68" s="2"/>
    </row>
    <row r="69" spans="1:13" x14ac:dyDescent="0.35">
      <c r="A69" s="61"/>
      <c r="M69" s="2"/>
    </row>
    <row r="70" spans="1:13" x14ac:dyDescent="0.35">
      <c r="A70" s="61"/>
      <c r="M70" s="2"/>
    </row>
    <row r="71" spans="1:13" x14ac:dyDescent="0.35">
      <c r="A71" s="61"/>
      <c r="M71" s="2"/>
    </row>
    <row r="72" spans="1:13" x14ac:dyDescent="0.35">
      <c r="A72" s="61"/>
      <c r="M72" s="2"/>
    </row>
    <row r="73" spans="1:13" x14ac:dyDescent="0.35">
      <c r="A73" s="61"/>
      <c r="M73" s="2"/>
    </row>
    <row r="74" spans="1:13" x14ac:dyDescent="0.35">
      <c r="A74" s="61"/>
      <c r="M74" s="2"/>
    </row>
    <row r="75" spans="1:13" x14ac:dyDescent="0.35">
      <c r="A75" s="61"/>
      <c r="M75" s="2"/>
    </row>
    <row r="76" spans="1:13" x14ac:dyDescent="0.35">
      <c r="A76" s="61"/>
      <c r="M76" s="2"/>
    </row>
    <row r="77" spans="1:13" x14ac:dyDescent="0.35">
      <c r="A77" s="61"/>
      <c r="M77" s="2"/>
    </row>
    <row r="78" spans="1:13" x14ac:dyDescent="0.35">
      <c r="A78" s="61"/>
      <c r="M78" s="2"/>
    </row>
    <row r="79" spans="1:13" x14ac:dyDescent="0.35">
      <c r="A79" s="61"/>
      <c r="M79" s="2"/>
    </row>
    <row r="80" spans="1:13" x14ac:dyDescent="0.35">
      <c r="A80" s="61"/>
      <c r="M80" s="2"/>
    </row>
    <row r="81" spans="1:13" x14ac:dyDescent="0.35">
      <c r="A81" s="61"/>
      <c r="M81" s="2"/>
    </row>
    <row r="82" spans="1:13" x14ac:dyDescent="0.35">
      <c r="A82" s="61"/>
      <c r="M82" s="2"/>
    </row>
    <row r="83" spans="1:13" x14ac:dyDescent="0.35">
      <c r="A83" s="61"/>
      <c r="M83" s="2"/>
    </row>
    <row r="84" spans="1:13" x14ac:dyDescent="0.35">
      <c r="A84" s="61"/>
      <c r="M84" s="2"/>
    </row>
    <row r="85" spans="1:13" x14ac:dyDescent="0.35">
      <c r="A85" s="61"/>
      <c r="M85" s="2"/>
    </row>
    <row r="86" spans="1:13" x14ac:dyDescent="0.35">
      <c r="A86" s="61"/>
      <c r="M86" s="2"/>
    </row>
    <row r="87" spans="1:13" x14ac:dyDescent="0.35">
      <c r="A87" s="61"/>
      <c r="M87" s="2"/>
    </row>
    <row r="88" spans="1:13" x14ac:dyDescent="0.35">
      <c r="A88" s="61"/>
      <c r="M88" s="2"/>
    </row>
    <row r="89" spans="1:13" x14ac:dyDescent="0.35">
      <c r="A89" s="61"/>
      <c r="M89" s="2"/>
    </row>
    <row r="90" spans="1:13" x14ac:dyDescent="0.35">
      <c r="A90" s="61"/>
      <c r="M90" s="2"/>
    </row>
    <row r="91" spans="1:13" x14ac:dyDescent="0.35">
      <c r="A91" s="61"/>
      <c r="M91" s="2"/>
    </row>
    <row r="92" spans="1:13" x14ac:dyDescent="0.35">
      <c r="A92" s="61"/>
      <c r="M92" s="2"/>
    </row>
    <row r="93" spans="1:13" x14ac:dyDescent="0.35">
      <c r="A93" s="61"/>
      <c r="M93" s="2"/>
    </row>
    <row r="94" spans="1:13" x14ac:dyDescent="0.35">
      <c r="A94" s="61"/>
      <c r="M94" s="2"/>
    </row>
    <row r="95" spans="1:13" x14ac:dyDescent="0.35">
      <c r="A95" s="61"/>
      <c r="M95" s="2"/>
    </row>
    <row r="96" spans="1:13" x14ac:dyDescent="0.35">
      <c r="A96" s="61"/>
      <c r="M96" s="2"/>
    </row>
    <row r="97" spans="1:13" x14ac:dyDescent="0.35">
      <c r="A97" s="61"/>
      <c r="M97" s="2"/>
    </row>
    <row r="98" spans="1:13" x14ac:dyDescent="0.35">
      <c r="A98" s="61"/>
      <c r="M98" s="2"/>
    </row>
    <row r="99" spans="1:13" x14ac:dyDescent="0.35">
      <c r="M99" s="2"/>
    </row>
    <row r="100" spans="1:13" x14ac:dyDescent="0.35">
      <c r="M100" s="2"/>
    </row>
    <row r="101" spans="1:13" x14ac:dyDescent="0.35">
      <c r="M101" s="2"/>
    </row>
    <row r="102" spans="1:13" x14ac:dyDescent="0.35">
      <c r="M102" s="2"/>
    </row>
    <row r="103" spans="1:13" x14ac:dyDescent="0.35">
      <c r="M103" s="2"/>
    </row>
  </sheetData>
  <mergeCells count="4">
    <mergeCell ref="M2:W2"/>
    <mergeCell ref="B10:L10"/>
    <mergeCell ref="M10:W10"/>
    <mergeCell ref="X10:AZ10"/>
  </mergeCells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4484-6BF4-4BF2-A6AE-64E703D10778}">
  <sheetPr>
    <tabColor theme="9"/>
  </sheetPr>
  <dimension ref="A1:AZ48"/>
  <sheetViews>
    <sheetView tabSelected="1" zoomScale="70" zoomScaleNormal="70" workbookViewId="0">
      <selection activeCell="AQ36" sqref="AQ36"/>
    </sheetView>
  </sheetViews>
  <sheetFormatPr baseColWidth="10" defaultRowHeight="14.5" x14ac:dyDescent="0.35"/>
  <cols>
    <col min="1" max="1" width="27.26953125" customWidth="1"/>
    <col min="2" max="12" width="10.08984375" customWidth="1"/>
    <col min="13" max="22" width="11.26953125" bestFit="1" customWidth="1"/>
  </cols>
  <sheetData>
    <row r="1" spans="1:52" x14ac:dyDescent="0.35">
      <c r="A1" s="61" t="s">
        <v>82</v>
      </c>
      <c r="B1" s="61" t="s">
        <v>69</v>
      </c>
      <c r="C1" s="61" t="s">
        <v>77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52" x14ac:dyDescent="0.35">
      <c r="A2" s="61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107" t="s">
        <v>84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</row>
    <row r="3" spans="1:52" x14ac:dyDescent="0.35">
      <c r="A3" s="55" t="s">
        <v>38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2">
        <v>9.1058095064651249E-4</v>
      </c>
      <c r="N4" s="12">
        <v>1.3967328596587113E-3</v>
      </c>
      <c r="O4" s="12">
        <v>7.7105758258026714E-4</v>
      </c>
      <c r="P4" s="12">
        <v>1.1140428026971563E-3</v>
      </c>
      <c r="Q4" s="12">
        <v>1.8845700824499411E-3</v>
      </c>
      <c r="R4" s="12">
        <v>2.0119584006347588E-3</v>
      </c>
      <c r="S4" s="12">
        <v>2.3693513371343998E-3</v>
      </c>
      <c r="T4" s="12">
        <v>2.1791555878709311E-3</v>
      </c>
      <c r="U4" s="12">
        <v>2.4842936029439728E-3</v>
      </c>
      <c r="V4" s="12">
        <v>2.0340833840864106E-3</v>
      </c>
      <c r="W4" s="2">
        <v>1.4672742437469351E-3</v>
      </c>
    </row>
    <row r="5" spans="1:52" x14ac:dyDescent="0.35">
      <c r="A5" s="8" t="s">
        <v>9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2">
        <v>2.989536621833544E-5</v>
      </c>
      <c r="N5" s="12">
        <v>2.1270221689633217E-3</v>
      </c>
      <c r="O5" s="12">
        <v>2.4546360315207849E-2</v>
      </c>
      <c r="P5" s="12">
        <v>2.4077558439901892E-2</v>
      </c>
      <c r="Q5" s="12">
        <v>1.6969658378171992E-2</v>
      </c>
      <c r="R5" s="12">
        <v>3.3404596472386139E-5</v>
      </c>
      <c r="S5" s="12">
        <v>0</v>
      </c>
      <c r="T5" s="12">
        <v>0</v>
      </c>
      <c r="U5" s="12">
        <v>-3.0461800901493419E-5</v>
      </c>
      <c r="V5" s="12">
        <v>0</v>
      </c>
      <c r="W5" s="2"/>
    </row>
    <row r="6" spans="1:52" x14ac:dyDescent="0.35">
      <c r="A6" s="8" t="s">
        <v>27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12">
        <v>7.3134549074264736E-4</v>
      </c>
      <c r="N6" s="12">
        <v>5.9730829037664282E-4</v>
      </c>
      <c r="O6" s="12">
        <v>8.4566778874497312E-4</v>
      </c>
      <c r="P6" s="12">
        <v>9.4393869585562926E-4</v>
      </c>
      <c r="Q6" s="12">
        <v>6.3230854568322424E-4</v>
      </c>
      <c r="R6" s="12">
        <v>5.4868570564873913E-4</v>
      </c>
      <c r="S6" s="12">
        <v>4.7496049069347887E-3</v>
      </c>
      <c r="T6" s="12">
        <v>5.2434591800069041E-3</v>
      </c>
      <c r="U6" s="12">
        <v>5.4316565652821284E-3</v>
      </c>
      <c r="V6" s="12">
        <v>3.6555160015499808E-3</v>
      </c>
      <c r="W6" s="2">
        <v>9.4216917468830947E-3</v>
      </c>
    </row>
    <row r="7" spans="1:52" x14ac:dyDescent="0.35">
      <c r="A7" s="8" t="s">
        <v>28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12">
        <v>5.4309740714786271E-4</v>
      </c>
      <c r="N7" s="12">
        <v>9.0412707417387615E-4</v>
      </c>
      <c r="O7" s="12">
        <v>1.2497322002428052E-4</v>
      </c>
      <c r="P7" s="12">
        <v>1.6551906779661016E-4</v>
      </c>
      <c r="Q7" s="12">
        <v>1.8926684905108484E-4</v>
      </c>
      <c r="R7" s="12">
        <v>1.6628421297681996E-4</v>
      </c>
      <c r="S7" s="12">
        <v>3.7659327925840095E-4</v>
      </c>
      <c r="T7" s="12">
        <v>4.0974610375356694E-4</v>
      </c>
      <c r="U7" s="12">
        <v>0</v>
      </c>
      <c r="V7" s="12">
        <v>0</v>
      </c>
      <c r="W7" s="2">
        <v>0</v>
      </c>
    </row>
    <row r="8" spans="1:52" x14ac:dyDescent="0.35">
      <c r="A8" s="14" t="s">
        <v>32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15">
        <v>5.5372980368883942E-4</v>
      </c>
      <c r="N8" s="15">
        <v>1.2562975982931381E-3</v>
      </c>
      <c r="O8" s="15">
        <v>6.5720147266393426E-3</v>
      </c>
      <c r="P8" s="15">
        <v>6.5752647515628223E-3</v>
      </c>
      <c r="Q8" s="15">
        <v>4.9189509638390607E-3</v>
      </c>
      <c r="R8" s="15">
        <v>6.9008322893317599E-4</v>
      </c>
      <c r="S8" s="15">
        <v>1.8738873808318973E-3</v>
      </c>
      <c r="T8" s="15">
        <v>1.9580902179078506E-3</v>
      </c>
      <c r="U8" s="15">
        <v>1.9713720918311519E-3</v>
      </c>
      <c r="V8" s="16">
        <v>1.4223998464090977E-3</v>
      </c>
      <c r="W8" s="43">
        <v>4.0333106616512312E-3</v>
      </c>
    </row>
    <row r="9" spans="1:52" x14ac:dyDescent="0.35">
      <c r="A9" s="61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61"/>
      <c r="N9" s="61"/>
      <c r="O9" s="61"/>
      <c r="P9" s="61"/>
      <c r="Q9" s="61"/>
      <c r="R9" s="61"/>
      <c r="S9" s="61"/>
      <c r="T9" s="61"/>
      <c r="U9" s="61"/>
      <c r="V9" s="7"/>
      <c r="X9" s="6" t="s">
        <v>78</v>
      </c>
    </row>
    <row r="10" spans="1:52" x14ac:dyDescent="0.35">
      <c r="A10" s="61"/>
      <c r="B10" s="108" t="s">
        <v>85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9" t="s">
        <v>86</v>
      </c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5" t="s">
        <v>79</v>
      </c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</row>
    <row r="11" spans="1:52" x14ac:dyDescent="0.35">
      <c r="A11" s="61"/>
      <c r="B11" s="5">
        <v>2000</v>
      </c>
      <c r="C11" s="5">
        <v>2001</v>
      </c>
      <c r="D11" s="5">
        <v>2002</v>
      </c>
      <c r="E11" s="5">
        <v>2003</v>
      </c>
      <c r="F11" s="5">
        <v>2004</v>
      </c>
      <c r="G11" s="5">
        <v>2005</v>
      </c>
      <c r="H11" s="5">
        <v>2006</v>
      </c>
      <c r="I11" s="5">
        <v>2007</v>
      </c>
      <c r="J11" s="5">
        <v>2008</v>
      </c>
      <c r="K11" s="5">
        <v>2009</v>
      </c>
      <c r="L11" s="5">
        <v>2010</v>
      </c>
      <c r="M11" s="57">
        <v>2011</v>
      </c>
      <c r="N11" s="57">
        <v>2012</v>
      </c>
      <c r="O11" s="57">
        <v>2013</v>
      </c>
      <c r="P11" s="57">
        <v>2014</v>
      </c>
      <c r="Q11" s="57">
        <v>2015</v>
      </c>
      <c r="R11" s="57">
        <v>2016</v>
      </c>
      <c r="S11" s="57">
        <v>2017</v>
      </c>
      <c r="T11" s="57">
        <v>2018</v>
      </c>
      <c r="U11" s="57">
        <v>2019</v>
      </c>
      <c r="V11" s="57">
        <v>2020</v>
      </c>
      <c r="W11" s="57">
        <v>2021</v>
      </c>
      <c r="X11" s="47">
        <v>2022</v>
      </c>
      <c r="Y11" s="47">
        <v>2023</v>
      </c>
      <c r="Z11" s="47">
        <v>2024</v>
      </c>
      <c r="AA11" s="47">
        <v>2025</v>
      </c>
      <c r="AB11" s="47">
        <v>2026</v>
      </c>
      <c r="AC11" s="47">
        <v>2027</v>
      </c>
      <c r="AD11" s="47">
        <v>2028</v>
      </c>
      <c r="AE11" s="47">
        <v>2029</v>
      </c>
      <c r="AF11" s="47">
        <v>2030</v>
      </c>
      <c r="AG11" s="47">
        <v>2031</v>
      </c>
      <c r="AH11" s="47">
        <v>2032</v>
      </c>
      <c r="AI11" s="47">
        <v>2033</v>
      </c>
      <c r="AJ11" s="47">
        <v>2034</v>
      </c>
      <c r="AK11" s="47">
        <v>2035</v>
      </c>
      <c r="AL11" s="47">
        <v>2036</v>
      </c>
      <c r="AM11" s="47">
        <v>2037</v>
      </c>
      <c r="AN11" s="47">
        <v>2038</v>
      </c>
      <c r="AO11" s="47">
        <v>2039</v>
      </c>
      <c r="AP11" s="47">
        <v>2040</v>
      </c>
      <c r="AQ11" s="47">
        <v>2041</v>
      </c>
      <c r="AR11" s="47">
        <v>2042</v>
      </c>
      <c r="AS11" s="47">
        <v>2043</v>
      </c>
      <c r="AT11" s="47">
        <v>2044</v>
      </c>
      <c r="AU11" s="47">
        <v>2045</v>
      </c>
      <c r="AV11" s="47">
        <v>2046</v>
      </c>
      <c r="AW11" s="47">
        <v>2047</v>
      </c>
      <c r="AX11" s="47">
        <v>2048</v>
      </c>
      <c r="AY11" s="47">
        <v>2049</v>
      </c>
      <c r="AZ11" s="47">
        <v>2050</v>
      </c>
    </row>
    <row r="12" spans="1:52" x14ac:dyDescent="0.35">
      <c r="A12" s="61" t="s">
        <v>0</v>
      </c>
      <c r="B12" s="23">
        <f t="shared" ref="B12:L27" si="0">C12/1.02</f>
        <v>1.609421950504998</v>
      </c>
      <c r="C12" s="23">
        <f t="shared" si="0"/>
        <v>1.641610389515098</v>
      </c>
      <c r="D12" s="23">
        <f t="shared" si="0"/>
        <v>1.6744425973054</v>
      </c>
      <c r="E12" s="23">
        <f t="shared" si="0"/>
        <v>1.7079314492515081</v>
      </c>
      <c r="F12" s="23">
        <f t="shared" si="0"/>
        <v>1.7420900782365383</v>
      </c>
      <c r="G12" s="23">
        <f t="shared" si="0"/>
        <v>1.776931879801269</v>
      </c>
      <c r="H12" s="23">
        <f t="shared" si="0"/>
        <v>1.8124705173972944</v>
      </c>
      <c r="I12" s="23">
        <f t="shared" si="0"/>
        <v>1.8487199277452402</v>
      </c>
      <c r="J12" s="23">
        <f t="shared" si="0"/>
        <v>1.8856943263001451</v>
      </c>
      <c r="K12" s="23">
        <f t="shared" si="0"/>
        <v>1.923408212826148</v>
      </c>
      <c r="L12" s="23">
        <f>M12/1.02</f>
        <v>1.961876377082671</v>
      </c>
      <c r="M12" s="4">
        <f>$M$8*'[2]Eurostat POM Portables GU'!M3</f>
        <v>2.0011139046243245</v>
      </c>
      <c r="N12" s="4">
        <f>$N$8*'[2]Eurostat POM Portables GU'!N3</f>
        <v>4.66988389184508</v>
      </c>
      <c r="O12" s="4">
        <f>$O$8*'[2]Eurostat POM Portables GU'!O3</f>
        <v>25.575310765423879</v>
      </c>
      <c r="P12" s="4">
        <f>$P$8*'[2]Eurostat POM Portables GU'!P3</f>
        <v>26.870687342208679</v>
      </c>
      <c r="Q12" s="4">
        <f>$Q$8*'[2]Eurostat POM Portables GU'!Q3</f>
        <v>22.367900709464038</v>
      </c>
      <c r="R12" s="4">
        <f>$R$8*'[2]Eurostat POM Portables GU'!R3</f>
        <v>3.248946125152206</v>
      </c>
      <c r="S12" s="4">
        <f>$S$8*'[2]Eurostat POM Portables GU'!S3</f>
        <v>8.8927666517493833</v>
      </c>
      <c r="T12" s="4">
        <f>$T$8*'[2]Eurostat POM Portables GU'!T3</f>
        <v>10.670497624269432</v>
      </c>
      <c r="U12" s="4">
        <f>$U$8*'[2]Eurostat POM Portables GU'!U3</f>
        <v>11.35598159378295</v>
      </c>
      <c r="V12" s="4">
        <f>$V$8*'[2]Eurostat POM Portables GU'!V3</f>
        <v>9.0279492232249847</v>
      </c>
      <c r="W12" s="4">
        <f>$W$8*'[2]Eurostat POM Portables GU'!W3</f>
        <v>24.760494151876909</v>
      </c>
      <c r="X12" s="48">
        <f>'[3]others portable_Portables Other'!AC12</f>
        <v>26.246123800989523</v>
      </c>
      <c r="Y12" s="48">
        <f>'[3]others portable_Portables Other'!AD12</f>
        <v>27.820891229048893</v>
      </c>
      <c r="Z12" s="48">
        <f>'[3]others portable_Portables Other'!AE12</f>
        <v>29.490144702791827</v>
      </c>
      <c r="AA12" s="48">
        <f>'[3]others portable_Portables Other'!AF12</f>
        <v>31.259553384959336</v>
      </c>
      <c r="AB12" s="48">
        <f>'[3]others portable_Portables Other'!AG12</f>
        <v>33.135126588056899</v>
      </c>
      <c r="AC12" s="48">
        <f>'[3]others portable_Portables Other'!AH12</f>
        <v>35.123234183340315</v>
      </c>
      <c r="AD12" s="48">
        <f>'[3]others portable_Portables Other'!AI12</f>
        <v>37.230628234340735</v>
      </c>
      <c r="AE12" s="48">
        <f>'[3]others portable_Portables Other'!AJ12</f>
        <v>39.464465928401182</v>
      </c>
      <c r="AF12" s="48">
        <f>'[3]others portable_Portables Other'!AK12</f>
        <v>41.832333884105253</v>
      </c>
      <c r="AG12" s="48">
        <f>'[3]others portable_Portables Other'!AL12</f>
        <v>44.342273917151566</v>
      </c>
      <c r="AH12" s="48">
        <f>'[3]others portable_Portables Other'!AM12</f>
        <v>46.559387613009143</v>
      </c>
      <c r="AI12" s="48">
        <f>'[3]others portable_Portables Other'!AN12</f>
        <v>48.887356993659601</v>
      </c>
      <c r="AJ12" s="48">
        <f>'[3]others portable_Portables Other'!AO12</f>
        <v>51.331724843342585</v>
      </c>
      <c r="AK12" s="48">
        <f>'[3]others portable_Portables Other'!AP12</f>
        <v>53.898311085509711</v>
      </c>
      <c r="AL12" s="48">
        <f>'[3]others portable_Portables Other'!AQ12</f>
        <v>56.5932266397852</v>
      </c>
      <c r="AM12" s="48">
        <f>'[3]others portable_Portables Other'!AR12</f>
        <v>59.422887971774458</v>
      </c>
      <c r="AN12" s="48">
        <f>'[3]others portable_Portables Other'!AS12</f>
        <v>62.394032370363178</v>
      </c>
      <c r="AO12" s="48">
        <f>'[3]others portable_Portables Other'!AT12</f>
        <v>65.513733988881341</v>
      </c>
      <c r="AP12" s="48">
        <f>'[3]others portable_Portables Other'!AU12</f>
        <v>68.789420688325407</v>
      </c>
      <c r="AQ12" s="48">
        <f>'[3]others portable_Portables Other'!AV12</f>
        <v>72.228891722741679</v>
      </c>
      <c r="AR12" s="48">
        <f>'[3]others portable_Portables Other'!AW12</f>
        <v>74.395758474423928</v>
      </c>
      <c r="AS12" s="48">
        <f>'[3]others portable_Portables Other'!AX12</f>
        <v>76.627631228656639</v>
      </c>
      <c r="AT12" s="48">
        <f>'[3]others portable_Portables Other'!AY12</f>
        <v>78.926460165516332</v>
      </c>
      <c r="AU12" s="48">
        <f>'[3]others portable_Portables Other'!AZ12</f>
        <v>81.294253970481819</v>
      </c>
      <c r="AV12" s="48">
        <f>'[3]others portable_Portables Other'!BA12</f>
        <v>83.733081589596267</v>
      </c>
      <c r="AW12" s="48">
        <f>'[3]others portable_Portables Other'!BB12</f>
        <v>86.245074037284155</v>
      </c>
      <c r="AX12" s="48">
        <f>'[3]others portable_Portables Other'!BC12</f>
        <v>88.832426258402677</v>
      </c>
      <c r="AY12" s="48">
        <f>'[3]others portable_Portables Other'!BD12</f>
        <v>91.497399046154754</v>
      </c>
      <c r="AZ12" s="48">
        <f>'[3]others portable_Portables Other'!BE12</f>
        <v>94.242321017539396</v>
      </c>
    </row>
    <row r="13" spans="1:52" x14ac:dyDescent="0.35">
      <c r="A13" s="61" t="s">
        <v>1</v>
      </c>
      <c r="B13" s="23">
        <f t="shared" si="0"/>
        <v>1.9599607693205445</v>
      </c>
      <c r="C13" s="23">
        <f t="shared" si="0"/>
        <v>1.9991599847069554</v>
      </c>
      <c r="D13" s="23">
        <f t="shared" si="0"/>
        <v>2.0391431844010945</v>
      </c>
      <c r="E13" s="23">
        <f t="shared" si="0"/>
        <v>2.0799260480891166</v>
      </c>
      <c r="F13" s="23">
        <f t="shared" si="0"/>
        <v>2.1215245690508988</v>
      </c>
      <c r="G13" s="23">
        <f t="shared" si="0"/>
        <v>2.1639550604319169</v>
      </c>
      <c r="H13" s="23">
        <f t="shared" si="0"/>
        <v>2.2072341616405553</v>
      </c>
      <c r="I13" s="23">
        <f t="shared" si="0"/>
        <v>2.2513788448733663</v>
      </c>
      <c r="J13" s="23">
        <f t="shared" si="0"/>
        <v>2.2964064217708335</v>
      </c>
      <c r="K13" s="23">
        <f t="shared" si="0"/>
        <v>2.34233455020625</v>
      </c>
      <c r="L13" s="23">
        <f t="shared" si="0"/>
        <v>2.389181241210375</v>
      </c>
      <c r="M13" s="4">
        <f>$M$8*'[2]Eurostat POM Portables GU'!M4</f>
        <v>2.4369648660345824</v>
      </c>
      <c r="N13" s="4">
        <f>$N$8*'[2]Eurostat POM Portables GU'!N4</f>
        <v>5.3505714711304755</v>
      </c>
      <c r="O13" s="4">
        <f>$O$8*'[2]Eurostat POM Portables GU'!O4</f>
        <v>28.903720767759829</v>
      </c>
      <c r="P13" s="4">
        <f>$P$8*'[2]Eurostat POM Portables GU'!P4</f>
        <v>27.760767781098235</v>
      </c>
      <c r="Q13" s="4">
        <f>$Q$8*'[2]Eurostat POM Portables GU'!Q4</f>
        <v>22.459930100889149</v>
      </c>
      <c r="R13" s="4">
        <f>$R$8*'[2]Eurostat POM Portables GU'!R4</f>
        <v>3.1640316046586121</v>
      </c>
      <c r="S13" s="4">
        <f>$S$8*'[2]Eurostat POM Portables GU'!S4</f>
        <v>8.9684250046614604</v>
      </c>
      <c r="T13" s="4">
        <f>$T$8*'[2]Eurostat POM Portables GU'!T4</f>
        <v>9.6338038721066255</v>
      </c>
      <c r="U13" s="4">
        <f>$U$8*'[2]Eurostat POM Portables GU'!U4</f>
        <v>10.671037133082026</v>
      </c>
      <c r="V13" s="4">
        <f>$V$8*'[2]Eurostat POM Portables GU'!V4</f>
        <v>7.9810855382014472</v>
      </c>
      <c r="W13" s="4">
        <f>$W$8*'[2]Eurostat POM Portables GU'!W4</f>
        <v>25.163825218042032</v>
      </c>
      <c r="X13" s="48">
        <f>'[3]others portable_Portables Other'!AC13</f>
        <v>26.673654731124554</v>
      </c>
      <c r="Y13" s="48">
        <f>'[3]others portable_Portables Other'!AD13</f>
        <v>28.274074014992028</v>
      </c>
      <c r="Z13" s="48">
        <f>'[3]others portable_Portables Other'!AE13</f>
        <v>29.970518455891551</v>
      </c>
      <c r="AA13" s="48">
        <f>'[3]others portable_Portables Other'!AF13</f>
        <v>31.768749563245045</v>
      </c>
      <c r="AB13" s="48">
        <f>'[3]others portable_Portables Other'!AG13</f>
        <v>33.674874537039749</v>
      </c>
      <c r="AC13" s="48">
        <f>'[3]others portable_Portables Other'!AH13</f>
        <v>35.695367009262135</v>
      </c>
      <c r="AD13" s="48">
        <f>'[3]others portable_Portables Other'!AI13</f>
        <v>37.837089029817861</v>
      </c>
      <c r="AE13" s="48">
        <f>'[3]others portable_Portables Other'!AJ13</f>
        <v>40.107314371606932</v>
      </c>
      <c r="AF13" s="48">
        <f>'[3]others portable_Portables Other'!AK13</f>
        <v>42.513753233903351</v>
      </c>
      <c r="AG13" s="48">
        <f>'[3]others portable_Portables Other'!AL13</f>
        <v>45.064578427937555</v>
      </c>
      <c r="AH13" s="48">
        <f>'[3]others portable_Portables Other'!AM13</f>
        <v>47.31780734933443</v>
      </c>
      <c r="AI13" s="48">
        <f>'[3]others portable_Portables Other'!AN13</f>
        <v>49.683697716801149</v>
      </c>
      <c r="AJ13" s="48">
        <f>'[3]others portable_Portables Other'!AO13</f>
        <v>52.167882602641207</v>
      </c>
      <c r="AK13" s="48">
        <f>'[3]others portable_Portables Other'!AP13</f>
        <v>54.776276732773269</v>
      </c>
      <c r="AL13" s="48">
        <f>'[3]others portable_Portables Other'!AQ13</f>
        <v>57.515090569411932</v>
      </c>
      <c r="AM13" s="48">
        <f>'[3]others portable_Portables Other'!AR13</f>
        <v>60.390845097882526</v>
      </c>
      <c r="AN13" s="48">
        <f>'[3]others portable_Portables Other'!AS13</f>
        <v>63.410387352776652</v>
      </c>
      <c r="AO13" s="48">
        <f>'[3]others portable_Portables Other'!AT13</f>
        <v>66.580906720415484</v>
      </c>
      <c r="AP13" s="48">
        <f>'[3]others portable_Portables Other'!AU13</f>
        <v>69.909952056436254</v>
      </c>
      <c r="AQ13" s="48">
        <f>'[3]others portable_Portables Other'!AV13</f>
        <v>73.405449659258068</v>
      </c>
      <c r="AR13" s="48">
        <f>'[3]others portable_Portables Other'!AW13</f>
        <v>75.607613149035814</v>
      </c>
      <c r="AS13" s="48">
        <f>'[3]others portable_Portables Other'!AX13</f>
        <v>77.875841543506894</v>
      </c>
      <c r="AT13" s="48">
        <f>'[3]others portable_Portables Other'!AY13</f>
        <v>80.2121167898121</v>
      </c>
      <c r="AU13" s="48">
        <f>'[3]others portable_Portables Other'!AZ13</f>
        <v>82.618480293506465</v>
      </c>
      <c r="AV13" s="48">
        <f>'[3]others portable_Portables Other'!BA13</f>
        <v>85.09703470231166</v>
      </c>
      <c r="AW13" s="48">
        <f>'[3]others portable_Portables Other'!BB13</f>
        <v>87.649945743381011</v>
      </c>
      <c r="AX13" s="48">
        <f>'[3]others portable_Portables Other'!BC13</f>
        <v>90.279444115682438</v>
      </c>
      <c r="AY13" s="48">
        <f>'[3]others portable_Portables Other'!BD13</f>
        <v>92.987827439152909</v>
      </c>
      <c r="AZ13" s="48">
        <f>'[3]others portable_Portables Other'!BE13</f>
        <v>95.777462262327489</v>
      </c>
    </row>
    <row r="14" spans="1:52" x14ac:dyDescent="0.35">
      <c r="A14" s="61" t="s">
        <v>2</v>
      </c>
      <c r="B14" s="23">
        <f t="shared" si="0"/>
        <v>0.27789491480482142</v>
      </c>
      <c r="C14" s="23">
        <f t="shared" si="0"/>
        <v>0.28345281310091786</v>
      </c>
      <c r="D14" s="23">
        <f t="shared" si="0"/>
        <v>0.28912186936293621</v>
      </c>
      <c r="E14" s="23">
        <f t="shared" si="0"/>
        <v>0.29490430675019497</v>
      </c>
      <c r="F14" s="23">
        <f t="shared" si="0"/>
        <v>0.30080239288519889</v>
      </c>
      <c r="G14" s="23">
        <f t="shared" si="0"/>
        <v>0.30681844074290288</v>
      </c>
      <c r="H14" s="23">
        <f t="shared" si="0"/>
        <v>0.31295480955776095</v>
      </c>
      <c r="I14" s="23">
        <f t="shared" si="0"/>
        <v>0.31921390574891617</v>
      </c>
      <c r="J14" s="23">
        <f t="shared" si="0"/>
        <v>0.3255981838638945</v>
      </c>
      <c r="K14" s="23">
        <f t="shared" si="0"/>
        <v>0.33211014754117241</v>
      </c>
      <c r="L14" s="23">
        <f t="shared" si="0"/>
        <v>0.33875235049199587</v>
      </c>
      <c r="M14" s="4">
        <f>$M$8*'[2]Eurostat POM Portables GU'!M5</f>
        <v>0.34552739750183581</v>
      </c>
      <c r="N14" s="4">
        <f>$N$8*'[2]Eurostat POM Portables GU'!N5</f>
        <v>0.75677231615261542</v>
      </c>
      <c r="O14" s="4">
        <f>$O$8*'[2]Eurostat POM Portables GU'!O5</f>
        <v>4.4492539699348352</v>
      </c>
      <c r="P14" s="4">
        <f>$P$8*'[2]Eurostat POM Portables GU'!P5</f>
        <v>4.7999432686408605</v>
      </c>
      <c r="Q14" s="4">
        <f>$Q$8*'[2]Eurostat POM Portables GU'!Q5</f>
        <v>3.7384027325176863</v>
      </c>
      <c r="R14" s="4">
        <f>$R$8*'[2]Eurostat POM Portables GU'!R5</f>
        <v>0.51756242169988198</v>
      </c>
      <c r="S14" s="4">
        <f>$S$8*'[2]Eurostat POM Portables GU'!S5</f>
        <v>1.5272182153779963</v>
      </c>
      <c r="T14" s="4">
        <f>$T$8*'[2]Eurostat POM Portables GU'!T5</f>
        <v>1.3510822503564168</v>
      </c>
      <c r="U14" s="4">
        <f>$U$8*'[2]Eurostat POM Portables GU'!U5</f>
        <v>1.8570325105049452</v>
      </c>
      <c r="V14" s="4">
        <f>$V$8*'[2]Eurostat POM Portables GU'!V5</f>
        <v>1.3370558556245518</v>
      </c>
      <c r="W14" s="4">
        <f>$W$8*'[2]Eurostat POM Portables GU'!W5</f>
        <v>4.0413772829745334</v>
      </c>
      <c r="X14" s="48">
        <f>'[3]others portable_Portables Other'!AC14</f>
        <v>4.283859919953005</v>
      </c>
      <c r="Y14" s="48">
        <f>'[3]others portable_Portables Other'!AD14</f>
        <v>4.540891515150185</v>
      </c>
      <c r="Z14" s="48">
        <f>'[3]others portable_Portables Other'!AE14</f>
        <v>4.8133450060591958</v>
      </c>
      <c r="AA14" s="48">
        <f>'[3]others portable_Portables Other'!AF14</f>
        <v>5.1021457064227471</v>
      </c>
      <c r="AB14" s="48">
        <f>'[3]others portable_Portables Other'!AG14</f>
        <v>5.408274448808112</v>
      </c>
      <c r="AC14" s="48">
        <f>'[3]others portable_Portables Other'!AH14</f>
        <v>5.7327709157365989</v>
      </c>
      <c r="AD14" s="48">
        <f>'[3]others portable_Portables Other'!AI14</f>
        <v>6.0767371706807944</v>
      </c>
      <c r="AE14" s="48">
        <f>'[3]others portable_Portables Other'!AJ14</f>
        <v>6.4413414009216421</v>
      </c>
      <c r="AF14" s="48">
        <f>'[3]others portable_Portables Other'!AK14</f>
        <v>6.8278218849769408</v>
      </c>
      <c r="AG14" s="48">
        <f>'[3]others portable_Portables Other'!AL14</f>
        <v>7.2374911980755572</v>
      </c>
      <c r="AH14" s="48">
        <f>'[3]others portable_Portables Other'!AM14</f>
        <v>7.599365757979335</v>
      </c>
      <c r="AI14" s="48">
        <f>'[3]others portable_Portables Other'!AN14</f>
        <v>7.9793340458783018</v>
      </c>
      <c r="AJ14" s="48">
        <f>'[3]others portable_Portables Other'!AO14</f>
        <v>8.3783007481722169</v>
      </c>
      <c r="AK14" s="48">
        <f>'[3]others portable_Portables Other'!AP14</f>
        <v>8.7972157855808284</v>
      </c>
      <c r="AL14" s="48">
        <f>'[3]others portable_Portables Other'!AQ14</f>
        <v>9.23707657485987</v>
      </c>
      <c r="AM14" s="48">
        <f>'[3]others portable_Portables Other'!AR14</f>
        <v>9.6989304036028638</v>
      </c>
      <c r="AN14" s="48">
        <f>'[3]others portable_Portables Other'!AS14</f>
        <v>10.183876923783007</v>
      </c>
      <c r="AO14" s="48">
        <f>'[3]others portable_Portables Other'!AT14</f>
        <v>10.693070769972158</v>
      </c>
      <c r="AP14" s="48">
        <f>'[3]others portable_Portables Other'!AU14</f>
        <v>11.227724308470766</v>
      </c>
      <c r="AQ14" s="48">
        <f>'[3]others portable_Portables Other'!AV14</f>
        <v>11.789110523894305</v>
      </c>
      <c r="AR14" s="48">
        <f>'[3]others portable_Portables Other'!AW14</f>
        <v>12.142783839611134</v>
      </c>
      <c r="AS14" s="48">
        <f>'[3]others portable_Portables Other'!AX14</f>
        <v>12.507067354799467</v>
      </c>
      <c r="AT14" s="48">
        <f>'[3]others portable_Portables Other'!AY14</f>
        <v>12.882279375443451</v>
      </c>
      <c r="AU14" s="48">
        <f>'[3]others portable_Portables Other'!AZ14</f>
        <v>13.268747756706755</v>
      </c>
      <c r="AV14" s="48">
        <f>'[3]others portable_Portables Other'!BA14</f>
        <v>13.666810189407958</v>
      </c>
      <c r="AW14" s="48">
        <f>'[3]others portable_Portables Other'!BB14</f>
        <v>14.076814495090197</v>
      </c>
      <c r="AX14" s="48">
        <f>'[3]others portable_Portables Other'!BC14</f>
        <v>14.499118929942902</v>
      </c>
      <c r="AY14" s="48">
        <f>'[3]others portable_Portables Other'!BD14</f>
        <v>14.93409249784119</v>
      </c>
      <c r="AZ14" s="48">
        <f>'[3]others portable_Portables Other'!BE14</f>
        <v>15.382115272776426</v>
      </c>
    </row>
    <row r="15" spans="1:52" x14ac:dyDescent="0.35">
      <c r="A15" s="61" t="s">
        <v>3</v>
      </c>
      <c r="B15" s="23">
        <f t="shared" si="0"/>
        <v>0.14773855614960174</v>
      </c>
      <c r="C15" s="23">
        <f t="shared" si="0"/>
        <v>0.15069332727259377</v>
      </c>
      <c r="D15" s="23">
        <f t="shared" si="0"/>
        <v>0.15370719381804565</v>
      </c>
      <c r="E15" s="23">
        <f t="shared" si="0"/>
        <v>0.15678133769440658</v>
      </c>
      <c r="F15" s="23">
        <f t="shared" si="0"/>
        <v>0.1599169644482947</v>
      </c>
      <c r="G15" s="23">
        <f t="shared" si="0"/>
        <v>0.1631153037372606</v>
      </c>
      <c r="H15" s="23">
        <f t="shared" si="0"/>
        <v>0.16637760981200581</v>
      </c>
      <c r="I15" s="23">
        <f t="shared" si="0"/>
        <v>0.16970516200824592</v>
      </c>
      <c r="J15" s="23">
        <f t="shared" si="0"/>
        <v>0.17309926524841085</v>
      </c>
      <c r="K15" s="23">
        <f t="shared" si="0"/>
        <v>0.17656125055337907</v>
      </c>
      <c r="L15" s="23">
        <f t="shared" si="0"/>
        <v>0.18009247556444666</v>
      </c>
      <c r="M15" s="4">
        <f>$M$8*'[2]Eurostat POM Portables GU'!M6</f>
        <v>0.1836943250757356</v>
      </c>
      <c r="N15" s="4">
        <f>$N$8*'[2]Eurostat POM Portables GU'!N6</f>
        <v>0.5110618629856486</v>
      </c>
      <c r="O15" s="4">
        <f>$O$8*'[2]Eurostat POM Portables GU'!O6</f>
        <v>2.5866135561107124</v>
      </c>
      <c r="P15" s="4">
        <f>$P$8*'[2]Eurostat POM Portables GU'!P6</f>
        <v>2.2816168687922995</v>
      </c>
      <c r="Q15" s="4">
        <f>$Q$8*'[2]Eurostat POM Portables GU'!Q6</f>
        <v>1.3084409563811901</v>
      </c>
      <c r="R15" s="4">
        <f>$R$8*'[2]Eurostat POM Portables GU'!R6</f>
        <v>0.27258287542860454</v>
      </c>
      <c r="S15" s="4">
        <f>$S$8*'[2]Eurostat POM Portables GU'!S6</f>
        <v>1.0643680323125178</v>
      </c>
      <c r="T15" s="4">
        <f>$T$8*'[2]Eurostat POM Portables GU'!T6</f>
        <v>1.3197528068698914</v>
      </c>
      <c r="U15" s="4">
        <f>$U$8*'[2]Eurostat POM Portables GU'!U6</f>
        <v>1.7860631151990236</v>
      </c>
      <c r="V15" s="4">
        <f>$V$8*'[2]Eurostat POM Portables GU'!V6</f>
        <v>1.4963646384223708</v>
      </c>
      <c r="W15" s="4">
        <f>$W$8*'[2]Eurostat POM Portables GU'!W6</f>
        <v>4.2309428840721415</v>
      </c>
      <c r="X15" s="48">
        <f>'[3]others portable_Portables Other'!AC15</f>
        <v>4.4847994571164698</v>
      </c>
      <c r="Y15" s="48">
        <f>'[3]others portable_Portables Other'!AD15</f>
        <v>4.7538874245434579</v>
      </c>
      <c r="Z15" s="48">
        <f>'[3]others portable_Portables Other'!AE15</f>
        <v>5.0391206700160653</v>
      </c>
      <c r="AA15" s="48">
        <f>'[3]others portable_Portables Other'!AF15</f>
        <v>5.3414679102170295</v>
      </c>
      <c r="AB15" s="48">
        <f>'[3]others portable_Portables Other'!AG15</f>
        <v>5.6619559848300511</v>
      </c>
      <c r="AC15" s="48">
        <f>'[3]others portable_Portables Other'!AH15</f>
        <v>6.0016733439198546</v>
      </c>
      <c r="AD15" s="48">
        <f>'[3]others portable_Portables Other'!AI15</f>
        <v>6.3617737445550455</v>
      </c>
      <c r="AE15" s="48">
        <f>'[3]others portable_Portables Other'!AJ15</f>
        <v>6.7434801692283486</v>
      </c>
      <c r="AF15" s="48">
        <f>'[3]others portable_Portables Other'!AK15</f>
        <v>7.1480889793820497</v>
      </c>
      <c r="AG15" s="48">
        <f>'[3]others portable_Portables Other'!AL15</f>
        <v>7.5769743181449725</v>
      </c>
      <c r="AH15" s="48">
        <f>'[3]others portable_Portables Other'!AM15</f>
        <v>7.9558230340522211</v>
      </c>
      <c r="AI15" s="48">
        <f>'[3]others portable_Portables Other'!AN15</f>
        <v>8.3536141857548323</v>
      </c>
      <c r="AJ15" s="48">
        <f>'[3]others portable_Portables Other'!AO15</f>
        <v>8.7712948950425744</v>
      </c>
      <c r="AK15" s="48">
        <f>'[3]others portable_Portables Other'!AP15</f>
        <v>9.2098596397947023</v>
      </c>
      <c r="AL15" s="48">
        <f>'[3]others portable_Portables Other'!AQ15</f>
        <v>9.6703526217844367</v>
      </c>
      <c r="AM15" s="48">
        <f>'[3]others portable_Portables Other'!AR15</f>
        <v>10.153870252873659</v>
      </c>
      <c r="AN15" s="48">
        <f>'[3]others portable_Portables Other'!AS15</f>
        <v>10.661563765517343</v>
      </c>
      <c r="AO15" s="48">
        <f>'[3]others portable_Portables Other'!AT15</f>
        <v>11.19464195379321</v>
      </c>
      <c r="AP15" s="48">
        <f>'[3]others portable_Portables Other'!AU15</f>
        <v>11.754374051482872</v>
      </c>
      <c r="AQ15" s="48">
        <f>'[3]others portable_Portables Other'!AV15</f>
        <v>12.342092754057015</v>
      </c>
      <c r="AR15" s="48">
        <f>'[3]others portable_Portables Other'!AW15</f>
        <v>12.712355536678725</v>
      </c>
      <c r="AS15" s="48">
        <f>'[3]others portable_Portables Other'!AX15</f>
        <v>13.093726202779086</v>
      </c>
      <c r="AT15" s="48">
        <f>'[3]others portable_Portables Other'!AY15</f>
        <v>13.486537988862459</v>
      </c>
      <c r="AU15" s="48">
        <f>'[3]others portable_Portables Other'!AZ15</f>
        <v>13.891134128528332</v>
      </c>
      <c r="AV15" s="48">
        <f>'[3]others portable_Portables Other'!BA15</f>
        <v>14.307868152384183</v>
      </c>
      <c r="AW15" s="48">
        <f>'[3]others portable_Portables Other'!BB15</f>
        <v>14.737104196955707</v>
      </c>
      <c r="AX15" s="48">
        <f>'[3]others portable_Portables Other'!BC15</f>
        <v>15.179217322864378</v>
      </c>
      <c r="AY15" s="48">
        <f>'[3]others portable_Portables Other'!BD15</f>
        <v>15.634593842550309</v>
      </c>
      <c r="AZ15" s="48">
        <f>'[3]others portable_Portables Other'!BE15</f>
        <v>16.103631657826817</v>
      </c>
    </row>
    <row r="16" spans="1:52" x14ac:dyDescent="0.35">
      <c r="A16" s="61" t="s">
        <v>4</v>
      </c>
      <c r="B16" s="23">
        <f t="shared" si="0"/>
        <v>0.12273692070546283</v>
      </c>
      <c r="C16" s="23">
        <f t="shared" si="0"/>
        <v>0.12519165911957209</v>
      </c>
      <c r="D16" s="23">
        <f t="shared" si="0"/>
        <v>0.12769549230196353</v>
      </c>
      <c r="E16" s="23">
        <f t="shared" si="0"/>
        <v>0.13024940214800279</v>
      </c>
      <c r="F16" s="23">
        <f t="shared" si="0"/>
        <v>0.13285439019096285</v>
      </c>
      <c r="G16" s="23">
        <f t="shared" si="0"/>
        <v>0.13551147799478211</v>
      </c>
      <c r="H16" s="23">
        <f t="shared" si="0"/>
        <v>0.13822170755467775</v>
      </c>
      <c r="I16" s="23">
        <f t="shared" si="0"/>
        <v>0.14098614170577131</v>
      </c>
      <c r="J16" s="23">
        <f t="shared" si="0"/>
        <v>0.14380586453988675</v>
      </c>
      <c r="K16" s="23">
        <f t="shared" si="0"/>
        <v>0.14668198183068448</v>
      </c>
      <c r="L16" s="23">
        <f t="shared" si="0"/>
        <v>0.14961562146729818</v>
      </c>
      <c r="M16" s="4">
        <f>$M$8*'[2]Eurostat POM Portables GU'!M7</f>
        <v>0.15260793389664415</v>
      </c>
      <c r="N16" s="4">
        <f>$N$8*'[2]Eurostat POM Portables GU'!N7</f>
        <v>0.32412478035962961</v>
      </c>
      <c r="O16" s="4">
        <f>$O$8*'[2]Eurostat POM Portables GU'!O7</f>
        <v>1.3157173482731963</v>
      </c>
      <c r="P16" s="4">
        <f>$P$8*'[2]Eurostat POM Portables GU'!P7</f>
        <v>1.2493003027969363</v>
      </c>
      <c r="Q16" s="4">
        <f>$Q$8*'[2]Eurostat POM Portables GU'!Q7</f>
        <v>1.0133038985508465</v>
      </c>
      <c r="R16" s="4">
        <f>$R$8*'[2]Eurostat POM Portables GU'!R7</f>
        <v>0.14560756130490013</v>
      </c>
      <c r="S16" s="4">
        <f>$S$8*'[2]Eurostat POM Portables GU'!S7</f>
        <v>0.4366157597338321</v>
      </c>
      <c r="T16" s="4">
        <f>$T$8*'[2]Eurostat POM Portables GU'!T7</f>
        <v>0.3955342240173858</v>
      </c>
      <c r="U16" s="4">
        <f>$U$8*'[2]Eurostat POM Portables GU'!U7</f>
        <v>0.3449901160704516</v>
      </c>
      <c r="V16" s="4">
        <f>$V$8*'[2]Eurostat POM Portables GU'!V7</f>
        <v>0.28874716882104684</v>
      </c>
      <c r="W16" s="4">
        <f>$W$8*'[2]Eurostat POM Portables GU'!W7</f>
        <v>0.79456220034529257</v>
      </c>
      <c r="X16" s="48">
        <f>'[3]others portable_Portables Other'!AC16</f>
        <v>0.84223593236601013</v>
      </c>
      <c r="Y16" s="48">
        <f>'[3]others portable_Portables Other'!AD16</f>
        <v>0.89277008830797078</v>
      </c>
      <c r="Z16" s="48">
        <f>'[3]others portable_Portables Other'!AE16</f>
        <v>0.946336293606449</v>
      </c>
      <c r="AA16" s="48">
        <f>'[3]others portable_Portables Other'!AF16</f>
        <v>1.003116471222836</v>
      </c>
      <c r="AB16" s="48">
        <f>'[3]others portable_Portables Other'!AG16</f>
        <v>1.0633034594962061</v>
      </c>
      <c r="AC16" s="48">
        <f>'[3]others portable_Portables Other'!AH16</f>
        <v>1.1271016670659784</v>
      </c>
      <c r="AD16" s="48">
        <f>'[3]others portable_Portables Other'!AI16</f>
        <v>1.194727767089937</v>
      </c>
      <c r="AE16" s="48">
        <f>'[3]others portable_Portables Other'!AJ16</f>
        <v>1.2664114331153331</v>
      </c>
      <c r="AF16" s="48">
        <f>'[3]others portable_Portables Other'!AK16</f>
        <v>1.3423961191022531</v>
      </c>
      <c r="AG16" s="48">
        <f>'[3]others portable_Portables Other'!AL16</f>
        <v>1.4229398862483882</v>
      </c>
      <c r="AH16" s="48">
        <f>'[3]others portable_Portables Other'!AM16</f>
        <v>1.4940868805608076</v>
      </c>
      <c r="AI16" s="48">
        <f>'[3]others portable_Portables Other'!AN16</f>
        <v>1.568791224588848</v>
      </c>
      <c r="AJ16" s="48">
        <f>'[3]others portable_Portables Other'!AO16</f>
        <v>1.6472307858182904</v>
      </c>
      <c r="AK16" s="48">
        <f>'[3]others portable_Portables Other'!AP16</f>
        <v>1.7295923251092049</v>
      </c>
      <c r="AL16" s="48">
        <f>'[3]others portable_Portables Other'!AQ16</f>
        <v>1.8160719413646651</v>
      </c>
      <c r="AM16" s="48">
        <f>'[3]others portable_Portables Other'!AR16</f>
        <v>1.9068755384328984</v>
      </c>
      <c r="AN16" s="48">
        <f>'[3]others portable_Portables Other'!AS16</f>
        <v>2.0022193153545431</v>
      </c>
      <c r="AO16" s="48">
        <f>'[3]others portable_Portables Other'!AT16</f>
        <v>2.1023302811222702</v>
      </c>
      <c r="AP16" s="48">
        <f>'[3]others portable_Portables Other'!AU16</f>
        <v>2.2074467951783836</v>
      </c>
      <c r="AQ16" s="48">
        <f>'[3]others portable_Portables Other'!AV16</f>
        <v>2.3178191349373027</v>
      </c>
      <c r="AR16" s="48">
        <f>'[3]others portable_Portables Other'!AW16</f>
        <v>2.387353708985422</v>
      </c>
      <c r="AS16" s="48">
        <f>'[3]others portable_Portables Other'!AX16</f>
        <v>2.4589743202549847</v>
      </c>
      <c r="AT16" s="48">
        <f>'[3]others portable_Portables Other'!AY16</f>
        <v>2.5327435498626345</v>
      </c>
      <c r="AU16" s="48">
        <f>'[3]others portable_Portables Other'!AZ16</f>
        <v>2.6087258563585136</v>
      </c>
      <c r="AV16" s="48">
        <f>'[3]others portable_Portables Other'!BA16</f>
        <v>2.6869876320492692</v>
      </c>
      <c r="AW16" s="48">
        <f>'[3]others portable_Portables Other'!BB16</f>
        <v>2.7675972610107471</v>
      </c>
      <c r="AX16" s="48">
        <f>'[3]others portable_Portables Other'!BC16</f>
        <v>2.8506251788410695</v>
      </c>
      <c r="AY16" s="48">
        <f>'[3]others portable_Portables Other'!BD16</f>
        <v>2.9361439342063016</v>
      </c>
      <c r="AZ16" s="48">
        <f>'[3]others portable_Portables Other'!BE16</f>
        <v>3.0242282522324908</v>
      </c>
    </row>
    <row r="17" spans="1:52" x14ac:dyDescent="0.35">
      <c r="A17" s="61" t="s">
        <v>5</v>
      </c>
      <c r="B17" s="23">
        <f t="shared" si="0"/>
        <v>1.5078471194650074</v>
      </c>
      <c r="C17" s="23">
        <f t="shared" si="0"/>
        <v>1.5380040618543076</v>
      </c>
      <c r="D17" s="23">
        <f t="shared" si="0"/>
        <v>1.5687641430913939</v>
      </c>
      <c r="E17" s="23">
        <f t="shared" si="0"/>
        <v>1.6001394259532218</v>
      </c>
      <c r="F17" s="23">
        <f t="shared" si="0"/>
        <v>1.6321422144722861</v>
      </c>
      <c r="G17" s="23">
        <f t="shared" si="0"/>
        <v>1.6647850587617319</v>
      </c>
      <c r="H17" s="23">
        <f t="shared" si="0"/>
        <v>1.6980807599369665</v>
      </c>
      <c r="I17" s="23">
        <f t="shared" si="0"/>
        <v>1.7320423751357059</v>
      </c>
      <c r="J17" s="23">
        <f t="shared" si="0"/>
        <v>1.7666832226384201</v>
      </c>
      <c r="K17" s="23">
        <f t="shared" si="0"/>
        <v>1.8020168870911886</v>
      </c>
      <c r="L17" s="23">
        <f t="shared" si="0"/>
        <v>1.8380572248330125</v>
      </c>
      <c r="M17" s="4">
        <f>$M$8*'[2]Eurostat POM Portables GU'!M8</f>
        <v>1.8748183693296727</v>
      </c>
      <c r="N17" s="4">
        <f>$N$8*'[2]Eurostat POM Portables GU'!N8</f>
        <v>4.6969513638082718</v>
      </c>
      <c r="O17" s="4">
        <f>$O$8*'[2]Eurostat POM Portables GU'!O8</f>
        <v>24.125866061493028</v>
      </c>
      <c r="P17" s="4">
        <f>$P$8*'[2]Eurostat POM Portables GU'!P8</f>
        <v>26.110376328455967</v>
      </c>
      <c r="Q17" s="4">
        <f>$Q$8*'[2]Eurostat POM Portables GU'!Q8</f>
        <v>19.503640571621876</v>
      </c>
      <c r="R17" s="4">
        <f>$R$8*'[2]Eurostat POM Portables GU'!R8</f>
        <v>2.7927668274925632</v>
      </c>
      <c r="S17" s="4">
        <f>$S$8*'[2]Eurostat POM Portables GU'!S8</f>
        <v>7.6154783157008312</v>
      </c>
      <c r="T17" s="4">
        <f>$T$8*'[2]Eurostat POM Portables GU'!T8</f>
        <v>7.9263492020909796</v>
      </c>
      <c r="U17" s="4">
        <f>$U$8*'[2]Eurostat POM Portables GU'!U8</f>
        <v>8.4631003902311353</v>
      </c>
      <c r="V17" s="4">
        <f>$V$8*'[2]Eurostat POM Portables GU'!V8</f>
        <v>7.0593704377283517</v>
      </c>
      <c r="W17" s="4">
        <f>$W$8*'[2]Eurostat POM Portables GU'!W8</f>
        <v>20.997415304556309</v>
      </c>
      <c r="X17" s="48">
        <f>'[3]others portable_Portables Other'!AC17</f>
        <v>22.257260222829686</v>
      </c>
      <c r="Y17" s="48">
        <f>'[3]others portable_Portables Other'!AD17</f>
        <v>23.592695836199468</v>
      </c>
      <c r="Z17" s="48">
        <f>'[3]others portable_Portables Other'!AE17</f>
        <v>25.008257586371435</v>
      </c>
      <c r="AA17" s="48">
        <f>'[3]others portable_Portables Other'!AF17</f>
        <v>26.508753041553721</v>
      </c>
      <c r="AB17" s="48">
        <f>'[3]others portable_Portables Other'!AG17</f>
        <v>28.099278224046945</v>
      </c>
      <c r="AC17" s="48">
        <f>'[3]others portable_Portables Other'!AH17</f>
        <v>29.78523491748976</v>
      </c>
      <c r="AD17" s="48">
        <f>'[3]others portable_Portables Other'!AI17</f>
        <v>31.572349012539146</v>
      </c>
      <c r="AE17" s="48">
        <f>'[3]others portable_Portables Other'!AJ17</f>
        <v>33.466689953291493</v>
      </c>
      <c r="AF17" s="48">
        <f>'[3]others portable_Portables Other'!AK17</f>
        <v>35.474691350488982</v>
      </c>
      <c r="AG17" s="48">
        <f>'[3]others portable_Portables Other'!AL17</f>
        <v>37.603172831518322</v>
      </c>
      <c r="AH17" s="48">
        <f>'[3]others portable_Portables Other'!AM17</f>
        <v>39.483331473094239</v>
      </c>
      <c r="AI17" s="48">
        <f>'[3]others portable_Portables Other'!AN17</f>
        <v>41.457498046748952</v>
      </c>
      <c r="AJ17" s="48">
        <f>'[3]others portable_Portables Other'!AO17</f>
        <v>43.530372949086399</v>
      </c>
      <c r="AK17" s="48">
        <f>'[3]others portable_Portables Other'!AP17</f>
        <v>45.706891596540721</v>
      </c>
      <c r="AL17" s="48">
        <f>'[3]others portable_Portables Other'!AQ17</f>
        <v>47.992236176367754</v>
      </c>
      <c r="AM17" s="48">
        <f>'[3]others portable_Portables Other'!AR17</f>
        <v>50.391847985186139</v>
      </c>
      <c r="AN17" s="48">
        <f>'[3]others portable_Portables Other'!AS17</f>
        <v>52.911440384445449</v>
      </c>
      <c r="AO17" s="48">
        <f>'[3]others portable_Portables Other'!AT17</f>
        <v>55.55701240366772</v>
      </c>
      <c r="AP17" s="48">
        <f>'[3]others portable_Portables Other'!AU17</f>
        <v>58.334863023851106</v>
      </c>
      <c r="AQ17" s="48">
        <f>'[3]others portable_Portables Other'!AV17</f>
        <v>61.251606175043662</v>
      </c>
      <c r="AR17" s="48">
        <f>'[3]others portable_Portables Other'!AW17</f>
        <v>63.08915436029497</v>
      </c>
      <c r="AS17" s="48">
        <f>'[3]others portable_Portables Other'!AX17</f>
        <v>64.981828991103825</v>
      </c>
      <c r="AT17" s="48">
        <f>'[3]others portable_Portables Other'!AY17</f>
        <v>66.931283860836942</v>
      </c>
      <c r="AU17" s="48">
        <f>'[3]others portable_Portables Other'!AZ17</f>
        <v>68.939222376662045</v>
      </c>
      <c r="AV17" s="48">
        <f>'[3]others portable_Portables Other'!BA17</f>
        <v>71.007399047961911</v>
      </c>
      <c r="AW17" s="48">
        <f>'[3]others portable_Portables Other'!BB17</f>
        <v>73.137621019400768</v>
      </c>
      <c r="AX17" s="48">
        <f>'[3]others portable_Portables Other'!BC17</f>
        <v>75.331749649982797</v>
      </c>
      <c r="AY17" s="48">
        <f>'[3]others portable_Portables Other'!BD17</f>
        <v>77.59170213948228</v>
      </c>
      <c r="AZ17" s="48">
        <f>'[3]others portable_Portables Other'!BE17</f>
        <v>79.919453203666748</v>
      </c>
    </row>
    <row r="18" spans="1:52" x14ac:dyDescent="0.35">
      <c r="A18" s="61" t="s">
        <v>6</v>
      </c>
      <c r="B18" s="23">
        <f t="shared" si="0"/>
        <v>1.5061548106889524</v>
      </c>
      <c r="C18" s="23">
        <f t="shared" si="0"/>
        <v>1.5362779069027315</v>
      </c>
      <c r="D18" s="23">
        <f t="shared" si="0"/>
        <v>1.567003465040786</v>
      </c>
      <c r="E18" s="23">
        <f t="shared" si="0"/>
        <v>1.5983435343416017</v>
      </c>
      <c r="F18" s="23">
        <f t="shared" si="0"/>
        <v>1.6303104050284338</v>
      </c>
      <c r="G18" s="23">
        <f t="shared" si="0"/>
        <v>1.6629166131290025</v>
      </c>
      <c r="H18" s="23">
        <f t="shared" si="0"/>
        <v>1.6961749453915826</v>
      </c>
      <c r="I18" s="23">
        <f t="shared" si="0"/>
        <v>1.7300984442994143</v>
      </c>
      <c r="J18" s="23">
        <f t="shared" si="0"/>
        <v>1.7647004131854025</v>
      </c>
      <c r="K18" s="23">
        <f t="shared" si="0"/>
        <v>1.7999944214491106</v>
      </c>
      <c r="L18" s="23">
        <f t="shared" si="0"/>
        <v>1.8359943098780929</v>
      </c>
      <c r="M18" s="4">
        <f>$M$8*'[2]Eurostat POM Portables GU'!M9</f>
        <v>1.8727141960756548</v>
      </c>
      <c r="N18" s="4">
        <f>$N$8*'[2]Eurostat POM Portables GU'!N9</f>
        <v>4.6533263040777832</v>
      </c>
      <c r="O18" s="4">
        <f>$O$8*'[2]Eurostat POM Portables GU'!O9</f>
        <v>20.583550123834421</v>
      </c>
      <c r="P18" s="4">
        <f>$P$8*'[2]Eurostat POM Portables GU'!P9</f>
        <v>23.125206131246447</v>
      </c>
      <c r="Q18" s="4">
        <f>$Q$8*'[2]Eurostat POM Portables GU'!Q9</f>
        <v>18.146010105602294</v>
      </c>
      <c r="R18" s="4">
        <f>$R$8*'[2]Eurostat POM Portables GU'!R9</f>
        <v>2.7175477555388472</v>
      </c>
      <c r="S18" s="4">
        <f>$S$8*'[2]Eurostat POM Portables GU'!S9</f>
        <v>6.9240138721738607</v>
      </c>
      <c r="T18" s="4">
        <f>$T$8*'[2]Eurostat POM Portables GU'!T9</f>
        <v>8.7624537251376307</v>
      </c>
      <c r="U18" s="4">
        <f>$U$8*'[2]Eurostat POM Portables GU'!U9</f>
        <v>7.9525150184468671</v>
      </c>
      <c r="V18" s="4">
        <f>$V$8*'[2]Eurostat POM Portables GU'!V9</f>
        <v>7.0152760424896696</v>
      </c>
      <c r="W18" s="4">
        <f>$W$8*'[2]Eurostat POM Portables GU'!W9</f>
        <v>20.626350723684396</v>
      </c>
      <c r="X18" s="48">
        <f>'[3]others portable_Portables Other'!AC18</f>
        <v>21.863931767105459</v>
      </c>
      <c r="Y18" s="48">
        <f>'[3]others portable_Portables Other'!AD18</f>
        <v>23.175767673131787</v>
      </c>
      <c r="Z18" s="48">
        <f>'[3]others portable_Portables Other'!AE18</f>
        <v>24.566313733519696</v>
      </c>
      <c r="AA18" s="48">
        <f>'[3]others portable_Portables Other'!AF18</f>
        <v>26.040292557530876</v>
      </c>
      <c r="AB18" s="48">
        <f>'[3]others portable_Portables Other'!AG18</f>
        <v>27.602710110982727</v>
      </c>
      <c r="AC18" s="48">
        <f>'[3]others portable_Portables Other'!AH18</f>
        <v>29.25887271764169</v>
      </c>
      <c r="AD18" s="48">
        <f>'[3]others portable_Portables Other'!AI18</f>
        <v>31.014405080700193</v>
      </c>
      <c r="AE18" s="48">
        <f>'[3]others portable_Portables Other'!AJ18</f>
        <v>32.875269385542204</v>
      </c>
      <c r="AF18" s="48">
        <f>'[3]others portable_Portables Other'!AK18</f>
        <v>34.847785548674736</v>
      </c>
      <c r="AG18" s="48">
        <f>'[3]others portable_Portables Other'!AL18</f>
        <v>36.938652681595222</v>
      </c>
      <c r="AH18" s="48">
        <f>'[3]others portable_Portables Other'!AM18</f>
        <v>38.785585315674986</v>
      </c>
      <c r="AI18" s="48">
        <f>'[3]others portable_Portables Other'!AN18</f>
        <v>40.724864581458732</v>
      </c>
      <c r="AJ18" s="48">
        <f>'[3]others portable_Portables Other'!AO18</f>
        <v>42.761107810531669</v>
      </c>
      <c r="AK18" s="48">
        <f>'[3]others portable_Portables Other'!AP18</f>
        <v>44.899163201058251</v>
      </c>
      <c r="AL18" s="48">
        <f>'[3]others portable_Portables Other'!AQ18</f>
        <v>47.144121361111161</v>
      </c>
      <c r="AM18" s="48">
        <f>'[3]others portable_Portables Other'!AR18</f>
        <v>49.501327429166722</v>
      </c>
      <c r="AN18" s="48">
        <f>'[3]others portable_Portables Other'!AS18</f>
        <v>51.976393800625061</v>
      </c>
      <c r="AO18" s="48">
        <f>'[3]others portable_Portables Other'!AT18</f>
        <v>54.575213490656317</v>
      </c>
      <c r="AP18" s="48">
        <f>'[3]others portable_Portables Other'!AU18</f>
        <v>57.303974165189132</v>
      </c>
      <c r="AQ18" s="48">
        <f>'[3]others portable_Portables Other'!AV18</f>
        <v>60.169172873448588</v>
      </c>
      <c r="AR18" s="48">
        <f>'[3]others portable_Portables Other'!AW18</f>
        <v>61.974248059652048</v>
      </c>
      <c r="AS18" s="48">
        <f>'[3]others portable_Portables Other'!AX18</f>
        <v>63.833475501441612</v>
      </c>
      <c r="AT18" s="48">
        <f>'[3]others portable_Portables Other'!AY18</f>
        <v>65.748479766484863</v>
      </c>
      <c r="AU18" s="48">
        <f>'[3]others portable_Portables Other'!AZ18</f>
        <v>67.720934159479413</v>
      </c>
      <c r="AV18" s="48">
        <f>'[3]others portable_Portables Other'!BA18</f>
        <v>69.752562184263795</v>
      </c>
      <c r="AW18" s="48">
        <f>'[3]others portable_Portables Other'!BB18</f>
        <v>71.845139049791712</v>
      </c>
      <c r="AX18" s="48">
        <f>'[3]others portable_Portables Other'!BC18</f>
        <v>74.000493221285467</v>
      </c>
      <c r="AY18" s="48">
        <f>'[3]others portable_Portables Other'!BD18</f>
        <v>76.220508017924033</v>
      </c>
      <c r="AZ18" s="48">
        <f>'[3]others portable_Portables Other'!BE18</f>
        <v>78.507123258461746</v>
      </c>
    </row>
    <row r="19" spans="1:52" x14ac:dyDescent="0.35">
      <c r="A19" s="61" t="s">
        <v>7</v>
      </c>
      <c r="B19" s="23">
        <f t="shared" si="0"/>
        <v>0.21248361785497766</v>
      </c>
      <c r="C19" s="23">
        <f t="shared" si="0"/>
        <v>0.21673329021207721</v>
      </c>
      <c r="D19" s="23">
        <f t="shared" si="0"/>
        <v>0.22106795601631876</v>
      </c>
      <c r="E19" s="23">
        <f t="shared" si="0"/>
        <v>0.22548931513664514</v>
      </c>
      <c r="F19" s="23">
        <f t="shared" si="0"/>
        <v>0.22999910143937805</v>
      </c>
      <c r="G19" s="23">
        <f t="shared" si="0"/>
        <v>0.2345990834681656</v>
      </c>
      <c r="H19" s="23">
        <f t="shared" si="0"/>
        <v>0.23929106513752893</v>
      </c>
      <c r="I19" s="23">
        <f t="shared" si="0"/>
        <v>0.2440768864402795</v>
      </c>
      <c r="J19" s="23">
        <f t="shared" si="0"/>
        <v>0.24895842416908509</v>
      </c>
      <c r="K19" s="23">
        <f t="shared" si="0"/>
        <v>0.25393759265246679</v>
      </c>
      <c r="L19" s="23">
        <f t="shared" si="0"/>
        <v>0.25901634450551614</v>
      </c>
      <c r="M19" s="4">
        <f>$M$8*'[2]Eurostat POM Portables GU'!M10</f>
        <v>0.26419667139562647</v>
      </c>
      <c r="N19" s="4">
        <f>$N$8*'[2]Eurostat POM Portables GU'!N10</f>
        <v>0.65411395790809168</v>
      </c>
      <c r="O19" s="4">
        <f>$O$8*'[2]Eurostat POM Portables GU'!O10</f>
        <v>3.0628677473060857</v>
      </c>
      <c r="P19" s="4">
        <f>$P$8*'[2]Eurostat POM Portables GU'!P10</f>
        <v>2.9490193916054288</v>
      </c>
      <c r="Q19" s="4">
        <f>$Q$8*'[2]Eurostat POM Portables GU'!Q10</f>
        <v>2.2823932472213242</v>
      </c>
      <c r="R19" s="4">
        <f>$R$8*'[2]Eurostat POM Portables GU'!R10</f>
        <v>0.33054986665899128</v>
      </c>
      <c r="S19" s="4">
        <f>$S$8*'[2]Eurostat POM Portables GU'!S10</f>
        <v>0.91633092922679782</v>
      </c>
      <c r="T19" s="4">
        <f>$T$8*'[2]Eurostat POM Portables GU'!T10</f>
        <v>0.94575757524949189</v>
      </c>
      <c r="U19" s="4">
        <f>$U$8*'[2]Eurostat POM Portables GU'!U10</f>
        <v>0.93640174361979722</v>
      </c>
      <c r="V19" s="4">
        <f>$V$8*'[2]Eurostat POM Portables GU'!V10</f>
        <v>0.77094071675373099</v>
      </c>
      <c r="W19" s="4">
        <f>$W$8*'[2]Eurostat POM Portables GU'!W10</f>
        <v>2.0973215440586404</v>
      </c>
      <c r="X19" s="48">
        <f>'[3]others portable_Portables Other'!AC19</f>
        <v>2.2231608367021587</v>
      </c>
      <c r="Y19" s="48">
        <f>'[3]others portable_Portables Other'!AD19</f>
        <v>2.3565504869042884</v>
      </c>
      <c r="Z19" s="48">
        <f>'[3]others portable_Portables Other'!AE19</f>
        <v>2.4979435161185455</v>
      </c>
      <c r="AA19" s="48">
        <f>'[3]others portable_Portables Other'!AF19</f>
        <v>2.6478201270856583</v>
      </c>
      <c r="AB19" s="48">
        <f>'[3]others portable_Portables Other'!AG19</f>
        <v>2.8066893347107977</v>
      </c>
      <c r="AC19" s="48">
        <f>'[3]others portable_Portables Other'!AH19</f>
        <v>2.9750906947934457</v>
      </c>
      <c r="AD19" s="48">
        <f>'[3]others portable_Portables Other'!AI19</f>
        <v>3.1535961364810525</v>
      </c>
      <c r="AE19" s="48">
        <f>'[3]others portable_Portables Other'!AJ19</f>
        <v>3.3428119046699156</v>
      </c>
      <c r="AF19" s="48">
        <f>'[3]others portable_Portables Other'!AK19</f>
        <v>3.5433806189501107</v>
      </c>
      <c r="AG19" s="48">
        <f>'[3]others portable_Portables Other'!AL19</f>
        <v>3.7559834560871175</v>
      </c>
      <c r="AH19" s="48">
        <f>'[3]others portable_Portables Other'!AM19</f>
        <v>3.9437826288914732</v>
      </c>
      <c r="AI19" s="48">
        <f>'[3]others portable_Portables Other'!AN19</f>
        <v>4.140971760336047</v>
      </c>
      <c r="AJ19" s="48">
        <f>'[3]others portable_Portables Other'!AO19</f>
        <v>4.3480203483528497</v>
      </c>
      <c r="AK19" s="48">
        <f>'[3]others portable_Portables Other'!AP19</f>
        <v>4.5654213657704918</v>
      </c>
      <c r="AL19" s="48">
        <f>'[3]others portable_Portables Other'!AQ19</f>
        <v>4.7936924340590163</v>
      </c>
      <c r="AM19" s="48">
        <f>'[3]others portable_Portables Other'!AR19</f>
        <v>5.0333770557619673</v>
      </c>
      <c r="AN19" s="48">
        <f>'[3]others portable_Portables Other'!AS19</f>
        <v>5.2850459085500656</v>
      </c>
      <c r="AO19" s="48">
        <f>'[3]others portable_Portables Other'!AT19</f>
        <v>5.5492982039775693</v>
      </c>
      <c r="AP19" s="48">
        <f>'[3]others portable_Portables Other'!AU19</f>
        <v>5.8267631141764475</v>
      </c>
      <c r="AQ19" s="48">
        <f>'[3]others portable_Portables Other'!AV19</f>
        <v>6.1181012698852699</v>
      </c>
      <c r="AR19" s="48">
        <f>'[3]others portable_Portables Other'!AW19</f>
        <v>6.3016443079818281</v>
      </c>
      <c r="AS19" s="48">
        <f>'[3]others portable_Portables Other'!AX19</f>
        <v>6.4906936372212831</v>
      </c>
      <c r="AT19" s="48">
        <f>'[3]others portable_Portables Other'!AY19</f>
        <v>6.6854144463379219</v>
      </c>
      <c r="AU19" s="48">
        <f>'[3]others portable_Portables Other'!AZ19</f>
        <v>6.8859768797280596</v>
      </c>
      <c r="AV19" s="48">
        <f>'[3]others portable_Portables Other'!BA19</f>
        <v>7.0925561861199018</v>
      </c>
      <c r="AW19" s="48">
        <f>'[3]others portable_Portables Other'!BB19</f>
        <v>7.3053328717034987</v>
      </c>
      <c r="AX19" s="48">
        <f>'[3]others portable_Portables Other'!BC19</f>
        <v>7.5244928578546038</v>
      </c>
      <c r="AY19" s="48">
        <f>'[3]others portable_Portables Other'!BD19</f>
        <v>7.7502276435902422</v>
      </c>
      <c r="AZ19" s="48">
        <f>'[3]others portable_Portables Other'!BE19</f>
        <v>7.982734472897949</v>
      </c>
    </row>
    <row r="20" spans="1:52" x14ac:dyDescent="0.35">
      <c r="A20" s="61" t="s">
        <v>8</v>
      </c>
      <c r="B20" s="23">
        <f t="shared" si="0"/>
        <v>1.2304866179578873</v>
      </c>
      <c r="C20" s="23">
        <f t="shared" si="0"/>
        <v>1.2550963503170451</v>
      </c>
      <c r="D20" s="23">
        <f t="shared" si="0"/>
        <v>1.280198277323386</v>
      </c>
      <c r="E20" s="23">
        <f t="shared" si="0"/>
        <v>1.3058022428698537</v>
      </c>
      <c r="F20" s="23">
        <f t="shared" si="0"/>
        <v>1.3319182877272508</v>
      </c>
      <c r="G20" s="23">
        <f t="shared" si="0"/>
        <v>1.3585566534817959</v>
      </c>
      <c r="H20" s="23">
        <f t="shared" si="0"/>
        <v>1.3857277865514319</v>
      </c>
      <c r="I20" s="23">
        <f t="shared" si="0"/>
        <v>1.4134423422824607</v>
      </c>
      <c r="J20" s="23">
        <f t="shared" si="0"/>
        <v>1.44171118912811</v>
      </c>
      <c r="K20" s="23">
        <f t="shared" si="0"/>
        <v>1.4705454129106723</v>
      </c>
      <c r="L20" s="23">
        <f t="shared" si="0"/>
        <v>1.4999563211688858</v>
      </c>
      <c r="M20" s="4">
        <f>$M$8*'[2]Eurostat POM Portables GU'!M11</f>
        <v>1.5299554475922634</v>
      </c>
      <c r="N20" s="4">
        <f>$N$8*'[2]Eurostat POM Portables GU'!N11</f>
        <v>3.4573309905027161</v>
      </c>
      <c r="O20" s="4">
        <f>$O$8*'[2]Eurostat POM Portables GU'!O11</f>
        <v>17.764155806106142</v>
      </c>
      <c r="P20" s="4">
        <f>$P$8*'[2]Eurostat POM Portables GU'!P11</f>
        <v>17.431026856393043</v>
      </c>
      <c r="Q20" s="4">
        <f>$Q$8*'[2]Eurostat POM Portables GU'!Q11</f>
        <v>14.087875560435069</v>
      </c>
      <c r="R20" s="4">
        <f>$R$8*'[2]Eurostat POM Portables GU'!R11</f>
        <v>2.0881918507517905</v>
      </c>
      <c r="S20" s="4">
        <f>$S$8*'[2]Eurostat POM Portables GU'!S11</f>
        <v>5.9589618710454335</v>
      </c>
      <c r="T20" s="4">
        <f>$T$8*'[2]Eurostat POM Portables GU'!T11</f>
        <v>6.7749921539611631</v>
      </c>
      <c r="U20" s="4">
        <f>$U$8*'[2]Eurostat POM Portables GU'!U11</f>
        <v>7.128481484061445</v>
      </c>
      <c r="V20" s="4">
        <f>$V$8*'[2]Eurostat POM Portables GU'!V11</f>
        <v>5.1576218430793883</v>
      </c>
      <c r="W20" s="4">
        <f>$W$8*'[2]Eurostat POM Portables GU'!W11</f>
        <v>16.399441150273905</v>
      </c>
      <c r="X20" s="48">
        <f>'[3]others portable_Portables Other'!AC20</f>
        <v>17.383407619290338</v>
      </c>
      <c r="Y20" s="48">
        <f>'[3]others portable_Portables Other'!AD20</f>
        <v>18.426412076447757</v>
      </c>
      <c r="Z20" s="48">
        <f>'[3]others portable_Portables Other'!AE20</f>
        <v>19.531996801034623</v>
      </c>
      <c r="AA20" s="48">
        <f>'[3]others portable_Portables Other'!AF20</f>
        <v>20.703916609096702</v>
      </c>
      <c r="AB20" s="48">
        <f>'[3]others portable_Portables Other'!AG20</f>
        <v>21.946151605642502</v>
      </c>
      <c r="AC20" s="48">
        <f>'[3]others portable_Portables Other'!AH20</f>
        <v>23.262920701981052</v>
      </c>
      <c r="AD20" s="48">
        <f>'[3]others portable_Portables Other'!AI20</f>
        <v>24.658695944099914</v>
      </c>
      <c r="AE20" s="48">
        <f>'[3]others portable_Portables Other'!AJ20</f>
        <v>26.138217700745908</v>
      </c>
      <c r="AF20" s="48">
        <f>'[3]others portable_Portables Other'!AK20</f>
        <v>27.706510762790664</v>
      </c>
      <c r="AG20" s="48">
        <f>'[3]others portable_Portables Other'!AL20</f>
        <v>29.368901408558102</v>
      </c>
      <c r="AH20" s="48">
        <f>'[3]others portable_Portables Other'!AM20</f>
        <v>30.837346478986007</v>
      </c>
      <c r="AI20" s="48">
        <f>'[3]others portable_Portables Other'!AN20</f>
        <v>32.379213802935304</v>
      </c>
      <c r="AJ20" s="48">
        <f>'[3]others portable_Portables Other'!AO20</f>
        <v>33.998174493082068</v>
      </c>
      <c r="AK20" s="48">
        <f>'[3]others portable_Portables Other'!AP20</f>
        <v>35.698083217736169</v>
      </c>
      <c r="AL20" s="48">
        <f>'[3]others portable_Portables Other'!AQ20</f>
        <v>37.48298737862298</v>
      </c>
      <c r="AM20" s="48">
        <f>'[3]others portable_Portables Other'!AR20</f>
        <v>39.357136747554129</v>
      </c>
      <c r="AN20" s="48">
        <f>'[3]others portable_Portables Other'!AS20</f>
        <v>41.324993584931839</v>
      </c>
      <c r="AO20" s="48">
        <f>'[3]others portable_Portables Other'!AT20</f>
        <v>43.391243264178428</v>
      </c>
      <c r="AP20" s="48">
        <f>'[3]others portable_Portables Other'!AU20</f>
        <v>45.560805427387351</v>
      </c>
      <c r="AQ20" s="48">
        <f>'[3]others portable_Portables Other'!AV20</f>
        <v>47.838845698756721</v>
      </c>
      <c r="AR20" s="48">
        <f>'[3]others portable_Portables Other'!AW20</f>
        <v>49.274011069719421</v>
      </c>
      <c r="AS20" s="48">
        <f>'[3]others portable_Portables Other'!AX20</f>
        <v>50.752231401811002</v>
      </c>
      <c r="AT20" s="48">
        <f>'[3]others portable_Portables Other'!AY20</f>
        <v>52.274798343865335</v>
      </c>
      <c r="AU20" s="48">
        <f>'[3]others portable_Portables Other'!AZ20</f>
        <v>53.843042294181295</v>
      </c>
      <c r="AV20" s="48">
        <f>'[3]others portable_Portables Other'!BA20</f>
        <v>55.458333563006732</v>
      </c>
      <c r="AW20" s="48">
        <f>'[3]others portable_Portables Other'!BB20</f>
        <v>57.122083569896937</v>
      </c>
      <c r="AX20" s="48">
        <f>'[3]others portable_Portables Other'!BC20</f>
        <v>58.835746076993843</v>
      </c>
      <c r="AY20" s="48">
        <f>'[3]others portable_Portables Other'!BD20</f>
        <v>60.60081845930366</v>
      </c>
      <c r="AZ20" s="48">
        <f>'[3]others portable_Portables Other'!BE20</f>
        <v>62.418843013082771</v>
      </c>
    </row>
    <row r="21" spans="1:52" x14ac:dyDescent="0.35">
      <c r="A21" s="61" t="s">
        <v>9</v>
      </c>
      <c r="B21" s="23">
        <f t="shared" si="0"/>
        <v>0.80445538900067648</v>
      </c>
      <c r="C21" s="23">
        <f t="shared" si="0"/>
        <v>0.82054449678068997</v>
      </c>
      <c r="D21" s="23">
        <f t="shared" si="0"/>
        <v>0.83695538671630376</v>
      </c>
      <c r="E21" s="23">
        <f t="shared" si="0"/>
        <v>0.85369449445062984</v>
      </c>
      <c r="F21" s="23">
        <f t="shared" si="0"/>
        <v>0.87076838433964243</v>
      </c>
      <c r="G21" s="23">
        <f t="shared" si="0"/>
        <v>0.88818375202643529</v>
      </c>
      <c r="H21" s="23">
        <f t="shared" si="0"/>
        <v>0.90594742706696396</v>
      </c>
      <c r="I21" s="23">
        <f t="shared" si="0"/>
        <v>0.92406637560830329</v>
      </c>
      <c r="J21" s="23">
        <f t="shared" si="0"/>
        <v>0.94254770312046943</v>
      </c>
      <c r="K21" s="23">
        <f t="shared" si="0"/>
        <v>0.96139865718287887</v>
      </c>
      <c r="L21" s="23">
        <f t="shared" si="0"/>
        <v>0.98062663032653641</v>
      </c>
      <c r="M21" s="4">
        <f>M5*'[2]Eurostat POM Portables GU'!M12</f>
        <v>1.0002391629330671</v>
      </c>
      <c r="N21" s="4">
        <f>N5*'[2]Eurostat POM Portables GU'!N12</f>
        <v>70.94257040143367</v>
      </c>
      <c r="O21" s="4">
        <f>O5*'[2]Eurostat POM Portables GU'!O12</f>
        <v>791.05555387820334</v>
      </c>
      <c r="P21" s="4">
        <f>P5*'[2]Eurostat POM Portables GU'!P12</f>
        <v>731.06690691074118</v>
      </c>
      <c r="Q21" s="4">
        <f>Q5*'[2]Eurostat POM Portables GU'!Q12</f>
        <v>533.00000000000409</v>
      </c>
      <c r="R21" s="4">
        <f>R5*'[2]Eurostat POM Portables GU'!R12</f>
        <v>0.99999999999735145</v>
      </c>
      <c r="S21" s="4">
        <f>S5*'[2]Eurostat POM Portables GU'!S12</f>
        <v>0</v>
      </c>
      <c r="T21" s="4">
        <f>T5*'[2]Eurostat POM Portables GU'!T12</f>
        <v>0</v>
      </c>
      <c r="U21" s="4">
        <f>U5*'[2]Eurostat POM Portables GU'!U12</f>
        <v>-1.0053308151519873</v>
      </c>
      <c r="V21" s="4">
        <f>V5*'[2]Eurostat POM Portables GU'!V12</f>
        <v>0</v>
      </c>
      <c r="W21" s="4">
        <f>$W$8*'[2]Eurostat POM Portables GU'!W12</f>
        <v>152.03161208028152</v>
      </c>
      <c r="X21" s="48">
        <f>'[3]others portable_Portables Other'!AC21</f>
        <v>161.1535088050984</v>
      </c>
      <c r="Y21" s="48">
        <f>'[3]others portable_Portables Other'!AD21</f>
        <v>170.82271933340431</v>
      </c>
      <c r="Z21" s="48">
        <f>'[3]others portable_Portables Other'!AE21</f>
        <v>181.07208249340857</v>
      </c>
      <c r="AA21" s="48">
        <f>'[3]others portable_Portables Other'!AF21</f>
        <v>191.93640744301308</v>
      </c>
      <c r="AB21" s="48">
        <f>'[3]others portable_Portables Other'!AG21</f>
        <v>203.45259188959386</v>
      </c>
      <c r="AC21" s="48">
        <f>'[3]others portable_Portables Other'!AH21</f>
        <v>215.65974740296949</v>
      </c>
      <c r="AD21" s="48">
        <f>'[3]others portable_Portables Other'!AI21</f>
        <v>228.59933224714766</v>
      </c>
      <c r="AE21" s="48">
        <f>'[3]others portable_Portables Other'!AJ21</f>
        <v>242.31529218197653</v>
      </c>
      <c r="AF21" s="48">
        <f>'[3]others portable_Portables Other'!AK21</f>
        <v>256.85420971289511</v>
      </c>
      <c r="AG21" s="48">
        <f>'[3]others portable_Portables Other'!AL21</f>
        <v>272.26546229566884</v>
      </c>
      <c r="AH21" s="48">
        <f>'[3]others portable_Portables Other'!AM21</f>
        <v>285.87873541045229</v>
      </c>
      <c r="AI21" s="48">
        <f>'[3]others portable_Portables Other'!AN21</f>
        <v>300.17267218097493</v>
      </c>
      <c r="AJ21" s="48">
        <f>'[3]others portable_Portables Other'!AO21</f>
        <v>315.18130579002366</v>
      </c>
      <c r="AK21" s="48">
        <f>'[3]others portable_Portables Other'!AP21</f>
        <v>330.94037107952482</v>
      </c>
      <c r="AL21" s="48">
        <f>'[3]others portable_Portables Other'!AQ21</f>
        <v>347.48738963350104</v>
      </c>
      <c r="AM21" s="48">
        <f>'[3]others portable_Portables Other'!AR21</f>
        <v>364.86175911517608</v>
      </c>
      <c r="AN21" s="48">
        <f>'[3]others portable_Portables Other'!AS21</f>
        <v>383.10484707093491</v>
      </c>
      <c r="AO21" s="48">
        <f>'[3]others portable_Portables Other'!AT21</f>
        <v>402.26008942448163</v>
      </c>
      <c r="AP21" s="48">
        <f>'[3]others portable_Portables Other'!AU21</f>
        <v>422.37309389570572</v>
      </c>
      <c r="AQ21" s="48">
        <f>'[3]others portable_Portables Other'!AV21</f>
        <v>443.491748590491</v>
      </c>
      <c r="AR21" s="48">
        <f>'[3]others portable_Portables Other'!AW21</f>
        <v>456.79650104820576</v>
      </c>
      <c r="AS21" s="48">
        <f>'[3]others portable_Portables Other'!AX21</f>
        <v>470.50039607965192</v>
      </c>
      <c r="AT21" s="48">
        <f>'[3]others portable_Portables Other'!AY21</f>
        <v>484.6154079620415</v>
      </c>
      <c r="AU21" s="48">
        <f>'[3]others portable_Portables Other'!AZ21</f>
        <v>499.15387020090276</v>
      </c>
      <c r="AV21" s="48">
        <f>'[3]others portable_Portables Other'!BA21</f>
        <v>514.12848630692986</v>
      </c>
      <c r="AW21" s="48">
        <f>'[3]others portable_Portables Other'!BB21</f>
        <v>529.55234089613771</v>
      </c>
      <c r="AX21" s="48">
        <f>'[3]others portable_Portables Other'!BC21</f>
        <v>545.43891112302185</v>
      </c>
      <c r="AY21" s="48">
        <f>'[3]others portable_Portables Other'!BD21</f>
        <v>561.80207845671248</v>
      </c>
      <c r="AZ21" s="48">
        <f>'[3]others portable_Portables Other'!BE21</f>
        <v>578.65614081041383</v>
      </c>
    </row>
    <row r="22" spans="1:52" x14ac:dyDescent="0.35">
      <c r="A22" s="61" t="s">
        <v>10</v>
      </c>
      <c r="B22" s="23">
        <f t="shared" si="0"/>
        <v>31.737848993812221</v>
      </c>
      <c r="C22" s="23">
        <f t="shared" si="0"/>
        <v>32.372605973688465</v>
      </c>
      <c r="D22" s="23">
        <f t="shared" si="0"/>
        <v>33.020058093162234</v>
      </c>
      <c r="E22" s="23">
        <f t="shared" si="0"/>
        <v>33.680459255025482</v>
      </c>
      <c r="F22" s="23">
        <f t="shared" si="0"/>
        <v>34.354068440125992</v>
      </c>
      <c r="G22" s="23">
        <f t="shared" si="0"/>
        <v>35.041149808928516</v>
      </c>
      <c r="H22" s="23">
        <f t="shared" si="0"/>
        <v>35.741972805107089</v>
      </c>
      <c r="I22" s="23">
        <f t="shared" si="0"/>
        <v>36.45681226120923</v>
      </c>
      <c r="J22" s="23">
        <f t="shared" si="0"/>
        <v>37.185948506433412</v>
      </c>
      <c r="K22" s="23">
        <f t="shared" si="0"/>
        <v>37.929667476562081</v>
      </c>
      <c r="L22" s="23">
        <f t="shared" si="0"/>
        <v>38.68826082609332</v>
      </c>
      <c r="M22" s="4">
        <f>M4*'[2]Eurostat POM Portables GU'!M13</f>
        <v>39.462026042615186</v>
      </c>
      <c r="N22" s="4">
        <f>N4*'[2]Eurostat POM Portables GU'!N13</f>
        <v>60.825558085868707</v>
      </c>
      <c r="O22" s="4">
        <f>O4*'[2]Eurostat POM Portables GU'!O13</f>
        <v>32.724401659315923</v>
      </c>
      <c r="P22" s="4">
        <f>P4*'[2]Eurostat POM Portables GU'!P13</f>
        <v>49.011394019349169</v>
      </c>
      <c r="Q22" s="4">
        <f>Q4*'[2]Eurostat POM Portables GU'!Q13</f>
        <v>82.736395759717311</v>
      </c>
      <c r="R22" s="4">
        <f>R4*'[2]Eurostat POM Portables GU'!R13</f>
        <v>91.566238771288511</v>
      </c>
      <c r="S22" s="4">
        <f>S4*'[2]Eurostat POM Portables GU'!S13</f>
        <v>119.99105976649741</v>
      </c>
      <c r="T22" s="4">
        <f>T4*'[2]Eurostat POM Portables GU'!T13</f>
        <v>113.66257630775989</v>
      </c>
      <c r="U22" s="4">
        <f>U4*'[2]Eurostat POM Portables GU'!U13</f>
        <v>138.8844338725828</v>
      </c>
      <c r="V22" s="4">
        <f>V4*'[2]Eurostat POM Portables GU'!V13</f>
        <v>132.9639626509605</v>
      </c>
      <c r="W22" s="4">
        <f>W4*'[2]Eurostat POM Portables GU'!W13</f>
        <v>92.747872221487512</v>
      </c>
      <c r="X22" s="48">
        <f>'[3]others portable_Portables Other'!AC22</f>
        <v>98.312744554776756</v>
      </c>
      <c r="Y22" s="48">
        <f>'[3]others portable_Portables Other'!AD22</f>
        <v>104.21150922806336</v>
      </c>
      <c r="Z22" s="48">
        <f>'[3]others portable_Portables Other'!AE22</f>
        <v>110.46419978174717</v>
      </c>
      <c r="AA22" s="48">
        <f>'[3]others portable_Portables Other'!AF22</f>
        <v>117.092051768652</v>
      </c>
      <c r="AB22" s="48">
        <f>'[3]others portable_Portables Other'!AG22</f>
        <v>124.11757487477112</v>
      </c>
      <c r="AC22" s="48">
        <f>'[3]others portable_Portables Other'!AH22</f>
        <v>131.5646293672574</v>
      </c>
      <c r="AD22" s="48">
        <f>'[3]others portable_Portables Other'!AI22</f>
        <v>139.45850712929283</v>
      </c>
      <c r="AE22" s="48">
        <f>'[3]others portable_Portables Other'!AJ22</f>
        <v>147.82601755705039</v>
      </c>
      <c r="AF22" s="48">
        <f>'[3]others portable_Portables Other'!AK22</f>
        <v>156.6955786104734</v>
      </c>
      <c r="AG22" s="48">
        <f>'[3]others portable_Portables Other'!AL22</f>
        <v>166.0973133271018</v>
      </c>
      <c r="AH22" s="48">
        <f>'[3]others portable_Portables Other'!AM22</f>
        <v>174.40217899345689</v>
      </c>
      <c r="AI22" s="48">
        <f>'[3]others portable_Portables Other'!AN22</f>
        <v>183.12228794312972</v>
      </c>
      <c r="AJ22" s="48">
        <f>'[3]others portable_Portables Other'!AO22</f>
        <v>192.27840234028622</v>
      </c>
      <c r="AK22" s="48">
        <f>'[3]others portable_Portables Other'!AP22</f>
        <v>201.89232245730054</v>
      </c>
      <c r="AL22" s="48">
        <f>'[3]others portable_Portables Other'!AQ22</f>
        <v>211.98693858016557</v>
      </c>
      <c r="AM22" s="48">
        <f>'[3]others portable_Portables Other'!AR22</f>
        <v>222.58628550917385</v>
      </c>
      <c r="AN22" s="48">
        <f>'[3]others portable_Portables Other'!AS22</f>
        <v>233.71559978463253</v>
      </c>
      <c r="AO22" s="48">
        <f>'[3]others portable_Portables Other'!AT22</f>
        <v>245.40137977386416</v>
      </c>
      <c r="AP22" s="48">
        <f>'[3]others portable_Portables Other'!AU22</f>
        <v>257.67144876255736</v>
      </c>
      <c r="AQ22" s="48">
        <f>'[3]others portable_Portables Other'!AV22</f>
        <v>270.55502120068525</v>
      </c>
      <c r="AR22" s="48">
        <f>'[3]others portable_Portables Other'!AW22</f>
        <v>278.6716718367058</v>
      </c>
      <c r="AS22" s="48">
        <f>'[3]others portable_Portables Other'!AX22</f>
        <v>287.03182199180696</v>
      </c>
      <c r="AT22" s="48">
        <f>'[3]others portable_Portables Other'!AY22</f>
        <v>295.64277665156118</v>
      </c>
      <c r="AU22" s="48">
        <f>'[3]others portable_Portables Other'!AZ22</f>
        <v>304.51205995110803</v>
      </c>
      <c r="AV22" s="48">
        <f>'[3]others portable_Portables Other'!BA22</f>
        <v>313.6474217496413</v>
      </c>
      <c r="AW22" s="48">
        <f>'[3]others portable_Portables Other'!BB22</f>
        <v>323.05684440213054</v>
      </c>
      <c r="AX22" s="48">
        <f>'[3]others portable_Portables Other'!BC22</f>
        <v>332.74854973419446</v>
      </c>
      <c r="AY22" s="48">
        <f>'[3]others portable_Portables Other'!BD22</f>
        <v>342.7310062262203</v>
      </c>
      <c r="AZ22" s="48">
        <f>'[3]others portable_Portables Other'!BE22</f>
        <v>353.01293641300691</v>
      </c>
    </row>
    <row r="23" spans="1:52" x14ac:dyDescent="0.35">
      <c r="A23" s="61" t="s">
        <v>11</v>
      </c>
      <c r="B23" s="23">
        <f t="shared" si="0"/>
        <v>0.8238871672899355</v>
      </c>
      <c r="C23" s="23">
        <f t="shared" si="0"/>
        <v>0.84036491063573426</v>
      </c>
      <c r="D23" s="23">
        <f t="shared" si="0"/>
        <v>0.85717220884844891</v>
      </c>
      <c r="E23" s="23">
        <f t="shared" si="0"/>
        <v>0.87431565302541792</v>
      </c>
      <c r="F23" s="23">
        <f t="shared" si="0"/>
        <v>0.89180196608592632</v>
      </c>
      <c r="G23" s="23">
        <f t="shared" si="0"/>
        <v>0.90963800540764483</v>
      </c>
      <c r="H23" s="23">
        <f t="shared" si="0"/>
        <v>0.9278307655157978</v>
      </c>
      <c r="I23" s="23">
        <f t="shared" si="0"/>
        <v>0.94638738082611373</v>
      </c>
      <c r="J23" s="23">
        <f t="shared" si="0"/>
        <v>0.96531512844263601</v>
      </c>
      <c r="K23" s="23">
        <f t="shared" si="0"/>
        <v>0.98462143101148869</v>
      </c>
      <c r="L23" s="23">
        <f t="shared" si="0"/>
        <v>1.0043138596317185</v>
      </c>
      <c r="M23" s="4">
        <f>$M$8*'[2]Eurostat POM Portables GU'!M14</f>
        <v>1.0244001368243529</v>
      </c>
      <c r="N23" s="4">
        <f>$N$8*'[2]Eurostat POM Portables GU'!N14</f>
        <v>1.9962568836877965</v>
      </c>
      <c r="O23" s="4">
        <f>$O$8*'[2]Eurostat POM Portables GU'!O14</f>
        <v>10.429787371176637</v>
      </c>
      <c r="P23" s="4">
        <f>$P$8*'[2]Eurostat POM Portables GU'!P14</f>
        <v>10.093031393648932</v>
      </c>
      <c r="Q23" s="4">
        <f>$Q$8*'[2]Eurostat POM Portables GU'!Q14</f>
        <v>8.2392428644304267</v>
      </c>
      <c r="R23" s="4">
        <f>$R$8*'[2]Eurostat POM Portables GU'!R14</f>
        <v>1.1034430830641484</v>
      </c>
      <c r="S23" s="4">
        <f>$S$8*'[2]Eurostat POM Portables GU'!S14</f>
        <v>3.1706174483675702</v>
      </c>
      <c r="T23" s="4">
        <f>$T$8*'[2]Eurostat POM Portables GU'!T14</f>
        <v>3.2230164986763223</v>
      </c>
      <c r="U23" s="4">
        <f>$U$8*'[2]Eurostat POM Portables GU'!U14</f>
        <v>3.5445270211124114</v>
      </c>
      <c r="V23" s="4">
        <f>$V$8*'[2]Eurostat POM Portables GU'!V14</f>
        <v>2.631439715856831</v>
      </c>
      <c r="W23" s="4">
        <f>$W$8*'[2]Eurostat POM Portables GU'!W14</f>
        <v>11.583668220262336</v>
      </c>
      <c r="X23" s="48">
        <f>'[3]others portable_Portables Other'!AC23</f>
        <v>12.278688313478076</v>
      </c>
      <c r="Y23" s="48">
        <f>'[3]others portable_Portables Other'!AD23</f>
        <v>13.01540961228676</v>
      </c>
      <c r="Z23" s="48">
        <f>'[3]others portable_Portables Other'!AE23</f>
        <v>13.796334189023966</v>
      </c>
      <c r="AA23" s="48">
        <f>'[3]others portable_Portables Other'!AF23</f>
        <v>14.624114240365405</v>
      </c>
      <c r="AB23" s="48">
        <f>'[3]others portable_Portables Other'!AG23</f>
        <v>15.501561094787329</v>
      </c>
      <c r="AC23" s="48">
        <f>'[3]others portable_Portables Other'!AH23</f>
        <v>16.431654760474569</v>
      </c>
      <c r="AD23" s="48">
        <f>'[3]others portable_Portables Other'!AI23</f>
        <v>17.417554046103042</v>
      </c>
      <c r="AE23" s="48">
        <f>'[3]others portable_Portables Other'!AJ23</f>
        <v>18.462607288869226</v>
      </c>
      <c r="AF23" s="48">
        <f>'[3]others portable_Portables Other'!AK23</f>
        <v>19.570363726201379</v>
      </c>
      <c r="AG23" s="48">
        <f>'[3]others portable_Portables Other'!AL23</f>
        <v>20.744585549773461</v>
      </c>
      <c r="AH23" s="48">
        <f>'[3]others portable_Portables Other'!AM23</f>
        <v>21.781814827262135</v>
      </c>
      <c r="AI23" s="48">
        <f>'[3]others portable_Portables Other'!AN23</f>
        <v>22.870905568625243</v>
      </c>
      <c r="AJ23" s="48">
        <f>'[3]others portable_Portables Other'!AO23</f>
        <v>24.014450847056505</v>
      </c>
      <c r="AK23" s="48">
        <f>'[3]others portable_Portables Other'!AP23</f>
        <v>25.21517338940933</v>
      </c>
      <c r="AL23" s="48">
        <f>'[3]others portable_Portables Other'!AQ23</f>
        <v>26.475932058879796</v>
      </c>
      <c r="AM23" s="48">
        <f>'[3]others portable_Portables Other'!AR23</f>
        <v>27.799728661823785</v>
      </c>
      <c r="AN23" s="48">
        <f>'[3]others portable_Portables Other'!AS23</f>
        <v>29.189715094914973</v>
      </c>
      <c r="AO23" s="48">
        <f>'[3]others portable_Portables Other'!AT23</f>
        <v>30.649200849660723</v>
      </c>
      <c r="AP23" s="48">
        <f>'[3]others portable_Portables Other'!AU23</f>
        <v>32.181660892143761</v>
      </c>
      <c r="AQ23" s="48">
        <f>'[3]others portable_Portables Other'!AV23</f>
        <v>33.79074393675095</v>
      </c>
      <c r="AR23" s="48">
        <f>'[3]others portable_Portables Other'!AW23</f>
        <v>34.80446625485348</v>
      </c>
      <c r="AS23" s="48">
        <f>'[3]others portable_Portables Other'!AX23</f>
        <v>35.848600242499082</v>
      </c>
      <c r="AT23" s="48">
        <f>'[3]others portable_Portables Other'!AY23</f>
        <v>36.924058249774056</v>
      </c>
      <c r="AU23" s="48">
        <f>'[3]others portable_Portables Other'!AZ23</f>
        <v>38.031779997267279</v>
      </c>
      <c r="AV23" s="48">
        <f>'[3]others portable_Portables Other'!BA23</f>
        <v>39.172733397185297</v>
      </c>
      <c r="AW23" s="48">
        <f>'[3]others portable_Portables Other'!BB23</f>
        <v>40.347915399100856</v>
      </c>
      <c r="AX23" s="48">
        <f>'[3]others portable_Portables Other'!BC23</f>
        <v>41.558352861073878</v>
      </c>
      <c r="AY23" s="48">
        <f>'[3]others portable_Portables Other'!BD23</f>
        <v>42.805103446906095</v>
      </c>
      <c r="AZ23" s="48">
        <f>'[3]others portable_Portables Other'!BE23</f>
        <v>44.08925655031328</v>
      </c>
    </row>
    <row r="24" spans="1:52" x14ac:dyDescent="0.35">
      <c r="A24" s="61" t="s">
        <v>12</v>
      </c>
      <c r="B24" s="23">
        <f t="shared" si="0"/>
        <v>0.90983863933693943</v>
      </c>
      <c r="C24" s="23">
        <f t="shared" si="0"/>
        <v>0.92803541212367824</v>
      </c>
      <c r="D24" s="23">
        <f t="shared" si="0"/>
        <v>0.94659612036615182</v>
      </c>
      <c r="E24" s="23">
        <f t="shared" si="0"/>
        <v>0.96552804277347493</v>
      </c>
      <c r="F24" s="23">
        <f t="shared" si="0"/>
        <v>0.98483860362894449</v>
      </c>
      <c r="G24" s="23">
        <f t="shared" si="0"/>
        <v>1.0045353757015234</v>
      </c>
      <c r="H24" s="23">
        <f t="shared" si="0"/>
        <v>1.0246260832155538</v>
      </c>
      <c r="I24" s="23">
        <f t="shared" si="0"/>
        <v>1.0451186048798649</v>
      </c>
      <c r="J24" s="23">
        <f t="shared" si="0"/>
        <v>1.0660209769774622</v>
      </c>
      <c r="K24" s="23">
        <f t="shared" si="0"/>
        <v>1.0873413965170116</v>
      </c>
      <c r="L24" s="23">
        <f t="shared" si="0"/>
        <v>1.1090882244473519</v>
      </c>
      <c r="M24" s="4">
        <f>$M$8*'[2]Eurostat POM Portables GU'!M15</f>
        <v>1.1312699889362989</v>
      </c>
      <c r="N24" s="4">
        <f>$N$8*'[2]Eurostat POM Portables GU'!N15</f>
        <v>1.971633450761251</v>
      </c>
      <c r="O24" s="4">
        <f>$O$8*'[2]Eurostat POM Portables GU'!O15</f>
        <v>10.17150719241971</v>
      </c>
      <c r="P24" s="4">
        <f>$P$8*'[2]Eurostat POM Portables GU'!P15</f>
        <v>10.452137286300617</v>
      </c>
      <c r="Q24" s="4">
        <f>$Q$8*'[2]Eurostat POM Portables GU'!Q15</f>
        <v>8.8737875387656651</v>
      </c>
      <c r="R24" s="4">
        <f>$R$8*'[2]Eurostat POM Portables GU'!R15</f>
        <v>1.1621001575234684</v>
      </c>
      <c r="S24" s="4">
        <f>$S$8*'[2]Eurostat POM Portables GU'!S15</f>
        <v>4.4167525566207821</v>
      </c>
      <c r="T24" s="4">
        <f>$T$8*'[2]Eurostat POM Portables GU'!T15</f>
        <v>5.5648923992941111</v>
      </c>
      <c r="U24" s="4">
        <f>$U$8*'[2]Eurostat POM Portables GU'!U15</f>
        <v>5.7564065081469638</v>
      </c>
      <c r="V24" s="4">
        <f>$V$8*'[2]Eurostat POM Portables GU'!V15</f>
        <v>3.5659564149476082</v>
      </c>
      <c r="W24" s="4">
        <f>$W$8*'[2]Eurostat POM Portables GU'!W15</f>
        <v>12.797694729419357</v>
      </c>
      <c r="X24" s="48">
        <f>'[3]others portable_Portables Other'!AC24</f>
        <v>13.565556413184519</v>
      </c>
      <c r="Y24" s="48">
        <f>'[3]others portable_Portables Other'!AD24</f>
        <v>14.379489797975589</v>
      </c>
      <c r="Z24" s="48">
        <f>'[3]others portable_Portables Other'!AE24</f>
        <v>15.242259185854124</v>
      </c>
      <c r="AA24" s="48">
        <f>'[3]others portable_Portables Other'!AF24</f>
        <v>16.15679473700537</v>
      </c>
      <c r="AB24" s="48">
        <f>'[3]others portable_Portables Other'!AG24</f>
        <v>17.126202421225692</v>
      </c>
      <c r="AC24" s="48">
        <f>'[3]others portable_Portables Other'!AH24</f>
        <v>18.153774566499234</v>
      </c>
      <c r="AD24" s="48">
        <f>'[3]others portable_Portables Other'!AI24</f>
        <v>19.243001040489187</v>
      </c>
      <c r="AE24" s="48">
        <f>'[3]others portable_Portables Other'!AJ24</f>
        <v>20.397581102918537</v>
      </c>
      <c r="AF24" s="48">
        <f>'[3]others portable_Portables Other'!AK24</f>
        <v>21.62143596909365</v>
      </c>
      <c r="AG24" s="48">
        <f>'[3]others portable_Portables Other'!AL24</f>
        <v>22.91872212723927</v>
      </c>
      <c r="AH24" s="48">
        <f>'[3]others portable_Portables Other'!AM24</f>
        <v>24.064658233601236</v>
      </c>
      <c r="AI24" s="48">
        <f>'[3]others portable_Portables Other'!AN24</f>
        <v>25.267891145281297</v>
      </c>
      <c r="AJ24" s="48">
        <f>'[3]others portable_Portables Other'!AO24</f>
        <v>26.531285702545361</v>
      </c>
      <c r="AK24" s="48">
        <f>'[3]others portable_Portables Other'!AP24</f>
        <v>27.85784998767263</v>
      </c>
      <c r="AL24" s="48">
        <f>'[3]others portable_Portables Other'!AQ24</f>
        <v>29.250742487056261</v>
      </c>
      <c r="AM24" s="48">
        <f>'[3]others portable_Portables Other'!AR24</f>
        <v>30.713279611409074</v>
      </c>
      <c r="AN24" s="48">
        <f>'[3]others portable_Portables Other'!AS24</f>
        <v>32.248943591979526</v>
      </c>
      <c r="AO24" s="48">
        <f>'[3]others portable_Portables Other'!AT24</f>
        <v>33.861390771578499</v>
      </c>
      <c r="AP24" s="48">
        <f>'[3]others portable_Portables Other'!AU24</f>
        <v>35.554460310157424</v>
      </c>
      <c r="AQ24" s="48">
        <f>'[3]others portable_Portables Other'!AV24</f>
        <v>37.332183325665298</v>
      </c>
      <c r="AR24" s="48">
        <f>'[3]others portable_Portables Other'!AW24</f>
        <v>38.452148825435259</v>
      </c>
      <c r="AS24" s="48">
        <f>'[3]others portable_Portables Other'!AX24</f>
        <v>39.605713290198317</v>
      </c>
      <c r="AT24" s="48">
        <f>'[3]others portable_Portables Other'!AY24</f>
        <v>40.793884688904264</v>
      </c>
      <c r="AU24" s="48">
        <f>'[3]others portable_Portables Other'!AZ24</f>
        <v>42.017701229571394</v>
      </c>
      <c r="AV24" s="48">
        <f>'[3]others portable_Portables Other'!BA24</f>
        <v>43.278232266458538</v>
      </c>
      <c r="AW24" s="48">
        <f>'[3]others portable_Portables Other'!BB24</f>
        <v>44.576579234452296</v>
      </c>
      <c r="AX24" s="48">
        <f>'[3]others portable_Portables Other'!BC24</f>
        <v>45.913876611485868</v>
      </c>
      <c r="AY24" s="48">
        <f>'[3]others portable_Portables Other'!BD24</f>
        <v>47.291292909830446</v>
      </c>
      <c r="AZ24" s="48">
        <f>'[3]others portable_Portables Other'!BE24</f>
        <v>48.710031697125359</v>
      </c>
    </row>
    <row r="25" spans="1:52" x14ac:dyDescent="0.35">
      <c r="A25" s="61" t="s">
        <v>13</v>
      </c>
      <c r="B25" s="23">
        <f t="shared" si="0"/>
        <v>8.341300888292158E-2</v>
      </c>
      <c r="C25" s="23">
        <f t="shared" si="0"/>
        <v>8.5081269060580014E-2</v>
      </c>
      <c r="D25" s="23">
        <f t="shared" si="0"/>
        <v>8.6782894441791616E-2</v>
      </c>
      <c r="E25" s="23">
        <f t="shared" si="0"/>
        <v>8.8518552330627456E-2</v>
      </c>
      <c r="F25" s="23">
        <f t="shared" si="0"/>
        <v>9.028892337724001E-2</v>
      </c>
      <c r="G25" s="23">
        <f t="shared" si="0"/>
        <v>9.2094701844784813E-2</v>
      </c>
      <c r="H25" s="23">
        <f t="shared" si="0"/>
        <v>9.3936595881680504E-2</v>
      </c>
      <c r="I25" s="23">
        <f t="shared" si="0"/>
        <v>9.5815327799314121E-2</v>
      </c>
      <c r="J25" s="23">
        <f t="shared" si="0"/>
        <v>9.7731634355300398E-2</v>
      </c>
      <c r="K25" s="23">
        <f t="shared" si="0"/>
        <v>9.9686267042406407E-2</v>
      </c>
      <c r="L25" s="23">
        <f t="shared" si="0"/>
        <v>0.10167999238325454</v>
      </c>
      <c r="M25" s="4">
        <f>$M$8*'[2]Eurostat POM Portables GU'!M16</f>
        <v>0.10371359223091962</v>
      </c>
      <c r="N25" s="4">
        <f>$N$8*'[2]Eurostat POM Portables GU'!N16</f>
        <v>0.20791725251751436</v>
      </c>
      <c r="O25" s="4">
        <f>$O$8*'[2]Eurostat POM Portables GU'!O16</f>
        <v>1.3538350336877045</v>
      </c>
      <c r="P25" s="4">
        <f>$P$8*'[2]Eurostat POM Portables GU'!P16</f>
        <v>1.2131363466633407</v>
      </c>
      <c r="Q25" s="4">
        <f>$Q$8*'[2]Eurostat POM Portables GU'!Q16</f>
        <v>0.8337621883707208</v>
      </c>
      <c r="R25" s="4">
        <f>$R$8*'[2]Eurostat POM Portables GU'!R16</f>
        <v>0.15278442688580518</v>
      </c>
      <c r="S25" s="4">
        <f>$S$8*'[2]Eurostat POM Portables GU'!S16</f>
        <v>0.49414410232537131</v>
      </c>
      <c r="T25" s="4">
        <f>$T$8*'[2]Eurostat POM Portables GU'!T16</f>
        <v>0.49892138752292037</v>
      </c>
      <c r="U25" s="4">
        <f>$U$8*'[2]Eurostat POM Portables GU'!U16</f>
        <v>0.33316188351946469</v>
      </c>
      <c r="V25" s="4">
        <f>$V$8*'[2]Eurostat POM Portables GU'!V16</f>
        <v>0.4435042721103567</v>
      </c>
      <c r="W25" s="4">
        <f>$W$8*'[2]Eurostat POM Portables GU'!W16</f>
        <v>1.3709222938952534</v>
      </c>
      <c r="X25" s="48">
        <f>'[3]others portable_Portables Other'!AC25</f>
        <v>1.4531776315289686</v>
      </c>
      <c r="Y25" s="48">
        <f>'[3]others portable_Portables Other'!AD25</f>
        <v>1.5403682894207067</v>
      </c>
      <c r="Z25" s="48">
        <f>'[3]others portable_Portables Other'!AE25</f>
        <v>1.632790386785949</v>
      </c>
      <c r="AA25" s="48">
        <f>'[3]others portable_Portables Other'!AF25</f>
        <v>1.730757809993106</v>
      </c>
      <c r="AB25" s="48">
        <f>'[3]others portable_Portables Other'!AG25</f>
        <v>1.8346032785926925</v>
      </c>
      <c r="AC25" s="48">
        <f>'[3]others portable_Portables Other'!AH25</f>
        <v>1.9446794753082539</v>
      </c>
      <c r="AD25" s="48">
        <f>'[3]others portable_Portables Other'!AI25</f>
        <v>2.0613602438267491</v>
      </c>
      <c r="AE25" s="48">
        <f>'[3]others portable_Portables Other'!AJ25</f>
        <v>2.185041858456354</v>
      </c>
      <c r="AF25" s="48">
        <f>'[3]others portable_Portables Other'!AK25</f>
        <v>2.3161443699637352</v>
      </c>
      <c r="AG25" s="48">
        <f>'[3]others portable_Portables Other'!AL25</f>
        <v>2.4551130321615595</v>
      </c>
      <c r="AH25" s="48">
        <f>'[3]others portable_Portables Other'!AM25</f>
        <v>2.5778686837696374</v>
      </c>
      <c r="AI25" s="48">
        <f>'[3]others portable_Portables Other'!AN25</f>
        <v>2.7067621179581192</v>
      </c>
      <c r="AJ25" s="48">
        <f>'[3]others portable_Portables Other'!AO25</f>
        <v>2.8421002238560251</v>
      </c>
      <c r="AK25" s="48">
        <f>'[3]others portable_Portables Other'!AP25</f>
        <v>2.9842052350488264</v>
      </c>
      <c r="AL25" s="48">
        <f>'[3]others portable_Portables Other'!AQ25</f>
        <v>3.1334154968012675</v>
      </c>
      <c r="AM25" s="48">
        <f>'[3]others portable_Portables Other'!AR25</f>
        <v>3.2900862716413308</v>
      </c>
      <c r="AN25" s="48">
        <f>'[3]others portable_Portables Other'!AS25</f>
        <v>3.4545905852233973</v>
      </c>
      <c r="AO25" s="48">
        <f>'[3]others portable_Portables Other'!AT25</f>
        <v>3.6273201144845673</v>
      </c>
      <c r="AP25" s="48">
        <f>'[3]others portable_Portables Other'!AU25</f>
        <v>3.8086861202087956</v>
      </c>
      <c r="AQ25" s="48">
        <f>'[3]others portable_Portables Other'!AV25</f>
        <v>3.9991204262192355</v>
      </c>
      <c r="AR25" s="48">
        <f>'[3]others portable_Portables Other'!AW25</f>
        <v>4.1190940390058124</v>
      </c>
      <c r="AS25" s="48">
        <f>'[3]others portable_Portables Other'!AX25</f>
        <v>4.2426668601759872</v>
      </c>
      <c r="AT25" s="48">
        <f>'[3]others portable_Portables Other'!AY25</f>
        <v>4.3699468659812668</v>
      </c>
      <c r="AU25" s="48">
        <f>'[3]others portable_Portables Other'!AZ25</f>
        <v>4.501045271960705</v>
      </c>
      <c r="AV25" s="48">
        <f>'[3]others portable_Portables Other'!BA25</f>
        <v>4.6360766301195264</v>
      </c>
      <c r="AW25" s="48">
        <f>'[3]others portable_Portables Other'!BB25</f>
        <v>4.775158929023112</v>
      </c>
      <c r="AX25" s="48">
        <f>'[3]others portable_Portables Other'!BC25</f>
        <v>4.918413696893805</v>
      </c>
      <c r="AY25" s="48">
        <f>'[3]others portable_Portables Other'!BD25</f>
        <v>5.0659661078006195</v>
      </c>
      <c r="AZ25" s="48">
        <f>'[3]others portable_Portables Other'!BE25</f>
        <v>5.2179450910346379</v>
      </c>
    </row>
    <row r="26" spans="1:52" x14ac:dyDescent="0.35">
      <c r="A26" s="61" t="s">
        <v>14</v>
      </c>
      <c r="B26" s="23">
        <f t="shared" si="0"/>
        <v>0.93344189331875971</v>
      </c>
      <c r="C26" s="23">
        <f t="shared" si="0"/>
        <v>0.9521107311851349</v>
      </c>
      <c r="D26" s="23">
        <f t="shared" si="0"/>
        <v>0.9711529458088376</v>
      </c>
      <c r="E26" s="23">
        <f t="shared" si="0"/>
        <v>0.99057600472501439</v>
      </c>
      <c r="F26" s="23">
        <f t="shared" si="0"/>
        <v>1.0103875248195147</v>
      </c>
      <c r="G26" s="23">
        <f t="shared" si="0"/>
        <v>1.0305952753159049</v>
      </c>
      <c r="H26" s="23">
        <f t="shared" si="0"/>
        <v>1.051207180822223</v>
      </c>
      <c r="I26" s="23">
        <f t="shared" si="0"/>
        <v>1.0722313244386674</v>
      </c>
      <c r="J26" s="23">
        <f t="shared" si="0"/>
        <v>1.0936759509274407</v>
      </c>
      <c r="K26" s="23">
        <f t="shared" si="0"/>
        <v>1.1155494699459896</v>
      </c>
      <c r="L26" s="23">
        <f t="shared" si="0"/>
        <v>1.1378604593449093</v>
      </c>
      <c r="M26" s="4">
        <f>$M$8*'[2]Eurostat POM Portables GU'!M17</f>
        <v>1.1606176685318075</v>
      </c>
      <c r="N26" s="4">
        <f>$N$8*'[2]Eurostat POM Portables GU'!N17</f>
        <v>2.4510366142699125</v>
      </c>
      <c r="O26" s="4">
        <f>$O$8*'[2]Eurostat POM Portables GU'!O17</f>
        <v>12.572264172061063</v>
      </c>
      <c r="P26" s="4">
        <f>$P$8*'[2]Eurostat POM Portables GU'!P17</f>
        <v>15.635979579216391</v>
      </c>
      <c r="Q26" s="4">
        <f>$Q$8*'[2]Eurostat POM Portables GU'!Q17</f>
        <v>13.295924455256982</v>
      </c>
      <c r="R26" s="4">
        <f>$R$8*'[2]Eurostat POM Portables GU'!R17</f>
        <v>1.3580837945404904</v>
      </c>
      <c r="S26" s="4">
        <f>$S$8*'[2]Eurostat POM Portables GU'!S17</f>
        <v>5.6047971560682051</v>
      </c>
      <c r="T26" s="4">
        <f>$T$8*'[2]Eurostat POM Portables GU'!T17</f>
        <v>4.5740987490327392</v>
      </c>
      <c r="U26" s="4">
        <f>$U$8*'[2]Eurostat POM Portables GU'!U17</f>
        <v>5.2556779968218512</v>
      </c>
      <c r="V26" s="4">
        <f>$V$8*'[2]Eurostat POM Portables GU'!V17</f>
        <v>5.0395626558274333</v>
      </c>
      <c r="W26" s="4">
        <f>$W$8*'[2]Eurostat POM Portables GU'!W17</f>
        <v>14.890982962816345</v>
      </c>
      <c r="X26" s="48">
        <f>'[3]others portable_Portables Other'!AC26</f>
        <v>15.784441940585326</v>
      </c>
      <c r="Y26" s="48">
        <f>'[3]others portable_Portables Other'!AD26</f>
        <v>16.731508457020446</v>
      </c>
      <c r="Z26" s="48">
        <f>'[3]others portable_Portables Other'!AE26</f>
        <v>17.735398964441671</v>
      </c>
      <c r="AA26" s="48">
        <f>'[3]others portable_Portables Other'!AF26</f>
        <v>18.799522902308173</v>
      </c>
      <c r="AB26" s="48">
        <f>'[3]others portable_Portables Other'!AG26</f>
        <v>19.927494276446662</v>
      </c>
      <c r="AC26" s="48">
        <f>'[3]others portable_Portables Other'!AH26</f>
        <v>21.123143933033461</v>
      </c>
      <c r="AD26" s="48">
        <f>'[3]others portable_Portables Other'!AI26</f>
        <v>22.39053256901547</v>
      </c>
      <c r="AE26" s="48">
        <f>'[3]others portable_Portables Other'!AJ26</f>
        <v>23.733964523156398</v>
      </c>
      <c r="AF26" s="48">
        <f>'[3]others portable_Portables Other'!AK26</f>
        <v>25.158002394545782</v>
      </c>
      <c r="AG26" s="48">
        <f>'[3]others portable_Portables Other'!AL26</f>
        <v>26.667482538218529</v>
      </c>
      <c r="AH26" s="48">
        <f>'[3]others portable_Portables Other'!AM26</f>
        <v>28.000856665129454</v>
      </c>
      <c r="AI26" s="48">
        <f>'[3]others portable_Portables Other'!AN26</f>
        <v>29.400899498385925</v>
      </c>
      <c r="AJ26" s="48">
        <f>'[3]others portable_Portables Other'!AO26</f>
        <v>30.870944473305222</v>
      </c>
      <c r="AK26" s="48">
        <f>'[3]others portable_Portables Other'!AP26</f>
        <v>32.414491696970487</v>
      </c>
      <c r="AL26" s="48">
        <f>'[3]others portable_Portables Other'!AQ26</f>
        <v>34.035216281819011</v>
      </c>
      <c r="AM26" s="48">
        <f>'[3]others portable_Portables Other'!AR26</f>
        <v>35.736977095909964</v>
      </c>
      <c r="AN26" s="48">
        <f>'[3]others portable_Portables Other'!AS26</f>
        <v>37.523825950705465</v>
      </c>
      <c r="AO26" s="48">
        <f>'[3]others portable_Portables Other'!AT26</f>
        <v>39.400017248240736</v>
      </c>
      <c r="AP26" s="48">
        <f>'[3]others portable_Portables Other'!AU26</f>
        <v>41.370018110652772</v>
      </c>
      <c r="AQ26" s="48">
        <f>'[3]others portable_Portables Other'!AV26</f>
        <v>43.43851901618541</v>
      </c>
      <c r="AR26" s="48">
        <f>'[3]others portable_Portables Other'!AW26</f>
        <v>44.741674586670975</v>
      </c>
      <c r="AS26" s="48">
        <f>'[3]others portable_Portables Other'!AX26</f>
        <v>46.083924824271101</v>
      </c>
      <c r="AT26" s="48">
        <f>'[3]others portable_Portables Other'!AY26</f>
        <v>47.466442568999234</v>
      </c>
      <c r="AU26" s="48">
        <f>'[3]others portable_Portables Other'!AZ26</f>
        <v>48.890435846069209</v>
      </c>
      <c r="AV26" s="48">
        <f>'[3]others portable_Portables Other'!BA26</f>
        <v>50.357148921451284</v>
      </c>
      <c r="AW26" s="48">
        <f>'[3]others portable_Portables Other'!BB26</f>
        <v>51.867863389094822</v>
      </c>
      <c r="AX26" s="48">
        <f>'[3]others portable_Portables Other'!BC26</f>
        <v>53.423899290767665</v>
      </c>
      <c r="AY26" s="48">
        <f>'[3]others portable_Portables Other'!BD26</f>
        <v>55.026616269490695</v>
      </c>
      <c r="AZ26" s="48">
        <f>'[3]others portable_Portables Other'!BE26</f>
        <v>56.677414757575413</v>
      </c>
    </row>
    <row r="27" spans="1:52" x14ac:dyDescent="0.35">
      <c r="A27" s="61" t="s">
        <v>15</v>
      </c>
      <c r="B27" s="23">
        <f t="shared" si="0"/>
        <v>13.140798577254589</v>
      </c>
      <c r="C27" s="23">
        <f t="shared" si="0"/>
        <v>13.403614548799681</v>
      </c>
      <c r="D27" s="23">
        <f t="shared" si="0"/>
        <v>13.671686839775674</v>
      </c>
      <c r="E27" s="23">
        <f t="shared" si="0"/>
        <v>13.945120576571188</v>
      </c>
      <c r="F27" s="23">
        <f t="shared" si="0"/>
        <v>14.224022988102613</v>
      </c>
      <c r="G27" s="23">
        <f t="shared" si="0"/>
        <v>14.508503447864666</v>
      </c>
      <c r="H27" s="23">
        <f t="shared" si="0"/>
        <v>14.798673516821959</v>
      </c>
      <c r="I27" s="23">
        <f t="shared" si="0"/>
        <v>15.094646987158399</v>
      </c>
      <c r="J27" s="23">
        <f t="shared" si="0"/>
        <v>15.396539926901568</v>
      </c>
      <c r="K27" s="23">
        <f t="shared" si="0"/>
        <v>15.704470725439599</v>
      </c>
      <c r="L27" s="23">
        <f t="shared" si="0"/>
        <v>16.018560139948391</v>
      </c>
      <c r="M27" s="4">
        <f>$M$8*'[2]Eurostat POM Portables GU'!M18</f>
        <v>16.338931342747358</v>
      </c>
      <c r="N27" s="4">
        <f>$N$8*'[2]Eurostat POM Portables GU'!N18</f>
        <v>36.976592134990753</v>
      </c>
      <c r="O27" s="4">
        <f>$O$8*'[2]Eurostat POM Portables GU'!O18</f>
        <v>174.38206877716374</v>
      </c>
      <c r="P27" s="4">
        <f>$P$8*'[2]Eurostat POM Portables GU'!P18</f>
        <v>161.53875047161435</v>
      </c>
      <c r="Q27" s="4">
        <f>$Q$8*'[2]Eurostat POM Portables GU'!Q18</f>
        <v>120.63291911654997</v>
      </c>
      <c r="R27" s="4">
        <f>$R$8*'[2]Eurostat POM Portables GU'!R18</f>
        <v>17.011957292740124</v>
      </c>
      <c r="S27" s="4">
        <f>$S$8*'[2]Eurostat POM Portables GU'!S18</f>
        <v>47.985694781219941</v>
      </c>
      <c r="T27" s="4">
        <f>$T$8*'[2]Eurostat POM Portables GU'!T18</f>
        <v>47.450178986366318</v>
      </c>
      <c r="U27" s="4">
        <f>$U$8*'[2]Eurostat POM Portables GU'!U18</f>
        <v>50.755131185261469</v>
      </c>
      <c r="V27" s="4">
        <f>$V$8*'[2]Eurostat POM Portables GU'!V18</f>
        <v>40.061113621396252</v>
      </c>
      <c r="W27" s="4">
        <f>$W$8*'[2]Eurostat POM Portables GU'!W18</f>
        <v>130.50179976838723</v>
      </c>
      <c r="X27" s="48">
        <f>'[3]others portable_Portables Other'!AC27</f>
        <v>138.33190775449046</v>
      </c>
      <c r="Y27" s="48">
        <f>'[3]others portable_Portables Other'!AD27</f>
        <v>146.6318222197599</v>
      </c>
      <c r="Z27" s="48">
        <f>'[3]others portable_Portables Other'!AE27</f>
        <v>155.4297315529455</v>
      </c>
      <c r="AA27" s="48">
        <f>'[3]others portable_Portables Other'!AF27</f>
        <v>164.75551544612222</v>
      </c>
      <c r="AB27" s="48">
        <f>'[3]others portable_Portables Other'!AG27</f>
        <v>174.64084637288954</v>
      </c>
      <c r="AC27" s="48">
        <f>'[3]others portable_Portables Other'!AH27</f>
        <v>185.11929715526293</v>
      </c>
      <c r="AD27" s="48">
        <f>'[3]others portable_Portables Other'!AI27</f>
        <v>196.22645498457871</v>
      </c>
      <c r="AE27" s="48">
        <f>'[3]others portable_Portables Other'!AJ27</f>
        <v>208.00004228365344</v>
      </c>
      <c r="AF27" s="48">
        <f>'[3]others portable_Portables Other'!AK27</f>
        <v>220.48004482067265</v>
      </c>
      <c r="AG27" s="48">
        <f>'[3]others portable_Portables Other'!AL27</f>
        <v>233.708847509913</v>
      </c>
      <c r="AH27" s="48">
        <f>'[3]others portable_Portables Other'!AM27</f>
        <v>245.39428988540865</v>
      </c>
      <c r="AI27" s="48">
        <f>'[3]others portable_Portables Other'!AN27</f>
        <v>257.66400437967911</v>
      </c>
      <c r="AJ27" s="48">
        <f>'[3]others portable_Portables Other'!AO27</f>
        <v>270.54720459866309</v>
      </c>
      <c r="AK27" s="48">
        <f>'[3]others portable_Portables Other'!AP27</f>
        <v>284.07456482859624</v>
      </c>
      <c r="AL27" s="48">
        <f>'[3]others portable_Portables Other'!AQ27</f>
        <v>298.27829307002605</v>
      </c>
      <c r="AM27" s="48">
        <f>'[3]others portable_Portables Other'!AR27</f>
        <v>313.19220772352736</v>
      </c>
      <c r="AN27" s="48">
        <f>'[3]others portable_Portables Other'!AS27</f>
        <v>328.85181810970374</v>
      </c>
      <c r="AO27" s="48">
        <f>'[3]others portable_Portables Other'!AT27</f>
        <v>345.29440901518893</v>
      </c>
      <c r="AP27" s="48">
        <f>'[3]others portable_Portables Other'!AU27</f>
        <v>362.55912946594839</v>
      </c>
      <c r="AQ27" s="48">
        <f>'[3]others portable_Portables Other'!AV27</f>
        <v>380.68708593924583</v>
      </c>
      <c r="AR27" s="48">
        <f>'[3]others portable_Portables Other'!AW27</f>
        <v>392.10769851742322</v>
      </c>
      <c r="AS27" s="48">
        <f>'[3]others portable_Portables Other'!AX27</f>
        <v>403.87092947294593</v>
      </c>
      <c r="AT27" s="48">
        <f>'[3]others portable_Portables Other'!AY27</f>
        <v>415.98705735713429</v>
      </c>
      <c r="AU27" s="48">
        <f>'[3]others portable_Portables Other'!AZ27</f>
        <v>428.46666907784834</v>
      </c>
      <c r="AV27" s="48">
        <f>'[3]others portable_Portables Other'!BA27</f>
        <v>441.32066915018379</v>
      </c>
      <c r="AW27" s="48">
        <f>'[3]others portable_Portables Other'!BB27</f>
        <v>454.56028922468931</v>
      </c>
      <c r="AX27" s="48">
        <f>'[3]others portable_Portables Other'!BC27</f>
        <v>468.19709790142997</v>
      </c>
      <c r="AY27" s="48">
        <f>'[3]others portable_Portables Other'!BD27</f>
        <v>482.24301083847286</v>
      </c>
      <c r="AZ27" s="48">
        <f>'[3]others portable_Portables Other'!BE27</f>
        <v>496.71030116362704</v>
      </c>
    </row>
    <row r="28" spans="1:52" x14ac:dyDescent="0.35">
      <c r="A28" s="61" t="s">
        <v>16</v>
      </c>
      <c r="B28" s="23">
        <f t="shared" ref="B28:L42" si="1">C28/1.02</f>
        <v>0.51263016634284864</v>
      </c>
      <c r="C28" s="23">
        <f t="shared" si="1"/>
        <v>0.52288276966970559</v>
      </c>
      <c r="D28" s="23">
        <f t="shared" si="1"/>
        <v>0.53334042506309975</v>
      </c>
      <c r="E28" s="23">
        <f t="shared" si="1"/>
        <v>0.54400723356436176</v>
      </c>
      <c r="F28" s="23">
        <f t="shared" si="1"/>
        <v>0.55488737823564904</v>
      </c>
      <c r="G28" s="23">
        <f t="shared" si="1"/>
        <v>0.56598512580036209</v>
      </c>
      <c r="H28" s="23">
        <f t="shared" si="1"/>
        <v>0.57730482831636931</v>
      </c>
      <c r="I28" s="23">
        <f t="shared" si="1"/>
        <v>0.58885092488269675</v>
      </c>
      <c r="J28" s="23">
        <f t="shared" si="1"/>
        <v>0.60062794338035064</v>
      </c>
      <c r="K28" s="23">
        <f t="shared" si="1"/>
        <v>0.61264050224795763</v>
      </c>
      <c r="L28" s="23">
        <f t="shared" si="1"/>
        <v>0.62489331229291678</v>
      </c>
      <c r="M28" s="4">
        <f>$M$8*'[2]Eurostat POM Portables GU'!M19</f>
        <v>0.63739117853877514</v>
      </c>
      <c r="N28" s="4">
        <f>$N$8*'[2]Eurostat POM Portables GU'!N19</f>
        <v>0.60622012456836238</v>
      </c>
      <c r="O28" s="4">
        <f>$O$8*'[2]Eurostat POM Portables GU'!O19</f>
        <v>3.3882153363483667</v>
      </c>
      <c r="P28" s="4">
        <f>$P$8*'[2]Eurostat POM Portables GU'!P19</f>
        <v>3.6361082570847381</v>
      </c>
      <c r="Q28" s="4">
        <f>$Q$8*'[2]Eurostat POM Portables GU'!Q19</f>
        <v>2.5036870131825157</v>
      </c>
      <c r="R28" s="4">
        <f>$R$8*'[2]Eurostat POM Portables GU'!R19</f>
        <v>0.29354139317453398</v>
      </c>
      <c r="S28" s="4">
        <f>$S$8*'[2]Eurostat POM Portables GU'!S19</f>
        <v>0.91940035675660037</v>
      </c>
      <c r="T28" s="4">
        <f>$T$8*'[2]Eurostat POM Portables GU'!T19</f>
        <v>1.0217177690727912</v>
      </c>
      <c r="U28" s="4">
        <f>$U$8*'[2]Eurostat POM Portables GU'!U19</f>
        <v>1.1141978212099568</v>
      </c>
      <c r="V28" s="4">
        <f>$V$8*'[2]Eurostat POM Portables GU'!V19</f>
        <v>0.94819165121415427</v>
      </c>
      <c r="W28" s="4">
        <f>$W$8*'[2]Eurostat POM Portables GU'!W19</f>
        <v>2.7628178032310933</v>
      </c>
      <c r="X28" s="48">
        <f>'[3]others portable_Portables Other'!AC28</f>
        <v>2.928586871424959</v>
      </c>
      <c r="Y28" s="48">
        <f>'[3]others portable_Portables Other'!AD28</f>
        <v>3.1043020837104565</v>
      </c>
      <c r="Z28" s="48">
        <f>'[3]others portable_Portables Other'!AE28</f>
        <v>3.2905602087330839</v>
      </c>
      <c r="AA28" s="48">
        <f>'[3]others portable_Portables Other'!AF28</f>
        <v>3.4879938212570689</v>
      </c>
      <c r="AB28" s="48">
        <f>'[3]others portable_Portables Other'!AG28</f>
        <v>3.6972734505324931</v>
      </c>
      <c r="AC28" s="48">
        <f>'[3]others portable_Portables Other'!AH28</f>
        <v>3.9191098575644427</v>
      </c>
      <c r="AD28" s="48">
        <f>'[3]others portable_Portables Other'!AI28</f>
        <v>4.1542564490183089</v>
      </c>
      <c r="AE28" s="48">
        <f>'[3]others portable_Portables Other'!AJ28</f>
        <v>4.4035118359594074</v>
      </c>
      <c r="AF28" s="48">
        <f>'[3]others portable_Portables Other'!AK28</f>
        <v>4.6677225461169716</v>
      </c>
      <c r="AG28" s="48">
        <f>'[3]others portable_Portables Other'!AL28</f>
        <v>4.94778589888399</v>
      </c>
      <c r="AH28" s="48">
        <f>'[3]others portable_Portables Other'!AM28</f>
        <v>5.1951751938281898</v>
      </c>
      <c r="AI28" s="48">
        <f>'[3]others portable_Portables Other'!AN28</f>
        <v>5.4549339535195998</v>
      </c>
      <c r="AJ28" s="48">
        <f>'[3]others portable_Portables Other'!AO28</f>
        <v>5.7276806511955796</v>
      </c>
      <c r="AK28" s="48">
        <f>'[3]others portable_Portables Other'!AP28</f>
        <v>6.0140646837553584</v>
      </c>
      <c r="AL28" s="48">
        <f>'[3]others portable_Portables Other'!AQ28</f>
        <v>6.3147679179431266</v>
      </c>
      <c r="AM28" s="48">
        <f>'[3]others portable_Portables Other'!AR28</f>
        <v>6.6305063138402831</v>
      </c>
      <c r="AN28" s="48">
        <f>'[3]others portable_Portables Other'!AS28</f>
        <v>6.962031629532297</v>
      </c>
      <c r="AO28" s="48">
        <f>'[3]others portable_Portables Other'!AT28</f>
        <v>7.3101332110089121</v>
      </c>
      <c r="AP28" s="48">
        <f>'[3]others portable_Portables Other'!AU28</f>
        <v>7.6756398715593575</v>
      </c>
      <c r="AQ28" s="48">
        <f>'[3]others portable_Portables Other'!AV28</f>
        <v>8.0594218651373257</v>
      </c>
      <c r="AR28" s="48">
        <f>'[3]others portable_Portables Other'!AW28</f>
        <v>8.3012045210914458</v>
      </c>
      <c r="AS28" s="48">
        <f>'[3]others portable_Portables Other'!AX28</f>
        <v>8.5502406567241884</v>
      </c>
      <c r="AT28" s="48">
        <f>'[3]others portable_Portables Other'!AY28</f>
        <v>8.8067478764259146</v>
      </c>
      <c r="AU28" s="48">
        <f>'[3]others portable_Portables Other'!AZ28</f>
        <v>9.0709503127186917</v>
      </c>
      <c r="AV28" s="48">
        <f>'[3]others portable_Portables Other'!BA28</f>
        <v>9.343078822100253</v>
      </c>
      <c r="AW28" s="48">
        <f>'[3]others portable_Portables Other'!BB28</f>
        <v>9.6233711867632614</v>
      </c>
      <c r="AX28" s="48">
        <f>'[3]others portable_Portables Other'!BC28</f>
        <v>9.9120723223661589</v>
      </c>
      <c r="AY28" s="48">
        <f>'[3]others portable_Portables Other'!BD28</f>
        <v>10.209434492037143</v>
      </c>
      <c r="AZ28" s="48">
        <f>'[3]others portable_Portables Other'!BE28</f>
        <v>10.515717526798257</v>
      </c>
    </row>
    <row r="29" spans="1:52" x14ac:dyDescent="0.35">
      <c r="A29" s="61" t="s">
        <v>17</v>
      </c>
      <c r="B29" s="23">
        <f t="shared" si="1"/>
        <v>0.31530384564393205</v>
      </c>
      <c r="C29" s="23">
        <f t="shared" si="1"/>
        <v>0.3216099225568107</v>
      </c>
      <c r="D29" s="23">
        <f t="shared" si="1"/>
        <v>0.32804212100794694</v>
      </c>
      <c r="E29" s="23">
        <f t="shared" si="1"/>
        <v>0.33460296342810586</v>
      </c>
      <c r="F29" s="23">
        <f t="shared" si="1"/>
        <v>0.341295022696668</v>
      </c>
      <c r="G29" s="23">
        <f t="shared" si="1"/>
        <v>0.34812092315060139</v>
      </c>
      <c r="H29" s="23">
        <f t="shared" si="1"/>
        <v>0.35508334161361343</v>
      </c>
      <c r="I29" s="23">
        <f t="shared" si="1"/>
        <v>0.36218500844588569</v>
      </c>
      <c r="J29" s="23">
        <f t="shared" si="1"/>
        <v>0.36942870861480342</v>
      </c>
      <c r="K29" s="23">
        <f t="shared" si="1"/>
        <v>0.37681728278709947</v>
      </c>
      <c r="L29" s="23">
        <f t="shared" si="1"/>
        <v>0.38435362844284149</v>
      </c>
      <c r="M29" s="4">
        <f>$M$8*'[2]Eurostat POM Portables GU'!M20</f>
        <v>0.3920407010116983</v>
      </c>
      <c r="N29" s="4">
        <f>$N$8*'[2]Eurostat POM Portables GU'!N20</f>
        <v>0.982424721865234</v>
      </c>
      <c r="O29" s="4">
        <f>$O$8*'[2]Eurostat POM Portables GU'!O20</f>
        <v>5.2247517076782772</v>
      </c>
      <c r="P29" s="4">
        <f>$P$8*'[2]Eurostat POM Portables GU'!P20</f>
        <v>4.5106316195720959</v>
      </c>
      <c r="Q29" s="4">
        <f>$Q$8*'[2]Eurostat POM Portables GU'!Q20</f>
        <v>3.4432902694421617</v>
      </c>
      <c r="R29" s="4">
        <f>$R$8*'[2]Eurostat POM Portables GU'!R20</f>
        <v>0.5159455566944916</v>
      </c>
      <c r="S29" s="4">
        <f>$S$8*'[2]Eurostat POM Portables GU'!S20</f>
        <v>1.5581598438102926</v>
      </c>
      <c r="T29" s="4">
        <f>$T$8*'[2]Eurostat POM Portables GU'!T20</f>
        <v>1.4921391534740627</v>
      </c>
      <c r="U29" s="4">
        <f>$U$8*'[2]Eurostat POM Portables GU'!U20</f>
        <v>1.4785586394547414</v>
      </c>
      <c r="V29" s="4">
        <f>$V$8*'[2]Eurostat POM Portables GU'!V20</f>
        <v>1.1621006745162328</v>
      </c>
      <c r="W29" s="4">
        <f>$W$8*'[2]Eurostat POM Portables GU'!W20</f>
        <v>3.7469456046739937</v>
      </c>
      <c r="X29" s="48">
        <f>'[3]others portable_Portables Other'!AC29</f>
        <v>3.9717623409544331</v>
      </c>
      <c r="Y29" s="48">
        <f>'[3]others portable_Portables Other'!AD29</f>
        <v>4.2100680814116993</v>
      </c>
      <c r="Z29" s="48">
        <f>'[3]others portable_Portables Other'!AE29</f>
        <v>4.4626721662964011</v>
      </c>
      <c r="AA29" s="48">
        <f>'[3]others portable_Portables Other'!AF29</f>
        <v>4.7304324962741848</v>
      </c>
      <c r="AB29" s="48">
        <f>'[3]others portable_Portables Other'!AG29</f>
        <v>5.0142584460506363</v>
      </c>
      <c r="AC29" s="48">
        <f>'[3]others portable_Portables Other'!AH29</f>
        <v>5.3151139528136744</v>
      </c>
      <c r="AD29" s="48">
        <f>'[3]others portable_Portables Other'!AI29</f>
        <v>5.634020789982495</v>
      </c>
      <c r="AE29" s="48">
        <f>'[3]others portable_Portables Other'!AJ29</f>
        <v>5.9720620373814448</v>
      </c>
      <c r="AF29" s="48">
        <f>'[3]others portable_Portables Other'!AK29</f>
        <v>6.3303857596243311</v>
      </c>
      <c r="AG29" s="48">
        <f>'[3]others portable_Portables Other'!AL29</f>
        <v>6.7102089052017906</v>
      </c>
      <c r="AH29" s="48">
        <f>'[3]others portable_Portables Other'!AM29</f>
        <v>7.04571935046188</v>
      </c>
      <c r="AI29" s="48">
        <f>'[3]others portable_Portables Other'!AN29</f>
        <v>7.3980053179849738</v>
      </c>
      <c r="AJ29" s="48">
        <f>'[3]others portable_Portables Other'!AO29</f>
        <v>7.7679055838842226</v>
      </c>
      <c r="AK29" s="48">
        <f>'[3]others portable_Portables Other'!AP29</f>
        <v>8.1563008630784335</v>
      </c>
      <c r="AL29" s="48">
        <f>'[3]others portable_Portables Other'!AQ29</f>
        <v>8.564115906232356</v>
      </c>
      <c r="AM29" s="48">
        <f>'[3]others portable_Portables Other'!AR29</f>
        <v>8.9923217015439736</v>
      </c>
      <c r="AN29" s="48">
        <f>'[3]others portable_Portables Other'!AS29</f>
        <v>9.4419377866211729</v>
      </c>
      <c r="AO29" s="48">
        <f>'[3]others portable_Portables Other'!AT29</f>
        <v>9.914034675952232</v>
      </c>
      <c r="AP29" s="48">
        <f>'[3]others portable_Portables Other'!AU29</f>
        <v>10.409736409749843</v>
      </c>
      <c r="AQ29" s="48">
        <f>'[3]others portable_Portables Other'!AV29</f>
        <v>10.930223230237335</v>
      </c>
      <c r="AR29" s="48">
        <f>'[3]others portable_Portables Other'!AW29</f>
        <v>11.258129927144456</v>
      </c>
      <c r="AS29" s="48">
        <f>'[3]others portable_Portables Other'!AX29</f>
        <v>11.59587382495879</v>
      </c>
      <c r="AT29" s="48">
        <f>'[3]others portable_Portables Other'!AY29</f>
        <v>11.943750039707554</v>
      </c>
      <c r="AU29" s="48">
        <f>'[3]others portable_Portables Other'!AZ29</f>
        <v>12.302062540898781</v>
      </c>
      <c r="AV29" s="48">
        <f>'[3]others portable_Portables Other'!BA29</f>
        <v>12.671124417125744</v>
      </c>
      <c r="AW29" s="48">
        <f>'[3]others portable_Portables Other'!BB29</f>
        <v>13.051258149639517</v>
      </c>
      <c r="AX29" s="48">
        <f>'[3]others portable_Portables Other'!BC29</f>
        <v>13.442795894128704</v>
      </c>
      <c r="AY29" s="48">
        <f>'[3]others portable_Portables Other'!BD29</f>
        <v>13.846079770952565</v>
      </c>
      <c r="AZ29" s="48">
        <f>'[3]others portable_Portables Other'!BE29</f>
        <v>14.261462164081141</v>
      </c>
    </row>
    <row r="30" spans="1:52" x14ac:dyDescent="0.35">
      <c r="A30" s="61" t="s">
        <v>18</v>
      </c>
      <c r="B30" s="23">
        <f t="shared" si="1"/>
        <v>8.13644245750655E-2</v>
      </c>
      <c r="C30" s="23">
        <f t="shared" si="1"/>
        <v>8.2991713066566816E-2</v>
      </c>
      <c r="D30" s="23">
        <f t="shared" si="1"/>
        <v>8.4651547327898161E-2</v>
      </c>
      <c r="E30" s="23">
        <f t="shared" si="1"/>
        <v>8.634457827445613E-2</v>
      </c>
      <c r="F30" s="23">
        <f t="shared" si="1"/>
        <v>8.8071469839945252E-2</v>
      </c>
      <c r="G30" s="23">
        <f t="shared" si="1"/>
        <v>8.983289923674416E-2</v>
      </c>
      <c r="H30" s="23">
        <f t="shared" si="1"/>
        <v>9.1629557221479044E-2</v>
      </c>
      <c r="I30" s="23">
        <f t="shared" si="1"/>
        <v>9.3462148365908632E-2</v>
      </c>
      <c r="J30" s="23">
        <f t="shared" si="1"/>
        <v>9.5331391333226809E-2</v>
      </c>
      <c r="K30" s="23">
        <f t="shared" si="1"/>
        <v>9.7238019159891345E-2</v>
      </c>
      <c r="L30" s="23">
        <f t="shared" si="1"/>
        <v>9.918277954308917E-2</v>
      </c>
      <c r="M30" s="4">
        <f>$M$8*'[2]Eurostat POM Portables GU'!M21</f>
        <v>0.10116643513395096</v>
      </c>
      <c r="N30" s="4">
        <f>$N$8*'[2]Eurostat POM Portables GU'!N21</f>
        <v>0.23455076160132887</v>
      </c>
      <c r="O30" s="4">
        <f>$O$8*'[2]Eurostat POM Portables GU'!O21</f>
        <v>1.2000498890843438</v>
      </c>
      <c r="P30" s="4">
        <f>$P$8*'[2]Eurostat POM Portables GU'!P21</f>
        <v>1.1250277989923989</v>
      </c>
      <c r="Q30" s="4">
        <f>$Q$8*'[2]Eurostat POM Portables GU'!Q21</f>
        <v>0.84605956578031849</v>
      </c>
      <c r="R30" s="4">
        <f>$R$8*'[2]Eurostat POM Portables GU'!R21</f>
        <v>0.13525631287090251</v>
      </c>
      <c r="S30" s="4">
        <f>$S$8*'[2]Eurostat POM Portables GU'!S21</f>
        <v>0.37665136354721135</v>
      </c>
      <c r="T30" s="4">
        <f>$T$8*'[2]Eurostat POM Portables GU'!T21</f>
        <v>0.40924085554274076</v>
      </c>
      <c r="U30" s="4">
        <f>$U$8*'[2]Eurostat POM Portables GU'!U21</f>
        <v>0.47707204622313876</v>
      </c>
      <c r="V30" s="4">
        <f>$V$8*'[2]Eurostat POM Portables GU'!V21</f>
        <v>0.37124635991277449</v>
      </c>
      <c r="W30" s="4">
        <f>$W$8*'[2]Eurostat POM Portables GU'!W21</f>
        <v>1.1494935385706009</v>
      </c>
      <c r="X30" s="48">
        <f>'[3]others portable_Portables Other'!AC30</f>
        <v>1.2184631508848369</v>
      </c>
      <c r="Y30" s="48">
        <f>'[3]others portable_Portables Other'!AD30</f>
        <v>1.2915709399379272</v>
      </c>
      <c r="Z30" s="48">
        <f>'[3]others portable_Portables Other'!AE30</f>
        <v>1.3690651963342029</v>
      </c>
      <c r="AA30" s="48">
        <f>'[3]others portable_Portables Other'!AF30</f>
        <v>1.4512091081142551</v>
      </c>
      <c r="AB30" s="48">
        <f>'[3]others portable_Portables Other'!AG30</f>
        <v>1.5382816546011104</v>
      </c>
      <c r="AC30" s="48">
        <f>'[3]others portable_Portables Other'!AH30</f>
        <v>1.6305785538771771</v>
      </c>
      <c r="AD30" s="48">
        <f>'[3]others portable_Portables Other'!AI30</f>
        <v>1.7284132671098078</v>
      </c>
      <c r="AE30" s="48">
        <f>'[3]others portable_Portables Other'!AJ30</f>
        <v>1.8321180631363962</v>
      </c>
      <c r="AF30" s="48">
        <f>'[3]others portable_Portables Other'!AK30</f>
        <v>1.9420451469245801</v>
      </c>
      <c r="AG30" s="48">
        <f>'[3]others portable_Portables Other'!AL30</f>
        <v>2.0585678557400549</v>
      </c>
      <c r="AH30" s="48">
        <f>'[3]others portable_Portables Other'!AM30</f>
        <v>2.1614962485270577</v>
      </c>
      <c r="AI30" s="48">
        <f>'[3]others portable_Portables Other'!AN30</f>
        <v>2.2695710609534108</v>
      </c>
      <c r="AJ30" s="48">
        <f>'[3]others portable_Portables Other'!AO30</f>
        <v>2.3830496140010813</v>
      </c>
      <c r="AK30" s="48">
        <f>'[3]others portable_Portables Other'!AP30</f>
        <v>2.5022020947011354</v>
      </c>
      <c r="AL30" s="48">
        <f>'[3]others portable_Portables Other'!AQ30</f>
        <v>2.6273121994361923</v>
      </c>
      <c r="AM30" s="48">
        <f>'[3]others portable_Portables Other'!AR30</f>
        <v>2.758677809408002</v>
      </c>
      <c r="AN30" s="48">
        <f>'[3]others portable_Portables Other'!AS30</f>
        <v>2.8966116998784019</v>
      </c>
      <c r="AO30" s="48">
        <f>'[3]others portable_Portables Other'!AT30</f>
        <v>3.0414422848723222</v>
      </c>
      <c r="AP30" s="48">
        <f>'[3]others portable_Portables Other'!AU30</f>
        <v>3.193514399115938</v>
      </c>
      <c r="AQ30" s="48">
        <f>'[3]others portable_Portables Other'!AV30</f>
        <v>3.3531901190717348</v>
      </c>
      <c r="AR30" s="48">
        <f>'[3]others portable_Portables Other'!AW30</f>
        <v>3.4537858226438867</v>
      </c>
      <c r="AS30" s="48">
        <f>'[3]others portable_Portables Other'!AX30</f>
        <v>3.5573993973232034</v>
      </c>
      <c r="AT30" s="48">
        <f>'[3]others portable_Portables Other'!AY30</f>
        <v>3.6641213792428995</v>
      </c>
      <c r="AU30" s="48">
        <f>'[3]others portable_Portables Other'!AZ30</f>
        <v>3.7740450206201865</v>
      </c>
      <c r="AV30" s="48">
        <f>'[3]others portable_Portables Other'!BA30</f>
        <v>3.887266371238792</v>
      </c>
      <c r="AW30" s="48">
        <f>'[3]others portable_Portables Other'!BB30</f>
        <v>4.0038843623759561</v>
      </c>
      <c r="AX30" s="48">
        <f>'[3]others portable_Portables Other'!BC30</f>
        <v>4.124000893247235</v>
      </c>
      <c r="AY30" s="48">
        <f>'[3]others portable_Portables Other'!BD30</f>
        <v>4.2477209200446522</v>
      </c>
      <c r="AZ30" s="48">
        <f>'[3]others portable_Portables Other'!BE30</f>
        <v>4.3751525476459916</v>
      </c>
    </row>
    <row r="31" spans="1:52" x14ac:dyDescent="0.35">
      <c r="A31" s="61" t="s">
        <v>19</v>
      </c>
      <c r="B31" s="23">
        <f t="shared" si="1"/>
        <v>3.8883020851937435E-2</v>
      </c>
      <c r="C31" s="23">
        <f t="shared" si="1"/>
        <v>3.9660681268976185E-2</v>
      </c>
      <c r="D31" s="23">
        <f t="shared" si="1"/>
        <v>4.0453894894355712E-2</v>
      </c>
      <c r="E31" s="23">
        <f t="shared" si="1"/>
        <v>4.1262972792242829E-2</v>
      </c>
      <c r="F31" s="23">
        <f t="shared" si="1"/>
        <v>4.2088232248087686E-2</v>
      </c>
      <c r="G31" s="23">
        <f t="shared" si="1"/>
        <v>4.2929996893049438E-2</v>
      </c>
      <c r="H31" s="23">
        <f t="shared" si="1"/>
        <v>4.378859683091043E-2</v>
      </c>
      <c r="I31" s="23">
        <f t="shared" si="1"/>
        <v>4.4664368767528641E-2</v>
      </c>
      <c r="J31" s="23">
        <f t="shared" si="1"/>
        <v>4.5557656142879217E-2</v>
      </c>
      <c r="K31" s="23">
        <f t="shared" si="1"/>
        <v>4.64688092657368E-2</v>
      </c>
      <c r="L31" s="23">
        <f t="shared" si="1"/>
        <v>4.7398185451051539E-2</v>
      </c>
      <c r="M31" s="4">
        <f>$M$8*'[2]Eurostat POM Portables GU'!M22</f>
        <v>4.8346149160072571E-2</v>
      </c>
      <c r="N31" s="4">
        <f>$N$8*'[2]Eurostat POM Portables GU'!N22</f>
        <v>0.1309941505740255</v>
      </c>
      <c r="O31" s="4">
        <f>$O$8*'[2]Eurostat POM Portables GU'!O22</f>
        <v>0.58477787037636875</v>
      </c>
      <c r="P31" s="4">
        <f>$P$8*'[2]Eurostat POM Portables GU'!P22</f>
        <v>0.67495092674792379</v>
      </c>
      <c r="Q31" s="4">
        <f>$Q$8*'[2]Eurostat POM Portables GU'!Q22</f>
        <v>0.3635104762277066</v>
      </c>
      <c r="R31" s="4">
        <f>$R$8*'[2]Eurostat POM Portables GU'!R22</f>
        <v>5.2032275461561472E-2</v>
      </c>
      <c r="S31" s="4">
        <f>$S$8*'[2]Eurostat POM Portables GU'!S22</f>
        <v>0.1276117306346522</v>
      </c>
      <c r="T31" s="4">
        <f>$T$8*'[2]Eurostat POM Portables GU'!T22</f>
        <v>0.15762626254158196</v>
      </c>
      <c r="U31" s="4">
        <f>$U$8*'[2]Eurostat POM Portables GU'!U22</f>
        <v>0.33828745095822566</v>
      </c>
      <c r="V31" s="4">
        <f>$V$8*'[2]Eurostat POM Portables GU'!V22</f>
        <v>0.20354541802114187</v>
      </c>
      <c r="W31" s="4">
        <f>$W$8*'[2]Eurostat POM Portables GU'!W22</f>
        <v>0.6614629485108019</v>
      </c>
      <c r="X31" s="48">
        <f>'[3]others portable_Portables Other'!AC31</f>
        <v>0.70115072542144996</v>
      </c>
      <c r="Y31" s="48">
        <f>'[3]others portable_Portables Other'!AD31</f>
        <v>0.74321976894673691</v>
      </c>
      <c r="Z31" s="48">
        <f>'[3]others portable_Portables Other'!AE31</f>
        <v>0.7878129550835411</v>
      </c>
      <c r="AA31" s="48">
        <f>'[3]others portable_Portables Other'!AF31</f>
        <v>0.83508173238855354</v>
      </c>
      <c r="AB31" s="48">
        <f>'[3]others portable_Portables Other'!AG31</f>
        <v>0.88518663633186678</v>
      </c>
      <c r="AC31" s="48">
        <f>'[3]others portable_Portables Other'!AH31</f>
        <v>0.93829783451177884</v>
      </c>
      <c r="AD31" s="48">
        <f>'[3]others portable_Portables Other'!AI31</f>
        <v>0.99459570458248558</v>
      </c>
      <c r="AE31" s="48">
        <f>'[3]others portable_Portables Other'!AJ31</f>
        <v>1.0542714468574348</v>
      </c>
      <c r="AF31" s="48">
        <f>'[3]others portable_Portables Other'!AK31</f>
        <v>1.1175277336688809</v>
      </c>
      <c r="AG31" s="48">
        <f>'[3]others portable_Portables Other'!AL31</f>
        <v>1.1845793976890138</v>
      </c>
      <c r="AH31" s="48">
        <f>'[3]others portable_Portables Other'!AM31</f>
        <v>1.2438083675734644</v>
      </c>
      <c r="AI31" s="48">
        <f>'[3]others portable_Portables Other'!AN31</f>
        <v>1.3059987859521376</v>
      </c>
      <c r="AJ31" s="48">
        <f>'[3]others portable_Portables Other'!AO31</f>
        <v>1.3712987252497444</v>
      </c>
      <c r="AK31" s="48">
        <f>'[3]others portable_Portables Other'!AP31</f>
        <v>1.4398636615122316</v>
      </c>
      <c r="AL31" s="48">
        <f>'[3]others portable_Portables Other'!AQ31</f>
        <v>1.5118568445878431</v>
      </c>
      <c r="AM31" s="48">
        <f>'[3]others portable_Portables Other'!AR31</f>
        <v>1.5874496868172352</v>
      </c>
      <c r="AN31" s="48">
        <f>'[3]others portable_Portables Other'!AS31</f>
        <v>1.6668221711580971</v>
      </c>
      <c r="AO31" s="48">
        <f>'[3]others portable_Portables Other'!AT31</f>
        <v>1.7501632797160018</v>
      </c>
      <c r="AP31" s="48">
        <f>'[3]others portable_Portables Other'!AU31</f>
        <v>1.837671443701802</v>
      </c>
      <c r="AQ31" s="48">
        <f>'[3]others portable_Portables Other'!AV31</f>
        <v>1.9295550158868922</v>
      </c>
      <c r="AR31" s="48">
        <f>'[3]others portable_Portables Other'!AW31</f>
        <v>1.9874416663634988</v>
      </c>
      <c r="AS31" s="48">
        <f>'[3]others portable_Portables Other'!AX31</f>
        <v>2.0470649163544037</v>
      </c>
      <c r="AT31" s="48">
        <f>'[3]others portable_Portables Other'!AY31</f>
        <v>2.108476863845036</v>
      </c>
      <c r="AU31" s="48">
        <f>'[3]others portable_Portables Other'!AZ31</f>
        <v>2.1717311697603869</v>
      </c>
      <c r="AV31" s="48">
        <f>'[3]others portable_Portables Other'!BA31</f>
        <v>2.2368831048531987</v>
      </c>
      <c r="AW31" s="48">
        <f>'[3]others portable_Portables Other'!BB31</f>
        <v>2.3039895979987945</v>
      </c>
      <c r="AX31" s="48">
        <f>'[3]others portable_Portables Other'!BC31</f>
        <v>2.3731092859387584</v>
      </c>
      <c r="AY31" s="48">
        <f>'[3]others portable_Portables Other'!BD31</f>
        <v>2.4443025645169212</v>
      </c>
      <c r="AZ31" s="48">
        <f>'[3]others portable_Portables Other'!BE31</f>
        <v>2.5176316414524287</v>
      </c>
    </row>
    <row r="32" spans="1:52" x14ac:dyDescent="0.35">
      <c r="A32" s="61" t="s">
        <v>20</v>
      </c>
      <c r="B32" s="23">
        <f t="shared" si="1"/>
        <v>3.4634435135209891</v>
      </c>
      <c r="C32" s="23">
        <f t="shared" si="1"/>
        <v>3.5327123837914089</v>
      </c>
      <c r="D32" s="23">
        <f t="shared" si="1"/>
        <v>3.603366631467237</v>
      </c>
      <c r="E32" s="23">
        <f t="shared" si="1"/>
        <v>3.6754339640965816</v>
      </c>
      <c r="F32" s="23">
        <f t="shared" si="1"/>
        <v>3.7489426433785131</v>
      </c>
      <c r="G32" s="23">
        <f t="shared" si="1"/>
        <v>3.8239214962460832</v>
      </c>
      <c r="H32" s="23">
        <f t="shared" si="1"/>
        <v>3.9003999261710049</v>
      </c>
      <c r="I32" s="23">
        <f t="shared" si="1"/>
        <v>3.9784079246944253</v>
      </c>
      <c r="J32" s="23">
        <f t="shared" si="1"/>
        <v>4.057976083188314</v>
      </c>
      <c r="K32" s="23">
        <f t="shared" si="1"/>
        <v>4.13913560485208</v>
      </c>
      <c r="L32" s="23">
        <f t="shared" si="1"/>
        <v>4.2219183169491217</v>
      </c>
      <c r="M32" s="4">
        <f>$M$8*'[2]Eurostat POM Portables GU'!M23</f>
        <v>4.3063566832881044</v>
      </c>
      <c r="N32" s="4">
        <f>$N$8*'[2]Eurostat POM Portables GU'!N23</f>
        <v>9.326753369728257</v>
      </c>
      <c r="O32" s="4">
        <f>$O$8*'[2]Eurostat POM Portables GU'!O23</f>
        <v>44.6174079791545</v>
      </c>
      <c r="P32" s="4">
        <f>$P$8*'[2]Eurostat POM Portables GU'!P23</f>
        <v>50.609812792779046</v>
      </c>
      <c r="Q32" s="4">
        <f>$Q$8*'[2]Eurostat POM Portables GU'!Q23</f>
        <v>40.827292999864206</v>
      </c>
      <c r="R32" s="4">
        <f>$R$8*'[2]Eurostat POM Portables GU'!R23</f>
        <v>6.0589307500332854</v>
      </c>
      <c r="S32" s="4">
        <f>$S$8*'[2]Eurostat POM Portables GU'!S23</f>
        <v>16.658858815595568</v>
      </c>
      <c r="T32" s="4">
        <f>$T$8*'[2]Eurostat POM Portables GU'!T23</f>
        <v>18.758504287557209</v>
      </c>
      <c r="U32" s="4">
        <f>$U$8*'[2]Eurostat POM Portables GU'!U23</f>
        <v>17.269219524440892</v>
      </c>
      <c r="V32" s="4">
        <f>$V$8*'[2]Eurostat POM Portables GU'!V23</f>
        <v>15.489934327395074</v>
      </c>
      <c r="W32" s="4">
        <f>$W$8*'[2]Eurostat POM Portables GU'!W23</f>
        <v>47.879430864461767</v>
      </c>
      <c r="X32" s="48">
        <f>'[3]others portable_Portables Other'!AC32</f>
        <v>50.752196716329472</v>
      </c>
      <c r="Y32" s="48">
        <f>'[3]others portable_Portables Other'!AD32</f>
        <v>53.797328519309239</v>
      </c>
      <c r="Z32" s="48">
        <f>'[3]others portable_Portables Other'!AE32</f>
        <v>57.025168230467791</v>
      </c>
      <c r="AA32" s="48">
        <f>'[3]others portable_Portables Other'!AF32</f>
        <v>60.44667832429586</v>
      </c>
      <c r="AB32" s="48">
        <f>'[3]others portable_Portables Other'!AG32</f>
        <v>64.073479023753606</v>
      </c>
      <c r="AC32" s="48">
        <f>'[3]others portable_Portables Other'!AH32</f>
        <v>67.917887765178818</v>
      </c>
      <c r="AD32" s="48">
        <f>'[3]others portable_Portables Other'!AI32</f>
        <v>71.99296103108955</v>
      </c>
      <c r="AE32" s="48">
        <f>'[3]others portable_Portables Other'!AJ32</f>
        <v>76.312538692954917</v>
      </c>
      <c r="AF32" s="48">
        <f>'[3]others portable_Portables Other'!AK32</f>
        <v>80.891291014532214</v>
      </c>
      <c r="AG32" s="48">
        <f>'[3]others portable_Portables Other'!AL32</f>
        <v>85.744768475404143</v>
      </c>
      <c r="AH32" s="48">
        <f>'[3]others portable_Portables Other'!AM32</f>
        <v>90.032006899174348</v>
      </c>
      <c r="AI32" s="48">
        <f>'[3]others portable_Portables Other'!AN32</f>
        <v>94.533607244133066</v>
      </c>
      <c r="AJ32" s="48">
        <f>'[3]others portable_Portables Other'!AO32</f>
        <v>99.260287606339716</v>
      </c>
      <c r="AK32" s="48">
        <f>'[3]others portable_Portables Other'!AP32</f>
        <v>104.22330198665671</v>
      </c>
      <c r="AL32" s="48">
        <f>'[3]others portable_Portables Other'!AQ32</f>
        <v>109.43446708598954</v>
      </c>
      <c r="AM32" s="48">
        <f>'[3]others portable_Portables Other'!AR32</f>
        <v>114.90619044028901</v>
      </c>
      <c r="AN32" s="48">
        <f>'[3]others portable_Portables Other'!AS32</f>
        <v>120.65149996230346</v>
      </c>
      <c r="AO32" s="48">
        <f>'[3]others portable_Portables Other'!AT32</f>
        <v>126.68407496041863</v>
      </c>
      <c r="AP32" s="48">
        <f>'[3]others portable_Portables Other'!AU32</f>
        <v>133.01827870843957</v>
      </c>
      <c r="AQ32" s="48">
        <f>'[3]others portable_Portables Other'!AV32</f>
        <v>139.66919264386155</v>
      </c>
      <c r="AR32" s="48">
        <f>'[3]others portable_Portables Other'!AW32</f>
        <v>143.85926842317738</v>
      </c>
      <c r="AS32" s="48">
        <f>'[3]others portable_Portables Other'!AX32</f>
        <v>148.1750464758727</v>
      </c>
      <c r="AT32" s="48">
        <f>'[3]others portable_Portables Other'!AY32</f>
        <v>152.62029787014887</v>
      </c>
      <c r="AU32" s="48">
        <f>'[3]others portable_Portables Other'!AZ32</f>
        <v>157.19890680625335</v>
      </c>
      <c r="AV32" s="48">
        <f>'[3]others portable_Portables Other'!BA32</f>
        <v>161.91487401044094</v>
      </c>
      <c r="AW32" s="48">
        <f>'[3]others portable_Portables Other'!BB32</f>
        <v>166.77232023075416</v>
      </c>
      <c r="AX32" s="48">
        <f>'[3]others portable_Portables Other'!BC32</f>
        <v>171.77548983767679</v>
      </c>
      <c r="AY32" s="48">
        <f>'[3]others portable_Portables Other'!BD32</f>
        <v>176.92875453280709</v>
      </c>
      <c r="AZ32" s="48">
        <f>'[3]others portable_Portables Other'!BE32</f>
        <v>182.2366171687913</v>
      </c>
    </row>
    <row r="33" spans="1:52" x14ac:dyDescent="0.35">
      <c r="A33" s="61" t="s">
        <v>21</v>
      </c>
      <c r="B33" s="23">
        <f t="shared" si="1"/>
        <v>1.2250445092096263</v>
      </c>
      <c r="C33" s="23">
        <f t="shared" si="1"/>
        <v>1.2495453993938188</v>
      </c>
      <c r="D33" s="23">
        <f t="shared" si="1"/>
        <v>1.2745363073816951</v>
      </c>
      <c r="E33" s="23">
        <f t="shared" si="1"/>
        <v>1.3000270335293291</v>
      </c>
      <c r="F33" s="23">
        <f t="shared" si="1"/>
        <v>1.3260275741999157</v>
      </c>
      <c r="G33" s="23">
        <f t="shared" si="1"/>
        <v>1.352548125683914</v>
      </c>
      <c r="H33" s="23">
        <f t="shared" si="1"/>
        <v>1.3795990881975924</v>
      </c>
      <c r="I33" s="23">
        <f t="shared" si="1"/>
        <v>1.4071910699615442</v>
      </c>
      <c r="J33" s="23">
        <f t="shared" si="1"/>
        <v>1.4353348913607751</v>
      </c>
      <c r="K33" s="23">
        <f t="shared" si="1"/>
        <v>1.4640415891879905</v>
      </c>
      <c r="L33" s="23">
        <f t="shared" si="1"/>
        <v>1.4933224209717504</v>
      </c>
      <c r="M33" s="4">
        <f>$M$8*'[2]Eurostat POM Portables GU'!M24</f>
        <v>1.5231888693911855</v>
      </c>
      <c r="N33" s="4">
        <f>$N$8*'[2]Eurostat POM Portables GU'!N24</f>
        <v>3.374415349015369</v>
      </c>
      <c r="O33" s="4">
        <f>$O$8*'[2]Eurostat POM Portables GU'!O24</f>
        <v>19.2099990459668</v>
      </c>
      <c r="P33" s="4">
        <f>$P$8*'[2]Eurostat POM Portables GU'!P24</f>
        <v>20.414224474177093</v>
      </c>
      <c r="Q33" s="4">
        <f>$Q$8*'[2]Eurostat POM Portables GU'!Q24</f>
        <v>9.6657386439437545</v>
      </c>
      <c r="R33" s="4">
        <f>$R$8*'[2]Eurostat POM Portables GU'!R24</f>
        <v>1.5388856005209826</v>
      </c>
      <c r="S33" s="4">
        <f>$S$8*'[2]Eurostat POM Portables GU'!S24</f>
        <v>6.7441206836139989</v>
      </c>
      <c r="T33" s="4">
        <f>$T$8*'[2]Eurostat POM Portables GU'!T24</f>
        <v>6.1131576603083095</v>
      </c>
      <c r="U33" s="4">
        <f>$U$8*'[2]Eurostat POM Portables GU'!U24</f>
        <v>8.6089819250266402</v>
      </c>
      <c r="V33" s="4">
        <f>$V$8*'[2]Eurostat POM Portables GU'!V24</f>
        <v>5.0153818584384782</v>
      </c>
      <c r="W33" s="4">
        <f>$W$8*'[2]Eurostat POM Portables GU'!W24</f>
        <v>14.237586635628846</v>
      </c>
      <c r="X33" s="48">
        <f>'[3]others portable_Portables Other'!AC33</f>
        <v>15.091841833766576</v>
      </c>
      <c r="Y33" s="48">
        <f>'[3]others portable_Portables Other'!AD33</f>
        <v>15.997352343792571</v>
      </c>
      <c r="Z33" s="48">
        <f>'[3]others portable_Portables Other'!AE33</f>
        <v>16.957193484420124</v>
      </c>
      <c r="AA33" s="48">
        <f>'[3]others portable_Portables Other'!AF33</f>
        <v>17.974625093485329</v>
      </c>
      <c r="AB33" s="48">
        <f>'[3]others portable_Portables Other'!AG33</f>
        <v>19.053102599094448</v>
      </c>
      <c r="AC33" s="48">
        <f>'[3]others portable_Portables Other'!AH33</f>
        <v>20.196288755040115</v>
      </c>
      <c r="AD33" s="48">
        <f>'[3]others portable_Portables Other'!AI33</f>
        <v>21.408066080342522</v>
      </c>
      <c r="AE33" s="48">
        <f>'[3]others portable_Portables Other'!AJ33</f>
        <v>22.692550045163074</v>
      </c>
      <c r="AF33" s="48">
        <f>'[3]others portable_Portables Other'!AK33</f>
        <v>24.054103047872857</v>
      </c>
      <c r="AG33" s="48">
        <f>'[3]others portable_Portables Other'!AL33</f>
        <v>25.497349230745229</v>
      </c>
      <c r="AH33" s="48">
        <f>'[3]others portable_Portables Other'!AM33</f>
        <v>26.772216692282491</v>
      </c>
      <c r="AI33" s="48">
        <f>'[3]others portable_Portables Other'!AN33</f>
        <v>28.110827526896614</v>
      </c>
      <c r="AJ33" s="48">
        <f>'[3]others portable_Portables Other'!AO33</f>
        <v>29.516368903241446</v>
      </c>
      <c r="AK33" s="48">
        <f>'[3]others portable_Portables Other'!AP33</f>
        <v>30.992187348403519</v>
      </c>
      <c r="AL33" s="48">
        <f>'[3]others portable_Portables Other'!AQ33</f>
        <v>32.541796715823693</v>
      </c>
      <c r="AM33" s="48">
        <f>'[3]others portable_Portables Other'!AR33</f>
        <v>34.168886551614875</v>
      </c>
      <c r="AN33" s="48">
        <f>'[3]others portable_Portables Other'!AS33</f>
        <v>35.877330879195618</v>
      </c>
      <c r="AO33" s="48">
        <f>'[3]others portable_Portables Other'!AT33</f>
        <v>37.671197423155398</v>
      </c>
      <c r="AP33" s="48">
        <f>'[3]others portable_Portables Other'!AU33</f>
        <v>39.55475729431317</v>
      </c>
      <c r="AQ33" s="48">
        <f>'[3]others portable_Portables Other'!AV33</f>
        <v>41.532495159028826</v>
      </c>
      <c r="AR33" s="48">
        <f>'[3]others portable_Portables Other'!AW33</f>
        <v>42.778470013799691</v>
      </c>
      <c r="AS33" s="48">
        <f>'[3]others portable_Portables Other'!AX33</f>
        <v>44.061824114213678</v>
      </c>
      <c r="AT33" s="48">
        <f>'[3]others portable_Portables Other'!AY33</f>
        <v>45.38367883764009</v>
      </c>
      <c r="AU33" s="48">
        <f>'[3]others portable_Portables Other'!AZ33</f>
        <v>46.745189202769296</v>
      </c>
      <c r="AV33" s="48">
        <f>'[3]others portable_Portables Other'!BA33</f>
        <v>48.147544878852372</v>
      </c>
      <c r="AW33" s="48">
        <f>'[3]others portable_Portables Other'!BB33</f>
        <v>49.591971225217947</v>
      </c>
      <c r="AX33" s="48">
        <f>'[3]others portable_Portables Other'!BC33</f>
        <v>51.079730361974484</v>
      </c>
      <c r="AY33" s="48">
        <f>'[3]others portable_Portables Other'!BD33</f>
        <v>52.612122272833716</v>
      </c>
      <c r="AZ33" s="48">
        <f>'[3]others portable_Portables Other'!BE33</f>
        <v>54.190485941018729</v>
      </c>
    </row>
    <row r="34" spans="1:52" x14ac:dyDescent="0.35">
      <c r="A34" s="61" t="s">
        <v>22</v>
      </c>
      <c r="B34" s="23">
        <f t="shared" si="1"/>
        <v>4.4525534586836626</v>
      </c>
      <c r="C34" s="23">
        <f t="shared" si="1"/>
        <v>4.541604527857336</v>
      </c>
      <c r="D34" s="23">
        <f t="shared" si="1"/>
        <v>4.6324366184144825</v>
      </c>
      <c r="E34" s="23">
        <f t="shared" si="1"/>
        <v>4.7250853507827726</v>
      </c>
      <c r="F34" s="23">
        <f t="shared" si="1"/>
        <v>4.8195870577984286</v>
      </c>
      <c r="G34" s="23">
        <f t="shared" si="1"/>
        <v>4.9159787989543968</v>
      </c>
      <c r="H34" s="23">
        <f t="shared" si="1"/>
        <v>5.0142983749334844</v>
      </c>
      <c r="I34" s="23">
        <f t="shared" si="1"/>
        <v>5.1145843424321544</v>
      </c>
      <c r="J34" s="23">
        <f t="shared" si="1"/>
        <v>5.2168760292807974</v>
      </c>
      <c r="K34" s="23">
        <f t="shared" si="1"/>
        <v>5.321213549866413</v>
      </c>
      <c r="L34" s="23">
        <f t="shared" si="1"/>
        <v>5.4276378208637412</v>
      </c>
      <c r="M34" s="4">
        <f>$M$8*'[2]Eurostat POM Portables GU'!M25</f>
        <v>5.5361905772810163</v>
      </c>
      <c r="N34" s="4">
        <f>$N$8*'[2]Eurostat POM Portables GU'!N25</f>
        <v>13.315498244308971</v>
      </c>
      <c r="O34" s="4">
        <f>$O$8*'[2]Eurostat POM Portables GU'!O25</f>
        <v>74.027173880865561</v>
      </c>
      <c r="P34" s="4">
        <f>$P$8*'[2]Eurostat POM Portables GU'!P25</f>
        <v>77.581548803689742</v>
      </c>
      <c r="Q34" s="4">
        <f>$Q$8*'[2]Eurostat POM Portables GU'!Q25</f>
        <v>60.522772659075805</v>
      </c>
      <c r="R34" s="4">
        <f>$R$8*'[2]Eurostat POM Portables GU'!R25</f>
        <v>8.842036412320784</v>
      </c>
      <c r="S34" s="4">
        <f>$S$8*'[2]Eurostat POM Portables GU'!S25</f>
        <v>25.158811975049055</v>
      </c>
      <c r="T34" s="4">
        <f>$T$8*'[2]Eurostat POM Portables GU'!T25</f>
        <v>26.11700732645491</v>
      </c>
      <c r="U34" s="4">
        <f>$U$8*'[2]Eurostat POM Portables GU'!U25</f>
        <v>38.24461858152435</v>
      </c>
      <c r="V34" s="4">
        <f>$V$8*'[2]Eurostat POM Portables GU'!V25</f>
        <v>27.817873796222724</v>
      </c>
      <c r="W34" s="4">
        <f>$W$8*'[2]Eurostat POM Portables GU'!W25</f>
        <v>84.078394052781562</v>
      </c>
      <c r="X34" s="48">
        <f>'[3]others portable_Portables Other'!AC34</f>
        <v>89.123097695948459</v>
      </c>
      <c r="Y34" s="48">
        <f>'[3]others portable_Portables Other'!AD34</f>
        <v>94.470483557705364</v>
      </c>
      <c r="Z34" s="48">
        <f>'[3]others portable_Portables Other'!AE34</f>
        <v>100.13871257116769</v>
      </c>
      <c r="AA34" s="48">
        <f>'[3]others portable_Portables Other'!AF34</f>
        <v>106.14703532543774</v>
      </c>
      <c r="AB34" s="48">
        <f>'[3]others portable_Portables Other'!AG34</f>
        <v>112.51585744496401</v>
      </c>
      <c r="AC34" s="48">
        <f>'[3]others portable_Portables Other'!AH34</f>
        <v>119.26680889166185</v>
      </c>
      <c r="AD34" s="48">
        <f>'[3]others portable_Portables Other'!AI34</f>
        <v>126.42281742516157</v>
      </c>
      <c r="AE34" s="48">
        <f>'[3]others portable_Portables Other'!AJ34</f>
        <v>134.00818647067126</v>
      </c>
      <c r="AF34" s="48">
        <f>'[3]others portable_Portables Other'!AK34</f>
        <v>142.04867765891154</v>
      </c>
      <c r="AG34" s="48">
        <f>'[3]others portable_Portables Other'!AL34</f>
        <v>150.57159831844623</v>
      </c>
      <c r="AH34" s="48">
        <f>'[3]others portable_Portables Other'!AM34</f>
        <v>158.10017823436854</v>
      </c>
      <c r="AI34" s="48">
        <f>'[3]others portable_Portables Other'!AN34</f>
        <v>166.00518714608697</v>
      </c>
      <c r="AJ34" s="48">
        <f>'[3]others portable_Portables Other'!AO34</f>
        <v>174.30544650339132</v>
      </c>
      <c r="AK34" s="48">
        <f>'[3]others portable_Portables Other'!AP34</f>
        <v>183.02071882856089</v>
      </c>
      <c r="AL34" s="48">
        <f>'[3]others portable_Portables Other'!AQ34</f>
        <v>192.17175476998892</v>
      </c>
      <c r="AM34" s="48">
        <f>'[3]others portable_Portables Other'!AR34</f>
        <v>201.78034250848836</v>
      </c>
      <c r="AN34" s="48">
        <f>'[3]others portable_Portables Other'!AS34</f>
        <v>211.86935963391278</v>
      </c>
      <c r="AO34" s="48">
        <f>'[3]others portable_Portables Other'!AT34</f>
        <v>222.46282761560843</v>
      </c>
      <c r="AP34" s="48">
        <f>'[3]others portable_Portables Other'!AU34</f>
        <v>233.58596899638886</v>
      </c>
      <c r="AQ34" s="48">
        <f>'[3]others portable_Portables Other'!AV34</f>
        <v>245.2652674462083</v>
      </c>
      <c r="AR34" s="48">
        <f>'[3]others portable_Portables Other'!AW34</f>
        <v>252.62322546959456</v>
      </c>
      <c r="AS34" s="48">
        <f>'[3]others portable_Portables Other'!AX34</f>
        <v>260.20192223368241</v>
      </c>
      <c r="AT34" s="48">
        <f>'[3]others portable_Portables Other'!AY34</f>
        <v>268.00797990069287</v>
      </c>
      <c r="AU34" s="48">
        <f>'[3]others portable_Portables Other'!AZ34</f>
        <v>276.04821929771367</v>
      </c>
      <c r="AV34" s="48">
        <f>'[3]others portable_Portables Other'!BA34</f>
        <v>284.32966587664509</v>
      </c>
      <c r="AW34" s="48">
        <f>'[3]others portable_Portables Other'!BB34</f>
        <v>292.85955585294442</v>
      </c>
      <c r="AX34" s="48">
        <f>'[3]others portable_Portables Other'!BC34</f>
        <v>301.64534252853275</v>
      </c>
      <c r="AY34" s="48">
        <f>'[3]others portable_Portables Other'!BD34</f>
        <v>310.69470280438873</v>
      </c>
      <c r="AZ34" s="48">
        <f>'[3]others portable_Portables Other'!BE34</f>
        <v>320.01554388852037</v>
      </c>
    </row>
    <row r="35" spans="1:52" x14ac:dyDescent="0.35">
      <c r="A35" s="61" t="s">
        <v>23</v>
      </c>
      <c r="B35" s="23">
        <f t="shared" si="1"/>
        <v>0.75708550507723793</v>
      </c>
      <c r="C35" s="23">
        <f t="shared" si="1"/>
        <v>0.77222721517878268</v>
      </c>
      <c r="D35" s="23">
        <f t="shared" si="1"/>
        <v>0.78767175948235835</v>
      </c>
      <c r="E35" s="23">
        <f t="shared" si="1"/>
        <v>0.80342519467200557</v>
      </c>
      <c r="F35" s="23">
        <f t="shared" si="1"/>
        <v>0.81949369856544574</v>
      </c>
      <c r="G35" s="23">
        <f t="shared" si="1"/>
        <v>0.83588357253675472</v>
      </c>
      <c r="H35" s="23">
        <f t="shared" si="1"/>
        <v>0.85260124398748982</v>
      </c>
      <c r="I35" s="23">
        <f t="shared" si="1"/>
        <v>0.86965326886723959</v>
      </c>
      <c r="J35" s="23">
        <f t="shared" si="1"/>
        <v>0.88704633424458434</v>
      </c>
      <c r="K35" s="23">
        <f t="shared" si="1"/>
        <v>0.90478726092947603</v>
      </c>
      <c r="L35" s="23">
        <f t="shared" si="1"/>
        <v>0.92288300614806562</v>
      </c>
      <c r="M35" s="4">
        <f>$M$8*'[2]Eurostat POM Portables GU'!M26</f>
        <v>0.94134066627102697</v>
      </c>
      <c r="N35" s="4">
        <f>$N$8*'[2]Eurostat POM Portables GU'!N26</f>
        <v>2.1738596751584973</v>
      </c>
      <c r="O35" s="4">
        <f>$O$8*'[2]Eurostat POM Portables GU'!O26</f>
        <v>11.348423589666284</v>
      </c>
      <c r="P35" s="4">
        <f>$P$8*'[2]Eurostat POM Portables GU'!P26</f>
        <v>11.966981847844337</v>
      </c>
      <c r="Q35" s="4">
        <f>$Q$8*'[2]Eurostat POM Portables GU'!Q26</f>
        <v>7.6096171410590268</v>
      </c>
      <c r="R35" s="4">
        <f>$R$8*'[2]Eurostat POM Portables GU'!R26</f>
        <v>1.2269679810431868</v>
      </c>
      <c r="S35" s="4">
        <f>$S$8*'[2]Eurostat POM Portables GU'!S26</f>
        <v>4.1993816204442815</v>
      </c>
      <c r="T35" s="4">
        <f>$T$8*'[2]Eurostat POM Portables GU'!T26</f>
        <v>4.809069575181681</v>
      </c>
      <c r="U35" s="4">
        <f>$U$8*'[2]Eurostat POM Portables GU'!U26</f>
        <v>5.0979682294753585</v>
      </c>
      <c r="V35" s="4">
        <f>$V$8*'[2]Eurostat POM Portables GU'!V26</f>
        <v>3.4592764264669258</v>
      </c>
      <c r="W35" s="4">
        <f>$W$8*'[2]Eurostat POM Portables GU'!W26</f>
        <v>11.575601598939034</v>
      </c>
      <c r="X35" s="48">
        <f>'[3]others portable_Portables Other'!AC35</f>
        <v>12.270137694875377</v>
      </c>
      <c r="Y35" s="48">
        <f>'[3]others portable_Portables Other'!AD35</f>
        <v>13.0063459565679</v>
      </c>
      <c r="Z35" s="48">
        <f>'[3]others portable_Portables Other'!AE35</f>
        <v>13.786726713961974</v>
      </c>
      <c r="AA35" s="48">
        <f>'[3]others portable_Portables Other'!AF35</f>
        <v>14.613930316799692</v>
      </c>
      <c r="AB35" s="48">
        <f>'[3]others portable_Portables Other'!AG35</f>
        <v>15.490766135807673</v>
      </c>
      <c r="AC35" s="48">
        <f>'[3]others portable_Portables Other'!AH35</f>
        <v>16.420212103956132</v>
      </c>
      <c r="AD35" s="48">
        <f>'[3]others portable_Portables Other'!AI35</f>
        <v>17.4054248301935</v>
      </c>
      <c r="AE35" s="48">
        <f>'[3]others portable_Portables Other'!AJ35</f>
        <v>18.449750320005109</v>
      </c>
      <c r="AF35" s="48">
        <f>'[3]others portable_Portables Other'!AK35</f>
        <v>19.556735339205414</v>
      </c>
      <c r="AG35" s="48">
        <f>'[3]others portable_Portables Other'!AL35</f>
        <v>20.730139459557737</v>
      </c>
      <c r="AH35" s="48">
        <f>'[3]others portable_Portables Other'!AM35</f>
        <v>21.766646432535623</v>
      </c>
      <c r="AI35" s="48">
        <f>'[3]others portable_Portables Other'!AN35</f>
        <v>22.854978754162403</v>
      </c>
      <c r="AJ35" s="48">
        <f>'[3]others portable_Portables Other'!AO35</f>
        <v>23.997727691870523</v>
      </c>
      <c r="AK35" s="48">
        <f>'[3]others portable_Portables Other'!AP35</f>
        <v>25.197614076464049</v>
      </c>
      <c r="AL35" s="48">
        <f>'[3]others portable_Portables Other'!AQ35</f>
        <v>26.457494780287252</v>
      </c>
      <c r="AM35" s="48">
        <f>'[3]others portable_Portables Other'!AR35</f>
        <v>27.780369519301615</v>
      </c>
      <c r="AN35" s="48">
        <f>'[3]others portable_Portables Other'!AS35</f>
        <v>29.169387995266696</v>
      </c>
      <c r="AO35" s="48">
        <f>'[3]others portable_Portables Other'!AT35</f>
        <v>30.627857395030031</v>
      </c>
      <c r="AP35" s="48">
        <f>'[3]others portable_Portables Other'!AU35</f>
        <v>32.159250264781534</v>
      </c>
      <c r="AQ35" s="48">
        <f>'[3]others portable_Portables Other'!AV35</f>
        <v>33.767212778020607</v>
      </c>
      <c r="AR35" s="48">
        <f>'[3]others portable_Portables Other'!AW35</f>
        <v>34.780229161361227</v>
      </c>
      <c r="AS35" s="48">
        <f>'[3]others portable_Portables Other'!AX35</f>
        <v>35.82363603620206</v>
      </c>
      <c r="AT35" s="48">
        <f>'[3]others portable_Portables Other'!AY35</f>
        <v>36.898345117288123</v>
      </c>
      <c r="AU35" s="48">
        <f>'[3]others portable_Portables Other'!AZ35</f>
        <v>38.005295470806765</v>
      </c>
      <c r="AV35" s="48">
        <f>'[3]others portable_Portables Other'!BA35</f>
        <v>39.145454334930967</v>
      </c>
      <c r="AW35" s="48">
        <f>'[3]others portable_Portables Other'!BB35</f>
        <v>40.319817964978895</v>
      </c>
      <c r="AX35" s="48">
        <f>'[3]others portable_Portables Other'!BC35</f>
        <v>41.529412503928263</v>
      </c>
      <c r="AY35" s="48">
        <f>'[3]others portable_Portables Other'!BD35</f>
        <v>42.775294879046115</v>
      </c>
      <c r="AZ35" s="48">
        <f>'[3]others portable_Portables Other'!BE35</f>
        <v>44.058553725417497</v>
      </c>
    </row>
    <row r="36" spans="1:52" x14ac:dyDescent="0.35">
      <c r="A36" s="61" t="s">
        <v>24</v>
      </c>
      <c r="B36" s="23">
        <f t="shared" si="1"/>
        <v>1.2008311333795971</v>
      </c>
      <c r="C36" s="23">
        <f t="shared" si="1"/>
        <v>1.2248477560471891</v>
      </c>
      <c r="D36" s="23">
        <f t="shared" si="1"/>
        <v>1.2493447111681328</v>
      </c>
      <c r="E36" s="23">
        <f t="shared" si="1"/>
        <v>1.2743316053914955</v>
      </c>
      <c r="F36" s="23">
        <f t="shared" si="1"/>
        <v>1.2998182374993255</v>
      </c>
      <c r="G36" s="23">
        <f t="shared" si="1"/>
        <v>1.325814602249312</v>
      </c>
      <c r="H36" s="23">
        <f t="shared" si="1"/>
        <v>1.3523308942942982</v>
      </c>
      <c r="I36" s="23">
        <f t="shared" si="1"/>
        <v>1.3793775121801841</v>
      </c>
      <c r="J36" s="23">
        <f t="shared" si="1"/>
        <v>1.4069650624237879</v>
      </c>
      <c r="K36" s="23">
        <f t="shared" si="1"/>
        <v>1.4351043636722638</v>
      </c>
      <c r="L36" s="23">
        <f t="shared" si="1"/>
        <v>1.4638064509457092</v>
      </c>
      <c r="M36" s="4">
        <f>$M$8*'[2]Eurostat POM Portables GU'!M27</f>
        <v>1.4930825799646235</v>
      </c>
      <c r="N36" s="4">
        <f>$N$8*'[2]Eurostat POM Portables GU'!N27</f>
        <v>3.4417026483799491</v>
      </c>
      <c r="O36" s="4">
        <f>$O$8*'[2]Eurostat POM Portables GU'!O27</f>
        <v>11.415589580172538</v>
      </c>
      <c r="P36" s="4">
        <f>$P$8*'[2]Eurostat POM Portables GU'!P27</f>
        <v>11.421234873464622</v>
      </c>
      <c r="Q36" s="4">
        <f>$Q$8*'[2]Eurostat POM Portables GU'!Q27</f>
        <v>13.015544250318154</v>
      </c>
      <c r="R36" s="4">
        <f>$R$8*'[2]Eurostat POM Portables GU'!R27</f>
        <v>1.6147947557036317</v>
      </c>
      <c r="S36" s="4">
        <f>$S$8*'[2]Eurostat POM Portables GU'!S27</f>
        <v>6.792841755515628</v>
      </c>
      <c r="T36" s="4">
        <f>$T$8*'[2]Eurostat POM Portables GU'!T27</f>
        <v>5.4865687905777971</v>
      </c>
      <c r="U36" s="4">
        <f>$U$8*'[2]Eurostat POM Portables GU'!U27</f>
        <v>8.429587064670006</v>
      </c>
      <c r="V36" s="4">
        <f>$V$8*'[2]Eurostat POM Portables GU'!V27</f>
        <v>7.0607928375747608</v>
      </c>
      <c r="W36" s="4">
        <f>$W$8*'[2]Eurostat POM Portables GU'!W27</f>
        <v>27.724977488190564</v>
      </c>
      <c r="X36" s="48">
        <f>'[3]others portable_Portables Other'!AC36</f>
        <v>29.388476137481998</v>
      </c>
      <c r="Y36" s="48">
        <f>'[3]others portable_Portables Other'!AD36</f>
        <v>31.151784705730918</v>
      </c>
      <c r="Z36" s="48">
        <f>'[3]others portable_Portables Other'!AE36</f>
        <v>33.020891788074771</v>
      </c>
      <c r="AA36" s="48">
        <f>'[3]others portable_Portables Other'!AF36</f>
        <v>35.002145295359256</v>
      </c>
      <c r="AB36" s="48">
        <f>'[3]others portable_Portables Other'!AG36</f>
        <v>37.102274013080809</v>
      </c>
      <c r="AC36" s="48">
        <f>'[3]others portable_Portables Other'!AH36</f>
        <v>39.328410453865658</v>
      </c>
      <c r="AD36" s="48">
        <f>'[3]others portable_Portables Other'!AI36</f>
        <v>41.6881150810976</v>
      </c>
      <c r="AE36" s="48">
        <f>'[3]others portable_Portables Other'!AJ36</f>
        <v>44.189401985963457</v>
      </c>
      <c r="AF36" s="48">
        <f>'[3]others portable_Portables Other'!AK36</f>
        <v>46.840766105121261</v>
      </c>
      <c r="AG36" s="48">
        <f>'[3]others portable_Portables Other'!AL36</f>
        <v>49.651212071428539</v>
      </c>
      <c r="AH36" s="48">
        <f>'[3]others portable_Portables Other'!AM36</f>
        <v>52.133772674999967</v>
      </c>
      <c r="AI36" s="48">
        <f>'[3]others portable_Portables Other'!AN36</f>
        <v>54.740461308749964</v>
      </c>
      <c r="AJ36" s="48">
        <f>'[3]others portable_Portables Other'!AO36</f>
        <v>57.477484374187462</v>
      </c>
      <c r="AK36" s="48">
        <f>'[3]others portable_Portables Other'!AP36</f>
        <v>60.351358592896837</v>
      </c>
      <c r="AL36" s="48">
        <f>'[3]others portable_Portables Other'!AQ36</f>
        <v>63.368926522541678</v>
      </c>
      <c r="AM36" s="48">
        <f>'[3]others portable_Portables Other'!AR36</f>
        <v>66.537372848668767</v>
      </c>
      <c r="AN36" s="48">
        <f>'[3]others portable_Portables Other'!AS36</f>
        <v>69.864241491102206</v>
      </c>
      <c r="AO36" s="48">
        <f>'[3]others portable_Portables Other'!AT36</f>
        <v>73.357453565657323</v>
      </c>
      <c r="AP36" s="48">
        <f>'[3]others portable_Portables Other'!AU36</f>
        <v>77.025326243940185</v>
      </c>
      <c r="AQ36" s="48">
        <f>'[3]others portable_Portables Other'!AV36</f>
        <v>80.876592556137197</v>
      </c>
      <c r="AR36" s="48">
        <f>'[3]others portable_Portables Other'!AW36</f>
        <v>83.302890332821306</v>
      </c>
      <c r="AS36" s="48">
        <f>'[3]others portable_Portables Other'!AX36</f>
        <v>85.801977042805945</v>
      </c>
      <c r="AT36" s="48">
        <f>'[3]others portable_Portables Other'!AY36</f>
        <v>88.376036354090118</v>
      </c>
      <c r="AU36" s="48">
        <f>'[3]others portable_Portables Other'!AZ36</f>
        <v>91.027317444712821</v>
      </c>
      <c r="AV36" s="48">
        <f>'[3]others portable_Portables Other'!BA36</f>
        <v>93.758136968054202</v>
      </c>
      <c r="AW36" s="48">
        <f>'[3]others portable_Portables Other'!BB36</f>
        <v>96.570881077095834</v>
      </c>
      <c r="AX36" s="48">
        <f>'[3]others portable_Portables Other'!BC36</f>
        <v>99.468007509408707</v>
      </c>
      <c r="AY36" s="48">
        <f>'[3]others portable_Portables Other'!BD36</f>
        <v>102.45204773469096</v>
      </c>
      <c r="AZ36" s="48">
        <f>'[3]others portable_Portables Other'!BE36</f>
        <v>105.5256091667317</v>
      </c>
    </row>
    <row r="37" spans="1:52" x14ac:dyDescent="0.35">
      <c r="A37" s="61" t="s">
        <v>25</v>
      </c>
      <c r="B37" s="23">
        <f t="shared" si="1"/>
        <v>0.43643752645629003</v>
      </c>
      <c r="C37" s="23">
        <f t="shared" si="1"/>
        <v>0.44516627698541583</v>
      </c>
      <c r="D37" s="23">
        <f t="shared" si="1"/>
        <v>0.45406960252512418</v>
      </c>
      <c r="E37" s="23">
        <f t="shared" si="1"/>
        <v>0.4631509945756267</v>
      </c>
      <c r="F37" s="23">
        <f t="shared" si="1"/>
        <v>0.47241401446713926</v>
      </c>
      <c r="G37" s="23">
        <f t="shared" si="1"/>
        <v>0.48186229475648207</v>
      </c>
      <c r="H37" s="23">
        <f t="shared" si="1"/>
        <v>0.49149954065161172</v>
      </c>
      <c r="I37" s="23">
        <f t="shared" si="1"/>
        <v>0.50132953146464398</v>
      </c>
      <c r="J37" s="23">
        <f t="shared" si="1"/>
        <v>0.51135612209393688</v>
      </c>
      <c r="K37" s="23">
        <f t="shared" si="1"/>
        <v>0.52158324453581562</v>
      </c>
      <c r="L37" s="23">
        <f t="shared" si="1"/>
        <v>0.53201490942653196</v>
      </c>
      <c r="M37" s="4">
        <f>$M$8*'[2]Eurostat POM Portables GU'!M28</f>
        <v>0.54265520761506258</v>
      </c>
      <c r="N37" s="4">
        <f>$N$8*'[2]Eurostat POM Portables GU'!N28</f>
        <v>1.2562975982931381</v>
      </c>
      <c r="O37" s="4">
        <f>$O$8*'[2]Eurostat POM Portables GU'!O28</f>
        <v>6.2434139903073751</v>
      </c>
      <c r="P37" s="4">
        <f>$P$8*'[2]Eurostat POM Portables GU'!P28</f>
        <v>5.5363729208158965</v>
      </c>
      <c r="Q37" s="4">
        <f>$Q$8*'[2]Eurostat POM Portables GU'!Q28</f>
        <v>4.6188949550448779</v>
      </c>
      <c r="R37" s="4">
        <f>$R$8*'[2]Eurostat POM Portables GU'!R28</f>
        <v>0.85294287096140553</v>
      </c>
      <c r="S37" s="4">
        <f>$S$8*'[2]Eurostat POM Portables GU'!S28</f>
        <v>2.7358755760145703</v>
      </c>
      <c r="T37" s="4">
        <f>$T$8*'[2]Eurostat POM Portables GU'!T28</f>
        <v>3.0037103942706427</v>
      </c>
      <c r="U37" s="4">
        <f>$U$8*'[2]Eurostat POM Portables GU'!U28</f>
        <v>3.4459584165208534</v>
      </c>
      <c r="V37" s="4">
        <f>$V$8*'[2]Eurostat POM Portables GU'!V28</f>
        <v>2.8874716882104683</v>
      </c>
      <c r="W37" s="4">
        <f>$W$8*'[2]Eurostat POM Portables GU'!W28</f>
        <v>9.1556152019482955</v>
      </c>
      <c r="X37" s="48">
        <f>'[3]others portable_Portables Other'!AC37</f>
        <v>9.7049521140651933</v>
      </c>
      <c r="Y37" s="48">
        <f>'[3]others portable_Portables Other'!AD37</f>
        <v>10.287249240909105</v>
      </c>
      <c r="Z37" s="48">
        <f>'[3]others portable_Portables Other'!AE37</f>
        <v>10.904484195363651</v>
      </c>
      <c r="AA37" s="48">
        <f>'[3]others portable_Portables Other'!AF37</f>
        <v>11.55875324708547</v>
      </c>
      <c r="AB37" s="48">
        <f>'[3]others portable_Portables Other'!AG37</f>
        <v>12.252278441910597</v>
      </c>
      <c r="AC37" s="48">
        <f>'[3]others portable_Portables Other'!AH37</f>
        <v>12.987415148425233</v>
      </c>
      <c r="AD37" s="48">
        <f>'[3]others portable_Portables Other'!AI37</f>
        <v>13.766660057330748</v>
      </c>
      <c r="AE37" s="48">
        <f>'[3]others portable_Portables Other'!AJ37</f>
        <v>14.592659660770593</v>
      </c>
      <c r="AF37" s="48">
        <f>'[3]others portable_Portables Other'!AK37</f>
        <v>15.468219240416829</v>
      </c>
      <c r="AG37" s="48">
        <f>'[3]others portable_Portables Other'!AL37</f>
        <v>16.396312394841839</v>
      </c>
      <c r="AH37" s="48">
        <f>'[3]others portable_Portables Other'!AM37</f>
        <v>17.21612801458393</v>
      </c>
      <c r="AI37" s="48">
        <f>'[3]others portable_Portables Other'!AN37</f>
        <v>18.076934415313126</v>
      </c>
      <c r="AJ37" s="48">
        <f>'[3]others portable_Portables Other'!AO37</f>
        <v>18.980781136078782</v>
      </c>
      <c r="AK37" s="48">
        <f>'[3]others portable_Portables Other'!AP37</f>
        <v>19.929820192882723</v>
      </c>
      <c r="AL37" s="48">
        <f>'[3]others portable_Portables Other'!AQ37</f>
        <v>20.926311202526858</v>
      </c>
      <c r="AM37" s="48">
        <f>'[3]others portable_Portables Other'!AR37</f>
        <v>21.972626762653199</v>
      </c>
      <c r="AN37" s="48">
        <f>'[3]others portable_Portables Other'!AS37</f>
        <v>23.071258100785858</v>
      </c>
      <c r="AO37" s="48">
        <f>'[3]others portable_Portables Other'!AT37</f>
        <v>24.224821005825152</v>
      </c>
      <c r="AP37" s="48">
        <f>'[3]others portable_Portables Other'!AU37</f>
        <v>25.436062056116409</v>
      </c>
      <c r="AQ37" s="48">
        <f>'[3]others portable_Portables Other'!AV37</f>
        <v>26.707865158922228</v>
      </c>
      <c r="AR37" s="48">
        <f>'[3]others portable_Portables Other'!AW37</f>
        <v>27.509101113689894</v>
      </c>
      <c r="AS37" s="48">
        <f>'[3]others portable_Portables Other'!AX37</f>
        <v>28.33437414710059</v>
      </c>
      <c r="AT37" s="48">
        <f>'[3]others portable_Portables Other'!AY37</f>
        <v>29.184405371513609</v>
      </c>
      <c r="AU37" s="48">
        <f>'[3]others portable_Portables Other'!AZ37</f>
        <v>30.059937532659017</v>
      </c>
      <c r="AV37" s="48">
        <f>'[3]others portable_Portables Other'!BA37</f>
        <v>30.961735658638787</v>
      </c>
      <c r="AW37" s="48">
        <f>'[3]others portable_Portables Other'!BB37</f>
        <v>31.89058772839795</v>
      </c>
      <c r="AX37" s="48">
        <f>'[3]others portable_Portables Other'!BC37</f>
        <v>32.847305360249891</v>
      </c>
      <c r="AY37" s="48">
        <f>'[3]others portable_Portables Other'!BD37</f>
        <v>33.832724521057386</v>
      </c>
      <c r="AZ37" s="48">
        <f>'[3]others portable_Portables Other'!BE37</f>
        <v>34.847706256689108</v>
      </c>
    </row>
    <row r="38" spans="1:52" x14ac:dyDescent="0.35">
      <c r="A38" s="61" t="s">
        <v>26</v>
      </c>
      <c r="B38" s="23">
        <f t="shared" si="1"/>
        <v>0.29838075788338203</v>
      </c>
      <c r="C38" s="23">
        <f t="shared" si="1"/>
        <v>0.30434837304104967</v>
      </c>
      <c r="D38" s="23">
        <f t="shared" si="1"/>
        <v>0.31043534050187066</v>
      </c>
      <c r="E38" s="23">
        <f t="shared" si="1"/>
        <v>0.31664404731190809</v>
      </c>
      <c r="F38" s="23">
        <f t="shared" si="1"/>
        <v>0.32297692825814628</v>
      </c>
      <c r="G38" s="23">
        <f t="shared" si="1"/>
        <v>0.32943646682330918</v>
      </c>
      <c r="H38" s="23">
        <f t="shared" si="1"/>
        <v>0.33602519615977539</v>
      </c>
      <c r="I38" s="23">
        <f t="shared" si="1"/>
        <v>0.34274570008297089</v>
      </c>
      <c r="J38" s="23">
        <f t="shared" si="1"/>
        <v>0.34960061408463033</v>
      </c>
      <c r="K38" s="23">
        <f t="shared" si="1"/>
        <v>0.35659262636632294</v>
      </c>
      <c r="L38" s="23">
        <f t="shared" si="1"/>
        <v>0.36372447889364939</v>
      </c>
      <c r="M38" s="4">
        <f>$M$8*'[2]Eurostat POM Portables GU'!M29</f>
        <v>0.37099896847152242</v>
      </c>
      <c r="N38" s="4">
        <f>$N$8*'[2]Eurostat POM Portables GU'!N29</f>
        <v>0.90704686596764572</v>
      </c>
      <c r="O38" s="4">
        <f>$O$8*'[2]Eurostat POM Portables GU'!O29</f>
        <v>4.7318506031803267</v>
      </c>
      <c r="P38" s="4">
        <f>$P$8*'[2]Eurostat POM Portables GU'!P29</f>
        <v>4.7276153563736694</v>
      </c>
      <c r="Q38" s="4">
        <f>$Q$8*'[2]Eurostat POM Portables GU'!Q29</f>
        <v>3.2612644890252973</v>
      </c>
      <c r="R38" s="4">
        <f>$R$8*'[2]Eurostat POM Portables GU'!R29</f>
        <v>0.6017525756297295</v>
      </c>
      <c r="S38" s="4">
        <f>$S$8*'[2]Eurostat POM Portables GU'!S29</f>
        <v>1.4803710308571989</v>
      </c>
      <c r="T38" s="4">
        <f>$T$8*'[2]Eurostat POM Portables GU'!T29</f>
        <v>1.6115082493381612</v>
      </c>
      <c r="U38" s="4">
        <f>$U$8*'[2]Eurostat POM Portables GU'!U29</f>
        <v>1.6421529524953495</v>
      </c>
      <c r="V38" s="4">
        <f>$V$8*'[2]Eurostat POM Portables GU'!V29</f>
        <v>1.1749022731339147</v>
      </c>
      <c r="W38" s="4">
        <f>$W$8*'[2]Eurostat POM Portables GU'!W29</f>
        <v>3.5654466248996886</v>
      </c>
      <c r="X38" s="48">
        <f>'[3]others portable_Portables Other'!AC38</f>
        <v>3.7793734223936699</v>
      </c>
      <c r="Y38" s="48">
        <f>'[3]others portable_Portables Other'!AD38</f>
        <v>4.0061358277372898</v>
      </c>
      <c r="Z38" s="48">
        <f>'[3]others portable_Portables Other'!AE38</f>
        <v>4.2465039774015274</v>
      </c>
      <c r="AA38" s="48">
        <f>'[3]others portable_Portables Other'!AF38</f>
        <v>4.5012942160456193</v>
      </c>
      <c r="AB38" s="48">
        <f>'[3]others portable_Portables Other'!AG38</f>
        <v>4.7713718690083562</v>
      </c>
      <c r="AC38" s="48">
        <f>'[3]others portable_Portables Other'!AH38</f>
        <v>5.0576541811488571</v>
      </c>
      <c r="AD38" s="48">
        <f>'[3]others portable_Portables Other'!AI38</f>
        <v>5.3611134320177882</v>
      </c>
      <c r="AE38" s="48">
        <f>'[3]others portable_Portables Other'!AJ38</f>
        <v>5.6827802379388554</v>
      </c>
      <c r="AF38" s="48">
        <f>'[3]others portable_Portables Other'!AK38</f>
        <v>6.023747052215187</v>
      </c>
      <c r="AG38" s="48">
        <f>'[3]others portable_Portables Other'!AL38</f>
        <v>6.3851718753480986</v>
      </c>
      <c r="AH38" s="48">
        <f>'[3]others portable_Portables Other'!AM38</f>
        <v>6.7044304691155032</v>
      </c>
      <c r="AI38" s="48">
        <f>'[3]others portable_Portables Other'!AN38</f>
        <v>7.0396519925712786</v>
      </c>
      <c r="AJ38" s="48">
        <f>'[3]others portable_Portables Other'!AO38</f>
        <v>7.3916345921998428</v>
      </c>
      <c r="AK38" s="48">
        <f>'[3]others portable_Portables Other'!AP38</f>
        <v>7.7612163218098349</v>
      </c>
      <c r="AL38" s="48">
        <f>'[3]others portable_Portables Other'!AQ38</f>
        <v>8.1492771379003273</v>
      </c>
      <c r="AM38" s="48">
        <f>'[3]others portable_Portables Other'!AR38</f>
        <v>8.5567409947953443</v>
      </c>
      <c r="AN38" s="48">
        <f>'[3]others portable_Portables Other'!AS38</f>
        <v>8.9845780445351124</v>
      </c>
      <c r="AO38" s="48">
        <f>'[3]others portable_Portables Other'!AT38</f>
        <v>9.4338069467618677</v>
      </c>
      <c r="AP38" s="48">
        <f>'[3]others portable_Portables Other'!AU38</f>
        <v>9.9054972940999608</v>
      </c>
      <c r="AQ38" s="48">
        <f>'[3]others portable_Portables Other'!AV38</f>
        <v>10.400772158804958</v>
      </c>
      <c r="AR38" s="48">
        <f>'[3]others portable_Portables Other'!AW38</f>
        <v>10.712795323569107</v>
      </c>
      <c r="AS38" s="48">
        <f>'[3]others portable_Portables Other'!AX38</f>
        <v>11.03417918327618</v>
      </c>
      <c r="AT38" s="48">
        <f>'[3]others portable_Portables Other'!AY38</f>
        <v>11.365204558774465</v>
      </c>
      <c r="AU38" s="48">
        <f>'[3]others portable_Portables Other'!AZ38</f>
        <v>11.706160695537699</v>
      </c>
      <c r="AV38" s="48">
        <f>'[3]others portable_Portables Other'!BA38</f>
        <v>12.05734551640383</v>
      </c>
      <c r="AW38" s="48">
        <f>'[3]others portable_Portables Other'!BB38</f>
        <v>12.419065881895945</v>
      </c>
      <c r="AX38" s="48">
        <f>'[3]others portable_Portables Other'!BC38</f>
        <v>12.791637858352823</v>
      </c>
      <c r="AY38" s="48">
        <f>'[3]others portable_Portables Other'!BD38</f>
        <v>13.175386994103407</v>
      </c>
      <c r="AZ38" s="48">
        <f>'[3]others portable_Portables Other'!BE38</f>
        <v>13.570648603926509</v>
      </c>
    </row>
    <row r="39" spans="1:52" x14ac:dyDescent="0.35">
      <c r="A39" s="61" t="s">
        <v>27</v>
      </c>
      <c r="B39" s="23">
        <f t="shared" si="1"/>
        <v>6.5073283094342553</v>
      </c>
      <c r="C39" s="23">
        <f t="shared" si="1"/>
        <v>6.6374748756229405</v>
      </c>
      <c r="D39" s="23">
        <f t="shared" si="1"/>
        <v>6.7702243731353997</v>
      </c>
      <c r="E39" s="23">
        <f t="shared" si="1"/>
        <v>6.9056288605981075</v>
      </c>
      <c r="F39" s="23">
        <f t="shared" si="1"/>
        <v>7.0437414378100698</v>
      </c>
      <c r="G39" s="23">
        <f t="shared" si="1"/>
        <v>7.1846162665662714</v>
      </c>
      <c r="H39" s="23">
        <f t="shared" si="1"/>
        <v>7.3283085918975965</v>
      </c>
      <c r="I39" s="23">
        <f t="shared" si="1"/>
        <v>7.4748747637355484</v>
      </c>
      <c r="J39" s="23">
        <f t="shared" si="1"/>
        <v>7.6243722590102596</v>
      </c>
      <c r="K39" s="23">
        <f t="shared" si="1"/>
        <v>7.776859704190465</v>
      </c>
      <c r="L39" s="23">
        <f t="shared" si="1"/>
        <v>7.9323968982742743</v>
      </c>
      <c r="M39" s="4">
        <f>M6*'[2]Eurostat POM Portables GU'!M30</f>
        <v>8.0910448362397602</v>
      </c>
      <c r="N39" s="4">
        <f>N6*'[2]Eurostat POM Portables GU'!N30</f>
        <v>6.280099365020023</v>
      </c>
      <c r="O39" s="4">
        <f>O6*'[2]Eurostat POM Portables GU'!O30</f>
        <v>8.9826832520491049</v>
      </c>
      <c r="P39" s="4">
        <f>P6*'[2]Eurostat POM Portables GU'!P30</f>
        <v>10.208696995678631</v>
      </c>
      <c r="Q39" s="4">
        <f>Q6*'[2]Eurostat POM Portables GU'!Q30</f>
        <v>8.0107169652607677</v>
      </c>
      <c r="R39" s="4">
        <f>R6*'[2]Eurostat POM Portables GU'!R30</f>
        <v>6.5375901828047267</v>
      </c>
      <c r="S39" s="4">
        <f>S6*'[2]Eurostat POM Portables GU'!S30</f>
        <v>57.076002166635355</v>
      </c>
      <c r="T39" s="4">
        <f>T6*'[2]Eurostat POM Portables GU'!T30</f>
        <v>66.979947565408196</v>
      </c>
      <c r="U39" s="4">
        <f>U6*'[2]Eurostat POM Portables GU'!U30</f>
        <v>70.329089207273</v>
      </c>
      <c r="V39" s="4">
        <f>V6*'[2]Eurostat POM Portables GU'!V30</f>
        <v>52.507831846263926</v>
      </c>
      <c r="W39" s="4">
        <f>W6*'[2]Eurostat POM Portables GU'!W30</f>
        <v>146.47904158879146</v>
      </c>
      <c r="X39" s="48">
        <f>'[3]others portable_Portables Other'!AC39</f>
        <v>155.26778408411894</v>
      </c>
      <c r="Y39" s="48">
        <f>'[3]others portable_Portables Other'!AD39</f>
        <v>164.58385112916608</v>
      </c>
      <c r="Z39" s="48">
        <f>'[3]others portable_Portables Other'!AE39</f>
        <v>174.45888219691605</v>
      </c>
      <c r="AA39" s="48">
        <f>'[3]others portable_Portables Other'!AF39</f>
        <v>184.92641512873101</v>
      </c>
      <c r="AB39" s="48">
        <f>'[3]others portable_Portables Other'!AG39</f>
        <v>196.02200003645487</v>
      </c>
      <c r="AC39" s="48">
        <f>'[3]others portable_Portables Other'!AH39</f>
        <v>207.78332003864216</v>
      </c>
      <c r="AD39" s="48">
        <f>'[3]others portable_Portables Other'!AI39</f>
        <v>220.25031924096069</v>
      </c>
      <c r="AE39" s="48">
        <f>'[3]others portable_Portables Other'!AJ39</f>
        <v>233.46533839541834</v>
      </c>
      <c r="AF39" s="48">
        <f>'[3]others portable_Portables Other'!AK39</f>
        <v>247.47325869914346</v>
      </c>
      <c r="AG39" s="48">
        <f>'[3]others portable_Portables Other'!AL39</f>
        <v>262.32165422109205</v>
      </c>
      <c r="AH39" s="48">
        <f>'[3]others portable_Portables Other'!AM39</f>
        <v>275.43773693214666</v>
      </c>
      <c r="AI39" s="48">
        <f>'[3]others portable_Portables Other'!AN39</f>
        <v>289.20962377875401</v>
      </c>
      <c r="AJ39" s="48">
        <f>'[3]others portable_Portables Other'!AO39</f>
        <v>303.67010496769171</v>
      </c>
      <c r="AK39" s="48">
        <f>'[3]others portable_Portables Other'!AP39</f>
        <v>318.85361021607628</v>
      </c>
      <c r="AL39" s="48">
        <f>'[3]others portable_Portables Other'!AQ39</f>
        <v>334.7962907268801</v>
      </c>
      <c r="AM39" s="48">
        <f>'[3]others portable_Portables Other'!AR39</f>
        <v>351.5361052632241</v>
      </c>
      <c r="AN39" s="48">
        <f>'[3]others portable_Portables Other'!AS39</f>
        <v>369.11291052638529</v>
      </c>
      <c r="AO39" s="48">
        <f>'[3]others portable_Portables Other'!AT39</f>
        <v>387.56855605270454</v>
      </c>
      <c r="AP39" s="48">
        <f>'[3]others portable_Portables Other'!AU39</f>
        <v>406.94698385533979</v>
      </c>
      <c r="AQ39" s="48">
        <f>'[3]others portable_Portables Other'!AV39</f>
        <v>427.29433304810681</v>
      </c>
      <c r="AR39" s="48">
        <f>'[3]others portable_Portables Other'!AW39</f>
        <v>440.11316303954999</v>
      </c>
      <c r="AS39" s="48">
        <f>'[3]others portable_Portables Other'!AX39</f>
        <v>453.31655793073651</v>
      </c>
      <c r="AT39" s="48">
        <f>'[3]others portable_Portables Other'!AY39</f>
        <v>466.9160546686586</v>
      </c>
      <c r="AU39" s="48">
        <f>'[3]others portable_Portables Other'!AZ39</f>
        <v>480.92353630871838</v>
      </c>
      <c r="AV39" s="48">
        <f>'[3]others portable_Portables Other'!BA39</f>
        <v>495.35124239797995</v>
      </c>
      <c r="AW39" s="48">
        <f>'[3]others portable_Portables Other'!BB39</f>
        <v>510.21177966991934</v>
      </c>
      <c r="AX39" s="48">
        <f>'[3]others portable_Portables Other'!BC39</f>
        <v>525.51813306001691</v>
      </c>
      <c r="AY39" s="48">
        <f>'[3]others portable_Portables Other'!BD39</f>
        <v>541.28367705181745</v>
      </c>
      <c r="AZ39" s="48">
        <f>'[3]others portable_Portables Other'!BE39</f>
        <v>557.52218736337193</v>
      </c>
    </row>
    <row r="40" spans="1:52" x14ac:dyDescent="0.35">
      <c r="A40" s="61" t="s">
        <v>28</v>
      </c>
      <c r="B40" s="23">
        <f t="shared" si="1"/>
        <v>2.493215421189197</v>
      </c>
      <c r="C40" s="23">
        <f t="shared" si="1"/>
        <v>2.5430797296129812</v>
      </c>
      <c r="D40" s="23">
        <f t="shared" si="1"/>
        <v>2.5939413242052409</v>
      </c>
      <c r="E40" s="23">
        <f t="shared" si="1"/>
        <v>2.645820150689346</v>
      </c>
      <c r="F40" s="23">
        <f t="shared" si="1"/>
        <v>2.6987365537031329</v>
      </c>
      <c r="G40" s="23">
        <f t="shared" si="1"/>
        <v>2.7527112847771957</v>
      </c>
      <c r="H40" s="23">
        <f t="shared" si="1"/>
        <v>2.8077655104727395</v>
      </c>
      <c r="I40" s="23">
        <f t="shared" si="1"/>
        <v>2.8639208206821944</v>
      </c>
      <c r="J40" s="23">
        <f t="shared" si="1"/>
        <v>2.9211992370958382</v>
      </c>
      <c r="K40" s="23">
        <f t="shared" si="1"/>
        <v>2.979623221837755</v>
      </c>
      <c r="L40" s="23">
        <f t="shared" si="1"/>
        <v>3.0392156862745101</v>
      </c>
      <c r="M40" s="4">
        <f>M7*'[2]Eurostat POM Portables GU'!M31</f>
        <v>3.1000000000000005</v>
      </c>
      <c r="N40" s="4">
        <f>N7*'[2]Eurostat POM Portables GU'!N31</f>
        <v>5.0999999999999996</v>
      </c>
      <c r="O40" s="4">
        <f>O7*'[2]Eurostat POM Portables GU'!O31</f>
        <v>0.7</v>
      </c>
      <c r="P40" s="4">
        <f>P7*'[2]Eurostat POM Portables GU'!P31</f>
        <v>1</v>
      </c>
      <c r="Q40" s="4">
        <f>Q7*'[2]Eurostat POM Portables GU'!Q31</f>
        <v>1.1000000000000001</v>
      </c>
      <c r="R40" s="4">
        <f>R7*'[2]Eurostat POM Portables GU'!R31</f>
        <v>1</v>
      </c>
      <c r="S40" s="4">
        <f>S7*'[2]Eurostat POM Portables GU'!S31</f>
        <v>2.6</v>
      </c>
      <c r="T40" s="4">
        <f>T7*'[2]Eurostat POM Portables GU'!T31</f>
        <v>2.8</v>
      </c>
      <c r="U40" s="4">
        <f>U7*'[2]Eurostat POM Portables GU'!U31</f>
        <v>0</v>
      </c>
      <c r="V40" s="4">
        <f>V7*'[2]Eurostat POM Portables GU'!V31</f>
        <v>0</v>
      </c>
      <c r="W40" s="4">
        <f>W7*'[2]Eurostat POM Portables GU'!W31</f>
        <v>0</v>
      </c>
      <c r="X40" s="48">
        <f>'[3]others portable_Portables Other'!AC40</f>
        <v>2</v>
      </c>
      <c r="Y40" s="48">
        <f>'[3]others portable_Portables Other'!AD40</f>
        <v>2.12</v>
      </c>
      <c r="Z40" s="48">
        <f>'[3]others portable_Portables Other'!AE40</f>
        <v>2.2472000000000003</v>
      </c>
      <c r="AA40" s="48">
        <f>'[3]others portable_Portables Other'!AF40</f>
        <v>2.3820320000000001</v>
      </c>
      <c r="AB40" s="48">
        <f>'[3]others portable_Portables Other'!AG40</f>
        <v>2.5249539200000002</v>
      </c>
      <c r="AC40" s="48">
        <f>'[3]others portable_Portables Other'!AH40</f>
        <v>2.6764511552000001</v>
      </c>
      <c r="AD40" s="48">
        <f>'[3]others portable_Portables Other'!AI40</f>
        <v>2.8370382245120003</v>
      </c>
      <c r="AE40" s="48">
        <f>'[3]others portable_Portables Other'!AJ40</f>
        <v>3.0072605179827203</v>
      </c>
      <c r="AF40" s="48">
        <f>'[3]others portable_Portables Other'!AK40</f>
        <v>3.1876961490616837</v>
      </c>
      <c r="AG40" s="48">
        <f>'[3]others portable_Portables Other'!AL40</f>
        <v>3.3789579180053848</v>
      </c>
      <c r="AH40" s="48">
        <f>'[3]others portable_Portables Other'!AM40</f>
        <v>3.5479058139056541</v>
      </c>
      <c r="AI40" s="48">
        <f>'[3]others portable_Portables Other'!AN40</f>
        <v>3.7253011046009368</v>
      </c>
      <c r="AJ40" s="48">
        <f>'[3]others portable_Portables Other'!AO40</f>
        <v>3.9115661598309837</v>
      </c>
      <c r="AK40" s="48">
        <f>'[3]others portable_Portables Other'!AP40</f>
        <v>4.1071444678225326</v>
      </c>
      <c r="AL40" s="48">
        <f>'[3]others portable_Portables Other'!AQ40</f>
        <v>4.3125016912136589</v>
      </c>
      <c r="AM40" s="48">
        <f>'[3]others portable_Portables Other'!AR40</f>
        <v>4.528126775774342</v>
      </c>
      <c r="AN40" s="48">
        <f>'[3]others portable_Portables Other'!AS40</f>
        <v>4.7545331145630589</v>
      </c>
      <c r="AO40" s="48">
        <f>'[3]others portable_Portables Other'!AT40</f>
        <v>4.9922597702912119</v>
      </c>
      <c r="AP40" s="48">
        <f>'[3]others portable_Portables Other'!AU40</f>
        <v>5.2418727588057727</v>
      </c>
      <c r="AQ40" s="48">
        <f>'[3]others portable_Portables Other'!AV40</f>
        <v>5.503966396746061</v>
      </c>
      <c r="AR40" s="48">
        <f>'[3]others portable_Portables Other'!AW40</f>
        <v>5.6690853886484431</v>
      </c>
      <c r="AS40" s="48">
        <f>'[3]others portable_Portables Other'!AX40</f>
        <v>5.8391579503078965</v>
      </c>
      <c r="AT40" s="48">
        <f>'[3]others portable_Portables Other'!AY40</f>
        <v>6.0143326888171336</v>
      </c>
      <c r="AU40" s="48">
        <f>'[3]others portable_Portables Other'!AZ40</f>
        <v>6.1947626694816478</v>
      </c>
      <c r="AV40" s="48">
        <f>'[3]others portable_Portables Other'!BA40</f>
        <v>6.3806055495660976</v>
      </c>
      <c r="AW40" s="48">
        <f>'[3]others portable_Portables Other'!BB40</f>
        <v>6.5720237160530806</v>
      </c>
      <c r="AX40" s="48">
        <f>'[3]others portable_Portables Other'!BC40</f>
        <v>6.7691844275346726</v>
      </c>
      <c r="AY40" s="48">
        <f>'[3]others portable_Portables Other'!BD40</f>
        <v>6.9722599603607129</v>
      </c>
      <c r="AZ40" s="48">
        <f>'[3]others portable_Portables Other'!BE40</f>
        <v>7.1814277591715339</v>
      </c>
    </row>
    <row r="41" spans="1:52" x14ac:dyDescent="0.35">
      <c r="A41" s="61" t="s">
        <v>29</v>
      </c>
      <c r="B41" s="23">
        <f t="shared" si="1"/>
        <v>1.5742925061459037</v>
      </c>
      <c r="C41" s="23">
        <f t="shared" si="1"/>
        <v>1.6057783562688217</v>
      </c>
      <c r="D41" s="23">
        <f t="shared" si="1"/>
        <v>1.6378939233941983</v>
      </c>
      <c r="E41" s="23">
        <f t="shared" si="1"/>
        <v>1.6706518018620822</v>
      </c>
      <c r="F41" s="23">
        <f t="shared" si="1"/>
        <v>1.7040648378993239</v>
      </c>
      <c r="G41" s="23">
        <f t="shared" si="1"/>
        <v>1.7381461346573104</v>
      </c>
      <c r="H41" s="23">
        <f t="shared" si="1"/>
        <v>1.7729090573504567</v>
      </c>
      <c r="I41" s="23">
        <f t="shared" si="1"/>
        <v>1.8083672384974658</v>
      </c>
      <c r="J41" s="23">
        <f t="shared" si="1"/>
        <v>1.8445345832674152</v>
      </c>
      <c r="K41" s="23">
        <f t="shared" si="1"/>
        <v>1.8814252749327636</v>
      </c>
      <c r="L41" s="23">
        <f t="shared" si="1"/>
        <v>1.9190537804314189</v>
      </c>
      <c r="M41" s="4">
        <f>$M$8*'[2]Eurostat POM Portables GU'!M32</f>
        <v>1.9574348560400474</v>
      </c>
      <c r="N41" s="4">
        <f>$N$8*'[2]Eurostat POM Portables GU'!N32</f>
        <v>4.4309616291798983</v>
      </c>
      <c r="O41" s="4">
        <f>$O$8*'[2]Eurostat POM Portables GU'!O32</f>
        <v>23.652681001174994</v>
      </c>
      <c r="P41" s="4">
        <f>$P$8*'[2]Eurostat POM Portables GU'!P32</f>
        <v>25.170113468982485</v>
      </c>
      <c r="Q41" s="4">
        <f>$Q$8*'[2]Eurostat POM Portables GU'!Q32</f>
        <v>19.872561893909804</v>
      </c>
      <c r="R41" s="4">
        <f>$R$8*'[2]Eurostat POM Portables GU'!R32</f>
        <v>2.8465933193493509</v>
      </c>
      <c r="S41" s="4">
        <f>$S$8*'[2]Eurostat POM Portables GU'!S32</f>
        <v>7.8328492518773309</v>
      </c>
      <c r="T41" s="4">
        <f>$T$8*'[2]Eurostat POM Portables GU'!T32</f>
        <v>8.8877714990837333</v>
      </c>
      <c r="U41" s="4">
        <f>$U$8*'[2]Eurostat POM Portables GU'!U32</f>
        <v>9.6301526685951764</v>
      </c>
      <c r="V41" s="4">
        <f>$V$8*'[2]Eurostat POM Portables GU'!V32</f>
        <v>8.195867915009222</v>
      </c>
      <c r="W41" s="4">
        <f>$W$8*'[2]Eurostat POM Portables GU'!W32</f>
        <v>26.680350026822893</v>
      </c>
      <c r="X41" s="48">
        <f>'[3]others portable_Portables Other'!AC41</f>
        <v>28.281171028432265</v>
      </c>
      <c r="Y41" s="48">
        <f>'[3]others portable_Portables Other'!AD41</f>
        <v>29.978041290138201</v>
      </c>
      <c r="Z41" s="48">
        <f>'[3]others portable_Portables Other'!AE41</f>
        <v>31.776723767546493</v>
      </c>
      <c r="AA41" s="48">
        <f>'[3]others portable_Portables Other'!AF41</f>
        <v>33.683327193599283</v>
      </c>
      <c r="AB41" s="48">
        <f>'[3]others portable_Portables Other'!AG41</f>
        <v>35.70432682521524</v>
      </c>
      <c r="AC41" s="48">
        <f>'[3]others portable_Portables Other'!AH41</f>
        <v>37.846586434728152</v>
      </c>
      <c r="AD41" s="48">
        <f>'[3]others portable_Portables Other'!AI41</f>
        <v>40.117381620811841</v>
      </c>
      <c r="AE41" s="48">
        <f>'[3]others portable_Portables Other'!AJ41</f>
        <v>42.524424518060549</v>
      </c>
      <c r="AF41" s="48">
        <f>'[3]others portable_Portables Other'!AK41</f>
        <v>45.07588998914418</v>
      </c>
      <c r="AG41" s="48">
        <f>'[3]others portable_Portables Other'!AL41</f>
        <v>47.780443388492827</v>
      </c>
      <c r="AH41" s="48">
        <f>'[3]others portable_Portables Other'!AM41</f>
        <v>50.169465557917469</v>
      </c>
      <c r="AI41" s="48">
        <f>'[3]others portable_Portables Other'!AN41</f>
        <v>52.677938835813343</v>
      </c>
      <c r="AJ41" s="48">
        <f>'[3]others portable_Portables Other'!AO41</f>
        <v>55.31183577760401</v>
      </c>
      <c r="AK41" s="48">
        <f>'[3]others portable_Portables Other'!AP41</f>
        <v>58.077427566484211</v>
      </c>
      <c r="AL41" s="48">
        <f>'[3]others portable_Portables Other'!AQ41</f>
        <v>60.981298944808422</v>
      </c>
      <c r="AM41" s="48">
        <f>'[3]others portable_Portables Other'!AR41</f>
        <v>64.03036389204884</v>
      </c>
      <c r="AN41" s="48">
        <f>'[3]others portable_Portables Other'!AS41</f>
        <v>67.231882086651282</v>
      </c>
      <c r="AO41" s="48">
        <f>'[3]others portable_Portables Other'!AT41</f>
        <v>70.59347619098385</v>
      </c>
      <c r="AP41" s="48">
        <f>'[3]others portable_Portables Other'!AU41</f>
        <v>74.123150000533045</v>
      </c>
      <c r="AQ41" s="48">
        <f>'[3]others portable_Portables Other'!AV41</f>
        <v>77.829307500559693</v>
      </c>
      <c r="AR41" s="48">
        <f>'[3]others portable_Portables Other'!AW41</f>
        <v>80.164186725576485</v>
      </c>
      <c r="AS41" s="48">
        <f>'[3]others portable_Portables Other'!AX41</f>
        <v>82.569112327343774</v>
      </c>
      <c r="AT41" s="48">
        <f>'[3]others portable_Portables Other'!AY41</f>
        <v>85.046185697164091</v>
      </c>
      <c r="AU41" s="48">
        <f>'[3]others portable_Portables Other'!AZ41</f>
        <v>87.597571268079008</v>
      </c>
      <c r="AV41" s="48">
        <f>'[3]others portable_Portables Other'!BA41</f>
        <v>90.225498406121375</v>
      </c>
      <c r="AW41" s="48">
        <f>'[3]others portable_Portables Other'!BB41</f>
        <v>92.932263358305022</v>
      </c>
      <c r="AX41" s="48">
        <f>'[3]others portable_Portables Other'!BC41</f>
        <v>95.720231259054174</v>
      </c>
      <c r="AY41" s="48">
        <f>'[3]others portable_Portables Other'!BD41</f>
        <v>98.591838196825805</v>
      </c>
      <c r="AZ41" s="48">
        <f>'[3]others portable_Portables Other'!BE41</f>
        <v>101.54959334273057</v>
      </c>
    </row>
    <row r="42" spans="1:52" x14ac:dyDescent="0.35">
      <c r="A42" s="61" t="s">
        <v>30</v>
      </c>
      <c r="B42" s="23">
        <f t="shared" si="1"/>
        <v>16.558603640496276</v>
      </c>
      <c r="C42" s="23">
        <f t="shared" si="1"/>
        <v>16.889775713306204</v>
      </c>
      <c r="D42" s="23">
        <f t="shared" si="1"/>
        <v>17.227571227572327</v>
      </c>
      <c r="E42" s="23">
        <f t="shared" si="1"/>
        <v>17.572122652123774</v>
      </c>
      <c r="F42" s="23">
        <f t="shared" si="1"/>
        <v>17.923565105166251</v>
      </c>
      <c r="G42" s="23">
        <f t="shared" si="1"/>
        <v>18.282036407269576</v>
      </c>
      <c r="H42" s="23">
        <f t="shared" si="1"/>
        <v>18.647677135414966</v>
      </c>
      <c r="I42" s="23">
        <f t="shared" si="1"/>
        <v>19.020630678123265</v>
      </c>
      <c r="J42" s="23">
        <f t="shared" si="1"/>
        <v>19.401043291685731</v>
      </c>
      <c r="K42" s="23">
        <f t="shared" si="1"/>
        <v>19.789064157519448</v>
      </c>
      <c r="L42" s="23">
        <f t="shared" si="1"/>
        <v>20.184845440669836</v>
      </c>
      <c r="M42" s="4">
        <f>$M$8*'[2]Eurostat POM Portables GU'!M33</f>
        <v>20.588542349483234</v>
      </c>
      <c r="N42" s="4">
        <f>$N$8*'[2]Eurostat POM Portables GU'!N33</f>
        <v>44.444118025267436</v>
      </c>
      <c r="O42" s="4">
        <f>$O$8*'[2]Eurostat POM Portables GU'!O33</f>
        <v>244.98361284184219</v>
      </c>
      <c r="P42" s="4">
        <f>$P$8*'[2]Eurostat POM Portables GU'!P33</f>
        <v>247.61116878326348</v>
      </c>
      <c r="Q42" s="4">
        <f>$Q$8*'[2]Eurostat POM Portables GU'!Q33</f>
        <v>186.6748629739744</v>
      </c>
      <c r="R42" s="4">
        <f>$R$8*'[2]Eurostat POM Portables GU'!R33</f>
        <v>26.857011046068102</v>
      </c>
      <c r="S42" s="4">
        <f>$S$8*'[2]Eurostat POM Portables GU'!S33</f>
        <v>73.106954053157125</v>
      </c>
      <c r="T42" s="4">
        <f>$T$8*'[2]Eurostat POM Portables GU'!T33</f>
        <v>74.73195236276328</v>
      </c>
      <c r="U42" s="4">
        <f>$U$8*'[2]Eurostat POM Portables GU'!U33</f>
        <v>74.416984047162259</v>
      </c>
      <c r="V42" s="4">
        <f>$V$8*'[2]Eurostat POM Portables GU'!V33</f>
        <v>57.41913829587471</v>
      </c>
      <c r="W42" s="4">
        <f>$W$8*'[2]Eurostat POM Portables GU'!W33</f>
        <v>175.34265537968079</v>
      </c>
      <c r="X42" s="48">
        <f>'[3]others portable_Portables Other'!AC42</f>
        <v>185.86321470246165</v>
      </c>
      <c r="Y42" s="48">
        <f>'[3]others portable_Portables Other'!AD42</f>
        <v>197.01500758460935</v>
      </c>
      <c r="Z42" s="48">
        <f>'[3]others portable_Portables Other'!AE42</f>
        <v>208.8359080396859</v>
      </c>
      <c r="AA42" s="48">
        <f>'[3]others portable_Portables Other'!AF42</f>
        <v>221.36606252206707</v>
      </c>
      <c r="AB42" s="48">
        <f>'[3]others portable_Portables Other'!AG42</f>
        <v>234.64802627339108</v>
      </c>
      <c r="AC42" s="48">
        <f>'[3]others portable_Portables Other'!AH42</f>
        <v>248.72690784979454</v>
      </c>
      <c r="AD42" s="48">
        <f>'[3]others portable_Portables Other'!AI42</f>
        <v>263.65052232078222</v>
      </c>
      <c r="AE42" s="48">
        <f>'[3]others portable_Portables Other'!AJ42</f>
        <v>279.46955366002913</v>
      </c>
      <c r="AF42" s="48">
        <f>'[3]others portable_Portables Other'!AK42</f>
        <v>296.23772687963088</v>
      </c>
      <c r="AG42" s="48">
        <f>'[3]others portable_Portables Other'!AL42</f>
        <v>314.01199049240876</v>
      </c>
      <c r="AH42" s="48">
        <f>'[3]others portable_Portables Other'!AM42</f>
        <v>329.71259001702919</v>
      </c>
      <c r="AI42" s="48">
        <f>'[3]others portable_Portables Other'!AN42</f>
        <v>346.19821951788066</v>
      </c>
      <c r="AJ42" s="48">
        <f>'[3]others portable_Portables Other'!AO42</f>
        <v>363.50813049377467</v>
      </c>
      <c r="AK42" s="48">
        <f>'[3]others portable_Portables Other'!AP42</f>
        <v>381.68353701846343</v>
      </c>
      <c r="AL42" s="48">
        <f>'[3]others portable_Portables Other'!AQ42</f>
        <v>400.76771386938663</v>
      </c>
      <c r="AM42" s="48">
        <f>'[3]others portable_Portables Other'!AR42</f>
        <v>420.80609956285593</v>
      </c>
      <c r="AN42" s="48">
        <f>'[3]others portable_Portables Other'!AS42</f>
        <v>441.84640454099872</v>
      </c>
      <c r="AO42" s="48">
        <f>'[3]others portable_Portables Other'!AT42</f>
        <v>463.93872476804864</v>
      </c>
      <c r="AP42" s="48">
        <f>'[3]others portable_Portables Other'!AU42</f>
        <v>487.13566100645107</v>
      </c>
      <c r="AQ42" s="48">
        <f>'[3]others portable_Portables Other'!AV42</f>
        <v>511.49244405677365</v>
      </c>
      <c r="AR42" s="48">
        <f>'[3]others portable_Portables Other'!AW42</f>
        <v>526.83721737847691</v>
      </c>
      <c r="AS42" s="48">
        <f>'[3]others portable_Portables Other'!AX42</f>
        <v>542.64233389983121</v>
      </c>
      <c r="AT42" s="48">
        <f>'[3]others portable_Portables Other'!AY42</f>
        <v>558.92160391682614</v>
      </c>
      <c r="AU42" s="48">
        <f>'[3]others portable_Portables Other'!AZ42</f>
        <v>575.68925203433093</v>
      </c>
      <c r="AV42" s="48">
        <f>'[3]others portable_Portables Other'!BA42</f>
        <v>592.9599295953609</v>
      </c>
      <c r="AW42" s="48">
        <f>'[3]others portable_Portables Other'!BB42</f>
        <v>610.74872748322173</v>
      </c>
      <c r="AX42" s="48">
        <f>'[3]others portable_Portables Other'!BC42</f>
        <v>629.07118930771833</v>
      </c>
      <c r="AY42" s="48">
        <f>'[3]others portable_Portables Other'!BD42</f>
        <v>647.94332498694985</v>
      </c>
      <c r="AZ42" s="48">
        <f>'[3]others portable_Portables Other'!BE42</f>
        <v>667.38162473655836</v>
      </c>
    </row>
    <row r="43" spans="1:52" x14ac:dyDescent="0.35">
      <c r="A43" s="61" t="s">
        <v>31</v>
      </c>
      <c r="B43" s="4">
        <f t="shared" ref="B43:L43" si="2">SUM(B12:B42)</f>
        <v>96.923806685238503</v>
      </c>
      <c r="C43" s="4">
        <f t="shared" si="2"/>
        <v>98.862282818943285</v>
      </c>
      <c r="D43" s="4">
        <f t="shared" si="2"/>
        <v>100.83952847532217</v>
      </c>
      <c r="E43" s="4">
        <f t="shared" si="2"/>
        <v>102.85631904482858</v>
      </c>
      <c r="F43" s="4">
        <f t="shared" si="2"/>
        <v>104.91344542572514</v>
      </c>
      <c r="G43" s="4">
        <f t="shared" si="2"/>
        <v>107.01171433423966</v>
      </c>
      <c r="H43" s="4">
        <f t="shared" si="2"/>
        <v>109.15194862092447</v>
      </c>
      <c r="I43" s="4">
        <f t="shared" si="2"/>
        <v>111.33498759334296</v>
      </c>
      <c r="J43" s="4">
        <f t="shared" si="2"/>
        <v>113.56168734520983</v>
      </c>
      <c r="K43" s="4">
        <f t="shared" si="2"/>
        <v>115.83292109211402</v>
      </c>
      <c r="L43" s="4">
        <f t="shared" si="2"/>
        <v>118.14957951395628</v>
      </c>
      <c r="M43" s="4">
        <f>SUM(M12:M42)</f>
        <v>120.51257110423539</v>
      </c>
      <c r="N43" s="4">
        <f>SUM(N12:N42)</f>
        <v>296.45064429122812</v>
      </c>
      <c r="O43" s="4">
        <f t="shared" ref="O43:AZ43" si="3">SUM(O12:O42)</f>
        <v>1621.3671047981372</v>
      </c>
      <c r="P43" s="4">
        <f t="shared" si="3"/>
        <v>1587.7837691982377</v>
      </c>
      <c r="Q43" s="4">
        <f t="shared" si="3"/>
        <v>1234.8557441018875</v>
      </c>
      <c r="R43" s="4">
        <f t="shared" si="3"/>
        <v>187.60667544736296</v>
      </c>
      <c r="S43" s="4">
        <f t="shared" si="3"/>
        <v>431.33513468659032</v>
      </c>
      <c r="T43" s="4">
        <f t="shared" si="3"/>
        <v>445.13382951428639</v>
      </c>
      <c r="U43" s="4">
        <f t="shared" si="3"/>
        <v>494.54243933232152</v>
      </c>
      <c r="V43" s="4">
        <f t="shared" si="3"/>
        <v>408.55350616369901</v>
      </c>
      <c r="W43" s="4">
        <f t="shared" si="3"/>
        <v>1090.0761020935652</v>
      </c>
      <c r="X43" s="4">
        <f t="shared" si="3"/>
        <v>1157.4806682191791</v>
      </c>
      <c r="Y43" s="4">
        <f t="shared" si="3"/>
        <v>1226.9295083123295</v>
      </c>
      <c r="Z43" s="4">
        <f t="shared" si="3"/>
        <v>1300.5452788110695</v>
      </c>
      <c r="AA43" s="4">
        <f t="shared" si="3"/>
        <v>1378.5779955397336</v>
      </c>
      <c r="AB43" s="4">
        <f t="shared" si="3"/>
        <v>1461.2926752721175</v>
      </c>
      <c r="AC43" s="4">
        <f t="shared" si="3"/>
        <v>1548.9702357884446</v>
      </c>
      <c r="AD43" s="4">
        <f t="shared" si="3"/>
        <v>1641.9084499357514</v>
      </c>
      <c r="AE43" s="4">
        <f t="shared" si="3"/>
        <v>1740.4229569318966</v>
      </c>
      <c r="AF43" s="4">
        <f t="shared" si="3"/>
        <v>1844.8483343478099</v>
      </c>
      <c r="AG43" s="4">
        <f t="shared" si="3"/>
        <v>1955.5392344086786</v>
      </c>
      <c r="AH43" s="4">
        <f t="shared" si="3"/>
        <v>2053.316196129113</v>
      </c>
      <c r="AI43" s="4">
        <f t="shared" si="3"/>
        <v>2155.9820059355684</v>
      </c>
      <c r="AJ43" s="4">
        <f t="shared" si="3"/>
        <v>2263.7811062323472</v>
      </c>
      <c r="AK43" s="4">
        <f t="shared" si="3"/>
        <v>2376.9701615439644</v>
      </c>
      <c r="AL43" s="4">
        <f t="shared" si="3"/>
        <v>2495.8186696211619</v>
      </c>
      <c r="AM43" s="4">
        <f t="shared" si="3"/>
        <v>2620.6096031022198</v>
      </c>
      <c r="AN43" s="4">
        <f t="shared" si="3"/>
        <v>2751.6400832573313</v>
      </c>
      <c r="AO43" s="4">
        <f t="shared" si="3"/>
        <v>2889.2220874201989</v>
      </c>
      <c r="AP43" s="4">
        <f t="shared" si="3"/>
        <v>3033.6831917912077</v>
      </c>
      <c r="AQ43" s="4">
        <f t="shared" si="3"/>
        <v>3185.3673513807685</v>
      </c>
      <c r="AR43" s="4">
        <f t="shared" si="3"/>
        <v>3280.9283719221917</v>
      </c>
      <c r="AS43" s="4">
        <f t="shared" si="3"/>
        <v>3379.3562230798575</v>
      </c>
      <c r="AT43" s="4">
        <f t="shared" si="3"/>
        <v>3480.7369097722531</v>
      </c>
      <c r="AU43" s="4">
        <f t="shared" si="3"/>
        <v>3585.1590170654208</v>
      </c>
      <c r="AV43" s="4">
        <f t="shared" si="3"/>
        <v>3692.7137875773838</v>
      </c>
      <c r="AW43" s="4">
        <f t="shared" si="3"/>
        <v>3803.4952012047061</v>
      </c>
      <c r="AX43" s="4">
        <f t="shared" si="3"/>
        <v>3917.6000572408457</v>
      </c>
      <c r="AY43" s="4">
        <f t="shared" si="3"/>
        <v>4035.1280589580724</v>
      </c>
      <c r="AZ43" s="4">
        <f t="shared" si="3"/>
        <v>4156.1819007268132</v>
      </c>
    </row>
    <row r="44" spans="1:52" x14ac:dyDescent="0.35">
      <c r="A44" s="58" t="s">
        <v>68</v>
      </c>
      <c r="B44" s="39">
        <f t="shared" ref="B44:L44" si="4">_xlfn.RRI(1,B43,C43)</f>
        <v>2.0000000000000018E-2</v>
      </c>
      <c r="C44" s="39">
        <f t="shared" si="4"/>
        <v>2.000000000000024E-2</v>
      </c>
      <c r="D44" s="39">
        <f t="shared" si="4"/>
        <v>1.9999999999999796E-2</v>
      </c>
      <c r="E44" s="39">
        <f t="shared" si="4"/>
        <v>2.0000000000000018E-2</v>
      </c>
      <c r="F44" s="39">
        <f t="shared" si="4"/>
        <v>2.0000000000000018E-2</v>
      </c>
      <c r="G44" s="39">
        <f t="shared" si="4"/>
        <v>2.000000000000024E-2</v>
      </c>
      <c r="H44" s="39">
        <f t="shared" si="4"/>
        <v>2.0000000000000018E-2</v>
      </c>
      <c r="I44" s="39">
        <f t="shared" si="4"/>
        <v>2.000000000000024E-2</v>
      </c>
      <c r="J44" s="39">
        <f t="shared" si="4"/>
        <v>2.0000000000000018E-2</v>
      </c>
      <c r="K44" s="39">
        <f t="shared" si="4"/>
        <v>1.9999999999999796E-2</v>
      </c>
      <c r="L44" s="39">
        <f t="shared" si="4"/>
        <v>1.9999999999999796E-2</v>
      </c>
      <c r="M44" s="39">
        <f>_xlfn.RRI(1,M43,N43)</f>
        <v>1.4599146925080366</v>
      </c>
      <c r="N44" s="39">
        <f t="shared" ref="N44:AY44" si="5">_xlfn.RRI(1,N43,O43)</f>
        <v>4.4692649047014168</v>
      </c>
      <c r="O44" s="39">
        <f t="shared" si="5"/>
        <v>-2.0712974563574127E-2</v>
      </c>
      <c r="P44" s="39">
        <f t="shared" si="5"/>
        <v>-0.22227713366446844</v>
      </c>
      <c r="Q44" s="39">
        <f t="shared" si="5"/>
        <v>-0.8480740148446978</v>
      </c>
      <c r="R44" s="39">
        <f t="shared" si="5"/>
        <v>1.2991459853869141</v>
      </c>
      <c r="S44" s="39">
        <f t="shared" si="5"/>
        <v>3.1990658117202253E-2</v>
      </c>
      <c r="T44" s="39">
        <f t="shared" si="5"/>
        <v>0.11099720250862077</v>
      </c>
      <c r="U44" s="39">
        <f t="shared" si="5"/>
        <v>-0.17387574114916327</v>
      </c>
      <c r="V44" s="39">
        <f t="shared" si="5"/>
        <v>1.6681354722159552</v>
      </c>
      <c r="W44" s="39">
        <f t="shared" si="5"/>
        <v>6.1834734287045556E-2</v>
      </c>
      <c r="X44" s="39">
        <f t="shared" si="5"/>
        <v>5.9999999999999831E-2</v>
      </c>
      <c r="Y44" s="39">
        <f t="shared" si="5"/>
        <v>6.0000000000000053E-2</v>
      </c>
      <c r="Z44" s="39">
        <f t="shared" si="5"/>
        <v>6.0000000000000053E-2</v>
      </c>
      <c r="AA44" s="39">
        <f t="shared" si="5"/>
        <v>6.0000000000000053E-2</v>
      </c>
      <c r="AB44" s="39">
        <f t="shared" si="5"/>
        <v>6.0000000000000053E-2</v>
      </c>
      <c r="AC44" s="39">
        <f t="shared" si="5"/>
        <v>6.0000000000000053E-2</v>
      </c>
      <c r="AD44" s="39">
        <f t="shared" si="5"/>
        <v>6.0000000000000053E-2</v>
      </c>
      <c r="AE44" s="39">
        <f t="shared" si="5"/>
        <v>5.9999999999999831E-2</v>
      </c>
      <c r="AF44" s="39">
        <f t="shared" si="5"/>
        <v>6.0000000000000053E-2</v>
      </c>
      <c r="AG44" s="39">
        <f t="shared" si="5"/>
        <v>5.0000000000000266E-2</v>
      </c>
      <c r="AH44" s="39">
        <f t="shared" si="5"/>
        <v>4.9999999999999822E-2</v>
      </c>
      <c r="AI44" s="39">
        <f t="shared" si="5"/>
        <v>5.0000000000000266E-2</v>
      </c>
      <c r="AJ44" s="39">
        <f t="shared" si="5"/>
        <v>5.0000000000000044E-2</v>
      </c>
      <c r="AK44" s="39">
        <f t="shared" si="5"/>
        <v>4.99999999999996E-2</v>
      </c>
      <c r="AL44" s="39">
        <f t="shared" si="5"/>
        <v>4.9999999999999822E-2</v>
      </c>
      <c r="AM44" s="39">
        <f t="shared" si="5"/>
        <v>5.0000000000000266E-2</v>
      </c>
      <c r="AN44" s="39">
        <f t="shared" si="5"/>
        <v>5.0000000000000488E-2</v>
      </c>
      <c r="AO44" s="39">
        <f t="shared" si="5"/>
        <v>4.99999999999996E-2</v>
      </c>
      <c r="AP44" s="39">
        <f t="shared" si="5"/>
        <v>5.0000000000000044E-2</v>
      </c>
      <c r="AQ44" s="39">
        <f t="shared" si="5"/>
        <v>3.0000000000000027E-2</v>
      </c>
      <c r="AR44" s="39">
        <f t="shared" si="5"/>
        <v>3.0000000000000027E-2</v>
      </c>
      <c r="AS44" s="39">
        <f t="shared" si="5"/>
        <v>3.0000000000000027E-2</v>
      </c>
      <c r="AT44" s="39">
        <f t="shared" si="5"/>
        <v>3.0000000000000027E-2</v>
      </c>
      <c r="AU44" s="39">
        <f t="shared" si="5"/>
        <v>3.0000000000000027E-2</v>
      </c>
      <c r="AV44" s="39">
        <f t="shared" si="5"/>
        <v>3.0000000000000249E-2</v>
      </c>
      <c r="AW44" s="39">
        <f t="shared" si="5"/>
        <v>2.9999999999999583E-2</v>
      </c>
      <c r="AX44" s="39">
        <f t="shared" si="5"/>
        <v>3.0000000000000249E-2</v>
      </c>
      <c r="AY44" s="39">
        <f t="shared" si="5"/>
        <v>2.9999999999999583E-2</v>
      </c>
      <c r="AZ44" s="2"/>
    </row>
    <row r="45" spans="1:52" x14ac:dyDescent="0.35"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52" x14ac:dyDescent="0.35">
      <c r="A46" s="24" t="s">
        <v>94</v>
      </c>
      <c r="B46" s="24"/>
      <c r="C46" s="24"/>
      <c r="D46" s="6"/>
      <c r="E46" s="6"/>
      <c r="F46" s="6"/>
      <c r="G46" s="6"/>
      <c r="H46" s="6"/>
      <c r="I46" s="6"/>
      <c r="J46" s="6"/>
      <c r="K46" s="6"/>
      <c r="L46" s="6"/>
      <c r="M46" s="2"/>
    </row>
    <row r="47" spans="1:52" x14ac:dyDescent="0.35">
      <c r="A47" s="48" t="s">
        <v>91</v>
      </c>
      <c r="B47" s="48"/>
      <c r="C47" s="48"/>
    </row>
    <row r="48" spans="1:52" x14ac:dyDescent="0.35">
      <c r="A48" s="38" t="s">
        <v>88</v>
      </c>
      <c r="B48" s="39">
        <f>_xlfn.RRI(5,Q43,V43)</f>
        <v>-0.19845752152533469</v>
      </c>
    </row>
  </sheetData>
  <mergeCells count="4">
    <mergeCell ref="M2:W2"/>
    <mergeCell ref="B10:L10"/>
    <mergeCell ref="M10:W10"/>
    <mergeCell ref="X10:AZ10"/>
  </mergeCells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F1E2-A9DA-444D-8E52-817B206B55FC}">
  <sheetPr>
    <tabColor theme="9"/>
  </sheetPr>
  <dimension ref="A1:M12"/>
  <sheetViews>
    <sheetView workbookViewId="0">
      <selection activeCell="A13" sqref="A13"/>
    </sheetView>
  </sheetViews>
  <sheetFormatPr baseColWidth="10" defaultRowHeight="14.5" x14ac:dyDescent="0.35"/>
  <sheetData>
    <row r="1" spans="1:13" x14ac:dyDescent="0.35">
      <c r="A1" t="s">
        <v>49</v>
      </c>
    </row>
    <row r="4" spans="1:13" x14ac:dyDescent="0.35">
      <c r="B4">
        <v>2000</v>
      </c>
      <c r="C4">
        <v>2001</v>
      </c>
      <c r="D4">
        <v>2002</v>
      </c>
      <c r="E4">
        <v>2003</v>
      </c>
      <c r="F4">
        <v>2004</v>
      </c>
      <c r="G4">
        <v>2005</v>
      </c>
      <c r="H4">
        <v>2006</v>
      </c>
      <c r="I4">
        <v>2007</v>
      </c>
      <c r="J4">
        <v>2008</v>
      </c>
      <c r="K4">
        <v>2009</v>
      </c>
      <c r="L4">
        <v>2010</v>
      </c>
      <c r="M4">
        <v>2011</v>
      </c>
    </row>
    <row r="5" spans="1:13" x14ac:dyDescent="0.35">
      <c r="A5" t="s">
        <v>40</v>
      </c>
      <c r="D5" s="19">
        <v>14000</v>
      </c>
      <c r="E5" s="19">
        <v>15500</v>
      </c>
      <c r="F5" s="19">
        <v>19000</v>
      </c>
      <c r="G5" s="19">
        <v>15000</v>
      </c>
      <c r="H5" s="19">
        <v>20500</v>
      </c>
      <c r="I5" s="19">
        <v>12500</v>
      </c>
      <c r="J5" s="19">
        <v>11500</v>
      </c>
      <c r="K5" s="19">
        <v>9000</v>
      </c>
      <c r="L5" s="19">
        <v>5500</v>
      </c>
      <c r="M5">
        <v>8022.6</v>
      </c>
    </row>
    <row r="6" spans="1:13" x14ac:dyDescent="0.35">
      <c r="B6" s="18">
        <f>_xlfn.RRI(4,D5,H5)</f>
        <v>0.10003488081376677</v>
      </c>
      <c r="C6" s="18">
        <f>_xlfn.RRI(4,D5,H5)</f>
        <v>0.10003488081376677</v>
      </c>
      <c r="D6" s="18">
        <f t="shared" ref="D6:L6" si="0">(E5-D5)/D5</f>
        <v>0.10714285714285714</v>
      </c>
      <c r="E6" s="18">
        <f t="shared" si="0"/>
        <v>0.22580645161290322</v>
      </c>
      <c r="F6" s="18">
        <f t="shared" si="0"/>
        <v>-0.21052631578947367</v>
      </c>
      <c r="G6" s="18">
        <f t="shared" si="0"/>
        <v>0.36666666666666664</v>
      </c>
      <c r="H6" s="18">
        <f t="shared" si="0"/>
        <v>-0.3902439024390244</v>
      </c>
      <c r="I6" s="18">
        <f t="shared" si="0"/>
        <v>-0.08</v>
      </c>
      <c r="J6" s="18">
        <f t="shared" si="0"/>
        <v>-0.21739130434782608</v>
      </c>
      <c r="K6" s="18">
        <f t="shared" si="0"/>
        <v>-0.3888888888888889</v>
      </c>
      <c r="L6" s="18">
        <f t="shared" si="0"/>
        <v>0.45865454545454554</v>
      </c>
    </row>
    <row r="7" spans="1:13" x14ac:dyDescent="0.35">
      <c r="A7" t="s">
        <v>41</v>
      </c>
      <c r="D7" s="19">
        <v>7000</v>
      </c>
      <c r="E7" s="19">
        <v>8000</v>
      </c>
      <c r="F7" s="19">
        <v>8500</v>
      </c>
      <c r="G7" s="19">
        <v>10500</v>
      </c>
      <c r="H7" s="19">
        <v>12000</v>
      </c>
      <c r="I7" s="19">
        <v>9500</v>
      </c>
      <c r="J7" s="19">
        <v>11000</v>
      </c>
      <c r="K7" s="19">
        <v>9500</v>
      </c>
      <c r="L7" s="19">
        <v>12000</v>
      </c>
      <c r="M7">
        <v>15222.6</v>
      </c>
    </row>
    <row r="8" spans="1:13" x14ac:dyDescent="0.35">
      <c r="B8" s="18">
        <f>_xlfn.RRI(4,D7,H7)</f>
        <v>0.1442496849097028</v>
      </c>
      <c r="C8" s="18">
        <f>_xlfn.RRI(4,D7,H7)</f>
        <v>0.1442496849097028</v>
      </c>
      <c r="D8" s="18">
        <f t="shared" ref="D8:L8" si="1">(E7-D7)/D7</f>
        <v>0.14285714285714285</v>
      </c>
      <c r="E8" s="18">
        <f t="shared" si="1"/>
        <v>6.25E-2</v>
      </c>
      <c r="F8" s="18">
        <f t="shared" si="1"/>
        <v>0.23529411764705882</v>
      </c>
      <c r="G8" s="18">
        <f t="shared" si="1"/>
        <v>0.14285714285714285</v>
      </c>
      <c r="H8" s="18">
        <f t="shared" si="1"/>
        <v>-0.20833333333333334</v>
      </c>
      <c r="I8" s="18">
        <f t="shared" si="1"/>
        <v>0.15789473684210525</v>
      </c>
      <c r="J8" s="18">
        <f t="shared" si="1"/>
        <v>-0.13636363636363635</v>
      </c>
      <c r="K8" s="18">
        <f t="shared" si="1"/>
        <v>0.26315789473684209</v>
      </c>
      <c r="L8" s="18">
        <f t="shared" si="1"/>
        <v>0.26855000000000001</v>
      </c>
    </row>
    <row r="9" spans="1:13" x14ac:dyDescent="0.35">
      <c r="A9" t="s">
        <v>42</v>
      </c>
      <c r="D9" s="19">
        <v>4000</v>
      </c>
      <c r="E9" s="19">
        <v>6000</v>
      </c>
      <c r="F9" s="19">
        <v>9000</v>
      </c>
      <c r="G9" s="19">
        <v>11000</v>
      </c>
      <c r="H9" s="19">
        <v>13000</v>
      </c>
      <c r="I9" s="19">
        <v>15500</v>
      </c>
      <c r="J9" s="19">
        <v>21000</v>
      </c>
      <c r="K9" s="19">
        <v>15500</v>
      </c>
      <c r="L9" s="19">
        <v>26000</v>
      </c>
      <c r="M9">
        <v>34174.300000000003</v>
      </c>
    </row>
    <row r="10" spans="1:13" x14ac:dyDescent="0.35">
      <c r="B10" s="18">
        <f>_xlfn.RRI(4,D9,H9)</f>
        <v>0.34267480714132525</v>
      </c>
      <c r="C10" s="18">
        <f>_xlfn.RRI(4,D9,H9)</f>
        <v>0.34267480714132525</v>
      </c>
      <c r="D10" s="18">
        <f t="shared" ref="D10:L10" si="2">(E9-D9)/D9</f>
        <v>0.5</v>
      </c>
      <c r="E10" s="18">
        <f t="shared" si="2"/>
        <v>0.5</v>
      </c>
      <c r="F10" s="18">
        <f t="shared" si="2"/>
        <v>0.22222222222222221</v>
      </c>
      <c r="G10" s="18">
        <f t="shared" si="2"/>
        <v>0.18181818181818182</v>
      </c>
      <c r="H10" s="18">
        <f t="shared" si="2"/>
        <v>0.19230769230769232</v>
      </c>
      <c r="I10" s="18">
        <f t="shared" si="2"/>
        <v>0.35483870967741937</v>
      </c>
      <c r="J10" s="18">
        <f t="shared" si="2"/>
        <v>-0.26190476190476192</v>
      </c>
      <c r="K10" s="18">
        <f t="shared" si="2"/>
        <v>0.67741935483870963</v>
      </c>
      <c r="L10" s="18">
        <f t="shared" si="2"/>
        <v>0.31439615384615394</v>
      </c>
    </row>
    <row r="11" spans="1:13" x14ac:dyDescent="0.35">
      <c r="A11" t="s">
        <v>43</v>
      </c>
      <c r="B11" s="22">
        <v>0.02</v>
      </c>
      <c r="C11" s="22">
        <v>0.02</v>
      </c>
      <c r="D11" s="22">
        <v>0.02</v>
      </c>
      <c r="E11" s="22">
        <v>0.02</v>
      </c>
      <c r="F11" s="22">
        <v>0.02</v>
      </c>
      <c r="G11" s="22">
        <v>0.02</v>
      </c>
      <c r="H11" s="22">
        <v>0.02</v>
      </c>
      <c r="I11" s="22">
        <v>0.02</v>
      </c>
      <c r="J11" s="22">
        <v>0.02</v>
      </c>
      <c r="K11" s="22">
        <v>0.02</v>
      </c>
      <c r="L11" s="22">
        <v>0.02</v>
      </c>
    </row>
    <row r="12" spans="1:13" x14ac:dyDescent="0.35">
      <c r="A12" t="s">
        <v>45</v>
      </c>
      <c r="B12" s="22">
        <v>0.02</v>
      </c>
      <c r="C12" s="22">
        <v>0.02</v>
      </c>
      <c r="D12" s="22">
        <v>0.02</v>
      </c>
      <c r="E12" s="22">
        <v>0.02</v>
      </c>
      <c r="F12" s="22">
        <v>0.02</v>
      </c>
      <c r="G12" s="22">
        <v>0.02</v>
      </c>
      <c r="H12" s="22">
        <v>0.02</v>
      </c>
      <c r="I12" s="22">
        <v>0.02</v>
      </c>
      <c r="J12" s="22">
        <v>0.02</v>
      </c>
      <c r="K12" s="22">
        <v>0.02</v>
      </c>
      <c r="L12" s="30">
        <f>_xlfn.RRI(5,'Coll. portables Lead-acid'!M41,'Coll. portables Lead-acid'!R41)</f>
        <v>-1.5779146024672563E-3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F088-722D-45E1-98EB-6DA7F6548A27}">
  <sheetPr>
    <tabColor theme="7" tint="0.79998168889431442"/>
  </sheetPr>
  <dimension ref="A1:AZ44"/>
  <sheetViews>
    <sheetView zoomScale="70" zoomScaleNormal="70" workbookViewId="0"/>
  </sheetViews>
  <sheetFormatPr baseColWidth="10" defaultRowHeight="14.5" x14ac:dyDescent="0.35"/>
  <cols>
    <col min="1" max="1" width="31.1796875" customWidth="1"/>
    <col min="2" max="3" width="12.36328125" hidden="1" customWidth="1"/>
    <col min="4" max="4" width="12" hidden="1" customWidth="1"/>
    <col min="5" max="11" width="11" hidden="1" customWidth="1"/>
    <col min="12" max="12" width="11" customWidth="1"/>
    <col min="13" max="22" width="11.26953125" bestFit="1" customWidth="1"/>
  </cols>
  <sheetData>
    <row r="1" spans="1:52" x14ac:dyDescent="0.35">
      <c r="A1" s="1" t="s">
        <v>66</v>
      </c>
      <c r="E1" s="1"/>
      <c r="F1" s="1"/>
      <c r="G1" s="1"/>
      <c r="H1" s="1"/>
      <c r="I1" s="1"/>
      <c r="J1" s="1"/>
      <c r="K1" s="1"/>
      <c r="L1" s="1"/>
      <c r="M1" s="1" t="s">
        <v>69</v>
      </c>
      <c r="N1" s="106" t="s">
        <v>76</v>
      </c>
      <c r="O1" s="106"/>
      <c r="P1" s="1"/>
      <c r="Q1" s="1"/>
      <c r="R1" s="1"/>
      <c r="S1" s="1"/>
      <c r="T1" s="1"/>
      <c r="U1" s="1"/>
      <c r="V1" s="1"/>
    </row>
    <row r="2" spans="1:5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52" x14ac:dyDescent="0.35">
      <c r="A3" t="s">
        <v>37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  <c r="Z3" s="10">
        <v>2024</v>
      </c>
      <c r="AA3" s="10">
        <v>2025</v>
      </c>
      <c r="AB3" s="10">
        <v>2026</v>
      </c>
      <c r="AC3" s="10">
        <v>2027</v>
      </c>
      <c r="AD3" s="10">
        <v>2028</v>
      </c>
      <c r="AE3" s="10">
        <v>2029</v>
      </c>
      <c r="AF3" s="10">
        <v>2030</v>
      </c>
      <c r="AG3" s="10">
        <v>2031</v>
      </c>
      <c r="AH3" s="10">
        <v>2032</v>
      </c>
      <c r="AI3" s="10">
        <v>2033</v>
      </c>
      <c r="AJ3" s="10">
        <v>2034</v>
      </c>
      <c r="AK3" s="10">
        <v>2035</v>
      </c>
      <c r="AL3" s="10">
        <v>2036</v>
      </c>
      <c r="AM3" s="10">
        <v>2037</v>
      </c>
      <c r="AN3" s="10">
        <v>2038</v>
      </c>
      <c r="AO3" s="10">
        <v>2039</v>
      </c>
      <c r="AP3" s="10">
        <v>2040</v>
      </c>
      <c r="AQ3" s="10">
        <v>2041</v>
      </c>
      <c r="AR3" s="10">
        <v>2042</v>
      </c>
      <c r="AS3" s="10">
        <v>2043</v>
      </c>
      <c r="AT3" s="10">
        <v>2044</v>
      </c>
      <c r="AU3" s="10">
        <v>2045</v>
      </c>
      <c r="AV3" s="10">
        <v>2046</v>
      </c>
      <c r="AW3" s="10">
        <v>2047</v>
      </c>
      <c r="AX3" s="10">
        <v>2048</v>
      </c>
      <c r="AY3" s="10">
        <v>2049</v>
      </c>
      <c r="AZ3" s="10">
        <v>2050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2">
        <v>2.2745790331341661E-2</v>
      </c>
      <c r="N4" s="12">
        <v>2.1018537661084694E-2</v>
      </c>
      <c r="O4" s="12">
        <v>2.8072069640326609E-2</v>
      </c>
      <c r="P4" s="12">
        <v>3.7024705333954848E-2</v>
      </c>
      <c r="Q4" s="12">
        <v>4.1016640665626623E-2</v>
      </c>
      <c r="R4" s="12">
        <v>5.199198195940867E-2</v>
      </c>
      <c r="S4" s="12">
        <v>4.4644195207084375E-2</v>
      </c>
      <c r="T4" s="12">
        <v>5.3852405870158819E-2</v>
      </c>
      <c r="U4" s="12">
        <v>4.8575092267604827E-2</v>
      </c>
      <c r="V4" s="12">
        <v>9.3894114539950849E-2</v>
      </c>
      <c r="W4" s="12">
        <v>7.7263120087306084E-2</v>
      </c>
    </row>
    <row r="5" spans="1:52" x14ac:dyDescent="0.35">
      <c r="A5" s="8" t="s">
        <v>28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2">
        <v>2.9164051920599791E-2</v>
      </c>
      <c r="N5" s="12">
        <v>4.7267851156553804E-2</v>
      </c>
      <c r="O5" s="12">
        <v>4.7346758376840423E-2</v>
      </c>
      <c r="P5" s="12">
        <v>0.10862941159068722</v>
      </c>
      <c r="Q5" s="12">
        <v>5.1075877689694224E-2</v>
      </c>
      <c r="R5" s="12">
        <v>6.2926562926562929E-2</v>
      </c>
      <c r="S5" s="12">
        <v>5.9314473191930249E-2</v>
      </c>
      <c r="T5" s="12">
        <v>5.9584599479966173E-2</v>
      </c>
      <c r="U5" s="13"/>
      <c r="V5" s="13"/>
      <c r="W5" s="13"/>
    </row>
    <row r="6" spans="1:52" x14ac:dyDescent="0.35">
      <c r="A6" s="14" t="s">
        <v>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15">
        <v>2.342172306242591E-2</v>
      </c>
      <c r="N6" s="15">
        <v>2.3796640780994669E-2</v>
      </c>
      <c r="O6" s="15">
        <v>3.012251342492276E-2</v>
      </c>
      <c r="P6" s="15">
        <v>4.4681275151059074E-2</v>
      </c>
      <c r="Q6" s="15">
        <v>4.2094101187907747E-2</v>
      </c>
      <c r="R6" s="15">
        <v>5.3167908195474956E-2</v>
      </c>
      <c r="S6" s="15">
        <v>4.6235628124924023E-2</v>
      </c>
      <c r="T6" s="15">
        <v>5.4479024612713124E-2</v>
      </c>
      <c r="U6" s="15">
        <v>4.8575092267604827E-2</v>
      </c>
      <c r="V6" s="16">
        <v>9.3894114539950849E-2</v>
      </c>
      <c r="W6" s="16">
        <v>7.7263120087306084E-2</v>
      </c>
      <c r="X6" s="43">
        <f>'Weighted Average'!X38</f>
        <v>6.9795162097638475E-2</v>
      </c>
      <c r="Y6" s="43">
        <f>'Weighted Average'!Y38</f>
        <v>7.3289999999999994E-2</v>
      </c>
      <c r="Z6" s="43">
        <f>'Weighted Average'!Z38</f>
        <v>7.6954499999999995E-2</v>
      </c>
      <c r="AA6" s="43">
        <f>'Weighted Average'!AA38</f>
        <v>8.0802224999999991E-2</v>
      </c>
      <c r="AB6" s="43">
        <f>'Weighted Average'!AB38</f>
        <v>8.4842336249999997E-2</v>
      </c>
      <c r="AC6" s="43">
        <f>'Weighted Average'!AC38</f>
        <v>8.9084453062499999E-2</v>
      </c>
      <c r="AD6" s="43">
        <f>'Weighted Average'!AD38</f>
        <v>9.3538675715625005E-2</v>
      </c>
      <c r="AE6" s="43">
        <f>'Weighted Average'!AE38</f>
        <v>9.8215609501406259E-2</v>
      </c>
      <c r="AF6" s="43">
        <f>'Weighted Average'!AF38</f>
        <v>0.10312638997647658</v>
      </c>
      <c r="AG6" s="43">
        <f>'Weighted Average'!AG38</f>
        <v>0.10828270947530041</v>
      </c>
      <c r="AH6" s="43">
        <f>'Weighted Average'!AH38</f>
        <v>0.11369684494906543</v>
      </c>
      <c r="AI6" s="43">
        <f>'Weighted Average'!AI38</f>
        <v>0.1193816871965187</v>
      </c>
      <c r="AJ6" s="43">
        <f>'Weighted Average'!AJ38</f>
        <v>0.12535077155634464</v>
      </c>
      <c r="AK6" s="43">
        <f>'Weighted Average'!AK38</f>
        <v>0.13161831013416186</v>
      </c>
      <c r="AL6" s="43">
        <f>'Weighted Average'!AL38</f>
        <v>0.13819922564086995</v>
      </c>
      <c r="AM6" s="43">
        <f>'Weighted Average'!AM38</f>
        <v>0.14510918692291344</v>
      </c>
      <c r="AN6" s="43">
        <f>'Weighted Average'!AN38</f>
        <v>0.1523646462690591</v>
      </c>
      <c r="AO6" s="43">
        <f>'Weighted Average'!AO38</f>
        <v>0.15998287858251206</v>
      </c>
      <c r="AP6" s="43">
        <f>'Weighted Average'!AP38</f>
        <v>0.16798202251163766</v>
      </c>
      <c r="AQ6" s="43">
        <f>'Weighted Average'!AQ38</f>
        <v>0.17638112363721953</v>
      </c>
      <c r="AR6" s="43">
        <f>'Weighted Average'!AR38</f>
        <v>0.18520017981908049</v>
      </c>
      <c r="AS6" s="43">
        <f>'Weighted Average'!AS38</f>
        <v>0.19446018881003452</v>
      </c>
      <c r="AT6" s="43">
        <f>'Weighted Average'!AT38</f>
        <v>0.20418319825053624</v>
      </c>
      <c r="AU6" s="43">
        <f>'Weighted Average'!AU38</f>
        <v>0.21439235816306307</v>
      </c>
      <c r="AV6" s="43">
        <f>'Weighted Average'!AV38</f>
        <v>0.22511197607121622</v>
      </c>
      <c r="AW6" s="43">
        <f>'Weighted Average'!AW38</f>
        <v>0.23186533535335271</v>
      </c>
      <c r="AX6" s="43">
        <f>'Weighted Average'!AX38</f>
        <v>0.23882129541395331</v>
      </c>
      <c r="AY6" s="43">
        <f>'Weighted Average'!AY38</f>
        <v>0.24598593427637191</v>
      </c>
      <c r="AZ6" s="43">
        <f>'Weighted Average'!AZ38</f>
        <v>0.25336551230466309</v>
      </c>
    </row>
    <row r="7" spans="1:52" x14ac:dyDescent="0.35">
      <c r="A7" s="1"/>
      <c r="B7" s="1"/>
      <c r="C7" s="1"/>
      <c r="D7" s="25"/>
      <c r="E7" s="25"/>
      <c r="F7" s="25"/>
      <c r="G7" s="25"/>
      <c r="H7" s="25"/>
      <c r="I7" s="25"/>
      <c r="J7" s="25"/>
      <c r="K7" s="25"/>
      <c r="L7" s="25"/>
      <c r="M7" s="1"/>
      <c r="N7" s="1"/>
      <c r="O7" s="1"/>
      <c r="P7" s="1"/>
      <c r="Q7" s="1"/>
      <c r="R7" s="1"/>
      <c r="S7" s="1"/>
      <c r="T7" s="1"/>
      <c r="U7" s="1"/>
      <c r="V7" s="7"/>
      <c r="X7" s="6" t="s">
        <v>78</v>
      </c>
    </row>
    <row r="8" spans="1:52" x14ac:dyDescent="0.35">
      <c r="A8" s="1"/>
      <c r="B8" s="1"/>
      <c r="C8" s="1"/>
      <c r="D8" s="9"/>
      <c r="E8" s="9"/>
      <c r="F8" s="9"/>
      <c r="G8" s="9"/>
      <c r="H8" s="9"/>
      <c r="I8" s="9"/>
      <c r="J8" s="9"/>
      <c r="K8" s="9"/>
      <c r="L8" s="9"/>
      <c r="M8" s="1"/>
      <c r="N8" s="1"/>
      <c r="O8" s="1"/>
      <c r="P8" s="1"/>
      <c r="Q8" s="1"/>
      <c r="R8" s="1"/>
      <c r="S8" s="1"/>
      <c r="T8" s="1"/>
      <c r="U8" s="1"/>
      <c r="V8" s="7"/>
      <c r="X8" s="105" t="s">
        <v>79</v>
      </c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</row>
    <row r="9" spans="1:52" x14ac:dyDescent="0.35">
      <c r="A9" s="1"/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 s="1">
        <v>2011</v>
      </c>
      <c r="N9" s="1">
        <v>2012</v>
      </c>
      <c r="O9" s="1">
        <v>2013</v>
      </c>
      <c r="P9" s="1">
        <v>2014</v>
      </c>
      <c r="Q9" s="1">
        <v>2015</v>
      </c>
      <c r="R9" s="1">
        <v>2016</v>
      </c>
      <c r="S9" s="1">
        <v>2017</v>
      </c>
      <c r="T9" s="1">
        <v>2018</v>
      </c>
      <c r="U9" s="1">
        <v>2019</v>
      </c>
      <c r="V9" s="1">
        <v>2020</v>
      </c>
      <c r="W9" s="1">
        <v>2021</v>
      </c>
      <c r="X9" s="47">
        <v>2022</v>
      </c>
      <c r="Y9" s="47">
        <v>2023</v>
      </c>
      <c r="Z9" s="47">
        <v>2024</v>
      </c>
      <c r="AA9" s="47">
        <v>2025</v>
      </c>
      <c r="AB9" s="47">
        <v>2026</v>
      </c>
      <c r="AC9" s="47">
        <v>2027</v>
      </c>
      <c r="AD9" s="47">
        <v>2028</v>
      </c>
      <c r="AE9" s="47">
        <v>2029</v>
      </c>
      <c r="AF9" s="47">
        <v>2030</v>
      </c>
      <c r="AG9" s="47">
        <v>2031</v>
      </c>
      <c r="AH9" s="47">
        <v>2032</v>
      </c>
      <c r="AI9" s="47">
        <v>2033</v>
      </c>
      <c r="AJ9" s="47">
        <v>2034</v>
      </c>
      <c r="AK9" s="47">
        <v>2035</v>
      </c>
      <c r="AL9" s="47">
        <v>2036</v>
      </c>
      <c r="AM9" s="47">
        <v>2037</v>
      </c>
      <c r="AN9" s="47">
        <v>2038</v>
      </c>
      <c r="AO9" s="47">
        <v>2039</v>
      </c>
      <c r="AP9" s="47">
        <v>2040</v>
      </c>
      <c r="AQ9" s="47">
        <v>2041</v>
      </c>
      <c r="AR9" s="47">
        <v>2042</v>
      </c>
      <c r="AS9" s="47">
        <v>2043</v>
      </c>
      <c r="AT9" s="47">
        <v>2044</v>
      </c>
      <c r="AU9" s="47">
        <v>2045</v>
      </c>
      <c r="AV9" s="47">
        <v>2046</v>
      </c>
      <c r="AW9" s="47">
        <v>2047</v>
      </c>
      <c r="AX9" s="47">
        <v>2048</v>
      </c>
      <c r="AY9" s="47">
        <v>2049</v>
      </c>
      <c r="AZ9" s="47">
        <v>2050</v>
      </c>
    </row>
    <row r="10" spans="1:52" x14ac:dyDescent="0.35">
      <c r="A10" s="1" t="s">
        <v>0</v>
      </c>
      <c r="B10" s="23">
        <f>C10/1.34</f>
        <v>2.6751099325604071</v>
      </c>
      <c r="C10" s="23">
        <f>D10/1.34</f>
        <v>3.5846473096309457</v>
      </c>
      <c r="D10" s="23">
        <f>E10/1.5</f>
        <v>4.8034273949054676</v>
      </c>
      <c r="E10" s="23">
        <f>F10/1.5</f>
        <v>7.2051410923582013</v>
      </c>
      <c r="F10" s="23">
        <f>G10/1.22</f>
        <v>10.807711638537302</v>
      </c>
      <c r="G10" s="23">
        <f>H10/1.18</f>
        <v>13.185408199015509</v>
      </c>
      <c r="H10" s="23">
        <f>I10/1.19</f>
        <v>15.558781674838301</v>
      </c>
      <c r="I10" s="23">
        <f>J10/1.35</f>
        <v>18.514950193057576</v>
      </c>
      <c r="J10" s="23">
        <f>K10/(1-0.26)</f>
        <v>24.995182760627728</v>
      </c>
      <c r="K10" s="23">
        <f>L10/1.68</f>
        <v>18.496435242864518</v>
      </c>
      <c r="L10" s="23">
        <f>M10/1.31</f>
        <v>31.07401120801239</v>
      </c>
      <c r="M10" s="4">
        <f>$M$6*'Eurostat Collected Portables'!M3</f>
        <v>40.706954682496232</v>
      </c>
      <c r="N10" s="4">
        <f>$N$6*'Eurostat Collected Portables'!N3</f>
        <v>45.427787250918826</v>
      </c>
      <c r="O10" s="4">
        <f>$O$6*'Eurostat Collected Portables'!O3</f>
        <v>59.522086527647375</v>
      </c>
      <c r="P10" s="4">
        <f>$P$6*'Eurostat Collected Portables'!P3</f>
        <v>93.696633991770881</v>
      </c>
      <c r="Q10" s="4">
        <f>$Q$6*'Eurostat Collected Portables'!Q3</f>
        <v>96.774338630999907</v>
      </c>
      <c r="R10" s="4">
        <f>$R$6*'Eurostat Collected Portables'!R3</f>
        <v>116.3313831316992</v>
      </c>
      <c r="S10" s="4">
        <f>$S$6*'Eurostat Collected Portables'!S3</f>
        <v>97.880824740464163</v>
      </c>
      <c r="T10" s="4">
        <f>$T$6*'Eurostat Collected Portables'!T3</f>
        <v>123.66738587085879</v>
      </c>
      <c r="U10" s="4">
        <f>$U$6*'Eurostat Collected Portables'!U3</f>
        <v>115.41441922782907</v>
      </c>
      <c r="V10" s="4">
        <f>$V$6*'Eurostat Collected Portables'!V3</f>
        <v>265.62645003352094</v>
      </c>
      <c r="W10" s="4">
        <f>$W$6*'Eurostat Collected Portables'!W3</f>
        <v>214.01884264183786</v>
      </c>
      <c r="X10" s="67">
        <f>X$6*'Eurostat Collected Portables'!X3</f>
        <v>202.12670682678223</v>
      </c>
      <c r="Y10" s="67">
        <f>Y$6*'Eurostat Collected Portables'!Y3</f>
        <v>217.95672308386401</v>
      </c>
      <c r="Z10" s="67">
        <f>Z$6*'Eurostat Collected Portables'!Z3</f>
        <v>240.90219071560657</v>
      </c>
      <c r="AA10" s="67">
        <f>AA$6*'Eurostat Collected Portables'!AA3</f>
        <v>266.70731255604022</v>
      </c>
      <c r="AB10" s="67">
        <f>AB$6*'Eurostat Collected Portables'!AB3</f>
        <v>294.56970539645357</v>
      </c>
      <c r="AC10" s="67">
        <f>AC$6*'Eurostat Collected Portables'!AC3</f>
        <v>324.99970539709619</v>
      </c>
      <c r="AD10" s="67">
        <f>AD$6*'Eurostat Collected Portables'!AD3</f>
        <v>358.93961612318634</v>
      </c>
      <c r="AE10" s="67">
        <f>AE$6*'Eurostat Collected Portables'!AE3</f>
        <v>398.6877325793393</v>
      </c>
      <c r="AF10" s="67">
        <f>AF$6*'Eurostat Collected Portables'!AF3</f>
        <v>444.66861913315864</v>
      </c>
      <c r="AG10" s="67">
        <f>AG$6*'Eurostat Collected Portables'!AG3</f>
        <v>494.09845433361392</v>
      </c>
      <c r="AH10" s="67">
        <f>AH$6*'Eurostat Collected Portables'!AH3</f>
        <v>546.4305266054572</v>
      </c>
      <c r="AI10" s="67">
        <f>AI$6*'Eurostat Collected Portables'!AI3</f>
        <v>601.47207797102749</v>
      </c>
      <c r="AJ10" s="67">
        <f>AJ$6*'Eurostat Collected Portables'!AJ3</f>
        <v>662.2569636416016</v>
      </c>
      <c r="AK10" s="67">
        <f>AK$6*'Eurostat Collected Portables'!AK3</f>
        <v>729.41418275713727</v>
      </c>
      <c r="AL10" s="67">
        <f>AL$6*'Eurostat Collected Portables'!AL3</f>
        <v>803.63402124865092</v>
      </c>
      <c r="AM10" s="67">
        <f>AM$6*'Eurostat Collected Portables'!AM3</f>
        <v>885.68358068474402</v>
      </c>
      <c r="AN10" s="67">
        <f>AN$6*'Eurostat Collected Portables'!AN3</f>
        <v>976.41550333454109</v>
      </c>
      <c r="AO10" s="67">
        <f>AO$6*'Eurostat Collected Portables'!AO3</f>
        <v>1076.5613989504161</v>
      </c>
      <c r="AP10" s="67">
        <f>AP$6*'Eurostat Collected Portables'!AP3</f>
        <v>1185.4445593640692</v>
      </c>
      <c r="AQ10" s="67">
        <f>AQ$6*'Eurostat Collected Portables'!AQ3</f>
        <v>1294.560665453813</v>
      </c>
      <c r="AR10" s="67">
        <f>AR$6*'Eurostat Collected Portables'!AR3</f>
        <v>1402.5041409395162</v>
      </c>
      <c r="AS10" s="67">
        <f>AS$6*'Eurostat Collected Portables'!AS3</f>
        <v>1509.3541283643899</v>
      </c>
      <c r="AT10" s="67">
        <f>AT$6*'Eurostat Collected Portables'!AT3</f>
        <v>1624.2230762375109</v>
      </c>
      <c r="AU10" s="67">
        <f>AU$6*'Eurostat Collected Portables'!AU3</f>
        <v>1747.7631639261404</v>
      </c>
      <c r="AV10" s="67">
        <f>AV$6*'Eurostat Collected Portables'!AV3</f>
        <v>1880.2275072140708</v>
      </c>
      <c r="AW10" s="67">
        <f>AW$6*'Eurostat Collected Portables'!AW3</f>
        <v>1983.7102734429318</v>
      </c>
      <c r="AX10" s="67">
        <f>AX$6*'Eurostat Collected Portables'!AX3</f>
        <v>2092.373844465621</v>
      </c>
      <c r="AY10" s="67">
        <f>AY$6*'Eurostat Collected Portables'!AY3</f>
        <v>2206.8987911475883</v>
      </c>
      <c r="AZ10" s="67">
        <f>AZ$6*'Eurostat Collected Portables'!AZ3</f>
        <v>2327.5986897508624</v>
      </c>
    </row>
    <row r="11" spans="1:52" x14ac:dyDescent="0.35">
      <c r="A11" s="1" t="s">
        <v>1</v>
      </c>
      <c r="B11" s="23">
        <f t="shared" ref="B11:C11" si="0">C11/1.34</f>
        <v>3.4308515763389789</v>
      </c>
      <c r="C11" s="23">
        <f t="shared" si="0"/>
        <v>4.5973411122942318</v>
      </c>
      <c r="D11" s="23">
        <f t="shared" ref="D11:E11" si="1">E11/1.5</f>
        <v>6.1604370904742716</v>
      </c>
      <c r="E11" s="23">
        <f t="shared" si="1"/>
        <v>9.2406556357114074</v>
      </c>
      <c r="F11" s="23">
        <f t="shared" ref="F11:F40" si="2">G11/1.22</f>
        <v>13.860983453567112</v>
      </c>
      <c r="G11" s="23">
        <f t="shared" ref="G11:G40" si="3">H11/1.18</f>
        <v>16.910399813351876</v>
      </c>
      <c r="H11" s="23">
        <f t="shared" ref="H11:H40" si="4">I11/1.19</f>
        <v>19.954271779755214</v>
      </c>
      <c r="I11" s="23">
        <f t="shared" ref="I11:I40" si="5">J11/1.35</f>
        <v>23.745583417908705</v>
      </c>
      <c r="J11" s="23">
        <f t="shared" ref="J11:J40" si="6">K11/(1-0.26)</f>
        <v>32.056537614176754</v>
      </c>
      <c r="K11" s="23">
        <f t="shared" ref="K11:K40" si="7">L11/1.68</f>
        <v>23.721837834490799</v>
      </c>
      <c r="L11" s="23">
        <f t="shared" ref="L11:L40" si="8">M11/1.31</f>
        <v>39.852687561944542</v>
      </c>
      <c r="M11" s="4">
        <f>$M$6*'Eurostat Collected Portables'!M4</f>
        <v>52.207020706147354</v>
      </c>
      <c r="N11" s="4">
        <f>$N$6*'Eurostat Collected Portables'!N4</f>
        <v>54.089764495200882</v>
      </c>
      <c r="O11" s="4">
        <f>$O$6*'Eurostat Collected Portables'!O4</f>
        <v>69.221535850472506</v>
      </c>
      <c r="P11" s="4">
        <f>$P$6*'Eurostat Collected Portables'!P4</f>
        <v>104.68822767893141</v>
      </c>
      <c r="Q11" s="4">
        <f>$Q$6*'Eurostat Collected Portables'!Q4</f>
        <v>102.62541869611908</v>
      </c>
      <c r="R11" s="4">
        <f>$R$6*'Eurostat Collected Portables'!R4</f>
        <v>167.63841454033255</v>
      </c>
      <c r="S11" s="4">
        <f>$S$6*'Eurostat Collected Portables'!S4</f>
        <v>130.06082191541128</v>
      </c>
      <c r="T11" s="4">
        <f>$T$6*'Eurostat Collected Portables'!T4</f>
        <v>159.89593723831302</v>
      </c>
      <c r="U11" s="4">
        <f>$U$6*'Eurostat Collected Portables'!U4</f>
        <v>164.42668732584235</v>
      </c>
      <c r="V11" s="4">
        <f>$V$6*'Eurostat Collected Portables'!V4</f>
        <v>295.67256668630523</v>
      </c>
      <c r="W11" s="4">
        <f>$W$6*'Eurostat Collected Portables'!W4</f>
        <v>262.07650333614225</v>
      </c>
      <c r="X11" s="67">
        <f>X$6*'Eurostat Collected Portables'!X4</f>
        <v>251.64078191098429</v>
      </c>
      <c r="Y11" s="67">
        <f>Y$6*'Eurostat Collected Portables'!Y4</f>
        <v>280.90221158031812</v>
      </c>
      <c r="Z11" s="67">
        <f>Z$6*'Eurostat Collected Portables'!Z4</f>
        <v>307.37291706151046</v>
      </c>
      <c r="AA11" s="67">
        <f>AA$6*'Eurostat Collected Portables'!AA4</f>
        <v>336.9367247162528</v>
      </c>
      <c r="AB11" s="67">
        <f>AB$6*'Eurostat Collected Portables'!AB4</f>
        <v>368.5001621079532</v>
      </c>
      <c r="AC11" s="67">
        <f>AC$6*'Eurostat Collected Portables'!AC4</f>
        <v>402.63855553693946</v>
      </c>
      <c r="AD11" s="67">
        <f>AD$6*'Eurostat Collected Portables'!AD4</f>
        <v>440.43541447221321</v>
      </c>
      <c r="AE11" s="67">
        <f>AE$6*'Eurostat Collected Portables'!AE4</f>
        <v>484.58156461555939</v>
      </c>
      <c r="AF11" s="67">
        <f>AF$6*'Eurostat Collected Portables'!AF4</f>
        <v>535.41126531881241</v>
      </c>
      <c r="AG11" s="67">
        <f>AG$6*'Eurostat Collected Portables'!AG4</f>
        <v>589.41948043430295</v>
      </c>
      <c r="AH11" s="67">
        <f>AH$6*'Eurostat Collected Portables'!AH4</f>
        <v>645.87432842491194</v>
      </c>
      <c r="AI11" s="67">
        <f>AI$6*'Eurostat Collected Portables'!AI4</f>
        <v>704.48526013489868</v>
      </c>
      <c r="AJ11" s="67">
        <f>AJ$6*'Eurostat Collected Portables'!AJ4</f>
        <v>768.71762118978495</v>
      </c>
      <c r="AK11" s="67">
        <f>AK$6*'Eurostat Collected Portables'!AK4</f>
        <v>839.14707808336868</v>
      </c>
      <c r="AL11" s="67">
        <f>AL$6*'Eurostat Collected Portables'!AL4</f>
        <v>916.39928501385441</v>
      </c>
      <c r="AM11" s="67">
        <f>AM$6*'Eurostat Collected Portables'!AM4</f>
        <v>1001.1653207236525</v>
      </c>
      <c r="AN11" s="67">
        <f>AN$6*'Eurostat Collected Portables'!AN4</f>
        <v>1094.2087096485261</v>
      </c>
      <c r="AO11" s="67">
        <f>AO$6*'Eurostat Collected Portables'!AO4</f>
        <v>1196.1328822651788</v>
      </c>
      <c r="AP11" s="67">
        <f>AP$6*'Eurostat Collected Portables'!AP4</f>
        <v>1305.969857543475</v>
      </c>
      <c r="AQ11" s="67">
        <f>AQ$6*'Eurostat Collected Portables'!AQ4</f>
        <v>1414.2334081017648</v>
      </c>
      <c r="AR11" s="67">
        <f>AR$6*'Eurostat Collected Portables'!AR4</f>
        <v>1519.4432338129657</v>
      </c>
      <c r="AS11" s="67">
        <f>AS$6*'Eurostat Collected Portables'!AS4</f>
        <v>1621.7628900099892</v>
      </c>
      <c r="AT11" s="67">
        <f>AT$6*'Eurostat Collected Portables'!AT4</f>
        <v>1730.9774490112575</v>
      </c>
      <c r="AU11" s="67">
        <f>AU$6*'Eurostat Collected Portables'!AU4</f>
        <v>1847.6124793109186</v>
      </c>
      <c r="AV11" s="67">
        <f>AV$6*'Eurostat Collected Portables'!AV4</f>
        <v>1971.7586515760793</v>
      </c>
      <c r="AW11" s="67">
        <f>AW$6*'Eurostat Collected Portables'!AW4</f>
        <v>2063.8045311690289</v>
      </c>
      <c r="AX11" s="67">
        <f>AX$6*'Eurostat Collected Portables'!AX4</f>
        <v>2159.7721744353935</v>
      </c>
      <c r="AY11" s="67">
        <f>AY$6*'Eurostat Collected Portables'!AY4</f>
        <v>2260.2696799044347</v>
      </c>
      <c r="AZ11" s="67">
        <f>AZ$6*'Eurostat Collected Portables'!AZ4</f>
        <v>2365.5136382726214</v>
      </c>
    </row>
    <row r="12" spans="1:52" x14ac:dyDescent="0.35">
      <c r="A12" s="1" t="s">
        <v>2</v>
      </c>
      <c r="B12" s="23">
        <f t="shared" ref="B12:C12" si="9">C12/1.34</f>
        <v>0.16623237785760875</v>
      </c>
      <c r="C12" s="23">
        <f t="shared" si="9"/>
        <v>0.22275138632919575</v>
      </c>
      <c r="D12" s="23">
        <f t="shared" ref="D12:E12" si="10">E12/1.5</f>
        <v>0.29848685768112232</v>
      </c>
      <c r="E12" s="23">
        <f t="shared" si="10"/>
        <v>0.44773028652168345</v>
      </c>
      <c r="F12" s="23">
        <f t="shared" si="2"/>
        <v>0.67159542978252518</v>
      </c>
      <c r="G12" s="23">
        <f t="shared" si="3"/>
        <v>0.81934642433468063</v>
      </c>
      <c r="H12" s="23">
        <f t="shared" si="4"/>
        <v>0.96682878071492306</v>
      </c>
      <c r="I12" s="23">
        <f t="shared" si="5"/>
        <v>1.1505262490507584</v>
      </c>
      <c r="J12" s="23">
        <f t="shared" si="6"/>
        <v>1.5532104362185239</v>
      </c>
      <c r="K12" s="23">
        <f t="shared" si="7"/>
        <v>1.1493757228017076</v>
      </c>
      <c r="L12" s="23">
        <f t="shared" si="8"/>
        <v>1.9309512143068688</v>
      </c>
      <c r="M12" s="4">
        <f>$M$6*'Eurostat Collected Portables'!M5</f>
        <v>2.5295460907419982</v>
      </c>
      <c r="N12" s="4">
        <f>$N$6*'Eurostat Collected Portables'!N5</f>
        <v>6.2109232438396083</v>
      </c>
      <c r="O12" s="4">
        <f>$O$6*'Eurostat Collected Portables'!O5</f>
        <v>7.4402608159559218</v>
      </c>
      <c r="P12" s="4">
        <f>$P$6*'Eurostat Collected Portables'!P5</f>
        <v>13.5384263707709</v>
      </c>
      <c r="Q12" s="4">
        <f>$Q$6*'Eurostat Collected Portables'!Q5</f>
        <v>13.554300582506295</v>
      </c>
      <c r="R12" s="4">
        <f>$R$6*'Eurostat Collected Portables'!R5</f>
        <v>19.246782766761935</v>
      </c>
      <c r="S12" s="4">
        <f>$S$6*'Eurostat Collected Portables'!S5</f>
        <v>17.939423712470521</v>
      </c>
      <c r="T12" s="4">
        <f>$T$6*'Eurostat Collected Portables'!T5</f>
        <v>21.900567894310676</v>
      </c>
      <c r="U12" s="4">
        <f>$U$6*'Eurostat Collected Portables'!U5</f>
        <v>19.041436168901093</v>
      </c>
      <c r="V12" s="4">
        <f>$V$6*'Eurostat Collected Portables'!V5</f>
        <v>38.308798732299948</v>
      </c>
      <c r="W12" s="4">
        <f>$W$6*'Eurostat Collected Portables'!W5</f>
        <v>34.613877799113126</v>
      </c>
      <c r="X12" s="67">
        <f>X$6*'Eurostat Collected Portables'!X5</f>
        <v>32.672810598638392</v>
      </c>
      <c r="Y12" s="67">
        <f>Y$6*'Eurostat Collected Portables'!Y5</f>
        <v>36.328131951689443</v>
      </c>
      <c r="Z12" s="67">
        <f>Z$6*'Eurostat Collected Portables'!Z5</f>
        <v>40.113243387765316</v>
      </c>
      <c r="AA12" s="67">
        <f>AA$6*'Eurostat Collected Portables'!AA5</f>
        <v>44.367474694679977</v>
      </c>
      <c r="AB12" s="67">
        <f>AB$6*'Eurostat Collected Portables'!AB5</f>
        <v>48.956334842226283</v>
      </c>
      <c r="AC12" s="67">
        <f>AC$6*'Eurostat Collected Portables'!AC5</f>
        <v>53.963839291649087</v>
      </c>
      <c r="AD12" s="67">
        <f>AD$6*'Eurostat Collected Portables'!AD5</f>
        <v>59.545386320640041</v>
      </c>
      <c r="AE12" s="67">
        <f>AE$6*'Eurostat Collected Portables'!AE5</f>
        <v>66.080605621484423</v>
      </c>
      <c r="AF12" s="67">
        <f>AF$6*'Eurostat Collected Portables'!AF5</f>
        <v>73.63756069235491</v>
      </c>
      <c r="AG12" s="67">
        <f>AG$6*'Eurostat Collected Portables'!AG5</f>
        <v>81.753305362736043</v>
      </c>
      <c r="AH12" s="67">
        <f>AH$6*'Eurostat Collected Portables'!AH5</f>
        <v>90.336369900127892</v>
      </c>
      <c r="AI12" s="67">
        <f>AI$6*'Eurostat Collected Portables'!AI5</f>
        <v>99.354091810279058</v>
      </c>
      <c r="AJ12" s="67">
        <f>AJ$6*'Eurostat Collected Portables'!AJ5</f>
        <v>109.30650026480548</v>
      </c>
      <c r="AK12" s="67">
        <f>AK$6*'Eurostat Collected Portables'!AK5</f>
        <v>120.29545314912995</v>
      </c>
      <c r="AL12" s="67">
        <f>AL$6*'Eurostat Collected Portables'!AL5</f>
        <v>132.43265549439542</v>
      </c>
      <c r="AM12" s="67">
        <f>AM$6*'Eurostat Collected Portables'!AM5</f>
        <v>145.84218970034357</v>
      </c>
      <c r="AN12" s="67">
        <f>AN$6*'Eurostat Collected Portables'!AN5</f>
        <v>160.6619162099006</v>
      </c>
      <c r="AO12" s="67">
        <f>AO$6*'Eurostat Collected Portables'!AO5</f>
        <v>177.00947015414769</v>
      </c>
      <c r="AP12" s="67">
        <f>AP$6*'Eurostat Collected Portables'!AP5</f>
        <v>194.77084472728842</v>
      </c>
      <c r="AQ12" s="67">
        <f>AQ$6*'Eurostat Collected Portables'!AQ5</f>
        <v>212.54727610067968</v>
      </c>
      <c r="AR12" s="67">
        <f>AR$6*'Eurostat Collected Portables'!AR5</f>
        <v>230.10869034358473</v>
      </c>
      <c r="AS12" s="67">
        <f>AS$6*'Eurostat Collected Portables'!AS5</f>
        <v>247.46905953574901</v>
      </c>
      <c r="AT12" s="67">
        <f>AT$6*'Eurostat Collected Portables'!AT5</f>
        <v>266.12235628593163</v>
      </c>
      <c r="AU12" s="67">
        <f>AU$6*'Eurostat Collected Portables'!AU5</f>
        <v>286.17328750743428</v>
      </c>
      <c r="AV12" s="67">
        <f>AV$6*'Eurostat Collected Portables'!AV5</f>
        <v>307.6610533109278</v>
      </c>
      <c r="AW12" s="67">
        <f>AW$6*'Eurostat Collected Portables'!AW5</f>
        <v>324.38490598403001</v>
      </c>
      <c r="AX12" s="67">
        <f>AX$6*'Eurostat Collected Portables'!AX5</f>
        <v>341.93732001969067</v>
      </c>
      <c r="AY12" s="67">
        <f>AY$6*'Eurostat Collected Portables'!AY5</f>
        <v>360.42831730738391</v>
      </c>
      <c r="AZ12" s="67">
        <f>AZ$6*'Eurostat Collected Portables'!AZ5</f>
        <v>379.90778418803774</v>
      </c>
    </row>
    <row r="13" spans="1:52" x14ac:dyDescent="0.35">
      <c r="A13" s="1" t="s">
        <v>3</v>
      </c>
      <c r="B13" s="23">
        <f t="shared" ref="B13:C13" si="11">C13/1.34</f>
        <v>0.10338728615992064</v>
      </c>
      <c r="C13" s="23">
        <f t="shared" si="11"/>
        <v>0.13853896345429367</v>
      </c>
      <c r="D13" s="23">
        <f t="shared" ref="D13:E13" si="12">E13/1.5</f>
        <v>0.18564221102875353</v>
      </c>
      <c r="E13" s="23">
        <f t="shared" si="12"/>
        <v>0.27846331654313028</v>
      </c>
      <c r="F13" s="23">
        <f t="shared" si="2"/>
        <v>0.41769497481469542</v>
      </c>
      <c r="G13" s="23">
        <f t="shared" si="3"/>
        <v>0.50958786927392841</v>
      </c>
      <c r="H13" s="23">
        <f t="shared" si="4"/>
        <v>0.60131368574323552</v>
      </c>
      <c r="I13" s="23">
        <f t="shared" si="5"/>
        <v>0.71556328603445019</v>
      </c>
      <c r="J13" s="23">
        <f t="shared" si="6"/>
        <v>0.96601043614650783</v>
      </c>
      <c r="K13" s="23">
        <f t="shared" si="7"/>
        <v>0.71484772274841579</v>
      </c>
      <c r="L13" s="23">
        <f t="shared" si="8"/>
        <v>1.2009441742173386</v>
      </c>
      <c r="M13" s="4">
        <f>$M$6*'Eurostat Collected Portables'!M6</f>
        <v>1.5732368682247135</v>
      </c>
      <c r="N13" s="4">
        <f>$N$6*'Eurostat Collected Portables'!N6</f>
        <v>1.700239446606745</v>
      </c>
      <c r="O13" s="4">
        <f>$O$6*'Eurostat Collected Portables'!O6</f>
        <v>2.2893110202941296</v>
      </c>
      <c r="P13" s="4">
        <f>$P$6*'Eurostat Collected Portables'!P6</f>
        <v>3.2170518108762534</v>
      </c>
      <c r="Q13" s="4">
        <f>$Q$6*'Eurostat Collected Portables'!Q6</f>
        <v>4.1252219164149588</v>
      </c>
      <c r="R13" s="4">
        <f>$R$6*'Eurostat Collected Portables'!R6</f>
        <v>17.917585061875059</v>
      </c>
      <c r="S13" s="4">
        <f>$S$6*'Eurostat Collected Portables'!S6</f>
        <v>22.008158987463837</v>
      </c>
      <c r="T13" s="4">
        <f>$T$6*'Eurostat Collected Portables'!T6</f>
        <v>28.601487921674391</v>
      </c>
      <c r="U13" s="4">
        <f>$U$6*'Eurostat Collected Portables'!U6</f>
        <v>31.622385066210743</v>
      </c>
      <c r="V13" s="4">
        <f>$V$6*'Eurostat Collected Portables'!V6</f>
        <v>55.960892265810706</v>
      </c>
      <c r="W13" s="4">
        <f>$W$6*'Eurostat Collected Portables'!W6</f>
        <v>56.94291950434458</v>
      </c>
      <c r="X13" s="67">
        <f>X$6*'Eurostat Collected Portables'!X6</f>
        <v>54.601028012504813</v>
      </c>
      <c r="Y13" s="67">
        <f>Y$6*'Eurostat Collected Portables'!Y6</f>
        <v>58.840367889485016</v>
      </c>
      <c r="Z13" s="67">
        <f>Z$6*'Eurostat Collected Portables'!Z6</f>
        <v>64.345574421098377</v>
      </c>
      <c r="AA13" s="67">
        <f>AA$6*'Eurostat Collected Portables'!AA6</f>
        <v>70.491127992749483</v>
      </c>
      <c r="AB13" s="67">
        <f>AB$6*'Eurostat Collected Portables'!AB6</f>
        <v>77.047221971722408</v>
      </c>
      <c r="AC13" s="67">
        <f>AC$6*'Eurostat Collected Portables'!AC6</f>
        <v>84.133317683168656</v>
      </c>
      <c r="AD13" s="67">
        <f>AD$6*'Eurostat Collected Portables'!AD6</f>
        <v>91.974705588114219</v>
      </c>
      <c r="AE13" s="67">
        <f>AE$6*'Eurostat Collected Portables'!AE6</f>
        <v>101.13156860047775</v>
      </c>
      <c r="AF13" s="67">
        <f>AF$6*'Eurostat Collected Portables'!AF6</f>
        <v>111.67120568611641</v>
      </c>
      <c r="AG13" s="67">
        <f>AG$6*'Eurostat Collected Portables'!AG6</f>
        <v>122.86047599077756</v>
      </c>
      <c r="AH13" s="67">
        <f>AH$6*'Eurostat Collected Portables'!AH6</f>
        <v>134.54572459704065</v>
      </c>
      <c r="AI13" s="67">
        <f>AI$6*'Eurostat Collected Portables'!AI6</f>
        <v>146.66555266343866</v>
      </c>
      <c r="AJ13" s="67">
        <f>AJ$6*'Eurostat Collected Portables'!AJ6</f>
        <v>159.94016671807501</v>
      </c>
      <c r="AK13" s="67">
        <f>AK$6*'Eurostat Collected Portables'!AK6</f>
        <v>174.48715137670055</v>
      </c>
      <c r="AL13" s="67">
        <f>AL$6*'Eurostat Collected Portables'!AL6</f>
        <v>190.43419194942049</v>
      </c>
      <c r="AM13" s="67">
        <f>AM$6*'Eurostat Collected Portables'!AM6</f>
        <v>207.92224955803522</v>
      </c>
      <c r="AN13" s="67">
        <f>AN$6*'Eurostat Collected Portables'!AN6</f>
        <v>227.10697793170343</v>
      </c>
      <c r="AO13" s="67">
        <f>AO$6*'Eurostat Collected Portables'!AO6</f>
        <v>248.11044360702019</v>
      </c>
      <c r="AP13" s="67">
        <f>AP$6*'Eurostat Collected Portables'!AP6</f>
        <v>270.72866086213656</v>
      </c>
      <c r="AQ13" s="67">
        <f>AQ$6*'Eurostat Collected Portables'!AQ6</f>
        <v>292.99337542958648</v>
      </c>
      <c r="AR13" s="67">
        <f>AR$6*'Eurostat Collected Portables'!AR6</f>
        <v>314.59873808640037</v>
      </c>
      <c r="AS13" s="67">
        <f>AS$6*'Eurostat Collected Portables'!AS6</f>
        <v>335.57979446194565</v>
      </c>
      <c r="AT13" s="67">
        <f>AT$6*'Eurostat Collected Portables'!AT6</f>
        <v>357.96120734664476</v>
      </c>
      <c r="AU13" s="67">
        <f>AU$6*'Eurostat Collected Portables'!AU6</f>
        <v>381.84904644994219</v>
      </c>
      <c r="AV13" s="67">
        <f>AV$6*'Eurostat Collected Portables'!AV6</f>
        <v>407.25929756457697</v>
      </c>
      <c r="AW13" s="67">
        <f>AW$6*'Eurostat Collected Portables'!AW6</f>
        <v>426.01256010646347</v>
      </c>
      <c r="AX13" s="67">
        <f>AX$6*'Eurostat Collected Portables'!AX6</f>
        <v>445.55213840421447</v>
      </c>
      <c r="AY13" s="67">
        <f>AY$6*'Eurostat Collected Portables'!AY6</f>
        <v>466.00197612077841</v>
      </c>
      <c r="AZ13" s="67">
        <f>AZ$6*'Eurostat Collected Portables'!AZ6</f>
        <v>487.40504816268088</v>
      </c>
    </row>
    <row r="14" spans="1:52" x14ac:dyDescent="0.35">
      <c r="A14" s="1" t="s">
        <v>4</v>
      </c>
      <c r="B14" s="23">
        <f t="shared" ref="B14:C14" si="13">C14/1.34</f>
        <v>5.0793226567602663E-2</v>
      </c>
      <c r="C14" s="23">
        <f t="shared" si="13"/>
        <v>6.8062923600587577E-2</v>
      </c>
      <c r="D14" s="23">
        <f t="shared" ref="D14:E14" si="14">E14/1.5</f>
        <v>9.1204317624787354E-2</v>
      </c>
      <c r="E14" s="23">
        <f t="shared" si="14"/>
        <v>0.13680647643718102</v>
      </c>
      <c r="F14" s="23">
        <f t="shared" si="2"/>
        <v>0.20520971465577154</v>
      </c>
      <c r="G14" s="23">
        <f t="shared" si="3"/>
        <v>0.25035585188004128</v>
      </c>
      <c r="H14" s="23">
        <f t="shared" si="4"/>
        <v>0.29541990521844869</v>
      </c>
      <c r="I14" s="23">
        <f t="shared" si="5"/>
        <v>0.35154968720995394</v>
      </c>
      <c r="J14" s="23">
        <f t="shared" si="6"/>
        <v>0.47459207773343787</v>
      </c>
      <c r="K14" s="23">
        <f t="shared" si="7"/>
        <v>0.35119813752274404</v>
      </c>
      <c r="L14" s="23">
        <f t="shared" si="8"/>
        <v>0.59001287103820999</v>
      </c>
      <c r="M14" s="4">
        <f>$M$6*'Eurostat Collected Portables'!M7</f>
        <v>0.77291686106005508</v>
      </c>
      <c r="N14" s="4">
        <f>$N$6*'Eurostat Collected Portables'!N7</f>
        <v>0.73769586421083477</v>
      </c>
      <c r="O14" s="4">
        <f>$O$6*'Eurostat Collected Portables'!O7</f>
        <v>1.1747780235719876</v>
      </c>
      <c r="P14" s="4">
        <f>$P$6*'Eurostat Collected Portables'!P7</f>
        <v>1.831932281193422</v>
      </c>
      <c r="Q14" s="4">
        <f>$Q$6*'Eurostat Collected Portables'!Q7</f>
        <v>2.315175565334926</v>
      </c>
      <c r="R14" s="4">
        <f>$R$6*'Eurostat Collected Portables'!R7</f>
        <v>3.0305707671420725</v>
      </c>
      <c r="S14" s="4">
        <f>$S$6*'Eurostat Collected Portables'!S7</f>
        <v>2.9590801999951375</v>
      </c>
      <c r="T14" s="4">
        <f>$T$6*'Eurostat Collected Portables'!T7</f>
        <v>4.1948848951789106</v>
      </c>
      <c r="U14" s="4">
        <f>$U$6*'Eurostat Collected Portables'!U7</f>
        <v>4.0803077504788057</v>
      </c>
      <c r="V14" s="4">
        <f>$V$6*'Eurostat Collected Portables'!V7</f>
        <v>7.5115291631960677</v>
      </c>
      <c r="W14" s="4">
        <f>$W$6*'Eurostat Collected Portables'!W7</f>
        <v>6.8764176877702416</v>
      </c>
      <c r="X14" s="67">
        <f>X$6*'Eurostat Collected Portables'!X7</f>
        <v>6.6001510809717976</v>
      </c>
      <c r="Y14" s="67">
        <f>Y$6*'Eurostat Collected Portables'!Y7</f>
        <v>7.1189685470169088</v>
      </c>
      <c r="Z14" s="67">
        <f>Z$6*'Eurostat Collected Portables'!Z7</f>
        <v>7.8619061496068685</v>
      </c>
      <c r="AA14" s="67">
        <f>AA$6*'Eurostat Collected Portables'!AA7</f>
        <v>8.6970023178996492</v>
      </c>
      <c r="AB14" s="67">
        <f>AB$6*'Eurostat Collected Portables'!AB7</f>
        <v>9.5979246815141295</v>
      </c>
      <c r="AC14" s="67">
        <f>AC$6*'Eurostat Collected Portables'!AC7</f>
        <v>10.581168931864125</v>
      </c>
      <c r="AD14" s="67">
        <f>AD$6*'Eurostat Collected Portables'!AD7</f>
        <v>11.677237864939599</v>
      </c>
      <c r="AE14" s="67">
        <f>AE$6*'Eurostat Collected Portables'!AE7</f>
        <v>12.960629425300642</v>
      </c>
      <c r="AF14" s="67">
        <f>AF$6*'Eurostat Collected Portables'!AF7</f>
        <v>14.44476364242707</v>
      </c>
      <c r="AG14" s="67">
        <f>AG$6*'Eurostat Collected Portables'!AG7</f>
        <v>16.03888830219017</v>
      </c>
      <c r="AH14" s="67">
        <f>AH$6*'Eurostat Collected Portables'!AH7</f>
        <v>17.725089244184876</v>
      </c>
      <c r="AI14" s="67">
        <f>AI$6*'Eurostat Collected Portables'!AI7</f>
        <v>19.496982072354324</v>
      </c>
      <c r="AJ14" s="67">
        <f>AJ$6*'Eurostat Collected Portables'!AJ7</f>
        <v>21.452725462542627</v>
      </c>
      <c r="AK14" s="67">
        <f>AK$6*'Eurostat Collected Portables'!AK7</f>
        <v>23.612370402384801</v>
      </c>
      <c r="AL14" s="67">
        <f>AL$6*'Eurostat Collected Portables'!AL7</f>
        <v>25.997908737688523</v>
      </c>
      <c r="AM14" s="67">
        <f>AM$6*'Eurostat Collected Portables'!AM7</f>
        <v>28.633770767262625</v>
      </c>
      <c r="AN14" s="67">
        <f>AN$6*'Eurostat Collected Portables'!AN7</f>
        <v>31.547101351983109</v>
      </c>
      <c r="AO14" s="67">
        <f>AO$6*'Eurostat Collected Portables'!AO7</f>
        <v>34.761083524498403</v>
      </c>
      <c r="AP14" s="67">
        <f>AP$6*'Eurostat Collected Portables'!AP7</f>
        <v>38.253413130407019</v>
      </c>
      <c r="AQ14" s="67">
        <f>AQ$6*'Eurostat Collected Portables'!AQ7</f>
        <v>41.749415815825053</v>
      </c>
      <c r="AR14" s="67">
        <f>AR$6*'Eurostat Collected Portables'!AR7</f>
        <v>45.203877893522687</v>
      </c>
      <c r="AS14" s="67">
        <f>AS$6*'Eurostat Collected Portables'!AS7</f>
        <v>48.619513636614066</v>
      </c>
      <c r="AT14" s="67">
        <f>AT$6*'Eurostat Collected Portables'!AT7</f>
        <v>52.289841782742151</v>
      </c>
      <c r="AU14" s="67">
        <f>AU$6*'Eurostat Collected Portables'!AU7</f>
        <v>56.235502462093976</v>
      </c>
      <c r="AV14" s="67">
        <f>AV$6*'Eurostat Collected Portables'!AV7</f>
        <v>60.464268274016447</v>
      </c>
      <c r="AW14" s="67">
        <f>AW$6*'Eurostat Collected Portables'!AW7</f>
        <v>63.75745862831527</v>
      </c>
      <c r="AX14" s="67">
        <f>AX$6*'Eurostat Collected Portables'!AX7</f>
        <v>67.214078789143826</v>
      </c>
      <c r="AY14" s="67">
        <f>AY$6*'Eurostat Collected Portables'!AY7</f>
        <v>70.855792710407172</v>
      </c>
      <c r="AZ14" s="67">
        <f>AZ$6*'Eurostat Collected Portables'!AZ7</f>
        <v>74.692448587867688</v>
      </c>
    </row>
    <row r="15" spans="1:52" x14ac:dyDescent="0.35">
      <c r="A15" s="1" t="s">
        <v>5</v>
      </c>
      <c r="B15" s="23">
        <f t="shared" ref="B15:C15" si="15">C15/1.34</f>
        <v>1.3160063247060692</v>
      </c>
      <c r="C15" s="23">
        <f t="shared" si="15"/>
        <v>1.7634484751061328</v>
      </c>
      <c r="D15" s="23">
        <f t="shared" ref="D15:E15" si="16">E15/1.5</f>
        <v>2.363020956642218</v>
      </c>
      <c r="E15" s="23">
        <f t="shared" si="16"/>
        <v>3.5445314349633272</v>
      </c>
      <c r="F15" s="23">
        <f t="shared" si="2"/>
        <v>5.3167971524449911</v>
      </c>
      <c r="G15" s="23">
        <f t="shared" si="3"/>
        <v>6.4864925259828885</v>
      </c>
      <c r="H15" s="23">
        <f t="shared" si="4"/>
        <v>7.6540611806598076</v>
      </c>
      <c r="I15" s="23">
        <f t="shared" si="5"/>
        <v>9.1083328049851708</v>
      </c>
      <c r="J15" s="23">
        <f t="shared" si="6"/>
        <v>12.296249286729982</v>
      </c>
      <c r="K15" s="23">
        <f t="shared" si="7"/>
        <v>9.099224472180186</v>
      </c>
      <c r="L15" s="23">
        <f t="shared" si="8"/>
        <v>15.286697113262711</v>
      </c>
      <c r="M15" s="4">
        <f>$M$6*'Eurostat Collected Portables'!M8</f>
        <v>20.025573218374152</v>
      </c>
      <c r="N15" s="4">
        <f>$N$6*'Eurostat Collected Portables'!N8</f>
        <v>24.034607188804618</v>
      </c>
      <c r="O15" s="4">
        <f>$O$6*'Eurostat Collected Portables'!O8</f>
        <v>33.556479955363955</v>
      </c>
      <c r="P15" s="4">
        <f>$P$6*'Eurostat Collected Portables'!P8</f>
        <v>53.394123805515591</v>
      </c>
      <c r="Q15" s="4">
        <f>$Q$6*'Eurostat Collected Portables'!Q8</f>
        <v>59.226400371386198</v>
      </c>
      <c r="R15" s="4">
        <f>$R$6*'Eurostat Collected Portables'!R8</f>
        <v>110.69558486297886</v>
      </c>
      <c r="S15" s="4">
        <f>$S$6*'Eurostat Collected Portables'!S8</f>
        <v>87.385337156106402</v>
      </c>
      <c r="T15" s="4">
        <f>$T$6*'Eurostat Collected Portables'!T8</f>
        <v>104.65420628102191</v>
      </c>
      <c r="U15" s="4">
        <f>$U$6*'Eurostat Collected Portables'!U8</f>
        <v>99.190338410449058</v>
      </c>
      <c r="V15" s="4">
        <f>$V$6*'Eurostat Collected Portables'!V8</f>
        <v>202.24792271905412</v>
      </c>
      <c r="W15" s="4">
        <f>$W$6*'Eurostat Collected Portables'!W8</f>
        <v>187.98117117241571</v>
      </c>
      <c r="X15" s="67">
        <f>X$6*'Eurostat Collected Portables'!X8</f>
        <v>184.16161377205154</v>
      </c>
      <c r="Y15" s="67">
        <f>Y$6*'Eurostat Collected Portables'!Y8</f>
        <v>203.0498462994527</v>
      </c>
      <c r="Z15" s="67">
        <f>Z$6*'Eurostat Collected Portables'!Z8</f>
        <v>223.47471822711304</v>
      </c>
      <c r="AA15" s="67">
        <f>AA$6*'Eurostat Collected Portables'!AA8</f>
        <v>246.38195318118238</v>
      </c>
      <c r="AB15" s="67">
        <f>AB$6*'Eurostat Collected Portables'!AB8</f>
        <v>271.00583795985591</v>
      </c>
      <c r="AC15" s="67">
        <f>AC$6*'Eurostat Collected Portables'!AC8</f>
        <v>297.79653258712216</v>
      </c>
      <c r="AD15" s="67">
        <f>AD$6*'Eurostat Collected Portables'!AD8</f>
        <v>327.59173351483912</v>
      </c>
      <c r="AE15" s="67">
        <f>AE$6*'Eurostat Collected Portables'!AE8</f>
        <v>362.44935893585262</v>
      </c>
      <c r="AF15" s="67">
        <f>AF$6*'Eurostat Collected Portables'!AF8</f>
        <v>402.69962816455239</v>
      </c>
      <c r="AG15" s="67">
        <f>AG$6*'Eurostat Collected Portables'!AG8</f>
        <v>445.77449654651059</v>
      </c>
      <c r="AH15" s="67">
        <f>AH$6*'Eurostat Collected Portables'!AH8</f>
        <v>491.1562764739175</v>
      </c>
      <c r="AI15" s="67">
        <f>AI$6*'Eurostat Collected Portables'!AI8</f>
        <v>538.65247319838875</v>
      </c>
      <c r="AJ15" s="67">
        <f>AJ$6*'Eurostat Collected Portables'!AJ8</f>
        <v>590.95305013260042</v>
      </c>
      <c r="AK15" s="67">
        <f>AK$6*'Eurostat Collected Portables'!AK8</f>
        <v>648.57191048317191</v>
      </c>
      <c r="AL15" s="67">
        <f>AL$6*'Eurostat Collected Portables'!AL8</f>
        <v>712.07115800538929</v>
      </c>
      <c r="AM15" s="67">
        <f>AM$6*'Eurostat Collected Portables'!AM8</f>
        <v>782.07415998058298</v>
      </c>
      <c r="AN15" s="67">
        <f>AN$6*'Eurostat Collected Portables'!AN8</f>
        <v>859.27238002417698</v>
      </c>
      <c r="AO15" s="67">
        <f>AO$6*'Eurostat Collected Portables'!AO8</f>
        <v>944.24326723288607</v>
      </c>
      <c r="AP15" s="67">
        <f>AP$6*'Eurostat Collected Portables'!AP8</f>
        <v>1036.3269992186752</v>
      </c>
      <c r="AQ15" s="67">
        <f>AQ$6*'Eurostat Collected Portables'!AQ8</f>
        <v>1128.0530502313134</v>
      </c>
      <c r="AR15" s="67">
        <f>AR$6*'Eurostat Collected Portables'!AR8</f>
        <v>1218.2135653098364</v>
      </c>
      <c r="AS15" s="67">
        <f>AS$6*'Eurostat Collected Portables'!AS8</f>
        <v>1306.9011551139679</v>
      </c>
      <c r="AT15" s="67">
        <f>AT$6*'Eurostat Collected Portables'!AT8</f>
        <v>1402.0041479390918</v>
      </c>
      <c r="AU15" s="67">
        <f>AU$6*'Eurostat Collected Portables'!AU8</f>
        <v>1504.0335121897494</v>
      </c>
      <c r="AV15" s="67">
        <f>AV$6*'Eurostat Collected Portables'!AV8</f>
        <v>1613.1528046130002</v>
      </c>
      <c r="AW15" s="67">
        <f>AW$6*'Eurostat Collected Portables'!AW8</f>
        <v>1696.8833276758121</v>
      </c>
      <c r="AX15" s="67">
        <f>AX$6*'Eurostat Collected Portables'!AX8</f>
        <v>1784.5952161120833</v>
      </c>
      <c r="AY15" s="67">
        <f>AY$6*'Eurostat Collected Portables'!AY8</f>
        <v>1876.8399787256446</v>
      </c>
      <c r="AZ15" s="67">
        <f>AZ$6*'Eurostat Collected Portables'!AZ8</f>
        <v>1973.8522200428383</v>
      </c>
    </row>
    <row r="16" spans="1:52" x14ac:dyDescent="0.35">
      <c r="A16" s="1" t="s">
        <v>6</v>
      </c>
      <c r="B16" s="23">
        <f t="shared" ref="B16:C16" si="17">C16/1.34</f>
        <v>2.4457708186642613</v>
      </c>
      <c r="C16" s="23">
        <f t="shared" si="17"/>
        <v>3.2773328970101101</v>
      </c>
      <c r="D16" s="23">
        <f t="shared" ref="D16:E16" si="18">E16/1.5</f>
        <v>4.3916260819935475</v>
      </c>
      <c r="E16" s="23">
        <f t="shared" si="18"/>
        <v>6.5874391229903217</v>
      </c>
      <c r="F16" s="23">
        <f t="shared" si="2"/>
        <v>9.8811586844854826</v>
      </c>
      <c r="G16" s="23">
        <f t="shared" si="3"/>
        <v>12.055013595072289</v>
      </c>
      <c r="H16" s="23">
        <f t="shared" si="4"/>
        <v>14.224916042185301</v>
      </c>
      <c r="I16" s="23">
        <f t="shared" si="5"/>
        <v>16.927650090200508</v>
      </c>
      <c r="J16" s="23">
        <f t="shared" si="6"/>
        <v>22.852327621770687</v>
      </c>
      <c r="K16" s="23">
        <f t="shared" si="7"/>
        <v>16.910722440110309</v>
      </c>
      <c r="L16" s="23">
        <f t="shared" si="8"/>
        <v>28.410013699385317</v>
      </c>
      <c r="M16" s="4">
        <f>$M$6*'Eurostat Collected Portables'!M9</f>
        <v>37.217117946194769</v>
      </c>
      <c r="N16" s="4">
        <f>$N$6*'Eurostat Collected Portables'!N9</f>
        <v>35.956724220082947</v>
      </c>
      <c r="O16" s="4">
        <f>$O$6*'Eurostat Collected Portables'!O9</f>
        <v>42.261886335166629</v>
      </c>
      <c r="P16" s="4">
        <f>$P$6*'Eurostat Collected Portables'!P9</f>
        <v>68.987888833235218</v>
      </c>
      <c r="Q16" s="4">
        <f>$Q$6*'Eurostat Collected Portables'!Q9</f>
        <v>66.971714989961228</v>
      </c>
      <c r="R16" s="4">
        <f>$R$6*'Eurostat Collected Portables'!R9</f>
        <v>89.481589492984355</v>
      </c>
      <c r="S16" s="4">
        <f>$S$6*'Eurostat Collected Portables'!S9</f>
        <v>91.77772182797419</v>
      </c>
      <c r="T16" s="4">
        <f>$T$6*'Eurostat Collected Portables'!T9</f>
        <v>107.81398970855928</v>
      </c>
      <c r="U16" s="4">
        <f>$U$6*'Eurostat Collected Portables'!U9</f>
        <v>109.24538250984325</v>
      </c>
      <c r="V16" s="4">
        <f>$V$6*'Eurostat Collected Portables'!V9</f>
        <v>249.2888741035695</v>
      </c>
      <c r="W16" s="4">
        <f>$W$6*'Eurostat Collected Portables'!W9</f>
        <v>202.35211150865464</v>
      </c>
      <c r="X16" s="67">
        <f>X$6*'Eurostat Collected Portables'!X9</f>
        <v>199.98024261529395</v>
      </c>
      <c r="Y16" s="67">
        <f>Y$6*'Eurostat Collected Portables'!Y9</f>
        <v>218.82981937585271</v>
      </c>
      <c r="Z16" s="67">
        <f>Z$6*'Eurostat Collected Portables'!Z9</f>
        <v>239.92141337128325</v>
      </c>
      <c r="AA16" s="67">
        <f>AA$6*'Eurostat Collected Portables'!AA9</f>
        <v>263.51243778366211</v>
      </c>
      <c r="AB16" s="67">
        <f>AB$6*'Eurostat Collected Portables'!AB9</f>
        <v>288.7600513750138</v>
      </c>
      <c r="AC16" s="67">
        <f>AC$6*'Eurostat Collected Portables'!AC9</f>
        <v>316.12494091345866</v>
      </c>
      <c r="AD16" s="67">
        <f>AD$6*'Eurostat Collected Portables'!AD9</f>
        <v>346.47103987935759</v>
      </c>
      <c r="AE16" s="67">
        <f>AE$6*'Eurostat Collected Portables'!AE9</f>
        <v>381.93569198593832</v>
      </c>
      <c r="AF16" s="67">
        <f>AF$6*'Eurostat Collected Portables'!AF9</f>
        <v>422.81157802771759</v>
      </c>
      <c r="AG16" s="67">
        <f>AG$6*'Eurostat Collected Portables'!AG9</f>
        <v>466.3556406651399</v>
      </c>
      <c r="AH16" s="67">
        <f>AH$6*'Eurostat Collected Portables'!AH9</f>
        <v>512.00186247421698</v>
      </c>
      <c r="AI16" s="67">
        <f>AI$6*'Eurostat Collected Portables'!AI9</f>
        <v>559.53028546646783</v>
      </c>
      <c r="AJ16" s="67">
        <f>AJ$6*'Eurostat Collected Portables'!AJ9</f>
        <v>611.70792641025264</v>
      </c>
      <c r="AK16" s="67">
        <f>AK$6*'Eurostat Collected Portables'!AK9</f>
        <v>669.01887440841995</v>
      </c>
      <c r="AL16" s="67">
        <f>AL$6*'Eurostat Collected Portables'!AL9</f>
        <v>731.99055723550453</v>
      </c>
      <c r="AM16" s="67">
        <f>AM$6*'Eurostat Collected Portables'!AM9</f>
        <v>801.20646097844747</v>
      </c>
      <c r="AN16" s="67">
        <f>AN$6*'Eurostat Collected Portables'!AN9</f>
        <v>877.31224011799668</v>
      </c>
      <c r="AO16" s="67">
        <f>AO$6*'Eurostat Collected Portables'!AO9</f>
        <v>960.82945476319856</v>
      </c>
      <c r="AP16" s="67">
        <f>AP$6*'Eurostat Collected Portables'!AP9</f>
        <v>1051.0185557535497</v>
      </c>
      <c r="AQ16" s="67">
        <f>AQ$6*'Eurostat Collected Portables'!AQ9</f>
        <v>1140.2660170659992</v>
      </c>
      <c r="AR16" s="67">
        <f>AR$6*'Eurostat Collected Portables'!AR9</f>
        <v>1227.3684281769151</v>
      </c>
      <c r="AS16" s="67">
        <f>AS$6*'Eurostat Collected Portables'!AS9</f>
        <v>1312.4438690519551</v>
      </c>
      <c r="AT16" s="67">
        <f>AT$6*'Eurostat Collected Portables'!AT9</f>
        <v>1403.412199555544</v>
      </c>
      <c r="AU16" s="67">
        <f>AU$6*'Eurostat Collected Portables'!AU9</f>
        <v>1500.7306073073662</v>
      </c>
      <c r="AV16" s="67">
        <f>AV$6*'Eurostat Collected Portables'!AV9</f>
        <v>1604.5054422003846</v>
      </c>
      <c r="AW16" s="67">
        <f>AW$6*'Eurostat Collected Portables'!AW9</f>
        <v>1682.4771333715835</v>
      </c>
      <c r="AX16" s="67">
        <f>AX$6*'Eurostat Collected Portables'!AX9</f>
        <v>1763.9217493797776</v>
      </c>
      <c r="AY16" s="67">
        <f>AY$6*'Eurostat Collected Portables'!AY9</f>
        <v>1849.3538051306016</v>
      </c>
      <c r="AZ16" s="67">
        <f>AZ$6*'Eurostat Collected Portables'!AZ9</f>
        <v>1938.9704674028192</v>
      </c>
    </row>
    <row r="17" spans="1:52" x14ac:dyDescent="0.35">
      <c r="A17" s="1" t="s">
        <v>7</v>
      </c>
      <c r="B17" s="23">
        <f t="shared" ref="B17:C17" si="19">C17/1.34</f>
        <v>0.11082158523840581</v>
      </c>
      <c r="C17" s="23">
        <f t="shared" si="19"/>
        <v>0.14850092421946379</v>
      </c>
      <c r="D17" s="23">
        <f t="shared" ref="D17:E17" si="20">E17/1.5</f>
        <v>0.19899123845408148</v>
      </c>
      <c r="E17" s="23">
        <f t="shared" si="20"/>
        <v>0.29848685768112221</v>
      </c>
      <c r="F17" s="23">
        <f t="shared" si="2"/>
        <v>0.44773028652168334</v>
      </c>
      <c r="G17" s="23">
        <f t="shared" si="3"/>
        <v>0.54623094955645368</v>
      </c>
      <c r="H17" s="23">
        <f t="shared" si="4"/>
        <v>0.64455252047661538</v>
      </c>
      <c r="I17" s="23">
        <f t="shared" si="5"/>
        <v>0.76701749936717223</v>
      </c>
      <c r="J17" s="23">
        <f t="shared" si="6"/>
        <v>1.0354736241456826</v>
      </c>
      <c r="K17" s="23">
        <f t="shared" si="7"/>
        <v>0.76625048186780509</v>
      </c>
      <c r="L17" s="23">
        <f t="shared" si="8"/>
        <v>1.2873008095379126</v>
      </c>
      <c r="M17" s="4">
        <f>$M$6*'Eurostat Collected Portables'!M10</f>
        <v>1.6863640604946655</v>
      </c>
      <c r="N17" s="4">
        <f>$N$6*'Eurostat Collected Portables'!N10</f>
        <v>2.9269868160623442</v>
      </c>
      <c r="O17" s="4">
        <f>$O$6*'Eurostat Collected Portables'!O10</f>
        <v>8.8258964335023684</v>
      </c>
      <c r="P17" s="4">
        <f>$P$6*'Eurostat Collected Portables'!P10</f>
        <v>4.7808964411633212</v>
      </c>
      <c r="Q17" s="4">
        <f>$Q$6*'Eurostat Collected Portables'!Q10</f>
        <v>7.2822795055080398</v>
      </c>
      <c r="R17" s="4">
        <f>$R$6*'Eurostat Collected Portables'!R10</f>
        <v>6.7523243408253197</v>
      </c>
      <c r="S17" s="4">
        <f>$S$6*'Eurostat Collected Portables'!S10</f>
        <v>7.212757987488148</v>
      </c>
      <c r="T17" s="4">
        <f>$T$6*'Eurostat Collected Portables'!T10</f>
        <v>8.8800810118722389</v>
      </c>
      <c r="U17" s="4">
        <f>$U$6*'Eurostat Collected Portables'!U10</f>
        <v>6.8005129174646761</v>
      </c>
      <c r="V17" s="4">
        <f>$V$6*'Eurostat Collected Portables'!V10</f>
        <v>18.403246449830366</v>
      </c>
      <c r="W17" s="4">
        <f>$W$6*'Eurostat Collected Portables'!W10</f>
        <v>17.693254499993092</v>
      </c>
      <c r="X17" s="67">
        <f>X$6*'Eurostat Collected Portables'!X10</f>
        <v>16.863491094411842</v>
      </c>
      <c r="Y17" s="67">
        <f>Y$6*'Eurostat Collected Portables'!Y10</f>
        <v>18.14954293851973</v>
      </c>
      <c r="Z17" s="67">
        <f>Z$6*'Eurostat Collected Portables'!Z10</f>
        <v>20.076551285110604</v>
      </c>
      <c r="AA17" s="67">
        <f>AA$6*'Eurostat Collected Portables'!AA10</f>
        <v>22.244802112536011</v>
      </c>
      <c r="AB17" s="67">
        <f>AB$6*'Eurostat Collected Portables'!AB10</f>
        <v>24.587792083659977</v>
      </c>
      <c r="AC17" s="67">
        <f>AC$6*'Eurostat Collected Portables'!AC10</f>
        <v>27.148450844468893</v>
      </c>
      <c r="AD17" s="67">
        <f>AD$6*'Eurostat Collected Portables'!AD10</f>
        <v>30.005933767579887</v>
      </c>
      <c r="AE17" s="67">
        <f>AE$6*'Eurostat Collected Portables'!AE10</f>
        <v>33.353049117873383</v>
      </c>
      <c r="AF17" s="67">
        <f>AF$6*'Eurostat Collected Portables'!AF10</f>
        <v>37.226270596434439</v>
      </c>
      <c r="AG17" s="67">
        <f>AG$6*'Eurostat Collected Portables'!AG10</f>
        <v>41.39335058762132</v>
      </c>
      <c r="AH17" s="67">
        <f>AH$6*'Eurostat Collected Portables'!AH10</f>
        <v>45.808907159863736</v>
      </c>
      <c r="AI17" s="67">
        <f>AI$6*'Eurostat Collected Portables'!AI10</f>
        <v>50.457110614113546</v>
      </c>
      <c r="AJ17" s="67">
        <f>AJ$6*'Eurostat Collected Portables'!AJ10</f>
        <v>55.592932495670269</v>
      </c>
      <c r="AK17" s="67">
        <f>AK$6*'Eurostat Collected Portables'!AK10</f>
        <v>61.269986106326876</v>
      </c>
      <c r="AL17" s="67">
        <f>AL$6*'Eurostat Collected Portables'!AL10</f>
        <v>67.547140673644492</v>
      </c>
      <c r="AM17" s="67">
        <f>AM$6*'Eurostat Collected Portables'!AM10</f>
        <v>74.489838525827125</v>
      </c>
      <c r="AN17" s="67">
        <f>AN$6*'Eurostat Collected Portables'!AN10</f>
        <v>82.170843850212066</v>
      </c>
      <c r="AO17" s="67">
        <f>AO$6*'Eurostat Collected Portables'!AO10</f>
        <v>90.652863897204512</v>
      </c>
      <c r="AP17" s="67">
        <f>AP$6*'Eurostat Collected Portables'!AP10</f>
        <v>99.880052283185321</v>
      </c>
      <c r="AQ17" s="67">
        <f>AQ$6*'Eurostat Collected Portables'!AQ10</f>
        <v>109.13649124355969</v>
      </c>
      <c r="AR17" s="67">
        <f>AR$6*'Eurostat Collected Portables'!AR10</f>
        <v>118.30339490060967</v>
      </c>
      <c r="AS17" s="67">
        <f>AS$6*'Eurostat Collected Portables'!AS10</f>
        <v>127.3870298521874</v>
      </c>
      <c r="AT17" s="67">
        <f>AT$6*'Eurostat Collected Portables'!AT10</f>
        <v>137.15650358460138</v>
      </c>
      <c r="AU17" s="67">
        <f>AU$6*'Eurostat Collected Portables'!AU10</f>
        <v>147.66778019745018</v>
      </c>
      <c r="AV17" s="67">
        <f>AV$6*'Eurostat Collected Portables'!AV10</f>
        <v>158.94317562588745</v>
      </c>
      <c r="AW17" s="67">
        <f>AW$6*'Eurostat Collected Portables'!AW10</f>
        <v>167.77762316634826</v>
      </c>
      <c r="AX17" s="67">
        <f>AX$6*'Eurostat Collected Portables'!AX10</f>
        <v>177.05797207703782</v>
      </c>
      <c r="AY17" s="67">
        <f>AY$6*'Eurostat Collected Portables'!AY10</f>
        <v>186.84230907617413</v>
      </c>
      <c r="AZ17" s="67">
        <f>AZ$6*'Eurostat Collected Portables'!AZ10</f>
        <v>197.15773231315328</v>
      </c>
    </row>
    <row r="18" spans="1:52" x14ac:dyDescent="0.35">
      <c r="A18" s="1" t="s">
        <v>8</v>
      </c>
      <c r="B18" s="23">
        <f t="shared" ref="B18:C18" si="21">C18/1.34</f>
        <v>1.4899346459830114</v>
      </c>
      <c r="C18" s="23">
        <f t="shared" si="21"/>
        <v>1.9965124256172355</v>
      </c>
      <c r="D18" s="23">
        <f t="shared" ref="D18:E18" si="22">E18/1.5</f>
        <v>2.6753266503270958</v>
      </c>
      <c r="E18" s="23">
        <f t="shared" si="22"/>
        <v>4.012989975490644</v>
      </c>
      <c r="F18" s="23">
        <f t="shared" si="2"/>
        <v>6.0194849632359659</v>
      </c>
      <c r="G18" s="23">
        <f t="shared" si="3"/>
        <v>7.3437716551478784</v>
      </c>
      <c r="H18" s="23">
        <f t="shared" si="4"/>
        <v>8.6656505530744958</v>
      </c>
      <c r="I18" s="23">
        <f t="shared" si="5"/>
        <v>10.31212415815865</v>
      </c>
      <c r="J18" s="23">
        <f t="shared" si="6"/>
        <v>13.921367613514178</v>
      </c>
      <c r="K18" s="23">
        <f t="shared" si="7"/>
        <v>10.301812034000491</v>
      </c>
      <c r="L18" s="23">
        <f t="shared" si="8"/>
        <v>17.307044217120826</v>
      </c>
      <c r="M18" s="4">
        <f>$M$6*'Eurostat Collected Portables'!M11</f>
        <v>22.672227924428281</v>
      </c>
      <c r="N18" s="4">
        <f>$N$6*'Eurostat Collected Portables'!N11</f>
        <v>21.892909518515097</v>
      </c>
      <c r="O18" s="4">
        <f>$O$6*'Eurostat Collected Portables'!O11</f>
        <v>33.948072629887953</v>
      </c>
      <c r="P18" s="4">
        <f>$P$6*'Eurostat Collected Portables'!P11</f>
        <v>55.940956489125959</v>
      </c>
      <c r="Q18" s="4">
        <f>$Q$6*'Eurostat Collected Portables'!Q11</f>
        <v>54.427672835964714</v>
      </c>
      <c r="R18" s="4">
        <f>$R$6*'Eurostat Collected Portables'!R11</f>
        <v>69.437288103290285</v>
      </c>
      <c r="S18" s="4">
        <f>$S$6*'Eurostat Collected Portables'!S11</f>
        <v>63.342810531145915</v>
      </c>
      <c r="T18" s="4">
        <f>$T$6*'Eurostat Collected Portables'!T11</f>
        <v>79.866250082237443</v>
      </c>
      <c r="U18" s="4">
        <f>$U$6*'Eurostat Collected Portables'!U11</f>
        <v>81.557579917308502</v>
      </c>
      <c r="V18" s="4">
        <f>$V$6*'Eurostat Collected Portables'!V11</f>
        <v>164.1269122158341</v>
      </c>
      <c r="W18" s="4">
        <f>$W$6*'Eurostat Collected Portables'!W11</f>
        <v>161.78897346281894</v>
      </c>
      <c r="X18" s="67">
        <f>X$6*'Eurostat Collected Portables'!X11</f>
        <v>154.48849351268214</v>
      </c>
      <c r="Y18" s="67">
        <f>Y$6*'Eurostat Collected Portables'!Y11</f>
        <v>173.26655598958715</v>
      </c>
      <c r="Z18" s="67">
        <f>Z$6*'Eurostat Collected Portables'!Z11</f>
        <v>189.99775037280256</v>
      </c>
      <c r="AA18" s="67">
        <f>AA$6*'Eurostat Collected Portables'!AA11</f>
        <v>208.71391074167909</v>
      </c>
      <c r="AB18" s="67">
        <f>AB$6*'Eurostat Collected Portables'!AB11</f>
        <v>228.74828277436649</v>
      </c>
      <c r="AC18" s="67">
        <f>AC$6*'Eurostat Collected Portables'!AC11</f>
        <v>250.46645970121727</v>
      </c>
      <c r="AD18" s="67">
        <f>AD$6*'Eurostat Collected Portables'!AD11</f>
        <v>274.55380764260548</v>
      </c>
      <c r="AE18" s="67">
        <f>AE$6*'Eurostat Collected Portables'!AE11</f>
        <v>302.70537105753965</v>
      </c>
      <c r="AF18" s="67">
        <f>AF$6*'Eurostat Collected Portables'!AF11</f>
        <v>335.15502921979737</v>
      </c>
      <c r="AG18" s="67">
        <f>AG$6*'Eurostat Collected Portables'!AG11</f>
        <v>369.73003452268489</v>
      </c>
      <c r="AH18" s="67">
        <f>AH$6*'Eurostat Collected Portables'!AH11</f>
        <v>405.98249585762073</v>
      </c>
      <c r="AI18" s="67">
        <f>AI$6*'Eurostat Collected Portables'!AI11</f>
        <v>443.73867647123382</v>
      </c>
      <c r="AJ18" s="67">
        <f>AJ$6*'Eurostat Collected Portables'!AJ11</f>
        <v>485.19392988809273</v>
      </c>
      <c r="AK18" s="67">
        <f>AK$6*'Eurostat Collected Portables'!AK11</f>
        <v>530.73391159314303</v>
      </c>
      <c r="AL18" s="67">
        <f>AL$6*'Eurostat Collected Portables'!AL11</f>
        <v>580.77888331198506</v>
      </c>
      <c r="AM18" s="67">
        <f>AM$6*'Eurostat Collected Portables'!AM11</f>
        <v>635.79383022129673</v>
      </c>
      <c r="AN18" s="67">
        <f>AN$6*'Eurostat Collected Portables'!AN11</f>
        <v>696.29334125206481</v>
      </c>
      <c r="AO18" s="67">
        <f>AO$6*'Eurostat Collected Portables'!AO11</f>
        <v>762.69379030784398</v>
      </c>
      <c r="AP18" s="67">
        <f>AP$6*'Eurostat Collected Portables'!AP11</f>
        <v>834.41057474551917</v>
      </c>
      <c r="AQ18" s="67">
        <f>AQ$6*'Eurostat Collected Portables'!AQ11</f>
        <v>905.40059970493519</v>
      </c>
      <c r="AR18" s="67">
        <f>AR$6*'Eurostat Collected Portables'!AR11</f>
        <v>974.70769413467167</v>
      </c>
      <c r="AS18" s="67">
        <f>AS$6*'Eurostat Collected Portables'!AS11</f>
        <v>1042.4247339324556</v>
      </c>
      <c r="AT18" s="67">
        <f>AT$6*'Eurostat Collected Portables'!AT11</f>
        <v>1114.8422353521128</v>
      </c>
      <c r="AU18" s="67">
        <f>AU$6*'Eurostat Collected Portables'!AU11</f>
        <v>1192.3253568627949</v>
      </c>
      <c r="AV18" s="67">
        <f>AV$6*'Eurostat Collected Portables'!AV11</f>
        <v>1274.9606706454267</v>
      </c>
      <c r="AW18" s="67">
        <f>AW$6*'Eurostat Collected Portables'!AW11</f>
        <v>1337.112655925202</v>
      </c>
      <c r="AX18" s="67">
        <f>AX$6*'Eurostat Collected Portables'!AX11</f>
        <v>1402.0421300812548</v>
      </c>
      <c r="AY18" s="67">
        <f>AY$6*'Eurostat Collected Portables'!AY11</f>
        <v>1470.1591811696521</v>
      </c>
      <c r="AZ18" s="67">
        <f>AZ$6*'Eurostat Collected Portables'!AZ11</f>
        <v>1541.6218068947717</v>
      </c>
    </row>
    <row r="19" spans="1:52" x14ac:dyDescent="0.35">
      <c r="A19" s="1" t="s">
        <v>9</v>
      </c>
      <c r="B19" s="23">
        <f t="shared" ref="B19:C19" si="23">C19/1.34</f>
        <v>17.886911695215471</v>
      </c>
      <c r="C19" s="23">
        <f t="shared" si="23"/>
        <v>23.968461671588731</v>
      </c>
      <c r="D19" s="23">
        <f t="shared" ref="D19:E19" si="24">E19/1.5</f>
        <v>32.117738639928902</v>
      </c>
      <c r="E19" s="23">
        <f t="shared" si="24"/>
        <v>48.176607959893353</v>
      </c>
      <c r="F19" s="23">
        <f t="shared" si="2"/>
        <v>72.264911939840033</v>
      </c>
      <c r="G19" s="23">
        <f t="shared" si="3"/>
        <v>88.163192566604835</v>
      </c>
      <c r="H19" s="23">
        <f t="shared" si="4"/>
        <v>104.03256722859371</v>
      </c>
      <c r="I19" s="23">
        <f t="shared" si="5"/>
        <v>123.79875500202651</v>
      </c>
      <c r="J19" s="23">
        <f t="shared" si="6"/>
        <v>167.12831925273579</v>
      </c>
      <c r="K19" s="23">
        <f t="shared" si="7"/>
        <v>123.67495624702448</v>
      </c>
      <c r="L19" s="23">
        <f t="shared" si="8"/>
        <v>207.77392649500112</v>
      </c>
      <c r="M19" s="4">
        <f>$M$6*'Eurostat Collected Portables'!M12</f>
        <v>272.18384370845149</v>
      </c>
      <c r="N19" s="4">
        <f>$N$6*'Eurostat Collected Portables'!N12</f>
        <v>280.2292418369932</v>
      </c>
      <c r="O19" s="4">
        <f>$O$6*'Eurostat Collected Portables'!O12</f>
        <v>342.37248758767208</v>
      </c>
      <c r="P19" s="4">
        <f>$P$6*'Eurostat Collected Portables'!P12</f>
        <v>535.68380778604728</v>
      </c>
      <c r="Q19" s="4">
        <f>$Q$6*'Eurostat Collected Portables'!Q12</f>
        <v>517.58906820651362</v>
      </c>
      <c r="R19" s="4">
        <f>$R$6*'Eurostat Collected Portables'!R12</f>
        <v>727.23064829770647</v>
      </c>
      <c r="S19" s="4">
        <f>$S$6*'Eurostat Collected Portables'!S12</f>
        <v>646.42031681456274</v>
      </c>
      <c r="T19" s="4">
        <f>$T$6*'Eurostat Collected Portables'!T12</f>
        <v>784.49795442306902</v>
      </c>
      <c r="U19" s="4">
        <f>$U$6*'Eurostat Collected Portables'!U12</f>
        <v>754.07973236229736</v>
      </c>
      <c r="V19" s="4">
        <f>$V$6*'Eurostat Collected Portables'!V12</f>
        <v>1420.0545883022166</v>
      </c>
      <c r="W19" s="4">
        <f>$W$6*'Eurostat Collected Portables'!W12</f>
        <v>1549.89818895136</v>
      </c>
      <c r="X19" s="67">
        <f>X$6*'Eurostat Collected Portables'!X12</f>
        <v>1482.7482352524014</v>
      </c>
      <c r="Y19" s="67">
        <f>Y$6*'Eurostat Collected Portables'!Y12</f>
        <v>1636.1616228907542</v>
      </c>
      <c r="Z19" s="67">
        <f>Z$6*'Eurostat Collected Portables'!Z12</f>
        <v>1792.5707264871196</v>
      </c>
      <c r="AA19" s="67">
        <f>AA$6*'Eurostat Collected Portables'!AA12</f>
        <v>1970.1665644880509</v>
      </c>
      <c r="AB19" s="67">
        <f>AB$6*'Eurostat Collected Portables'!AB12</f>
        <v>2158.9019538441466</v>
      </c>
      <c r="AC19" s="67">
        <f>AC$6*'Eurostat Collected Portables'!AC12</f>
        <v>2362.3528285313746</v>
      </c>
      <c r="AD19" s="67">
        <f>AD$6*'Eurostat Collected Portables'!AD12</f>
        <v>2587.5003305449063</v>
      </c>
      <c r="AE19" s="67">
        <f>AE$6*'Eurostat Collected Portables'!AE12</f>
        <v>2850.574582184875</v>
      </c>
      <c r="AF19" s="67">
        <f>AF$6*'Eurostat Collected Portables'!AF12</f>
        <v>3153.6894854719085</v>
      </c>
      <c r="AG19" s="67">
        <f>AG$6*'Eurostat Collected Portables'!AG12</f>
        <v>3476.3251274200366</v>
      </c>
      <c r="AH19" s="67">
        <f>AH$6*'Eurostat Collected Portables'!AH12</f>
        <v>3814.2308983218491</v>
      </c>
      <c r="AI19" s="67">
        <f>AI$6*'Eurostat Collected Portables'!AI12</f>
        <v>4165.7433158351159</v>
      </c>
      <c r="AJ19" s="67">
        <f>AJ$6*'Eurostat Collected Portables'!AJ12</f>
        <v>4551.4278173539215</v>
      </c>
      <c r="AK19" s="67">
        <f>AK$6*'Eurostat Collected Portables'!AK12</f>
        <v>4974.8241362489189</v>
      </c>
      <c r="AL19" s="67">
        <f>AL$6*'Eurostat Collected Portables'!AL12</f>
        <v>5439.7859579169926</v>
      </c>
      <c r="AM19" s="67">
        <f>AM$6*'Eurostat Collected Portables'!AM12</f>
        <v>5950.5745191339665</v>
      </c>
      <c r="AN19" s="67">
        <f>AN$6*'Eurostat Collected Portables'!AN12</f>
        <v>6511.9028203279331</v>
      </c>
      <c r="AO19" s="67">
        <f>AO$6*'Eurostat Collected Portables'!AO12</f>
        <v>7127.552646444783</v>
      </c>
      <c r="AP19" s="67">
        <f>AP$6*'Eurostat Collected Portables'!AP12</f>
        <v>7791.9479372988244</v>
      </c>
      <c r="AQ19" s="67">
        <f>AQ$6*'Eurostat Collected Portables'!AQ12</f>
        <v>8448.5950545108317</v>
      </c>
      <c r="AR19" s="67">
        <f>AR$6*'Eurostat Collected Portables'!AR12</f>
        <v>9088.6008411014845</v>
      </c>
      <c r="AS19" s="67">
        <f>AS$6*'Eurostat Collected Portables'!AS12</f>
        <v>9712.8727193363957</v>
      </c>
      <c r="AT19" s="67">
        <f>AT$6*'Eurostat Collected Portables'!AT12</f>
        <v>10380.0198334</v>
      </c>
      <c r="AU19" s="67">
        <f>AU$6*'Eurostat Collected Portables'!AU12</f>
        <v>11093.350771877678</v>
      </c>
      <c r="AV19" s="67">
        <f>AV$6*'Eurostat Collected Portables'!AV12</f>
        <v>11853.575100290631</v>
      </c>
      <c r="AW19" s="67">
        <f>AW$6*'Eurostat Collected Portables'!AW12</f>
        <v>12422.430221229011</v>
      </c>
      <c r="AX19" s="67">
        <f>AX$6*'Eurostat Collected Portables'!AX12</f>
        <v>13016.284034120466</v>
      </c>
      <c r="AY19" s="67">
        <f>AY$6*'Eurostat Collected Portables'!AY12</f>
        <v>13638.891619472974</v>
      </c>
      <c r="AZ19" s="67">
        <f>AZ$6*'Eurostat Collected Portables'!AZ12</f>
        <v>14291.660695792309</v>
      </c>
    </row>
    <row r="20" spans="1:52" x14ac:dyDescent="0.35">
      <c r="A20" s="1" t="s">
        <v>10</v>
      </c>
      <c r="B20" s="23">
        <f t="shared" ref="B20:C20" si="25">C20/1.34</f>
        <v>26.49926295738106</v>
      </c>
      <c r="C20" s="23">
        <f t="shared" si="25"/>
        <v>35.509012362890623</v>
      </c>
      <c r="D20" s="23">
        <f t="shared" ref="D20:E20" si="26">E20/1.5</f>
        <v>47.582076566273436</v>
      </c>
      <c r="E20" s="23">
        <f t="shared" si="26"/>
        <v>71.373114849410157</v>
      </c>
      <c r="F20" s="23">
        <f t="shared" si="2"/>
        <v>107.05967227411523</v>
      </c>
      <c r="G20" s="23">
        <f t="shared" si="3"/>
        <v>130.61280017442058</v>
      </c>
      <c r="H20" s="23">
        <f t="shared" si="4"/>
        <v>154.12310420581628</v>
      </c>
      <c r="I20" s="23">
        <f t="shared" si="5"/>
        <v>183.40649400492137</v>
      </c>
      <c r="J20" s="23">
        <f t="shared" si="6"/>
        <v>247.59876690664387</v>
      </c>
      <c r="K20" s="23">
        <f t="shared" si="7"/>
        <v>183.22308751091646</v>
      </c>
      <c r="L20" s="23">
        <f t="shared" si="8"/>
        <v>307.81478701833964</v>
      </c>
      <c r="M20" s="4">
        <f>M4*'Eurostat Collected Portables'!M13</f>
        <v>403.23737099402496</v>
      </c>
      <c r="N20" s="4">
        <f>N4*'Eurostat Collected Portables'!N13</f>
        <v>381.63358831231477</v>
      </c>
      <c r="O20" s="4">
        <f>O4*'Eurostat Collected Portables'!O13</f>
        <v>522.11242324043462</v>
      </c>
      <c r="P20" s="4">
        <f>P4*'Eurostat Collected Portables'!P13</f>
        <v>708.72690950256367</v>
      </c>
      <c r="Q20" s="4">
        <f>Q4*'Eurostat Collected Portables'!Q13</f>
        <v>807.12545501820068</v>
      </c>
      <c r="R20" s="4">
        <f>R4*'Eurostat Collected Portables'!R13</f>
        <v>1067.0834377349036</v>
      </c>
      <c r="S20" s="4">
        <f>S4*'Eurostat Collected Portables'!S13</f>
        <v>939.17993457143405</v>
      </c>
      <c r="T20" s="4">
        <f>T4*'Eurostat Collected Portables'!T13</f>
        <v>1269.2473539537732</v>
      </c>
      <c r="U20" s="4">
        <f>$U$6*'Eurostat Collected Portables'!U13</f>
        <v>1341.8869238925834</v>
      </c>
      <c r="V20" s="4">
        <f>$V$6*'Eurostat Collected Portables'!V13</f>
        <v>2473.4526593259252</v>
      </c>
      <c r="W20" s="4">
        <f>$W$6*'Eurostat Collected Portables'!W13</f>
        <v>2288.8426694663553</v>
      </c>
      <c r="X20" s="67">
        <f>X$6*'Eurostat Collected Portables'!X13</f>
        <v>2196.6709631706021</v>
      </c>
      <c r="Y20" s="67">
        <f>Y$6*'Eurostat Collected Portables'!Y13</f>
        <v>2363.5516599215425</v>
      </c>
      <c r="Z20" s="67">
        <f>Z$6*'Eurostat Collected Portables'!Z13</f>
        <v>2606.8507012710334</v>
      </c>
      <c r="AA20" s="67">
        <f>AA$6*'Eurostat Collected Portables'!AA13</f>
        <v>2878.6841761192463</v>
      </c>
      <c r="AB20" s="67">
        <f>AB$6*'Eurostat Collected Portables'!AB13</f>
        <v>3164.6193846900574</v>
      </c>
      <c r="AC20" s="67">
        <f>AC$6*'Eurostat Collected Portables'!AC13</f>
        <v>3470.440205323845</v>
      </c>
      <c r="AD20" s="67">
        <f>AD$6*'Eurostat Collected Portables'!AD13</f>
        <v>3808.6298584304741</v>
      </c>
      <c r="AE20" s="67">
        <f>AE$6*'Eurostat Collected Portables'!AE13</f>
        <v>4211.1387201672342</v>
      </c>
      <c r="AF20" s="67">
        <f>AF$6*'Eurostat Collected Portables'!AF13</f>
        <v>4681.184084910381</v>
      </c>
      <c r="AG20" s="67">
        <f>AG$6*'Eurostat Collected Portables'!AG13</f>
        <v>5187.0450458357627</v>
      </c>
      <c r="AH20" s="67">
        <f>AH$6*'Eurostat Collected Portables'!AH13</f>
        <v>5721.3568286673299</v>
      </c>
      <c r="AI20" s="67">
        <f>AI$6*'Eurostat Collected Portables'!AI13</f>
        <v>6282.2100706561641</v>
      </c>
      <c r="AJ20" s="67">
        <f>AJ$6*'Eurostat Collected Portables'!AJ13</f>
        <v>6900.4072453288109</v>
      </c>
      <c r="AK20" s="67">
        <f>AK$6*'Eurostat Collected Portables'!AK13</f>
        <v>7582.0703650017258</v>
      </c>
      <c r="AL20" s="67">
        <f>AL$6*'Eurostat Collected Portables'!AL13</f>
        <v>8333.958581144072</v>
      </c>
      <c r="AM20" s="67">
        <f>AM$6*'Eurostat Collected Portables'!AM13</f>
        <v>9163.5726992176005</v>
      </c>
      <c r="AN20" s="67">
        <f>AN$6*'Eurostat Collected Portables'!AN13</f>
        <v>10079.238426005508</v>
      </c>
      <c r="AO20" s="67">
        <f>AO$6*'Eurostat Collected Portables'!AO13</f>
        <v>11087.724219449519</v>
      </c>
      <c r="AP20" s="67">
        <f>AP$6*'Eurostat Collected Portables'!AP13</f>
        <v>12180.998459468554</v>
      </c>
      <c r="AQ20" s="67">
        <f>AQ$6*'Eurostat Collected Portables'!AQ13</f>
        <v>13273.235552857057</v>
      </c>
      <c r="AR20" s="67">
        <f>AR$6*'Eurostat Collected Portables'!AR13</f>
        <v>14350.930124575425</v>
      </c>
      <c r="AS20" s="67">
        <f>AS$6*'Eurostat Collected Portables'!AS13</f>
        <v>15415.97929556031</v>
      </c>
      <c r="AT20" s="67">
        <f>AT$6*'Eurostat Collected Portables'!AT13</f>
        <v>16559.625026969028</v>
      </c>
      <c r="AU20" s="67">
        <f>AU$6*'Eurostat Collected Portables'!AU13</f>
        <v>17787.862365788696</v>
      </c>
      <c r="AV20" s="67">
        <f>AV$6*'Eurostat Collected Portables'!AV13</f>
        <v>19102.437939306597</v>
      </c>
      <c r="AW20" s="67">
        <f>AW$6*'Eurostat Collected Portables'!AW13</f>
        <v>20118.448847700121</v>
      </c>
      <c r="AX20" s="67">
        <f>AX$6*'Eurostat Collected Portables'!AX13</f>
        <v>21183.308895926042</v>
      </c>
      <c r="AY20" s="67">
        <f>AY$6*'Eurostat Collected Portables'!AY13</f>
        <v>22304.13304168954</v>
      </c>
      <c r="AZ20" s="67">
        <f>AZ$6*'Eurostat Collected Portables'!AZ13</f>
        <v>23483.853358841534</v>
      </c>
    </row>
    <row r="21" spans="1:52" x14ac:dyDescent="0.35">
      <c r="A21" s="1" t="s">
        <v>11</v>
      </c>
      <c r="B21" s="23">
        <f t="shared" ref="B21:C21" si="27">C21/1.34</f>
        <v>0.66455087495681719</v>
      </c>
      <c r="C21" s="23">
        <f t="shared" si="27"/>
        <v>0.89049817244213503</v>
      </c>
      <c r="D21" s="23">
        <f t="shared" ref="D21:E21" si="28">E21/1.5</f>
        <v>1.1932675510724611</v>
      </c>
      <c r="E21" s="23">
        <f t="shared" si="28"/>
        <v>1.7899013266086916</v>
      </c>
      <c r="F21" s="23">
        <f t="shared" si="2"/>
        <v>2.6848519899130374</v>
      </c>
      <c r="G21" s="23">
        <f t="shared" si="3"/>
        <v>3.2755194276939057</v>
      </c>
      <c r="H21" s="23">
        <f t="shared" si="4"/>
        <v>3.8651129246788085</v>
      </c>
      <c r="I21" s="23">
        <f t="shared" si="5"/>
        <v>4.5994843803677821</v>
      </c>
      <c r="J21" s="23">
        <f t="shared" si="6"/>
        <v>6.2093039134965062</v>
      </c>
      <c r="K21" s="23">
        <f t="shared" si="7"/>
        <v>4.5948848959874145</v>
      </c>
      <c r="L21" s="23">
        <f t="shared" si="8"/>
        <v>7.7194066252588565</v>
      </c>
      <c r="M21" s="4">
        <f>$M$6*'Eurostat Collected Portables'!M14</f>
        <v>10.112422679089102</v>
      </c>
      <c r="N21" s="4">
        <f>$N$6*'Eurostat Collected Portables'!N14</f>
        <v>10.998632695494608</v>
      </c>
      <c r="O21" s="4">
        <f>$O$6*'Eurostat Collected Portables'!O14</f>
        <v>14.903934122139038</v>
      </c>
      <c r="P21" s="4">
        <f>$P$6*'Eurostat Collected Portables'!P14</f>
        <v>23.665841205652026</v>
      </c>
      <c r="Q21" s="4">
        <f>$Q$6*'Eurostat Collected Portables'!Q14</f>
        <v>23.867355373543692</v>
      </c>
      <c r="R21" s="4">
        <f>$R$6*'Eurostat Collected Portables'!R14</f>
        <v>33.602117979540175</v>
      </c>
      <c r="S21" s="4">
        <f>$S$6*'Eurostat Collected Portables'!S14</f>
        <v>26.400543659331618</v>
      </c>
      <c r="T21" s="4">
        <f>$T$6*'Eurostat Collected Portables'!T14</f>
        <v>30.126900610830358</v>
      </c>
      <c r="U21" s="4">
        <f>$U$6*'Eurostat Collected Portables'!U14</f>
        <v>29.630806283238943</v>
      </c>
      <c r="V21" s="4">
        <f>$V$6*'Eurostat Collected Portables'!V14</f>
        <v>56.430362838510462</v>
      </c>
      <c r="W21" s="4">
        <f>$W$6*'Eurostat Collected Portables'!W14</f>
        <v>49.139344375526669</v>
      </c>
      <c r="X21" s="67">
        <f>X$6*'Eurostat Collected Portables'!X14</f>
        <v>54.382480081927284</v>
      </c>
      <c r="Y21" s="67">
        <f>Y$6*'Eurostat Collected Portables'!Y14</f>
        <v>68.759223044592531</v>
      </c>
      <c r="Z21" s="67">
        <f>Z$6*'Eurostat Collected Portables'!Z14</f>
        <v>77.731815771558772</v>
      </c>
      <c r="AA21" s="67">
        <f>AA$6*'Eurostat Collected Portables'!AA14</f>
        <v>87.93776175141069</v>
      </c>
      <c r="AB21" s="67">
        <f>AB$6*'Eurostat Collected Portables'!AB14</f>
        <v>99.157120543444549</v>
      </c>
      <c r="AC21" s="67">
        <f>AC$6*'Eurostat Collected Portables'!AC14</f>
        <v>111.59695445093239</v>
      </c>
      <c r="AD21" s="67">
        <f>AD$6*'Eurostat Collected Portables'!AD14</f>
        <v>125.62773508997523</v>
      </c>
      <c r="AE21" s="67">
        <f>AE$6*'Eurostat Collected Portables'!AE14</f>
        <v>142.12614197141588</v>
      </c>
      <c r="AF21" s="67">
        <f>AF$6*'Eurostat Collected Portables'!AF14</f>
        <v>161.3451536032812</v>
      </c>
      <c r="AG21" s="67">
        <f>AG$6*'Eurostat Collected Portables'!AG14</f>
        <v>182.36028920031842</v>
      </c>
      <c r="AH21" s="67">
        <f>AH$6*'Eurostat Collected Portables'!AH14</f>
        <v>205.01432896134907</v>
      </c>
      <c r="AI21" s="67">
        <f>AI$6*'Eurostat Collected Portables'!AI14</f>
        <v>229.27001369590471</v>
      </c>
      <c r="AJ21" s="67">
        <f>AJ$6*'Eurostat Collected Portables'!AJ14</f>
        <v>256.33305595873071</v>
      </c>
      <c r="AK21" s="67">
        <f>AK$6*'Eurostat Collected Portables'!AK14</f>
        <v>286.53326566858362</v>
      </c>
      <c r="AL21" s="67">
        <f>AL$6*'Eurostat Collected Portables'!AL14</f>
        <v>320.23599980665409</v>
      </c>
      <c r="AM21" s="67">
        <f>AM$6*'Eurostat Collected Portables'!AM14</f>
        <v>357.84962011948517</v>
      </c>
      <c r="AN21" s="67">
        <f>AN$6*'Eurostat Collected Portables'!AN14</f>
        <v>399.83060705369957</v>
      </c>
      <c r="AO21" s="67">
        <f>AO$6*'Eurostat Collected Portables'!AO14</f>
        <v>446.59955514525541</v>
      </c>
      <c r="AP21" s="67">
        <f>AP$6*'Eurostat Collected Portables'!AP14</f>
        <v>497.99656554803755</v>
      </c>
      <c r="AQ21" s="67">
        <f>AQ$6*'Eurostat Collected Portables'!AQ14</f>
        <v>550.51459825820632</v>
      </c>
      <c r="AR21" s="67">
        <f>AR$6*'Eurostat Collected Portables'!AR14</f>
        <v>603.52506091373971</v>
      </c>
      <c r="AS21" s="67">
        <f>AS$6*'Eurostat Collected Portables'!AS14</f>
        <v>657.01850514858938</v>
      </c>
      <c r="AT21" s="67">
        <f>AT$6*'Eurostat Collected Portables'!AT14</f>
        <v>714.96492724176642</v>
      </c>
      <c r="AU21" s="67">
        <f>AU$6*'Eurostat Collected Portables'!AU14</f>
        <v>777.74616165747409</v>
      </c>
      <c r="AV21" s="67">
        <f>AV$6*'Eurostat Collected Portables'!AV14</f>
        <v>845.57374968610327</v>
      </c>
      <c r="AW21" s="67">
        <f>AW$6*'Eurostat Collected Portables'!AW14</f>
        <v>901.32262607597306</v>
      </c>
      <c r="AX21" s="67">
        <f>AX$6*'Eurostat Collected Portables'!AX14</f>
        <v>960.2463300698862</v>
      </c>
      <c r="AY21" s="67">
        <f>AY$6*'Eurostat Collected Portables'!AY14</f>
        <v>1022.7099687830375</v>
      </c>
      <c r="AZ21" s="67">
        <f>AZ$6*'Eurostat Collected Portables'!AZ14</f>
        <v>1088.9173215449543</v>
      </c>
    </row>
    <row r="22" spans="1:52" x14ac:dyDescent="0.35">
      <c r="A22" s="1" t="s">
        <v>12</v>
      </c>
      <c r="B22" s="23">
        <f t="shared" ref="B22:C22" si="29">C22/1.34</f>
        <v>0.69417409642390315</v>
      </c>
      <c r="C22" s="23">
        <f t="shared" si="29"/>
        <v>0.93019328920803035</v>
      </c>
      <c r="D22" s="23">
        <f t="shared" ref="D22:E22" si="30">E22/1.5</f>
        <v>1.2464590075387607</v>
      </c>
      <c r="E22" s="23">
        <f t="shared" si="30"/>
        <v>1.869688511308141</v>
      </c>
      <c r="F22" s="23">
        <f t="shared" si="2"/>
        <v>2.8045327669622115</v>
      </c>
      <c r="G22" s="23">
        <f t="shared" si="3"/>
        <v>3.4215299756938982</v>
      </c>
      <c r="H22" s="23">
        <f t="shared" si="4"/>
        <v>4.0374053713187994</v>
      </c>
      <c r="I22" s="23">
        <f t="shared" si="5"/>
        <v>4.8045123918693706</v>
      </c>
      <c r="J22" s="23">
        <f t="shared" si="6"/>
        <v>6.4860917290236513</v>
      </c>
      <c r="K22" s="23">
        <f t="shared" si="7"/>
        <v>4.7997078794775021</v>
      </c>
      <c r="L22" s="23">
        <f t="shared" si="8"/>
        <v>8.0635092375222026</v>
      </c>
      <c r="M22" s="4">
        <f>$M$6*'Eurostat Collected Portables'!M15</f>
        <v>10.563197101154085</v>
      </c>
      <c r="N22" s="4">
        <f>$N$6*'Eurostat Collected Portables'!N15</f>
        <v>12.540829691584191</v>
      </c>
      <c r="O22" s="4">
        <f>$O$6*'Eurostat Collected Portables'!O15</f>
        <v>15.663706980959835</v>
      </c>
      <c r="P22" s="4">
        <f>$P$6*'Eurostat Collected Portables'!P15</f>
        <v>27.121534016692859</v>
      </c>
      <c r="Q22" s="4">
        <f>$Q$6*'Eurostat Collected Portables'!Q15</f>
        <v>31.402199486179178</v>
      </c>
      <c r="R22" s="4">
        <f>$R$6*'Eurostat Collected Portables'!R15</f>
        <v>49.02081135622791</v>
      </c>
      <c r="S22" s="4">
        <f>$S$6*'Eurostat Collected Portables'!S15</f>
        <v>45.773271843674785</v>
      </c>
      <c r="T22" s="4">
        <f>$T$6*'Eurostat Collected Portables'!T15</f>
        <v>58.238077310990327</v>
      </c>
      <c r="U22" s="4">
        <f>$U$6*'Eurostat Collected Portables'!U15</f>
        <v>70.871059618435439</v>
      </c>
      <c r="V22" s="4">
        <f>$V$6*'Eurostat Collected Portables'!V15</f>
        <v>119.24552546573757</v>
      </c>
      <c r="W22" s="4">
        <f>$W$6*'Eurostat Collected Portables'!W15</f>
        <v>102.8372128362044</v>
      </c>
      <c r="X22" s="67">
        <f>X$6*'Eurostat Collected Portables'!X15</f>
        <v>97.974959459334841</v>
      </c>
      <c r="Y22" s="67">
        <f>Y$6*'Eurostat Collected Portables'!Y15</f>
        <v>114.65211749351674</v>
      </c>
      <c r="Z22" s="67">
        <f>Z$6*'Eurostat Collected Portables'!Z15</f>
        <v>126.61777145345434</v>
      </c>
      <c r="AA22" s="67">
        <f>AA$6*'Eurostat Collected Portables'!AA15</f>
        <v>140.0677542132706</v>
      </c>
      <c r="AB22" s="67">
        <f>AB$6*'Eurostat Collected Portables'!AB15</f>
        <v>154.5779888405992</v>
      </c>
      <c r="AC22" s="67">
        <f>AC$6*'Eurostat Collected Portables'!AC15</f>
        <v>170.41415503718136</v>
      </c>
      <c r="AD22" s="67">
        <f>AD$6*'Eurostat Collected Portables'!AD15</f>
        <v>188.06752737786596</v>
      </c>
      <c r="AE22" s="67">
        <f>AE$6*'Eurostat Collected Portables'!AE15</f>
        <v>208.73795307698103</v>
      </c>
      <c r="AF22" s="67">
        <f>AF$6*'Eurostat Collected Portables'!AF15</f>
        <v>232.64159995210304</v>
      </c>
      <c r="AG22" s="67">
        <f>AG$6*'Eurostat Collected Portables'!AG15</f>
        <v>258.31687516634815</v>
      </c>
      <c r="AH22" s="67">
        <f>AH$6*'Eurostat Collected Portables'!AH15</f>
        <v>285.47527295251996</v>
      </c>
      <c r="AI22" s="67">
        <f>AI$6*'Eurostat Collected Portables'!AI15</f>
        <v>314.01397874433411</v>
      </c>
      <c r="AJ22" s="67">
        <f>AJ$6*'Eurostat Collected Portables'!AJ15</f>
        <v>345.51392900907484</v>
      </c>
      <c r="AK22" s="67">
        <f>AK$6*'Eurostat Collected Portables'!AK15</f>
        <v>380.29808794014912</v>
      </c>
      <c r="AL22" s="67">
        <f>AL$6*'Eurostat Collected Portables'!AL15</f>
        <v>418.72068247828207</v>
      </c>
      <c r="AM22" s="67">
        <f>AM$6*'Eurostat Collected Portables'!AM15</f>
        <v>461.17521693143226</v>
      </c>
      <c r="AN22" s="67">
        <f>AN$6*'Eurostat Collected Portables'!AN15</f>
        <v>508.09892047149714</v>
      </c>
      <c r="AO22" s="67">
        <f>AO$6*'Eurostat Collected Portables'!AO15</f>
        <v>559.86521709513249</v>
      </c>
      <c r="AP22" s="67">
        <f>AP$6*'Eurostat Collected Portables'!AP15</f>
        <v>616.11491111450766</v>
      </c>
      <c r="AQ22" s="67">
        <f>AQ$6*'Eurostat Collected Portables'!AQ15</f>
        <v>672.42407846261654</v>
      </c>
      <c r="AR22" s="67">
        <f>AR$6*'Eurostat Collected Portables'!AR15</f>
        <v>728.06448935830178</v>
      </c>
      <c r="AS22" s="67">
        <f>AS$6*'Eurostat Collected Portables'!AS15</f>
        <v>783.07984715954149</v>
      </c>
      <c r="AT22" s="67">
        <f>AT$6*'Eurostat Collected Portables'!AT15</f>
        <v>842.19764997126208</v>
      </c>
      <c r="AU22" s="67">
        <f>AU$6*'Eurostat Collected Portables'!AU15</f>
        <v>905.75036378576908</v>
      </c>
      <c r="AV22" s="67">
        <f>AV$6*'Eurostat Collected Portables'!AV15</f>
        <v>973.86320750043762</v>
      </c>
      <c r="AW22" s="67">
        <f>AW$6*'Eurostat Collected Portables'!AW15</f>
        <v>1026.9075694173196</v>
      </c>
      <c r="AX22" s="67">
        <f>AX$6*'Eurostat Collected Portables'!AX15</f>
        <v>1082.5844616227212</v>
      </c>
      <c r="AY22" s="67">
        <f>AY$6*'Eurostat Collected Portables'!AY15</f>
        <v>1141.2428311602766</v>
      </c>
      <c r="AZ22" s="67">
        <f>AZ$6*'Eurostat Collected Portables'!AZ15</f>
        <v>1203.0413165954526</v>
      </c>
    </row>
    <row r="23" spans="1:52" x14ac:dyDescent="0.35">
      <c r="A23" s="1" t="s">
        <v>13</v>
      </c>
      <c r="B23" s="23">
        <f t="shared" ref="B23:C23" si="31">C23/1.34</f>
        <v>5.6488224697909643E-2</v>
      </c>
      <c r="C23" s="23">
        <f t="shared" si="31"/>
        <v>7.5694221095198924E-2</v>
      </c>
      <c r="D23" s="23">
        <f t="shared" ref="D23:E23" si="32">E23/1.5</f>
        <v>0.10143025626756656</v>
      </c>
      <c r="E23" s="23">
        <f t="shared" si="32"/>
        <v>0.15214538440134984</v>
      </c>
      <c r="F23" s="23">
        <f t="shared" si="2"/>
        <v>0.22821807660202476</v>
      </c>
      <c r="G23" s="23">
        <f t="shared" si="3"/>
        <v>0.27842605345447019</v>
      </c>
      <c r="H23" s="23">
        <f t="shared" si="4"/>
        <v>0.32854274307627479</v>
      </c>
      <c r="I23" s="23">
        <f t="shared" si="5"/>
        <v>0.39096586426076702</v>
      </c>
      <c r="J23" s="23">
        <f t="shared" si="6"/>
        <v>0.52780391675203553</v>
      </c>
      <c r="K23" s="23">
        <f t="shared" si="7"/>
        <v>0.39057489839650628</v>
      </c>
      <c r="L23" s="23">
        <f t="shared" si="8"/>
        <v>0.65616582930613054</v>
      </c>
      <c r="M23" s="4">
        <f>$M$6*'Eurostat Collected Portables'!M16</f>
        <v>0.85957723639103101</v>
      </c>
      <c r="N23" s="4">
        <f>$N$6*'Eurostat Collected Portables'!N16</f>
        <v>1.3207135633452041</v>
      </c>
      <c r="O23" s="4">
        <f>$O$6*'Eurostat Collected Portables'!O16</f>
        <v>1.9519388699349949</v>
      </c>
      <c r="P23" s="4">
        <f>$P$6*'Eurostat Collected Portables'!P16</f>
        <v>2.7881115694260861</v>
      </c>
      <c r="Q23" s="4">
        <f>$Q$6*'Eurostat Collected Portables'!Q16</f>
        <v>2.5803684028187446</v>
      </c>
      <c r="R23" s="4">
        <f>$R$6*'Eurostat Collected Portables'!R16</f>
        <v>3.1475401651721175</v>
      </c>
      <c r="S23" s="4">
        <f>$S$6*'Eurostat Collected Portables'!S16</f>
        <v>4.7437754456172048</v>
      </c>
      <c r="T23" s="4">
        <f>$T$6*'Eurostat Collected Portables'!T16</f>
        <v>4.4563842133199332</v>
      </c>
      <c r="U23" s="4">
        <f>$U$6*'Eurostat Collected Portables'!U16</f>
        <v>4.0851652597055654</v>
      </c>
      <c r="V23" s="4">
        <f>$V$6*'Eurostat Collected Portables'!V16</f>
        <v>9.220402047823173</v>
      </c>
      <c r="W23" s="4">
        <f>$W$6*'Eurostat Collected Portables'!W16</f>
        <v>7.5254278965036132</v>
      </c>
      <c r="X23" s="67">
        <f>X$6*'Eurostat Collected Portables'!X16</f>
        <v>8.522683123684212</v>
      </c>
      <c r="Y23" s="67">
        <f>Y$6*'Eurostat Collected Portables'!Y16</f>
        <v>9.6681744889789076</v>
      </c>
      <c r="Z23" s="67">
        <f>Z$6*'Eurostat Collected Portables'!Z16</f>
        <v>10.811287174749543</v>
      </c>
      <c r="AA23" s="67">
        <f>AA$6*'Eurostat Collected Portables'!AA16</f>
        <v>12.105182045826842</v>
      </c>
      <c r="AB23" s="67">
        <f>AB$6*'Eurostat Collected Portables'!AB16</f>
        <v>13.516664990136444</v>
      </c>
      <c r="AC23" s="67">
        <f>AC$6*'Eurostat Collected Portables'!AC16</f>
        <v>15.071702253851647</v>
      </c>
      <c r="AD23" s="67">
        <f>AD$6*'Eurostat Collected Portables'!AD16</f>
        <v>16.817382184409652</v>
      </c>
      <c r="AE23" s="67">
        <f>AE$6*'Eurostat Collected Portables'!AE16</f>
        <v>18.86660980634926</v>
      </c>
      <c r="AF23" s="67">
        <f>AF$6*'Eurostat Collected Portables'!AF16</f>
        <v>21.246819742054434</v>
      </c>
      <c r="AG23" s="67">
        <f>AG$6*'Eurostat Collected Portables'!AG16</f>
        <v>23.8311836729644</v>
      </c>
      <c r="AH23" s="67">
        <f>AH$6*'Eurostat Collected Portables'!AH16</f>
        <v>26.596552555018906</v>
      </c>
      <c r="AI23" s="67">
        <f>AI$6*'Eurostat Collected Portables'!AI16</f>
        <v>29.53607771573132</v>
      </c>
      <c r="AJ23" s="67">
        <f>AJ$6*'Eurostat Collected Portables'!AJ16</f>
        <v>32.80230029615408</v>
      </c>
      <c r="AK23" s="67">
        <f>AK$6*'Eurostat Collected Portables'!AK16</f>
        <v>36.43261480952517</v>
      </c>
      <c r="AL23" s="67">
        <f>AL$6*'Eurostat Collected Portables'!AL16</f>
        <v>40.468305858023918</v>
      </c>
      <c r="AM23" s="67">
        <f>AM$6*'Eurostat Collected Portables'!AM16</f>
        <v>44.9554218595244</v>
      </c>
      <c r="AN23" s="67">
        <f>AN$6*'Eurostat Collected Portables'!AN16</f>
        <v>49.945332709175624</v>
      </c>
      <c r="AO23" s="67">
        <f>AO$6*'Eurostat Collected Portables'!AO16</f>
        <v>55.484205452165313</v>
      </c>
      <c r="AP23" s="67">
        <f>AP$6*'Eurostat Collected Portables'!AP16</f>
        <v>61.545894388913517</v>
      </c>
      <c r="AQ23" s="67">
        <f>AQ$6*'Eurostat Collected Portables'!AQ16</f>
        <v>67.693609824725101</v>
      </c>
      <c r="AR23" s="67">
        <f>AR$6*'Eurostat Collected Portables'!AR16</f>
        <v>73.851622563918696</v>
      </c>
      <c r="AS23" s="67">
        <f>AS$6*'Eurostat Collected Portables'!AS16</f>
        <v>80.020956403330587</v>
      </c>
      <c r="AT23" s="67">
        <f>AT$6*'Eurostat Collected Portables'!AT16</f>
        <v>86.684966521300396</v>
      </c>
      <c r="AU23" s="67">
        <f>AU$6*'Eurostat Collected Portables'!AU16</f>
        <v>93.885306482311464</v>
      </c>
      <c r="AV23" s="67">
        <f>AV$6*'Eurostat Collected Portables'!AV16</f>
        <v>101.64271982465335</v>
      </c>
      <c r="AW23" s="67">
        <f>AW$6*'Eurostat Collected Portables'!AW16</f>
        <v>107.9024219554373</v>
      </c>
      <c r="AX23" s="67">
        <f>AX$6*'Eurostat Collected Portables'!AX16</f>
        <v>114.50324477391821</v>
      </c>
      <c r="AY23" s="67">
        <f>AY$6*'Eurostat Collected Portables'!AY16</f>
        <v>121.48624534471332</v>
      </c>
      <c r="AZ23" s="67">
        <f>AZ$6*'Eurostat Collected Portables'!AZ16</f>
        <v>128.87291002546306</v>
      </c>
    </row>
    <row r="24" spans="1:52" x14ac:dyDescent="0.35">
      <c r="A24" s="1" t="s">
        <v>14</v>
      </c>
      <c r="B24" s="23">
        <f t="shared" ref="B24:C24" si="33">C24/1.34</f>
        <v>0.94352266321031597</v>
      </c>
      <c r="C24" s="23">
        <f t="shared" si="33"/>
        <v>1.2643203687018234</v>
      </c>
      <c r="D24" s="23">
        <f t="shared" ref="D24:E24" si="34">E24/1.5</f>
        <v>1.6941892940604435</v>
      </c>
      <c r="E24" s="23">
        <f t="shared" si="34"/>
        <v>2.5412839410906654</v>
      </c>
      <c r="F24" s="23">
        <f t="shared" si="2"/>
        <v>3.8119259116359983</v>
      </c>
      <c r="G24" s="23">
        <f t="shared" si="3"/>
        <v>4.6505496121959178</v>
      </c>
      <c r="H24" s="23">
        <f t="shared" si="4"/>
        <v>5.4876485423911827</v>
      </c>
      <c r="I24" s="23">
        <f t="shared" si="5"/>
        <v>6.5303017654455076</v>
      </c>
      <c r="J24" s="23">
        <f t="shared" si="6"/>
        <v>8.8159073833514352</v>
      </c>
      <c r="K24" s="23">
        <f t="shared" si="7"/>
        <v>6.5237714636800623</v>
      </c>
      <c r="L24" s="23">
        <f t="shared" si="8"/>
        <v>10.959936058982505</v>
      </c>
      <c r="M24" s="4">
        <f>$M$6*'Eurostat Collected Portables'!M17</f>
        <v>14.357516237267083</v>
      </c>
      <c r="N24" s="4">
        <f>$N$6*'Eurostat Collected Portables'!N17</f>
        <v>13.65927180829094</v>
      </c>
      <c r="O24" s="4">
        <f>$O$6*'Eurostat Collected Portables'!O17</f>
        <v>18.555468269752421</v>
      </c>
      <c r="P24" s="4">
        <f>$P$6*'Eurostat Collected Portables'!P17</f>
        <v>30.293904552418052</v>
      </c>
      <c r="Q24" s="4">
        <f>$Q$6*'Eurostat Collected Portables'!Q17</f>
        <v>32.538740218252691</v>
      </c>
      <c r="R24" s="4">
        <f>$R$6*'Eurostat Collected Portables'!R17</f>
        <v>60.026568352691221</v>
      </c>
      <c r="S24" s="4">
        <f>$S$6*'Eurostat Collected Portables'!S17</f>
        <v>61.400914149899101</v>
      </c>
      <c r="T24" s="4">
        <f>$T$6*'Eurostat Collected Portables'!T17</f>
        <v>66.845763199799009</v>
      </c>
      <c r="U24" s="4">
        <f>$U$6*'Eurostat Collected Portables'!U17</f>
        <v>61.156041164914477</v>
      </c>
      <c r="V24" s="4">
        <f>$V$6*'Eurostat Collected Portables'!V17</f>
        <v>137.1793013428682</v>
      </c>
      <c r="W24" s="4">
        <f>$W$6*'Eurostat Collected Portables'!W17</f>
        <v>123.00288717899129</v>
      </c>
      <c r="X24" s="67">
        <f>X$6*'Eurostat Collected Portables'!X17</f>
        <v>125.32587398646426</v>
      </c>
      <c r="Y24" s="67">
        <f>Y$6*'Eurostat Collected Portables'!Y17</f>
        <v>138.14470969244641</v>
      </c>
      <c r="Z24" s="67">
        <f>Z$6*'Eurostat Collected Portables'!Z17</f>
        <v>152.31901735994057</v>
      </c>
      <c r="AA24" s="67">
        <f>AA$6*'Eurostat Collected Portables'!AA17</f>
        <v>168.2353522453673</v>
      </c>
      <c r="AB24" s="67">
        <f>AB$6*'Eurostat Collected Portables'!AB17</f>
        <v>185.37808864678087</v>
      </c>
      <c r="AC24" s="67">
        <f>AC$6*'Eurostat Collected Portables'!AC17</f>
        <v>204.0608852044987</v>
      </c>
      <c r="AD24" s="67">
        <f>AD$6*'Eurostat Collected Portables'!AD17</f>
        <v>224.86541535893676</v>
      </c>
      <c r="AE24" s="67">
        <f>AE$6*'Eurostat Collected Portables'!AE17</f>
        <v>249.21611583012177</v>
      </c>
      <c r="AF24" s="67">
        <f>AF$6*'Eurostat Collected Portables'!AF17</f>
        <v>277.35675509764184</v>
      </c>
      <c r="AG24" s="67">
        <f>AG$6*'Eurostat Collected Portables'!AG17</f>
        <v>307.53274261960576</v>
      </c>
      <c r="AH24" s="67">
        <f>AH$6*'Eurostat Collected Portables'!AH17</f>
        <v>339.39431804798005</v>
      </c>
      <c r="AI24" s="67">
        <f>AI$6*'Eurostat Collected Portables'!AI17</f>
        <v>372.81429732580801</v>
      </c>
      <c r="AJ24" s="67">
        <f>AJ$6*'Eurostat Collected Portables'!AJ17</f>
        <v>409.66269289021454</v>
      </c>
      <c r="AK24" s="67">
        <f>AK$6*'Eurostat Collected Portables'!AK17</f>
        <v>450.31022238756628</v>
      </c>
      <c r="AL24" s="67">
        <f>AL$6*'Eurostat Collected Portables'!AL17</f>
        <v>495.1629985569466</v>
      </c>
      <c r="AM24" s="67">
        <f>AM$6*'Eurostat Collected Portables'!AM17</f>
        <v>544.67182725732755</v>
      </c>
      <c r="AN24" s="67">
        <f>AN$6*'Eurostat Collected Portables'!AN17</f>
        <v>599.33723513261214</v>
      </c>
      <c r="AO24" s="67">
        <f>AO$6*'Eurostat Collected Portables'!AO17</f>
        <v>659.58254773630995</v>
      </c>
      <c r="AP24" s="67">
        <f>AP$6*'Eurostat Collected Portables'!AP17</f>
        <v>724.96745508254378</v>
      </c>
      <c r="AQ24" s="67">
        <f>AQ$6*'Eurostat Collected Portables'!AQ17</f>
        <v>790.27712807359831</v>
      </c>
      <c r="AR24" s="67">
        <f>AR$6*'Eurostat Collected Portables'!AR17</f>
        <v>854.66008670117924</v>
      </c>
      <c r="AS24" s="67">
        <f>AS$6*'Eurostat Collected Portables'!AS17</f>
        <v>918.17381532621607</v>
      </c>
      <c r="AT24" s="67">
        <f>AT$6*'Eurostat Collected Portables'!AT17</f>
        <v>986.36090330854825</v>
      </c>
      <c r="AU24" s="67">
        <f>AU$6*'Eurostat Collected Portables'!AU17</f>
        <v>1059.5972471791499</v>
      </c>
      <c r="AV24" s="67">
        <f>AV$6*'Eurostat Collected Portables'!AV17</f>
        <v>1138.0152568805765</v>
      </c>
      <c r="AW24" s="67">
        <f>AW$6*'Eurostat Collected Portables'!AW17</f>
        <v>1198.688891355873</v>
      </c>
      <c r="AX24" s="67">
        <f>AX$6*'Eurostat Collected Portables'!AX17</f>
        <v>1262.3184584013661</v>
      </c>
      <c r="AY24" s="67">
        <f>AY$6*'Eurostat Collected Portables'!AY17</f>
        <v>1329.3033142533372</v>
      </c>
      <c r="AZ24" s="67">
        <f>AZ$6*'Eurostat Collected Portables'!AZ17</f>
        <v>1399.8198994233885</v>
      </c>
    </row>
    <row r="25" spans="1:52" x14ac:dyDescent="0.35">
      <c r="A25" s="1" t="s">
        <v>15</v>
      </c>
      <c r="B25" s="23">
        <f t="shared" ref="B25:C25" si="35">C25/1.34</f>
        <v>11.4607989400718</v>
      </c>
      <c r="C25" s="23">
        <f t="shared" si="35"/>
        <v>15.357470579696214</v>
      </c>
      <c r="D25" s="23">
        <f t="shared" ref="D25:E25" si="36">E25/1.5</f>
        <v>20.579010576792928</v>
      </c>
      <c r="E25" s="23">
        <f t="shared" si="36"/>
        <v>30.868515865189391</v>
      </c>
      <c r="F25" s="23">
        <f t="shared" si="2"/>
        <v>46.302773797784084</v>
      </c>
      <c r="G25" s="23">
        <f t="shared" si="3"/>
        <v>56.489384033296581</v>
      </c>
      <c r="H25" s="23">
        <f t="shared" si="4"/>
        <v>66.657473159289964</v>
      </c>
      <c r="I25" s="23">
        <f t="shared" si="5"/>
        <v>79.322393059555054</v>
      </c>
      <c r="J25" s="23">
        <f t="shared" si="6"/>
        <v>107.08523063039934</v>
      </c>
      <c r="K25" s="23">
        <f t="shared" si="7"/>
        <v>79.243070666495512</v>
      </c>
      <c r="L25" s="23">
        <f t="shared" si="8"/>
        <v>133.12835871971245</v>
      </c>
      <c r="M25" s="4">
        <f>$M$6*'Eurostat Collected Portables'!M18</f>
        <v>174.39814992282334</v>
      </c>
      <c r="N25" s="4">
        <f>$N$6*'Eurostat Collected Portables'!N18</f>
        <v>191.56295828700709</v>
      </c>
      <c r="O25" s="4">
        <f>$O$6*'Eurostat Collected Portables'!O18</f>
        <v>253.90266565867395</v>
      </c>
      <c r="P25" s="4">
        <f>$P$6*'Eurostat Collected Portables'!P18</f>
        <v>428.27002232290124</v>
      </c>
      <c r="Q25" s="4">
        <f>$Q$6*'Eurostat Collected Portables'!Q18</f>
        <v>425.3608925038078</v>
      </c>
      <c r="R25" s="4">
        <f>$R$6*'Eurostat Collected Portables'!R18</f>
        <v>504.82928831603471</v>
      </c>
      <c r="S25" s="4">
        <f>$S$6*'Eurostat Collected Portables'!S18</f>
        <v>438.68363964927914</v>
      </c>
      <c r="T25" s="4">
        <f>$T$6*'Eurostat Collected Portables'!T18</f>
        <v>568.32518475982329</v>
      </c>
      <c r="U25" s="4">
        <f>$U$6*'Eurostat Collected Portables'!U18</f>
        <v>532.7716119910898</v>
      </c>
      <c r="V25" s="4">
        <f>$V$6*'Eurostat Collected Portables'!V18</f>
        <v>983.63474392052512</v>
      </c>
      <c r="W25" s="4">
        <f>$W$6*'Eurostat Collected Portables'!W18</f>
        <v>811.18549779662658</v>
      </c>
      <c r="X25" s="67">
        <f>X$6*'Eurostat Collected Portables'!X18</f>
        <v>817.63383040336021</v>
      </c>
      <c r="Y25" s="67">
        <f>Y$6*'Eurostat Collected Portables'!Y18</f>
        <v>941.19482332155178</v>
      </c>
      <c r="Z25" s="67">
        <f>Z$6*'Eurostat Collected Portables'!Z18</f>
        <v>1051.1173733716032</v>
      </c>
      <c r="AA25" s="67">
        <f>AA$6*'Eurostat Collected Portables'!AA18</f>
        <v>1175.4589008376668</v>
      </c>
      <c r="AB25" s="67">
        <f>AB$6*'Eurostat Collected Portables'!AB18</f>
        <v>1310.9619488468941</v>
      </c>
      <c r="AC25" s="67">
        <f>AC$6*'Eurostat Collected Portables'!AC18</f>
        <v>1460.1182153708901</v>
      </c>
      <c r="AD25" s="67">
        <f>AD$6*'Eurostat Collected Portables'!AD18</f>
        <v>1627.4543589434545</v>
      </c>
      <c r="AE25" s="67">
        <f>AE$6*'Eurostat Collected Portables'!AE18</f>
        <v>1823.842796412885</v>
      </c>
      <c r="AF25" s="67">
        <f>AF$6*'Eurostat Collected Portables'!AF18</f>
        <v>2051.8609669164525</v>
      </c>
      <c r="AG25" s="67">
        <f>AG$6*'Eurostat Collected Portables'!AG18</f>
        <v>2299.1984252263378</v>
      </c>
      <c r="AH25" s="67">
        <f>AH$6*'Eurostat Collected Portables'!AH18</f>
        <v>2563.5896602892162</v>
      </c>
      <c r="AI25" s="67">
        <f>AI$6*'Eurostat Collected Portables'!AI18</f>
        <v>2844.3494939579891</v>
      </c>
      <c r="AJ25" s="67">
        <f>AJ$6*'Eurostat Collected Portables'!AJ18</f>
        <v>3156.1328848309477</v>
      </c>
      <c r="AK25" s="67">
        <f>AK$6*'Eurostat Collected Portables'!AK18</f>
        <v>3502.4771936494803</v>
      </c>
      <c r="AL25" s="67">
        <f>AL$6*'Eurostat Collected Portables'!AL18</f>
        <v>3887.2857713043559</v>
      </c>
      <c r="AM25" s="67">
        <f>AM$6*'Eurostat Collected Portables'!AM18</f>
        <v>4314.9110101231481</v>
      </c>
      <c r="AN25" s="67">
        <f>AN$6*'Eurostat Collected Portables'!AN18</f>
        <v>4790.2067809921646</v>
      </c>
      <c r="AO25" s="67">
        <f>AO$6*'Eurostat Collected Portables'!AO18</f>
        <v>5317.5186582241495</v>
      </c>
      <c r="AP25" s="67">
        <f>AP$6*'Eurostat Collected Portables'!AP18</f>
        <v>5894.2593591002715</v>
      </c>
      <c r="AQ25" s="67">
        <f>AQ$6*'Eurostat Collected Portables'!AQ18</f>
        <v>6478.5535596477093</v>
      </c>
      <c r="AR25" s="67">
        <f>AR$6*'Eurostat Collected Portables'!AR18</f>
        <v>7063.1741948379558</v>
      </c>
      <c r="AS25" s="67">
        <f>AS$6*'Eurostat Collected Portables'!AS18</f>
        <v>7648.2479094942346</v>
      </c>
      <c r="AT25" s="67">
        <f>AT$6*'Eurostat Collected Portables'!AT18</f>
        <v>8279.9706459175231</v>
      </c>
      <c r="AU25" s="67">
        <f>AU$6*'Eurostat Collected Portables'!AU18</f>
        <v>8962.2593330047348</v>
      </c>
      <c r="AV25" s="67">
        <f>AV$6*'Eurostat Collected Portables'!AV18</f>
        <v>9697.0301178817917</v>
      </c>
      <c r="AW25" s="67">
        <f>AW$6*'Eurostat Collected Portables'!AW18</f>
        <v>10288.300424765241</v>
      </c>
      <c r="AX25" s="67">
        <f>AX$6*'Eurostat Collected Portables'!AX18</f>
        <v>10911.571218472851</v>
      </c>
      <c r="AY25" s="67">
        <f>AY$6*'Eurostat Collected Portables'!AY18</f>
        <v>11570.721492508752</v>
      </c>
      <c r="AZ25" s="67">
        <f>AZ$6*'Eurostat Collected Portables'!AZ18</f>
        <v>12267.760743700746</v>
      </c>
    </row>
    <row r="26" spans="1:52" x14ac:dyDescent="0.35">
      <c r="A26" s="1" t="s">
        <v>16</v>
      </c>
      <c r="B26" s="23">
        <f t="shared" ref="B26:C26" si="37">C26/1.34</f>
        <v>0.19547696285107688</v>
      </c>
      <c r="C26" s="23">
        <f t="shared" si="37"/>
        <v>0.26193913022044302</v>
      </c>
      <c r="D26" s="23">
        <f t="shared" ref="D26:E26" si="38">E26/1.5</f>
        <v>0.35099843449539364</v>
      </c>
      <c r="E26" s="23">
        <f t="shared" si="38"/>
        <v>0.52649765174309049</v>
      </c>
      <c r="F26" s="23">
        <f t="shared" si="2"/>
        <v>0.78974647761463579</v>
      </c>
      <c r="G26" s="23">
        <f t="shared" si="3"/>
        <v>0.9634907026898557</v>
      </c>
      <c r="H26" s="23">
        <f t="shared" si="4"/>
        <v>1.1369190291740296</v>
      </c>
      <c r="I26" s="23">
        <f t="shared" si="5"/>
        <v>1.3529336447170952</v>
      </c>
      <c r="J26" s="23">
        <f t="shared" si="6"/>
        <v>1.8264604203680788</v>
      </c>
      <c r="K26" s="23">
        <f t="shared" si="7"/>
        <v>1.3515807110723783</v>
      </c>
      <c r="L26" s="23">
        <f t="shared" si="8"/>
        <v>2.2706555946015956</v>
      </c>
      <c r="M26" s="4">
        <f>$M$6*'Eurostat Collected Portables'!M19</f>
        <v>2.9745588289280906</v>
      </c>
      <c r="N26" s="4">
        <f>$N$6*'Eurostat Collected Portables'!N19</f>
        <v>3.0697666607483125</v>
      </c>
      <c r="O26" s="4">
        <f>$O$6*'Eurostat Collected Portables'!O19</f>
        <v>4.006294285514727</v>
      </c>
      <c r="P26" s="4">
        <f>$P$6*'Eurostat Collected Portables'!P19</f>
        <v>6.5681474472056838</v>
      </c>
      <c r="Q26" s="4">
        <f>$Q$6*'Eurostat Collected Portables'!Q19</f>
        <v>5.4722331544280074</v>
      </c>
      <c r="R26" s="4">
        <f>$R$6*'Eurostat Collected Portables'!R19</f>
        <v>8.9853764850352675</v>
      </c>
      <c r="S26" s="4">
        <f>$S$6*'Eurostat Collected Portables'!S19</f>
        <v>10.403016328107904</v>
      </c>
      <c r="T26" s="4">
        <f>$T$6*'Eurostat Collected Portables'!T19</f>
        <v>12.639133710149444</v>
      </c>
      <c r="U26" s="4">
        <f>$U$6*'Eurostat Collected Portables'!U19</f>
        <v>12.920974543182885</v>
      </c>
      <c r="V26" s="4">
        <f>$V$6*'Eurostat Collected Portables'!V19</f>
        <v>29.107175507384763</v>
      </c>
      <c r="W26" s="4">
        <f>$W$6*'Eurostat Collected Portables'!W19</f>
        <v>24.492409067676029</v>
      </c>
      <c r="X26" s="67">
        <f>X$6*'Eurostat Collected Portables'!X19</f>
        <v>23.995362756431426</v>
      </c>
      <c r="Y26" s="67">
        <f>Y$6*'Eurostat Collected Portables'!Y19</f>
        <v>26.300460479021055</v>
      </c>
      <c r="Z26" s="67">
        <f>Z$6*'Eurostat Collected Portables'!Z19</f>
        <v>28.965837760549164</v>
      </c>
      <c r="AA26" s="67">
        <f>AA$6*'Eurostat Collected Portables'!AA19</f>
        <v>31.956530991116843</v>
      </c>
      <c r="AB26" s="67">
        <f>AB$6*'Eurostat Collected Portables'!AB19</f>
        <v>35.173738585743813</v>
      </c>
      <c r="AC26" s="67">
        <f>AC$6*'Eurostat Collected Portables'!AC19</f>
        <v>38.676294567296829</v>
      </c>
      <c r="AD26" s="67">
        <f>AD$6*'Eurostat Collected Portables'!AD19</f>
        <v>42.573539338538176</v>
      </c>
      <c r="AE26" s="67">
        <f>AE$6*'Eurostat Collected Portables'!AE19</f>
        <v>47.133760823879037</v>
      </c>
      <c r="AF26" s="67">
        <f>AF$6*'Eurostat Collected Portables'!AF19</f>
        <v>52.401090884727637</v>
      </c>
      <c r="AG26" s="67">
        <f>AG$6*'Eurostat Collected Portables'!AG19</f>
        <v>58.04236975707817</v>
      </c>
      <c r="AH26" s="67">
        <f>AH$6*'Eurostat Collected Portables'!AH19</f>
        <v>63.99071704958164</v>
      </c>
      <c r="AI26" s="67">
        <f>AI$6*'Eurostat Collected Portables'!AI19</f>
        <v>70.221468433246272</v>
      </c>
      <c r="AJ26" s="67">
        <f>AJ$6*'Eurostat Collected Portables'!AJ19</f>
        <v>77.085886441473576</v>
      </c>
      <c r="AK26" s="67">
        <f>AK$6*'Eurostat Collected Portables'!AK19</f>
        <v>84.652035886598981</v>
      </c>
      <c r="AL26" s="67">
        <f>AL$6*'Eurostat Collected Portables'!AL19</f>
        <v>92.994410018035708</v>
      </c>
      <c r="AM26" s="67">
        <f>AM$6*'Eurostat Collected Portables'!AM19</f>
        <v>102.19565175479985</v>
      </c>
      <c r="AN26" s="67">
        <f>AN$6*'Eurostat Collected Portables'!AN19</f>
        <v>112.34746568816189</v>
      </c>
      <c r="AO26" s="67">
        <f>AO$6*'Eurostat Collected Portables'!AO19</f>
        <v>123.52681466459735</v>
      </c>
      <c r="AP26" s="67">
        <f>AP$6*'Eurostat Collected Portables'!AP19</f>
        <v>135.64884574873327</v>
      </c>
      <c r="AQ26" s="67">
        <f>AQ$6*'Eurostat Collected Portables'!AQ19</f>
        <v>147.73651087089212</v>
      </c>
      <c r="AR26" s="67">
        <f>AR$6*'Eurostat Collected Portables'!AR19</f>
        <v>159.63124529198649</v>
      </c>
      <c r="AS26" s="67">
        <f>AS$6*'Eurostat Collected Portables'!AS19</f>
        <v>171.34465155812794</v>
      </c>
      <c r="AT26" s="67">
        <f>AT$6*'Eurostat Collected Portables'!AT19</f>
        <v>183.91099070578662</v>
      </c>
      <c r="AU26" s="67">
        <f>AU$6*'Eurostat Collected Portables'!AU19</f>
        <v>197.39845804468752</v>
      </c>
      <c r="AV26" s="67">
        <f>AV$6*'Eurostat Collected Portables'!AV19</f>
        <v>211.82974258488443</v>
      </c>
      <c r="AW26" s="67">
        <f>AW$6*'Eurostat Collected Portables'!AW19</f>
        <v>222.93896422239769</v>
      </c>
      <c r="AX26" s="67">
        <f>AX$6*'Eurostat Collected Portables'!AX19</f>
        <v>234.58147317639009</v>
      </c>
      <c r="AY26" s="67">
        <f>AY$6*'Eurostat Collected Portables'!AY19</f>
        <v>246.83042251124115</v>
      </c>
      <c r="AZ26" s="67">
        <f>AZ$6*'Eurostat Collected Portables'!AZ19</f>
        <v>259.71739737405778</v>
      </c>
    </row>
    <row r="27" spans="1:52" x14ac:dyDescent="0.35">
      <c r="A27" s="1" t="s">
        <v>17</v>
      </c>
      <c r="B27" s="23">
        <f t="shared" ref="B27:C27" si="39">C27/1.34</f>
        <v>0.32784718966361726</v>
      </c>
      <c r="C27" s="23">
        <f t="shared" si="39"/>
        <v>0.43931523414924711</v>
      </c>
      <c r="D27" s="23">
        <f t="shared" ref="D27:E27" si="40">E27/1.5</f>
        <v>0.5886824137599912</v>
      </c>
      <c r="E27" s="23">
        <f t="shared" si="40"/>
        <v>0.88302362063998674</v>
      </c>
      <c r="F27" s="23">
        <f t="shared" si="2"/>
        <v>1.3245354309599802</v>
      </c>
      <c r="G27" s="23">
        <f t="shared" si="3"/>
        <v>1.6159332257711758</v>
      </c>
      <c r="H27" s="23">
        <f t="shared" si="4"/>
        <v>1.9068012064099873</v>
      </c>
      <c r="I27" s="23">
        <f t="shared" si="5"/>
        <v>2.2690934356278847</v>
      </c>
      <c r="J27" s="23">
        <f t="shared" si="6"/>
        <v>3.0632761380976445</v>
      </c>
      <c r="K27" s="23">
        <f t="shared" si="7"/>
        <v>2.2668243421922569</v>
      </c>
      <c r="L27" s="23">
        <f t="shared" si="8"/>
        <v>3.8082648948829911</v>
      </c>
      <c r="M27" s="4">
        <f>$M$6*'Eurostat Collected Portables'!M20</f>
        <v>4.9888270122967189</v>
      </c>
      <c r="N27" s="4">
        <f>$N$6*'Eurostat Collected Portables'!N20</f>
        <v>6.0205501175916512</v>
      </c>
      <c r="O27" s="4">
        <f>$O$6*'Eurostat Collected Portables'!O20</f>
        <v>8.3138137052786814</v>
      </c>
      <c r="P27" s="4">
        <f>$P$6*'Eurostat Collected Portables'!P20</f>
        <v>11.080956237462651</v>
      </c>
      <c r="Q27" s="4">
        <f>$Q$6*'Eurostat Collected Portables'!Q20</f>
        <v>13.007077267063494</v>
      </c>
      <c r="R27" s="4">
        <f>$R$6*'Eurostat Collected Portables'!R20</f>
        <v>19.93796557330311</v>
      </c>
      <c r="S27" s="4">
        <f>$S$6*'Eurostat Collected Portables'!S20</f>
        <v>16.043762959348637</v>
      </c>
      <c r="T27" s="4">
        <f>$T$6*'Eurostat Collected Portables'!T20</f>
        <v>19.775885934414863</v>
      </c>
      <c r="U27" s="4">
        <f>$U$6*'Eurostat Collected Portables'!U20</f>
        <v>17.195582662732107</v>
      </c>
      <c r="V27" s="4">
        <f>$V$6*'Eurostat Collected Portables'!V20</f>
        <v>33.238516547142602</v>
      </c>
      <c r="W27" s="4">
        <f>$W$6*'Eurostat Collected Portables'!W20</f>
        <v>30.59619555457321</v>
      </c>
      <c r="X27" s="67">
        <f>X$6*'Eurostat Collected Portables'!X20</f>
        <v>30.301028943605573</v>
      </c>
      <c r="Y27" s="67">
        <f>Y$6*'Eurostat Collected Portables'!Y20</f>
        <v>34.337284814719062</v>
      </c>
      <c r="Z27" s="67">
        <f>Z$6*'Eurostat Collected Portables'!Z20</f>
        <v>37.881431720537577</v>
      </c>
      <c r="AA27" s="67">
        <f>AA$6*'Eurostat Collected Portables'!AA20</f>
        <v>41.862584390555476</v>
      </c>
      <c r="AB27" s="67">
        <f>AB$6*'Eurostat Collected Portables'!AB20</f>
        <v>46.15298028800359</v>
      </c>
      <c r="AC27" s="67">
        <f>AC$6*'Eurostat Collected Portables'!AC20</f>
        <v>50.831139789475102</v>
      </c>
      <c r="AD27" s="67">
        <f>AD$6*'Eurostat Collected Portables'!AD20</f>
        <v>56.042529389133882</v>
      </c>
      <c r="AE27" s="67">
        <f>AE$6*'Eurostat Collected Portables'!AE20</f>
        <v>62.143041898605375</v>
      </c>
      <c r="AF27" s="67">
        <f>AF$6*'Eurostat Collected Portables'!AF20</f>
        <v>69.194708630795148</v>
      </c>
      <c r="AG27" s="67">
        <f>AG$6*'Eurostat Collected Portables'!AG20</f>
        <v>76.760848410221485</v>
      </c>
      <c r="AH27" s="67">
        <f>AH$6*'Eurostat Collected Portables'!AH20</f>
        <v>84.754709237807134</v>
      </c>
      <c r="AI27" s="67">
        <f>AI$6*'Eurostat Collected Portables'!AI20</f>
        <v>93.144963126996501</v>
      </c>
      <c r="AJ27" s="67">
        <f>AJ$6*'Eurostat Collected Portables'!AJ20</f>
        <v>102.39942862796877</v>
      </c>
      <c r="AK27" s="67">
        <f>AK$6*'Eurostat Collected Portables'!AK20</f>
        <v>112.61184083694263</v>
      </c>
      <c r="AL27" s="67">
        <f>AL$6*'Eurostat Collected Portables'!AL20</f>
        <v>123.88492880684016</v>
      </c>
      <c r="AM27" s="67">
        <f>AM$6*'Eurostat Collected Portables'!AM20</f>
        <v>136.33275762367583</v>
      </c>
      <c r="AN27" s="67">
        <f>AN$6*'Eurostat Collected Portables'!AN20</f>
        <v>150.0820066528901</v>
      </c>
      <c r="AO27" s="67">
        <f>AO$6*'Eurostat Collected Portables'!AO20</f>
        <v>165.24019391944947</v>
      </c>
      <c r="AP27" s="67">
        <f>AP$6*'Eurostat Collected Portables'!AP20</f>
        <v>181.69852411597859</v>
      </c>
      <c r="AQ27" s="67">
        <f>AQ$6*'Eurostat Collected Portables'!AQ20</f>
        <v>198.15082716683878</v>
      </c>
      <c r="AR27" s="67">
        <f>AR$6*'Eurostat Collected Portables'!AR20</f>
        <v>214.38321875402562</v>
      </c>
      <c r="AS27" s="67">
        <f>AS$6*'Eurostat Collected Portables'!AS20</f>
        <v>230.4095708433297</v>
      </c>
      <c r="AT27" s="67">
        <f>AT$6*'Eurostat Collected Portables'!AT20</f>
        <v>247.62080157079103</v>
      </c>
      <c r="AU27" s="67">
        <f>AU$6*'Eurostat Collected Portables'!AU20</f>
        <v>266.1124742235628</v>
      </c>
      <c r="AV27" s="67">
        <f>AV$6*'Eurostat Collected Portables'!AV20</f>
        <v>285.91909384801494</v>
      </c>
      <c r="AW27" s="67">
        <f>AW$6*'Eurostat Collected Portables'!AW20</f>
        <v>301.2796490517884</v>
      </c>
      <c r="AX27" s="67">
        <f>AX$6*'Eurostat Collected Portables'!AX20</f>
        <v>317.39356781131852</v>
      </c>
      <c r="AY27" s="67">
        <f>AY$6*'Eurostat Collected Portables'!AY20</f>
        <v>334.3619338370209</v>
      </c>
      <c r="AZ27" s="67">
        <f>AZ$6*'Eurostat Collected Portables'!AZ20</f>
        <v>352.2298717671527</v>
      </c>
    </row>
    <row r="28" spans="1:52" x14ac:dyDescent="0.35">
      <c r="A28" s="1" t="s">
        <v>18</v>
      </c>
      <c r="B28" s="23">
        <f t="shared" ref="B28:C28" si="41">C28/1.34</f>
        <v>0.20471209495427745</v>
      </c>
      <c r="C28" s="23">
        <f t="shared" si="41"/>
        <v>0.27431420723873179</v>
      </c>
      <c r="D28" s="23">
        <f t="shared" ref="D28:E28" si="42">E28/1.5</f>
        <v>0.36758103769990064</v>
      </c>
      <c r="E28" s="23">
        <f t="shared" si="42"/>
        <v>0.55137155654985093</v>
      </c>
      <c r="F28" s="23">
        <f t="shared" si="2"/>
        <v>0.82705733482477639</v>
      </c>
      <c r="G28" s="23">
        <f t="shared" si="3"/>
        <v>1.0090099484862272</v>
      </c>
      <c r="H28" s="23">
        <f t="shared" si="4"/>
        <v>1.190631739213748</v>
      </c>
      <c r="I28" s="23">
        <f t="shared" si="5"/>
        <v>1.4168517696643601</v>
      </c>
      <c r="J28" s="23">
        <f t="shared" si="6"/>
        <v>1.9127498890468861</v>
      </c>
      <c r="K28" s="23">
        <f t="shared" si="7"/>
        <v>1.4154349178946957</v>
      </c>
      <c r="L28" s="23">
        <f t="shared" si="8"/>
        <v>2.3779306620630885</v>
      </c>
      <c r="M28" s="4">
        <f>$M$6*'Eurostat Collected Portables'!M21</f>
        <v>3.1150891673026462</v>
      </c>
      <c r="N28" s="4">
        <f>$N$6*'Eurostat Collected Portables'!N21</f>
        <v>3.0459700199673176</v>
      </c>
      <c r="O28" s="4">
        <f>$O$6*'Eurostat Collected Portables'!O21</f>
        <v>3.5243340707159629</v>
      </c>
      <c r="P28" s="4">
        <f>$P$6*'Eurostat Collected Portables'!P21</f>
        <v>5.4064342932781484</v>
      </c>
      <c r="Q28" s="4">
        <f>$Q$6*'Eurostat Collected Portables'!Q21</f>
        <v>4.4619747259182212</v>
      </c>
      <c r="R28" s="4">
        <f>$R$6*'Eurostat Collected Portables'!R21</f>
        <v>6.061141534284145</v>
      </c>
      <c r="S28" s="4">
        <f>$S$6*'Eurostat Collected Portables'!S21</f>
        <v>5.0396834656167186</v>
      </c>
      <c r="T28" s="4">
        <f>$T$6*'Eurostat Collected Portables'!T21</f>
        <v>7.6270634457798376</v>
      </c>
      <c r="U28" s="4">
        <f>$U$6*'Eurostat Collected Portables'!U21</f>
        <v>7.5777143937463531</v>
      </c>
      <c r="V28" s="4">
        <f>$V$6*'Eurostat Collected Portables'!V21</f>
        <v>15.304740670011988</v>
      </c>
      <c r="W28" s="4">
        <f>$W$6*'Eurostat Collected Portables'!W21</f>
        <v>12.748414814405503</v>
      </c>
      <c r="X28" s="67">
        <f>X$6*'Eurostat Collected Portables'!X21</f>
        <v>12.310761933948141</v>
      </c>
      <c r="Y28" s="67">
        <f>Y$6*'Eurostat Collected Portables'!Y21</f>
        <v>13.657412230505553</v>
      </c>
      <c r="Z28" s="67">
        <f>Z$6*'Eurostat Collected Portables'!Z21</f>
        <v>14.935223327090345</v>
      </c>
      <c r="AA28" s="67">
        <f>AA$6*'Eurostat Collected Portables'!AA21</f>
        <v>16.361665096970814</v>
      </c>
      <c r="AB28" s="67">
        <f>AB$6*'Eurostat Collected Portables'!AB21</f>
        <v>17.883397222455535</v>
      </c>
      <c r="AC28" s="67">
        <f>AC$6*'Eurostat Collected Portables'!AC21</f>
        <v>19.528147819831275</v>
      </c>
      <c r="AD28" s="67">
        <f>AD$6*'Eurostat Collected Portables'!AD21</f>
        <v>21.348208960140354</v>
      </c>
      <c r="AE28" s="67">
        <f>AE$6*'Eurostat Collected Portables'!AE21</f>
        <v>23.473604456188326</v>
      </c>
      <c r="AF28" s="67">
        <f>AF$6*'Eurostat Collected Portables'!AF21</f>
        <v>25.91995504170557</v>
      </c>
      <c r="AG28" s="67">
        <f>AG$6*'Eurostat Collected Portables'!AG21</f>
        <v>28.517091711488707</v>
      </c>
      <c r="AH28" s="67">
        <f>AH$6*'Eurostat Collected Portables'!AH21</f>
        <v>31.229349689403133</v>
      </c>
      <c r="AI28" s="67">
        <f>AI$6*'Eurostat Collected Portables'!AI21</f>
        <v>34.042477717027666</v>
      </c>
      <c r="AJ28" s="67">
        <f>AJ$6*'Eurostat Collected Portables'!AJ21</f>
        <v>37.123642618741826</v>
      </c>
      <c r="AK28" s="67">
        <f>AK$6*'Eurostat Collected Portables'!AK21</f>
        <v>40.500136908628711</v>
      </c>
      <c r="AL28" s="67">
        <f>AL$6*'Eurostat Collected Portables'!AL21</f>
        <v>44.201597568550177</v>
      </c>
      <c r="AM28" s="67">
        <f>AM$6*'Eurostat Collected Portables'!AM21</f>
        <v>48.260743023253603</v>
      </c>
      <c r="AN28" s="67">
        <f>AN$6*'Eurostat Collected Portables'!AN21</f>
        <v>52.713701992197848</v>
      </c>
      <c r="AO28" s="67">
        <f>AO$6*'Eurostat Collected Portables'!AO21</f>
        <v>57.588807286166237</v>
      </c>
      <c r="AP28" s="67">
        <f>AP$6*'Eurostat Collected Portables'!AP21</f>
        <v>62.838711867871965</v>
      </c>
      <c r="AQ28" s="67">
        <f>AQ$6*'Eurostat Collected Portables'!AQ21</f>
        <v>68.006565094305401</v>
      </c>
      <c r="AR28" s="67">
        <f>AR$6*'Eurostat Collected Portables'!AR21</f>
        <v>73.021376435184337</v>
      </c>
      <c r="AS28" s="67">
        <f>AS$6*'Eurostat Collected Portables'!AS21</f>
        <v>77.891280316317335</v>
      </c>
      <c r="AT28" s="67">
        <f>AT$6*'Eurostat Collected Portables'!AT21</f>
        <v>83.086220338473623</v>
      </c>
      <c r="AU28" s="67">
        <f>AU$6*'Eurostat Collected Portables'!AU21</f>
        <v>88.630816295835459</v>
      </c>
      <c r="AV28" s="67">
        <f>AV$6*'Eurostat Collected Portables'!AV21</f>
        <v>94.528778643811322</v>
      </c>
      <c r="AW28" s="67">
        <f>AW$6*'Eurostat Collected Portables'!AW21</f>
        <v>98.881590265970004</v>
      </c>
      <c r="AX28" s="67">
        <f>AX$6*'Eurostat Collected Portables'!AX21</f>
        <v>103.41691329664592</v>
      </c>
      <c r="AY28" s="67">
        <f>AY$6*'Eurostat Collected Portables'!AY21</f>
        <v>108.16351624560478</v>
      </c>
      <c r="AZ28" s="67">
        <f>AZ$6*'Eurostat Collected Portables'!AZ21</f>
        <v>113.13137399973191</v>
      </c>
    </row>
    <row r="29" spans="1:52" x14ac:dyDescent="0.35">
      <c r="A29" s="1" t="s">
        <v>19</v>
      </c>
      <c r="B29" s="23">
        <f t="shared" ref="B29:C29" si="43">C29/1.34</f>
        <v>2.7705396309601452E-2</v>
      </c>
      <c r="C29" s="23">
        <f t="shared" si="43"/>
        <v>3.7125231054865947E-2</v>
      </c>
      <c r="D29" s="23">
        <f t="shared" ref="D29:E29" si="44">E29/1.5</f>
        <v>4.974780961352037E-2</v>
      </c>
      <c r="E29" s="23">
        <f t="shared" si="44"/>
        <v>7.4621714420280552E-2</v>
      </c>
      <c r="F29" s="23">
        <f t="shared" si="2"/>
        <v>0.11193257163042084</v>
      </c>
      <c r="G29" s="23">
        <f t="shared" si="3"/>
        <v>0.13655773738911342</v>
      </c>
      <c r="H29" s="23">
        <f t="shared" si="4"/>
        <v>0.16113813011915384</v>
      </c>
      <c r="I29" s="23">
        <f t="shared" si="5"/>
        <v>0.19175437484179306</v>
      </c>
      <c r="J29" s="23">
        <f t="shared" si="6"/>
        <v>0.25886840603642064</v>
      </c>
      <c r="K29" s="23">
        <f t="shared" si="7"/>
        <v>0.19156262046695127</v>
      </c>
      <c r="L29" s="23">
        <f t="shared" si="8"/>
        <v>0.32182520238447815</v>
      </c>
      <c r="M29" s="4">
        <f>$M$6*'Eurostat Collected Portables'!M22</f>
        <v>0.42159101512366637</v>
      </c>
      <c r="N29" s="4">
        <f>$N$6*'Eurostat Collected Portables'!N22</f>
        <v>0.47593281561989337</v>
      </c>
      <c r="O29" s="4">
        <f>$O$6*'Eurostat Collected Portables'!O22</f>
        <v>1.1747780235719876</v>
      </c>
      <c r="P29" s="4">
        <f>$P$6*'Eurostat Collected Portables'!P22</f>
        <v>0.93830677817224051</v>
      </c>
      <c r="Q29" s="4">
        <f>$Q$6*'Eurostat Collected Portables'!Q22</f>
        <v>1.4732935415767712</v>
      </c>
      <c r="R29" s="4">
        <f>$R$6*'Eurostat Collected Portables'!R22</f>
        <v>1.2228618884959239</v>
      </c>
      <c r="S29" s="4">
        <f>$S$6*'Eurostat Collected Portables'!S22</f>
        <v>1.0634194468732525</v>
      </c>
      <c r="T29" s="4">
        <f>$T$6*'Eurostat Collected Portables'!T22</f>
        <v>1.4164546399305413</v>
      </c>
      <c r="U29" s="4">
        <f>$U$6*'Eurostat Collected Portables'!U22</f>
        <v>1.4572527680281449</v>
      </c>
      <c r="V29" s="4">
        <f>$V$6*'Eurostat Collected Portables'!V22</f>
        <v>3.2862940088982797</v>
      </c>
      <c r="W29" s="4">
        <f>$W$6*'Eurostat Collected Portables'!W22</f>
        <v>2.7042092030557128</v>
      </c>
      <c r="X29" s="67">
        <f>X$6*'Eurostat Collected Portables'!X22</f>
        <v>2.5832912332966576</v>
      </c>
      <c r="Y29" s="67">
        <f>Y$6*'Eurostat Collected Portables'!Y22</f>
        <v>3.0726284784067985</v>
      </c>
      <c r="Z29" s="67">
        <f>Z$6*'Eurostat Collected Portables'!Z22</f>
        <v>3.5396923742486015</v>
      </c>
      <c r="AA29" s="67">
        <f>AA$6*'Eurostat Collected Portables'!AA22</f>
        <v>4.0744985419046555</v>
      </c>
      <c r="AB29" s="67">
        <f>AB$6*'Eurostat Collected Portables'!AB22</f>
        <v>4.6684838981520205</v>
      </c>
      <c r="AC29" s="67">
        <f>AC$6*'Eurostat Collected Portables'!AC22</f>
        <v>5.3326576691762728</v>
      </c>
      <c r="AD29" s="67">
        <f>AD$6*'Eurostat Collected Portables'!AD22</f>
        <v>6.0863658837430377</v>
      </c>
      <c r="AE29" s="67">
        <f>AE$6*'Eurostat Collected Portables'!AE22</f>
        <v>6.9745655901168186</v>
      </c>
      <c r="AF29" s="67">
        <f>AF$6*'Eurostat Collected Portables'!AF22</f>
        <v>8.0131000698880701</v>
      </c>
      <c r="AG29" s="67">
        <f>AG$6*'Eurostat Collected Portables'!AG22</f>
        <v>9.1588934338221168</v>
      </c>
      <c r="AH29" s="67">
        <f>AH$6*'Eurostat Collected Portables'!AH22</f>
        <v>10.405501539483238</v>
      </c>
      <c r="AI29" s="67">
        <f>AI$6*'Eurostat Collected Portables'!AI22</f>
        <v>11.752157271857628</v>
      </c>
      <c r="AJ29" s="67">
        <f>AJ$6*'Eurostat Collected Portables'!AJ22</f>
        <v>13.262218698349486</v>
      </c>
      <c r="AK29" s="67">
        <f>AK$6*'Eurostat Collected Portables'!AK22</f>
        <v>14.955432842151094</v>
      </c>
      <c r="AL29" s="67">
        <f>AL$6*'Eurostat Collected Portables'!AL22</f>
        <v>16.853753333120199</v>
      </c>
      <c r="AM29" s="67">
        <f>AM$6*'Eurostat Collected Portables'!AM22</f>
        <v>18.981771223865131</v>
      </c>
      <c r="AN29" s="67">
        <f>AN$6*'Eurostat Collected Portables'!AN22</f>
        <v>21.367033545687008</v>
      </c>
      <c r="AO29" s="67">
        <f>AO$6*'Eurostat Collected Portables'!AO22</f>
        <v>24.03557125745159</v>
      </c>
      <c r="AP29" s="67">
        <f>AP$6*'Eurostat Collected Portables'!AP22</f>
        <v>26.982281899924768</v>
      </c>
      <c r="AQ29" s="67">
        <f>AQ$6*'Eurostat Collected Portables'!AQ22</f>
        <v>30.019025304742527</v>
      </c>
      <c r="AR29" s="67">
        <f>AR$6*'Eurostat Collected Portables'!AR22</f>
        <v>33.110651887384861</v>
      </c>
      <c r="AS29" s="67">
        <f>AS$6*'Eurostat Collected Portables'!AS22</f>
        <v>36.255427314768653</v>
      </c>
      <c r="AT29" s="67">
        <f>AT$6*'Eurostat Collected Portables'!AT22</f>
        <v>39.672515957728542</v>
      </c>
      <c r="AU29" s="67">
        <f>AU$6*'Eurostat Collected Portables'!AU22</f>
        <v>43.385694314596996</v>
      </c>
      <c r="AV29" s="67">
        <f>AV$6*'Eurostat Collected Portables'!AV22</f>
        <v>47.409436259634383</v>
      </c>
      <c r="AW29" s="67">
        <f>AW$6*'Eurostat Collected Portables'!AW22</f>
        <v>50.78148884154372</v>
      </c>
      <c r="AX29" s="67">
        <f>AX$6*'Eurostat Collected Portables'!AX22</f>
        <v>54.354144045679824</v>
      </c>
      <c r="AY29" s="67">
        <f>AY$6*'Eurostat Collected Portables'!AY22</f>
        <v>58.149451658396615</v>
      </c>
      <c r="AZ29" s="67">
        <f>AZ$6*'Eurostat Collected Portables'!AZ22</f>
        <v>62.180515575686826</v>
      </c>
    </row>
    <row r="30" spans="1:52" x14ac:dyDescent="0.35">
      <c r="A30" s="1" t="s">
        <v>20</v>
      </c>
      <c r="B30" s="23">
        <f t="shared" ref="B30:C30" si="45">C30/1.34</f>
        <v>5.111645619121469</v>
      </c>
      <c r="C30" s="23">
        <f t="shared" si="45"/>
        <v>6.8496051296227689</v>
      </c>
      <c r="D30" s="23">
        <f t="shared" ref="D30:E30" si="46">E30/1.5</f>
        <v>9.1784708736945113</v>
      </c>
      <c r="E30" s="23">
        <f t="shared" si="46"/>
        <v>13.767706310541767</v>
      </c>
      <c r="F30" s="23">
        <f t="shared" si="2"/>
        <v>20.65155946581265</v>
      </c>
      <c r="G30" s="23">
        <f t="shared" si="3"/>
        <v>25.194902548291431</v>
      </c>
      <c r="H30" s="23">
        <f t="shared" si="4"/>
        <v>29.729985006983888</v>
      </c>
      <c r="I30" s="23">
        <f t="shared" si="5"/>
        <v>35.378682158310824</v>
      </c>
      <c r="J30" s="23">
        <f t="shared" si="6"/>
        <v>47.761220913719612</v>
      </c>
      <c r="K30" s="23">
        <f t="shared" si="7"/>
        <v>35.343303476152514</v>
      </c>
      <c r="L30" s="23">
        <f t="shared" si="8"/>
        <v>59.376749839936217</v>
      </c>
      <c r="M30" s="4">
        <f>$M$6*'Eurostat Collected Portables'!M23</f>
        <v>77.783542290316447</v>
      </c>
      <c r="N30" s="4">
        <f>$N$6*'Eurostat Collected Portables'!N23</f>
        <v>78.48132129572042</v>
      </c>
      <c r="O30" s="4">
        <f>$O$6*'Eurostat Collected Portables'!O23</f>
        <v>95.096774882481157</v>
      </c>
      <c r="P30" s="4">
        <f>$P$6*'Eurostat Collected Portables'!P23</f>
        <v>145.70563826760363</v>
      </c>
      <c r="Q30" s="4">
        <f>$Q$6*'Eurostat Collected Portables'!Q23</f>
        <v>144.38276707452357</v>
      </c>
      <c r="R30" s="4">
        <f>$R$6*'Eurostat Collected Portables'!R23</f>
        <v>209.69422992295321</v>
      </c>
      <c r="S30" s="4">
        <f>$S$6*'Eurostat Collected Portables'!S23</f>
        <v>184.94251249969611</v>
      </c>
      <c r="T30" s="4">
        <f>$T$6*'Eurostat Collected Portables'!T23</f>
        <v>234.75011705618084</v>
      </c>
      <c r="U30" s="4">
        <f>$U$6*'Eurostat Collected Portables'!U23</f>
        <v>223.20254896964417</v>
      </c>
      <c r="V30" s="4">
        <f>$V$6*'Eurostat Collected Portables'!V23</f>
        <v>439.70613839058984</v>
      </c>
      <c r="W30" s="4">
        <f>$W$6*'Eurostat Collected Portables'!W23</f>
        <v>351.3926701570681</v>
      </c>
      <c r="X30" s="67">
        <f>X$6*'Eurostat Collected Portables'!X23</f>
        <v>358.2331120577677</v>
      </c>
      <c r="Y30" s="67">
        <f>Y$6*'Eurostat Collected Portables'!Y23</f>
        <v>402.42775756422566</v>
      </c>
      <c r="Z30" s="67">
        <f>Z$6*'Eurostat Collected Portables'!Z23</f>
        <v>445.78744256773143</v>
      </c>
      <c r="AA30" s="67">
        <f>AA$6*'Eurostat Collected Portables'!AA23</f>
        <v>494.61695893917323</v>
      </c>
      <c r="AB30" s="67">
        <f>AB$6*'Eurostat Collected Portables'!AB23</f>
        <v>547.4538393163856</v>
      </c>
      <c r="AC30" s="67">
        <f>AC$6*'Eurostat Collected Portables'!AC23</f>
        <v>605.26675742330917</v>
      </c>
      <c r="AD30" s="67">
        <f>AD$6*'Eurostat Collected Portables'!AD23</f>
        <v>669.83751198060941</v>
      </c>
      <c r="AE30" s="67">
        <f>AE$6*'Eurostat Collected Portables'!AE23</f>
        <v>745.49651711018123</v>
      </c>
      <c r="AF30" s="67">
        <f>AF$6*'Eurostat Collected Portables'!AF23</f>
        <v>833.0959126126678</v>
      </c>
      <c r="AG30" s="67">
        <f>AG$6*'Eurostat Collected Portables'!AG23</f>
        <v>927.46922677598434</v>
      </c>
      <c r="AH30" s="67">
        <f>AH$6*'Eurostat Collected Portables'!AH23</f>
        <v>1027.6157735189904</v>
      </c>
      <c r="AI30" s="67">
        <f>AI$6*'Eurostat Collected Portables'!AI23</f>
        <v>1133.1931513107429</v>
      </c>
      <c r="AJ30" s="67">
        <f>AJ$6*'Eurostat Collected Portables'!AJ23</f>
        <v>1249.9454826824719</v>
      </c>
      <c r="AK30" s="67">
        <f>AK$6*'Eurostat Collected Portables'!AK23</f>
        <v>1379.1094413686556</v>
      </c>
      <c r="AL30" s="67">
        <f>AL$6*'Eurostat Collected Portables'!AL23</f>
        <v>1522.0441527592905</v>
      </c>
      <c r="AM30" s="67">
        <f>AM$6*'Eurostat Collected Portables'!AM23</f>
        <v>1680.2613326275955</v>
      </c>
      <c r="AN30" s="67">
        <f>AN$6*'Eurostat Collected Portables'!AN23</f>
        <v>1855.442750448871</v>
      </c>
      <c r="AO30" s="67">
        <f>AO$6*'Eurostat Collected Portables'!AO23</f>
        <v>2049.0480218626208</v>
      </c>
      <c r="AP30" s="67">
        <f>AP$6*'Eurostat Collected Portables'!AP23</f>
        <v>2259.8584126067258</v>
      </c>
      <c r="AQ30" s="67">
        <f>AQ$6*'Eurostat Collected Portables'!AQ23</f>
        <v>2471.6993959718229</v>
      </c>
      <c r="AR30" s="67">
        <f>AR$6*'Eurostat Collected Portables'!AR23</f>
        <v>2681.8696160142345</v>
      </c>
      <c r="AS30" s="67">
        <f>AS$6*'Eurostat Collected Portables'!AS23</f>
        <v>2890.4954703457956</v>
      </c>
      <c r="AT30" s="67">
        <f>AT$6*'Eurostat Collected Portables'!AT23</f>
        <v>3115.0297252951891</v>
      </c>
      <c r="AU30" s="67">
        <f>AU$6*'Eurostat Collected Portables'!AU23</f>
        <v>3356.777484426646</v>
      </c>
      <c r="AV30" s="67">
        <f>AV$6*'Eurostat Collected Portables'!AV23</f>
        <v>3616.2815822995071</v>
      </c>
      <c r="AW30" s="67">
        <f>AW$6*'Eurostat Collected Portables'!AW23</f>
        <v>3820.5921553119879</v>
      </c>
      <c r="AX30" s="67">
        <f>AX$6*'Eurostat Collected Portables'!AX23</f>
        <v>4035.3514244515027</v>
      </c>
      <c r="AY30" s="67">
        <f>AY$6*'Eurostat Collected Portables'!AY23</f>
        <v>4261.9021911999762</v>
      </c>
      <c r="AZ30" s="67">
        <f>AZ$6*'Eurostat Collected Portables'!AZ23</f>
        <v>4500.8835390181594</v>
      </c>
    </row>
    <row r="31" spans="1:52" x14ac:dyDescent="0.35">
      <c r="A31" s="1" t="s">
        <v>21</v>
      </c>
      <c r="B31" s="23">
        <f t="shared" ref="B31:C31" si="47">C31/1.34</f>
        <v>0.69879166247550339</v>
      </c>
      <c r="C31" s="23">
        <f t="shared" si="47"/>
        <v>0.93638082771717457</v>
      </c>
      <c r="D31" s="23">
        <f t="shared" ref="D31:E31" si="48">E31/1.5</f>
        <v>1.2547503091410139</v>
      </c>
      <c r="E31" s="23">
        <f t="shared" si="48"/>
        <v>1.8821254637115208</v>
      </c>
      <c r="F31" s="23">
        <f t="shared" si="2"/>
        <v>2.8231881955672811</v>
      </c>
      <c r="G31" s="23">
        <f t="shared" si="3"/>
        <v>3.4442895985920829</v>
      </c>
      <c r="H31" s="23">
        <f t="shared" si="4"/>
        <v>4.0642617263386578</v>
      </c>
      <c r="I31" s="23">
        <f t="shared" si="5"/>
        <v>4.8364714543430027</v>
      </c>
      <c r="J31" s="23">
        <f t="shared" si="6"/>
        <v>6.5292364633630546</v>
      </c>
      <c r="K31" s="23">
        <f t="shared" si="7"/>
        <v>4.8316349828886604</v>
      </c>
      <c r="L31" s="23">
        <f t="shared" si="8"/>
        <v>8.1171467712529495</v>
      </c>
      <c r="M31" s="4">
        <f>$M$6*'Eurostat Collected Portables'!M24</f>
        <v>10.633462270341363</v>
      </c>
      <c r="N31" s="4">
        <f>$N$6*'Eurostat Collected Portables'!N24</f>
        <v>15.800969478580461</v>
      </c>
      <c r="O31" s="4">
        <f>$O$6*'Eurostat Collected Portables'!O24</f>
        <v>24.549848441312051</v>
      </c>
      <c r="P31" s="4">
        <f>$P$6*'Eurostat Collected Portables'!P24</f>
        <v>39.274840857780923</v>
      </c>
      <c r="Q31" s="4">
        <f>$Q$6*'Eurostat Collected Portables'!Q24</f>
        <v>27.361165772140037</v>
      </c>
      <c r="R31" s="4">
        <f>$R$6*'Eurostat Collected Portables'!R24</f>
        <v>94.479372863358989</v>
      </c>
      <c r="S31" s="4">
        <f>$S$6*'Eurostat Collected Portables'!S24</f>
        <v>48.963530184294541</v>
      </c>
      <c r="T31" s="4">
        <f>$T$6*'Eurostat Collected Portables'!T24</f>
        <v>63.740458796874357</v>
      </c>
      <c r="U31" s="4">
        <f>$U$6*'Eurostat Collected Portables'!U24</f>
        <v>94.284254091420976</v>
      </c>
      <c r="V31" s="4">
        <f>$V$6*'Eurostat Collected Portables'!V24</f>
        <v>217.92823984722591</v>
      </c>
      <c r="W31" s="4">
        <f>$W$6*'Eurostat Collected Portables'!W24</f>
        <v>179.48222796281203</v>
      </c>
      <c r="X31" s="67">
        <f>X$6*'Eurostat Collected Portables'!X24</f>
        <v>152.25259699265993</v>
      </c>
      <c r="Y31" s="67">
        <f>Y$6*'Eurostat Collected Portables'!Y24</f>
        <v>164.28940995890116</v>
      </c>
      <c r="Z31" s="67">
        <f>Z$6*'Eurostat Collected Portables'!Z24</f>
        <v>179.66061114648375</v>
      </c>
      <c r="AA31" s="67">
        <f>AA$6*'Eurostat Collected Portables'!AA24</f>
        <v>196.81973856821782</v>
      </c>
      <c r="AB31" s="67">
        <f>AB$6*'Eurostat Collected Portables'!AB24</f>
        <v>215.12514436485711</v>
      </c>
      <c r="AC31" s="67">
        <f>AC$6*'Eurostat Collected Portables'!AC24</f>
        <v>234.91037897678828</v>
      </c>
      <c r="AD31" s="67">
        <f>AD$6*'Eurostat Collected Portables'!AD24</f>
        <v>256.80448056673754</v>
      </c>
      <c r="AE31" s="67">
        <f>AE$6*'Eurostat Collected Portables'!AE24</f>
        <v>282.37154745186018</v>
      </c>
      <c r="AF31" s="67">
        <f>AF$6*'Eurostat Collected Portables'!AF24</f>
        <v>311.79948646870594</v>
      </c>
      <c r="AG31" s="67">
        <f>AG$6*'Eurostat Collected Portables'!AG24</f>
        <v>343.04127985239319</v>
      </c>
      <c r="AH31" s="67">
        <f>AH$6*'Eurostat Collected Portables'!AH24</f>
        <v>375.66790452530086</v>
      </c>
      <c r="AI31" s="67">
        <f>AI$6*'Eurostat Collected Portables'!AI24</f>
        <v>409.50792751039984</v>
      </c>
      <c r="AJ31" s="67">
        <f>AJ$6*'Eurostat Collected Portables'!AJ24</f>
        <v>446.57225237261866</v>
      </c>
      <c r="AK31" s="67">
        <f>AK$6*'Eurostat Collected Portables'!AK24</f>
        <v>487.18918955315354</v>
      </c>
      <c r="AL31" s="67">
        <f>AL$6*'Eurostat Collected Portables'!AL24</f>
        <v>531.71525185112614</v>
      </c>
      <c r="AM31" s="67">
        <f>AM$6*'Eurostat Collected Portables'!AM24</f>
        <v>580.54401973447614</v>
      </c>
      <c r="AN31" s="67">
        <f>AN$6*'Eurostat Collected Portables'!AN24</f>
        <v>634.11009720448089</v>
      </c>
      <c r="AO31" s="67">
        <f>AO$6*'Eurostat Collected Portables'!AO24</f>
        <v>692.75430876636119</v>
      </c>
      <c r="AP31" s="67">
        <f>AP$6*'Eurostat Collected Portables'!AP24</f>
        <v>755.9071016609372</v>
      </c>
      <c r="AQ31" s="67">
        <f>AQ$6*'Eurostat Collected Portables'!AQ24</f>
        <v>818.07287237909372</v>
      </c>
      <c r="AR31" s="67">
        <f>AR$6*'Eurostat Collected Portables'!AR24</f>
        <v>878.39765297024871</v>
      </c>
      <c r="AS31" s="67">
        <f>AS$6*'Eurostat Collected Portables'!AS24</f>
        <v>936.97929506206742</v>
      </c>
      <c r="AT31" s="67">
        <f>AT$6*'Eurostat Collected Portables'!AT24</f>
        <v>999.4709015690155</v>
      </c>
      <c r="AU31" s="67">
        <f>AU$6*'Eurostat Collected Portables'!AU24</f>
        <v>1066.1686319238802</v>
      </c>
      <c r="AV31" s="67">
        <f>AV$6*'Eurostat Collected Portables'!AV24</f>
        <v>1137.1171203896852</v>
      </c>
      <c r="AW31" s="67">
        <f>AW$6*'Eurostat Collected Portables'!AW24</f>
        <v>1189.478493173717</v>
      </c>
      <c r="AX31" s="67">
        <f>AX$6*'Eurostat Collected Portables'!AX24</f>
        <v>1244.0353544668451</v>
      </c>
      <c r="AY31" s="67">
        <f>AY$6*'Eurostat Collected Portables'!AY24</f>
        <v>1301.1337699376629</v>
      </c>
      <c r="AZ31" s="67">
        <f>AZ$6*'Eurostat Collected Portables'!AZ24</f>
        <v>1360.8937307128299</v>
      </c>
    </row>
    <row r="32" spans="1:52" x14ac:dyDescent="0.35">
      <c r="A32" s="1" t="s">
        <v>22</v>
      </c>
      <c r="B32" s="23">
        <f t="shared" ref="B32:C32" si="49">C32/1.34</f>
        <v>3.4323907650228471</v>
      </c>
      <c r="C32" s="23">
        <f t="shared" si="49"/>
        <v>4.5994036251306154</v>
      </c>
      <c r="D32" s="23">
        <f t="shared" ref="D32:E32" si="50">E32/1.5</f>
        <v>6.163200857675025</v>
      </c>
      <c r="E32" s="23">
        <f t="shared" si="50"/>
        <v>9.2448012865125371</v>
      </c>
      <c r="F32" s="23">
        <f t="shared" si="2"/>
        <v>13.867201929768806</v>
      </c>
      <c r="G32" s="23">
        <f t="shared" si="3"/>
        <v>16.917986354317943</v>
      </c>
      <c r="H32" s="23">
        <f t="shared" si="4"/>
        <v>19.963223898095173</v>
      </c>
      <c r="I32" s="23">
        <f t="shared" si="5"/>
        <v>23.756236438733254</v>
      </c>
      <c r="J32" s="23">
        <f t="shared" si="6"/>
        <v>32.070919192289892</v>
      </c>
      <c r="K32" s="23">
        <f t="shared" si="7"/>
        <v>23.732480202294521</v>
      </c>
      <c r="L32" s="23">
        <f t="shared" si="8"/>
        <v>39.870566739854794</v>
      </c>
      <c r="M32" s="4">
        <f>$M$6*'Eurostat Collected Portables'!M25</f>
        <v>52.230442429209781</v>
      </c>
      <c r="N32" s="4">
        <f>$N$6*'Eurostat Collected Portables'!N25</f>
        <v>69.795547410657363</v>
      </c>
      <c r="O32" s="4">
        <f>$O$6*'Eurostat Collected Portables'!O25</f>
        <v>95.488367557005148</v>
      </c>
      <c r="P32" s="4">
        <f>$P$6*'Eurostat Collected Portables'!P25</f>
        <v>165.76753081042918</v>
      </c>
      <c r="Q32" s="4">
        <f>$Q$6*'Eurostat Collected Portables'!Q25</f>
        <v>272.51721109051476</v>
      </c>
      <c r="R32" s="4">
        <f>$R$6*'Eurostat Collected Portables'!R25</f>
        <v>511.2094372994917</v>
      </c>
      <c r="S32" s="4">
        <f>$S$6*'Eurostat Collected Portables'!S25</f>
        <v>384.26430534624353</v>
      </c>
      <c r="T32" s="4">
        <f>$T$6*'Eurostat Collected Portables'!T25</f>
        <v>583.25243750370669</v>
      </c>
      <c r="U32" s="4">
        <f>$U$6*'Eurostat Collected Portables'!U25</f>
        <v>542.97238136728674</v>
      </c>
      <c r="V32" s="4">
        <f>$V$6*'Eurostat Collected Portables'!V25</f>
        <v>1030.3940129614207</v>
      </c>
      <c r="W32" s="4">
        <f>$W$6*'Eurostat Collected Portables'!W25</f>
        <v>701.70365663291386</v>
      </c>
      <c r="X32" s="67">
        <f>X$6*'Eurostat Collected Portables'!X25</f>
        <v>665.21182495178346</v>
      </c>
      <c r="Y32" s="67">
        <f>Y$6*'Eurostat Collected Portables'!Y25</f>
        <v>740.35173545130579</v>
      </c>
      <c r="Z32" s="67">
        <f>Z$6*'Eurostat Collected Portables'!Z25</f>
        <v>818.27981170408702</v>
      </c>
      <c r="AA32" s="67">
        <f>AA$6*'Eurostat Collected Portables'!AA25</f>
        <v>905.91908689351624</v>
      </c>
      <c r="AB32" s="67">
        <f>AB$6*'Eurostat Collected Portables'!AB25</f>
        <v>1000.5437960761826</v>
      </c>
      <c r="AC32" s="67">
        <f>AC$6*'Eurostat Collected Portables'!AC25</f>
        <v>1103.8871030749426</v>
      </c>
      <c r="AD32" s="67">
        <f>AD$6*'Eurostat Collected Portables'!AD25</f>
        <v>1219.1492725427697</v>
      </c>
      <c r="AE32" s="67">
        <f>AE$6*'Eurostat Collected Portables'!AE25</f>
        <v>1354.1360034969393</v>
      </c>
      <c r="AF32" s="67">
        <f>AF$6*'Eurostat Collected Portables'!AF25</f>
        <v>1510.2885769680852</v>
      </c>
      <c r="AG32" s="67">
        <f>AG$6*'Eurostat Collected Portables'!AG25</f>
        <v>1678.1512939392251</v>
      </c>
      <c r="AH32" s="67">
        <f>AH$6*'Eurostat Collected Portables'!AH25</f>
        <v>1855.8669819784184</v>
      </c>
      <c r="AI32" s="67">
        <f>AI$6*'Eurostat Collected Portables'!AI25</f>
        <v>2042.7807114958848</v>
      </c>
      <c r="AJ32" s="67">
        <f>AJ$6*'Eurostat Collected Portables'!AJ25</f>
        <v>2249.1960095611057</v>
      </c>
      <c r="AK32" s="67">
        <f>AK$6*'Eurostat Collected Portables'!AK25</f>
        <v>2477.248487417949</v>
      </c>
      <c r="AL32" s="67">
        <f>AL$6*'Eurostat Collected Portables'!AL25</f>
        <v>2729.281815478811</v>
      </c>
      <c r="AM32" s="67">
        <f>AM$6*'Eurostat Collected Portables'!AM25</f>
        <v>3007.9004527041297</v>
      </c>
      <c r="AN32" s="67">
        <f>AN$6*'Eurostat Collected Portables'!AN25</f>
        <v>3315.9992664499991</v>
      </c>
      <c r="AO32" s="67">
        <f>AO$6*'Eurostat Collected Portables'!AO25</f>
        <v>3656.06198602927</v>
      </c>
      <c r="AP32" s="67">
        <f>AP$6*'Eurostat Collected Portables'!AP25</f>
        <v>4025.7895879548732</v>
      </c>
      <c r="AQ32" s="67">
        <f>AQ$6*'Eurostat Collected Portables'!AQ25</f>
        <v>4396.3007816807485</v>
      </c>
      <c r="AR32" s="67">
        <f>AR$6*'Eurostat Collected Portables'!AR25</f>
        <v>4762.8224858712947</v>
      </c>
      <c r="AS32" s="67">
        <f>AS$6*'Eurostat Collected Portables'!AS25</f>
        <v>5125.623782713963</v>
      </c>
      <c r="AT32" s="67">
        <f>AT$6*'Eurostat Collected Portables'!AT25</f>
        <v>5515.6496603209835</v>
      </c>
      <c r="AU32" s="67">
        <f>AU$6*'Eurostat Collected Portables'!AU25</f>
        <v>5935.114140587375</v>
      </c>
      <c r="AV32" s="67">
        <f>AV$6*'Eurostat Collected Portables'!AV25</f>
        <v>6384.8760382015907</v>
      </c>
      <c r="AW32" s="67">
        <f>AW$6*'Eurostat Collected Portables'!AW25</f>
        <v>6736.2153094621635</v>
      </c>
      <c r="AX32" s="67">
        <f>AX$6*'Eurostat Collected Portables'!AX25</f>
        <v>7105.1413663437133</v>
      </c>
      <c r="AY32" s="67">
        <f>AY$6*'Eurostat Collected Portables'!AY25</f>
        <v>7493.9648586649027</v>
      </c>
      <c r="AZ32" s="67">
        <f>AZ$6*'Eurostat Collected Portables'!AZ25</f>
        <v>7903.7501688461434</v>
      </c>
    </row>
    <row r="33" spans="1:52" x14ac:dyDescent="0.35">
      <c r="A33" s="1" t="s">
        <v>23</v>
      </c>
      <c r="B33" s="23">
        <f t="shared" ref="B33:C33" si="51">C33/1.34</f>
        <v>0.63260654906923319</v>
      </c>
      <c r="C33" s="23">
        <f t="shared" si="51"/>
        <v>0.84769277575277246</v>
      </c>
      <c r="D33" s="23">
        <f t="shared" ref="D33:E33" si="52">E33/1.5</f>
        <v>1.1359083195087152</v>
      </c>
      <c r="E33" s="23">
        <f t="shared" si="52"/>
        <v>1.7038624792630728</v>
      </c>
      <c r="F33" s="23">
        <f t="shared" si="2"/>
        <v>2.5557937188946092</v>
      </c>
      <c r="G33" s="23">
        <f t="shared" si="3"/>
        <v>3.1180683370514233</v>
      </c>
      <c r="H33" s="23">
        <f t="shared" si="4"/>
        <v>3.6793206377206791</v>
      </c>
      <c r="I33" s="23">
        <f t="shared" si="5"/>
        <v>4.3783915588876079</v>
      </c>
      <c r="J33" s="23">
        <f t="shared" si="6"/>
        <v>5.9108286044982705</v>
      </c>
      <c r="K33" s="23">
        <f t="shared" si="7"/>
        <v>4.3740131673287204</v>
      </c>
      <c r="L33" s="23">
        <f t="shared" si="8"/>
        <v>7.3483421211122506</v>
      </c>
      <c r="M33" s="4">
        <f>$M$6*'Eurostat Collected Portables'!M26</f>
        <v>9.6263281786570492</v>
      </c>
      <c r="N33" s="4">
        <f>$N$6*'Eurostat Collected Portables'!N26</f>
        <v>10.660895069885612</v>
      </c>
      <c r="O33" s="4">
        <f>$O$6*'Eurostat Collected Portables'!O26</f>
        <v>14.639541524512461</v>
      </c>
      <c r="P33" s="4">
        <f>$P$6*'Eurostat Collected Portables'!P26</f>
        <v>21.849143548867886</v>
      </c>
      <c r="Q33" s="4">
        <f>$Q$6*'Eurostat Collected Portables'!Q26</f>
        <v>22.183591326027383</v>
      </c>
      <c r="R33" s="4">
        <f>$R$6*'Eurostat Collected Portables'!R26</f>
        <v>37.802382726982692</v>
      </c>
      <c r="S33" s="4">
        <f>$S$6*'Eurostat Collected Portables'!S26</f>
        <v>33.844479787444385</v>
      </c>
      <c r="T33" s="4">
        <f>$T$6*'Eurostat Collected Portables'!T26</f>
        <v>36.44646746590508</v>
      </c>
      <c r="U33" s="4">
        <f>$U$6*'Eurostat Collected Portables'!U26</f>
        <v>36.577044477506433</v>
      </c>
      <c r="V33" s="4">
        <f>$V$6*'Eurostat Collected Portables'!V26</f>
        <v>36.430916441500926</v>
      </c>
      <c r="W33" s="4">
        <f>$W$6*'Eurostat Collected Portables'!W26</f>
        <v>32.991352277279695</v>
      </c>
      <c r="X33" s="67">
        <f>X$6*'Eurostat Collected Portables'!X26</f>
        <v>34.217143542969104</v>
      </c>
      <c r="Y33" s="67">
        <f>Y$6*'Eurostat Collected Portables'!Y26</f>
        <v>42.163156786190925</v>
      </c>
      <c r="Z33" s="67">
        <f>Z$6*'Eurostat Collected Portables'!Z26</f>
        <v>49.720869361843</v>
      </c>
      <c r="AA33" s="67">
        <f>AA$6*'Eurostat Collected Portables'!AA26</f>
        <v>58.427551638832718</v>
      </c>
      <c r="AB33" s="67">
        <f>AB$6*'Eurostat Collected Portables'!AB26</f>
        <v>68.187684087457995</v>
      </c>
      <c r="AC33" s="67">
        <f>AC$6*'Eurostat Collected Portables'!AC26</f>
        <v>79.18285151546965</v>
      </c>
      <c r="AD33" s="67">
        <f>AD$6*'Eurostat Collected Portables'!AD26</f>
        <v>91.727012768133832</v>
      </c>
      <c r="AE33" s="67">
        <f>AE$6*'Eurostat Collected Portables'!AE26</f>
        <v>106.53751884179192</v>
      </c>
      <c r="AF33" s="67">
        <f>AF$6*'Eurostat Collected Portables'!AF26</f>
        <v>123.91062745165361</v>
      </c>
      <c r="AG33" s="67">
        <f>AG$6*'Eurostat Collected Portables'!AG26</f>
        <v>143.22459832608587</v>
      </c>
      <c r="AH33" s="67">
        <f>AH$6*'Eurostat Collected Portables'!AH26</f>
        <v>164.40110707481159</v>
      </c>
      <c r="AI33" s="67">
        <f>AI$6*'Eurostat Collected Portables'!AI26</f>
        <v>187.44522728750971</v>
      </c>
      <c r="AJ33" s="67">
        <f>AJ$6*'Eurostat Collected Portables'!AJ26</f>
        <v>213.39105537872047</v>
      </c>
      <c r="AK33" s="67">
        <f>AK$6*'Eurostat Collected Portables'!AK26</f>
        <v>242.59658968997923</v>
      </c>
      <c r="AL33" s="67">
        <f>AL$6*'Eurostat Collected Portables'!AL26</f>
        <v>275.46084751359223</v>
      </c>
      <c r="AM33" s="67">
        <f>AM$6*'Eurostat Collected Portables'!AM26</f>
        <v>312.43147179126612</v>
      </c>
      <c r="AN33" s="67">
        <f>AN$6*'Eurostat Collected Portables'!AN26</f>
        <v>354.01066662231977</v>
      </c>
      <c r="AO33" s="67">
        <f>AO$6*'Eurostat Collected Portables'!AO26</f>
        <v>400.68135347646574</v>
      </c>
      <c r="AP33" s="67">
        <f>AP$6*'Eurostat Collected Portables'!AP26</f>
        <v>452.40900971697783</v>
      </c>
      <c r="AQ33" s="67">
        <f>AQ$6*'Eurostat Collected Portables'!AQ26</f>
        <v>506.0660075089271</v>
      </c>
      <c r="AR33" s="67">
        <f>AR$6*'Eurostat Collected Portables'!AR26</f>
        <v>561.04735808840951</v>
      </c>
      <c r="AS33" s="67">
        <f>AS$6*'Eurostat Collected Portables'!AS26</f>
        <v>617.306465426042</v>
      </c>
      <c r="AT33" s="67">
        <f>AT$6*'Eurostat Collected Portables'!AT26</f>
        <v>678.57626164423357</v>
      </c>
      <c r="AU33" s="67">
        <f>AU$6*'Eurostat Collected Portables'!AU26</f>
        <v>745.29965576823042</v>
      </c>
      <c r="AV33" s="67">
        <f>AV$6*'Eurostat Collected Portables'!AV26</f>
        <v>817.76249372670839</v>
      </c>
      <c r="AW33" s="67">
        <f>AW$6*'Eurostat Collected Portables'!AW26</f>
        <v>879.33800919296243</v>
      </c>
      <c r="AX33" s="67">
        <f>AX$6*'Eurostat Collected Portables'!AX26</f>
        <v>944.68662331917028</v>
      </c>
      <c r="AY33" s="67">
        <f>AY$6*'Eurostat Collected Portables'!AY26</f>
        <v>1014.2105375309252</v>
      </c>
      <c r="AZ33" s="67">
        <f>AZ$6*'Eurostat Collected Portables'!AZ26</f>
        <v>1088.1590225745188</v>
      </c>
    </row>
    <row r="34" spans="1:52" x14ac:dyDescent="0.35">
      <c r="A34" s="1" t="s">
        <v>24</v>
      </c>
      <c r="B34" s="23">
        <f t="shared" ref="B34:C34" si="53">C34/1.34</f>
        <v>0.24473100073481285</v>
      </c>
      <c r="C34" s="23">
        <f t="shared" si="53"/>
        <v>0.32793954098464922</v>
      </c>
      <c r="D34" s="23">
        <f t="shared" ref="D34:E34" si="54">E34/1.5</f>
        <v>0.43943898491942995</v>
      </c>
      <c r="E34" s="23">
        <f t="shared" si="54"/>
        <v>0.6591584773791449</v>
      </c>
      <c r="F34" s="23">
        <f t="shared" si="2"/>
        <v>0.98873771606871741</v>
      </c>
      <c r="G34" s="23">
        <f t="shared" si="3"/>
        <v>1.2062600136038353</v>
      </c>
      <c r="H34" s="23">
        <f t="shared" si="4"/>
        <v>1.4233868160525256</v>
      </c>
      <c r="I34" s="23">
        <f t="shared" si="5"/>
        <v>1.6938303111025053</v>
      </c>
      <c r="J34" s="23">
        <f t="shared" si="6"/>
        <v>2.2866709199883823</v>
      </c>
      <c r="K34" s="23">
        <f t="shared" si="7"/>
        <v>1.692136480791403</v>
      </c>
      <c r="L34" s="23">
        <f t="shared" si="8"/>
        <v>2.8427892877295569</v>
      </c>
      <c r="M34" s="4">
        <f>$M$6*'Eurostat Collected Portables'!M27</f>
        <v>3.7240539669257195</v>
      </c>
      <c r="N34" s="4">
        <f>$N$6*'Eurostat Collected Portables'!N27</f>
        <v>7.4245519236703368</v>
      </c>
      <c r="O34" s="4">
        <f>$O$6*'Eurostat Collected Portables'!O27</f>
        <v>14.067213769438929</v>
      </c>
      <c r="P34" s="4">
        <f>$P$6*'Eurostat Collected Portables'!P27</f>
        <v>34.806713342675017</v>
      </c>
      <c r="Q34" s="4">
        <f>$Q$6*'Eurostat Collected Portables'!Q27</f>
        <v>21.29961520108132</v>
      </c>
      <c r="R34" s="4">
        <f>$R$6*'Eurostat Collected Portables'!R27</f>
        <v>40.726617677733813</v>
      </c>
      <c r="S34" s="4">
        <f>$S$6*'Eurostat Collected Portables'!S27</f>
        <v>65.0535287717681</v>
      </c>
      <c r="T34" s="4">
        <f>$T$6*'Eurostat Collected Portables'!T27</f>
        <v>83.897697903578205</v>
      </c>
      <c r="U34" s="4">
        <f>$U$6*'Eurostat Collected Portables'!U27</f>
        <v>91.36974855536468</v>
      </c>
      <c r="V34" s="4">
        <f>$V$6*'Eurostat Collected Portables'!V27</f>
        <v>196.42648761757718</v>
      </c>
      <c r="W34" s="4">
        <f>$W$6*'Eurostat Collected Portables'!W27</f>
        <v>246.2375637182445</v>
      </c>
      <c r="X34" s="67">
        <f>X$6*'Eurostat Collected Portables'!X27</f>
        <v>262.18631764873408</v>
      </c>
      <c r="Y34" s="67">
        <f>Y$6*'Eurostat Collected Portables'!Y27</f>
        <v>311.37976077613479</v>
      </c>
      <c r="Z34" s="67">
        <f>Z$6*'Eurostat Collected Portables'!Z27</f>
        <v>340.64478487156413</v>
      </c>
      <c r="AA34" s="67">
        <f>AA$6*'Eurostat Collected Portables'!AA27</f>
        <v>373.32366296613048</v>
      </c>
      <c r="AB34" s="67">
        <f>AB$6*'Eurostat Collected Portables'!AB27</f>
        <v>408.20279455719731</v>
      </c>
      <c r="AC34" s="67">
        <f>AC$6*'Eurostat Collected Portables'!AC27</f>
        <v>445.91786334459641</v>
      </c>
      <c r="AD34" s="67">
        <f>AD$6*'Eurostat Collected Portables'!AD27</f>
        <v>487.66665714419031</v>
      </c>
      <c r="AE34" s="67">
        <f>AE$6*'Eurostat Collected Portables'!AE27</f>
        <v>536.42515635262862</v>
      </c>
      <c r="AF34" s="67">
        <f>AF$6*'Eurostat Collected Portables'!AF27</f>
        <v>592.55855128689666</v>
      </c>
      <c r="AG34" s="67">
        <f>AG$6*'Eurostat Collected Portables'!AG27</f>
        <v>652.18358729882721</v>
      </c>
      <c r="AH34" s="67">
        <f>AH$6*'Eurostat Collected Portables'!AH27</f>
        <v>714.48829093379538</v>
      </c>
      <c r="AI34" s="67">
        <f>AI$6*'Eurostat Collected Portables'!AI27</f>
        <v>779.14953319504582</v>
      </c>
      <c r="AJ34" s="67">
        <f>AJ$6*'Eurostat Collected Portables'!AJ27</f>
        <v>849.9975017224582</v>
      </c>
      <c r="AK34" s="67">
        <f>AK$6*'Eurostat Collected Portables'!AK27</f>
        <v>927.66443332931169</v>
      </c>
      <c r="AL34" s="67">
        <f>AL$6*'Eurostat Collected Portables'!AL27</f>
        <v>1012.8372494291492</v>
      </c>
      <c r="AM34" s="67">
        <f>AM$6*'Eurostat Collected Portables'!AM27</f>
        <v>1106.2745530609368</v>
      </c>
      <c r="AN34" s="67">
        <f>AN$6*'Eurostat Collected Portables'!AN27</f>
        <v>1208.8143059778913</v>
      </c>
      <c r="AO34" s="67">
        <f>AO$6*'Eurostat Collected Portables'!AO27</f>
        <v>1321.1169030396977</v>
      </c>
      <c r="AP34" s="67">
        <f>AP$6*'Eurostat Collected Portables'!AP27</f>
        <v>1442.1069366623451</v>
      </c>
      <c r="AQ34" s="67">
        <f>AQ$6*'Eurostat Collected Portables'!AQ27</f>
        <v>1561.3058770577516</v>
      </c>
      <c r="AR34" s="67">
        <f>AR$6*'Eurostat Collected Portables'!AR27</f>
        <v>1677.0811133537529</v>
      </c>
      <c r="AS34" s="67">
        <f>AS$6*'Eurostat Collected Portables'!AS27</f>
        <v>1789.6154890560058</v>
      </c>
      <c r="AT34" s="67">
        <f>AT$6*'Eurostat Collected Portables'!AT27</f>
        <v>1909.7066512539352</v>
      </c>
      <c r="AU34" s="67">
        <f>AU$6*'Eurostat Collected Portables'!AU27</f>
        <v>2037.929299062065</v>
      </c>
      <c r="AV34" s="67">
        <f>AV$6*'Eurostat Collected Portables'!AV27</f>
        <v>2174.3780380228145</v>
      </c>
      <c r="AW34" s="67">
        <f>AW$6*'Eurostat Collected Portables'!AW27</f>
        <v>2275.3752351228845</v>
      </c>
      <c r="AX34" s="67">
        <f>AX$6*'Eurostat Collected Portables'!AX27</f>
        <v>2380.6506555505339</v>
      </c>
      <c r="AY34" s="67">
        <f>AY$6*'Eurostat Collected Portables'!AY27</f>
        <v>2490.8716341059112</v>
      </c>
      <c r="AZ34" s="67">
        <f>AZ$6*'Eurostat Collected Portables'!AZ27</f>
        <v>2606.2735613858003</v>
      </c>
    </row>
    <row r="35" spans="1:52" x14ac:dyDescent="0.35">
      <c r="A35" s="1" t="s">
        <v>25</v>
      </c>
      <c r="B35" s="23">
        <f t="shared" ref="B35:C35" si="55">C35/1.34</f>
        <v>0.64953762459176745</v>
      </c>
      <c r="C35" s="23">
        <f t="shared" si="55"/>
        <v>0.87038041695296842</v>
      </c>
      <c r="D35" s="23">
        <f t="shared" ref="D35:E35" si="56">E35/1.5</f>
        <v>1.1663097587169777</v>
      </c>
      <c r="E35" s="23">
        <f t="shared" si="56"/>
        <v>1.7494646380754666</v>
      </c>
      <c r="F35" s="23">
        <f t="shared" si="2"/>
        <v>2.6241969571131998</v>
      </c>
      <c r="G35" s="23">
        <f t="shared" si="3"/>
        <v>3.2015202876781035</v>
      </c>
      <c r="H35" s="23">
        <f t="shared" si="4"/>
        <v>3.7777939394601621</v>
      </c>
      <c r="I35" s="23">
        <f t="shared" si="5"/>
        <v>4.4955747879575929</v>
      </c>
      <c r="J35" s="23">
        <f t="shared" si="6"/>
        <v>6.0690259637427513</v>
      </c>
      <c r="K35" s="23">
        <f t="shared" si="7"/>
        <v>4.4910792131696358</v>
      </c>
      <c r="L35" s="23">
        <f t="shared" si="8"/>
        <v>7.5450130781249873</v>
      </c>
      <c r="M35" s="4">
        <f>$M$6*'Eurostat Collected Portables'!M28</f>
        <v>9.8839671323437344</v>
      </c>
      <c r="N35" s="4">
        <f>$N$6*'Eurostat Collected Portables'!N28</f>
        <v>14.087611342348843</v>
      </c>
      <c r="O35" s="4">
        <f>$O$6*'Eurostat Collected Portables'!O28</f>
        <v>14.097336282863852</v>
      </c>
      <c r="P35" s="4">
        <f>$P$6*'Eurostat Collected Portables'!P28</f>
        <v>27.568346768203448</v>
      </c>
      <c r="Q35" s="4">
        <f>$Q$6*'Eurostat Collected Portables'!Q28</f>
        <v>20.289356772571534</v>
      </c>
      <c r="R35" s="4">
        <f>$R$6*'Eurostat Collected Portables'!R28</f>
        <v>25.414260117437028</v>
      </c>
      <c r="S35" s="4">
        <f>$S$6*'Eurostat Collected Portables'!S28</f>
        <v>51.044133449916124</v>
      </c>
      <c r="T35" s="4">
        <f>$T$6*'Eurostat Collected Portables'!T28</f>
        <v>44.291447010135769</v>
      </c>
      <c r="U35" s="4">
        <f>$U$6*'Eurostat Collected Portables'!U28</f>
        <v>43.280407210435904</v>
      </c>
      <c r="V35" s="4">
        <f>$V$6*'Eurostat Collected Portables'!V28</f>
        <v>86.570373605834689</v>
      </c>
      <c r="W35" s="4">
        <f>$W$6*'Eurostat Collected Portables'!W28</f>
        <v>73.709016563290007</v>
      </c>
      <c r="X35" s="67">
        <f>X$6*'Eurostat Collected Portables'!X28</f>
        <v>74.005780220348825</v>
      </c>
      <c r="Y35" s="67">
        <f>Y$6*'Eurostat Collected Portables'!Y28</f>
        <v>83.460261832814354</v>
      </c>
      <c r="Z35" s="67">
        <f>Z$6*'Eurostat Collected Portables'!Z28</f>
        <v>92.096863789792891</v>
      </c>
      <c r="AA35" s="67">
        <f>AA$6*'Eurostat Collected Portables'!AA28</f>
        <v>101.79989184779942</v>
      </c>
      <c r="AB35" s="67">
        <f>AB$6*'Eurostat Collected Portables'!AB28</f>
        <v>112.25923095344692</v>
      </c>
      <c r="AC35" s="67">
        <f>AC$6*'Eurostat Collected Portables'!AC28</f>
        <v>123.66632245437157</v>
      </c>
      <c r="AD35" s="67">
        <f>AD$6*'Eurostat Collected Portables'!AD28</f>
        <v>136.37567435113465</v>
      </c>
      <c r="AE35" s="67">
        <f>AE$6*'Eurostat Collected Portables'!AE28</f>
        <v>151.25426103018592</v>
      </c>
      <c r="AF35" s="67">
        <f>AF$6*'Eurostat Collected Portables'!AF28</f>
        <v>168.45437949107369</v>
      </c>
      <c r="AG35" s="67">
        <f>AG$6*'Eurostat Collected Portables'!AG28</f>
        <v>186.91403961917527</v>
      </c>
      <c r="AH35" s="67">
        <f>AH$6*'Eurostat Collected Portables'!AH28</f>
        <v>206.42257707392332</v>
      </c>
      <c r="AI35" s="67">
        <f>AI$6*'Eurostat Collected Portables'!AI28</f>
        <v>226.90414741999541</v>
      </c>
      <c r="AJ35" s="67">
        <f>AJ$6*'Eurostat Collected Portables'!AJ28</f>
        <v>249.49901322611285</v>
      </c>
      <c r="AK35" s="67">
        <f>AK$6*'Eurostat Collected Portables'!AK28</f>
        <v>274.43668867321344</v>
      </c>
      <c r="AL35" s="67">
        <f>AL$6*'Eurostat Collected Portables'!AL28</f>
        <v>301.96875617457039</v>
      </c>
      <c r="AM35" s="67">
        <f>AM$6*'Eurostat Collected Portables'!AM28</f>
        <v>332.37459178026802</v>
      </c>
      <c r="AN35" s="67">
        <f>AN$6*'Eurostat Collected Portables'!AN28</f>
        <v>365.96450230850314</v>
      </c>
      <c r="AO35" s="67">
        <f>AO$6*'Eurostat Collected Portables'!AO28</f>
        <v>403.00225038333411</v>
      </c>
      <c r="AP35" s="67">
        <f>AP$6*'Eurostat Collected Portables'!AP28</f>
        <v>443.22408376006172</v>
      </c>
      <c r="AQ35" s="67">
        <f>AQ$6*'Eurostat Collected Portables'!AQ28</f>
        <v>483.44467484346023</v>
      </c>
      <c r="AR35" s="67">
        <f>AR$6*'Eurostat Collected Portables'!AR28</f>
        <v>523.14178604677477</v>
      </c>
      <c r="AS35" s="67">
        <f>AS$6*'Eurostat Collected Portables'!AS28</f>
        <v>562.34869411095747</v>
      </c>
      <c r="AT35" s="67">
        <f>AT$6*'Eurostat Collected Portables'!AT28</f>
        <v>604.46018530150548</v>
      </c>
      <c r="AU35" s="67">
        <f>AU$6*'Eurostat Collected Portables'!AU28</f>
        <v>649.7107896659337</v>
      </c>
      <c r="AV35" s="67">
        <f>AV$6*'Eurostat Collected Portables'!AV28</f>
        <v>698.18606072046805</v>
      </c>
      <c r="AW35" s="67">
        <f>AW$6*'Eurostat Collected Portables'!AW28</f>
        <v>735.81714464453455</v>
      </c>
      <c r="AX35" s="67">
        <f>AX$6*'Eurostat Collected Portables'!AX28</f>
        <v>775.29907109699536</v>
      </c>
      <c r="AY35" s="67">
        <f>AY$6*'Eurostat Collected Portables'!AY28</f>
        <v>816.87945934734546</v>
      </c>
      <c r="AZ35" s="67">
        <f>AZ$6*'Eurostat Collected Portables'!AZ28</f>
        <v>860.66933144395762</v>
      </c>
    </row>
    <row r="36" spans="1:52" x14ac:dyDescent="0.35">
      <c r="A36" s="1" t="s">
        <v>26</v>
      </c>
      <c r="B36" s="23">
        <f t="shared" ref="B36:C36" si="57">C36/1.34</f>
        <v>0.39557149175375406</v>
      </c>
      <c r="C36" s="23">
        <f t="shared" si="57"/>
        <v>0.53006579895003048</v>
      </c>
      <c r="D36" s="23">
        <f t="shared" ref="D36:E36" si="58">E36/1.5</f>
        <v>0.71028817059304084</v>
      </c>
      <c r="E36" s="23">
        <f t="shared" si="58"/>
        <v>1.0654322558895613</v>
      </c>
      <c r="F36" s="23">
        <f t="shared" si="2"/>
        <v>1.598148383834342</v>
      </c>
      <c r="G36" s="23">
        <f t="shared" si="3"/>
        <v>1.9497410282778973</v>
      </c>
      <c r="H36" s="23">
        <f t="shared" si="4"/>
        <v>2.3006944133679186</v>
      </c>
      <c r="I36" s="23">
        <f t="shared" si="5"/>
        <v>2.737826351907823</v>
      </c>
      <c r="J36" s="23">
        <f t="shared" si="6"/>
        <v>3.6960655750755613</v>
      </c>
      <c r="K36" s="23">
        <f t="shared" si="7"/>
        <v>2.7350885255559154</v>
      </c>
      <c r="L36" s="23">
        <f t="shared" si="8"/>
        <v>4.5949487229339381</v>
      </c>
      <c r="M36" s="4">
        <f>$M$6*'Eurostat Collected Portables'!M29</f>
        <v>6.0193828270434588</v>
      </c>
      <c r="N36" s="4">
        <f>$N$6*'Eurostat Collected Portables'!N29</f>
        <v>6.4964829332115448</v>
      </c>
      <c r="O36" s="4">
        <f>$O$6*'Eurostat Collected Portables'!O29</f>
        <v>6.8679330608823896</v>
      </c>
      <c r="P36" s="4">
        <f>$P$6*'Eurostat Collected Portables'!P29</f>
        <v>9.3830677817224064</v>
      </c>
      <c r="Q36" s="4">
        <f>$Q$6*'Eurostat Collected Portables'!Q29</f>
        <v>10.397242993413213</v>
      </c>
      <c r="R36" s="4">
        <f>$R$6*'Eurostat Collected Portables'!R29</f>
        <v>14.248999396387289</v>
      </c>
      <c r="S36" s="4">
        <f>$S$6*'Eurostat Collected Portables'!S29</f>
        <v>12.52985522185441</v>
      </c>
      <c r="T36" s="4">
        <f>$T$6*'Eurostat Collected Portables'!T29</f>
        <v>17.433287876068199</v>
      </c>
      <c r="U36" s="4">
        <f>$U$6*'Eurostat Collected Portables'!U29</f>
        <v>14.912553326154683</v>
      </c>
      <c r="V36" s="4">
        <f>$V$6*'Eurostat Collected Portables'!V29</f>
        <v>32.205681287203141</v>
      </c>
      <c r="W36" s="4">
        <f>$W$6*'Eurostat Collected Portables'!W29</f>
        <v>26.733039550207906</v>
      </c>
      <c r="X36" s="67">
        <f>X$6*'Eurostat Collected Portables'!X29</f>
        <v>25.372895314256549</v>
      </c>
      <c r="Y36" s="67">
        <f>Y$6*'Eurostat Collected Portables'!Y29</f>
        <v>28.418421818750137</v>
      </c>
      <c r="Z36" s="67">
        <f>Z$6*'Eurostat Collected Portables'!Z29</f>
        <v>31.56509375581167</v>
      </c>
      <c r="AA36" s="67">
        <f>AA$6*'Eurostat Collected Portables'!AA29</f>
        <v>35.114214505059522</v>
      </c>
      <c r="AB36" s="67">
        <f>AB$6*'Eurostat Collected Portables'!AB29</f>
        <v>38.964129984219177</v>
      </c>
      <c r="AC36" s="67">
        <f>AC$6*'Eurostat Collected Portables'!AC29</f>
        <v>43.185496255964246</v>
      </c>
      <c r="AD36" s="67">
        <f>AD$6*'Eurostat Collected Portables'!AD29</f>
        <v>47.907716066212963</v>
      </c>
      <c r="AE36" s="67">
        <f>AE$6*'Eurostat Collected Portables'!AE29</f>
        <v>53.444001055758982</v>
      </c>
      <c r="AF36" s="67">
        <f>AF$6*'Eurostat Collected Portables'!AF29</f>
        <v>59.860343555898481</v>
      </c>
      <c r="AG36" s="67">
        <f>AG$6*'Eurostat Collected Portables'!AG29</f>
        <v>66.789640055006188</v>
      </c>
      <c r="AH36" s="67">
        <f>AH$6*'Eurostat Collected Portables'!AH29</f>
        <v>74.161969893926056</v>
      </c>
      <c r="AI36" s="67">
        <f>AI$6*'Eurostat Collected Portables'!AI29</f>
        <v>81.95430424473038</v>
      </c>
      <c r="AJ36" s="67">
        <f>AJ$6*'Eurostat Collected Portables'!AJ29</f>
        <v>90.584425955681994</v>
      </c>
      <c r="AK36" s="67">
        <f>AK$6*'Eurostat Collected Portables'!AK29</f>
        <v>100.14608500577221</v>
      </c>
      <c r="AL36" s="67">
        <f>AL$6*'Eurostat Collected Portables'!AL29</f>
        <v>110.74247076585331</v>
      </c>
      <c r="AM36" s="67">
        <f>AM$6*'Eurostat Collected Portables'!AM29</f>
        <v>122.48846534280585</v>
      </c>
      <c r="AN36" s="67">
        <f>AN$6*'Eurostat Collected Portables'!AN29</f>
        <v>135.51199217524848</v>
      </c>
      <c r="AO36" s="67">
        <f>AO$6*'Eurostat Collected Portables'!AO29</f>
        <v>149.92539897052063</v>
      </c>
      <c r="AP36" s="67">
        <f>AP$6*'Eurostat Collected Portables'!AP29</f>
        <v>165.64523995237627</v>
      </c>
      <c r="AQ36" s="67">
        <f>AQ$6*'Eurostat Collected Portables'!AQ29</f>
        <v>181.48904198849914</v>
      </c>
      <c r="AR36" s="67">
        <f>AR$6*'Eurostat Collected Portables'!AR29</f>
        <v>197.25699455903344</v>
      </c>
      <c r="AS36" s="67">
        <f>AS$6*'Eurostat Collected Portables'!AS29</f>
        <v>212.95634197109783</v>
      </c>
      <c r="AT36" s="67">
        <f>AT$6*'Eurostat Collected Portables'!AT29</f>
        <v>229.87306992216122</v>
      </c>
      <c r="AU36" s="67">
        <f>AU$6*'Eurostat Collected Portables'!AU29</f>
        <v>248.10794538125177</v>
      </c>
      <c r="AV36" s="67">
        <f>AV$6*'Eurostat Collected Portables'!AV29</f>
        <v>267.70573641955207</v>
      </c>
      <c r="AW36" s="67">
        <f>AW$6*'Eurostat Collected Portables'!AW29</f>
        <v>283.26245449707682</v>
      </c>
      <c r="AX36" s="67">
        <f>AX$6*'Eurostat Collected Portables'!AX29</f>
        <v>299.63229924205382</v>
      </c>
      <c r="AY36" s="67">
        <f>AY$6*'Eurostat Collected Portables'!AY29</f>
        <v>316.91744481360899</v>
      </c>
      <c r="AZ36" s="67">
        <f>AZ$6*'Eurostat Collected Portables'!AZ29</f>
        <v>335.16814493236058</v>
      </c>
    </row>
    <row r="37" spans="1:52" x14ac:dyDescent="0.35">
      <c r="A37" s="1" t="s">
        <v>27</v>
      </c>
      <c r="B37" s="23">
        <f t="shared" ref="B37:C37" si="59">C37/1.34</f>
        <v>5.5810981677008265</v>
      </c>
      <c r="C37" s="23">
        <f t="shared" si="59"/>
        <v>7.4786715447191074</v>
      </c>
      <c r="D37" s="23">
        <f t="shared" ref="D37:E37" si="60">E37/1.5</f>
        <v>10.021419869923605</v>
      </c>
      <c r="E37" s="23">
        <f t="shared" si="60"/>
        <v>15.032129804885408</v>
      </c>
      <c r="F37" s="23">
        <f t="shared" si="2"/>
        <v>22.548194707328111</v>
      </c>
      <c r="G37" s="23">
        <f t="shared" si="3"/>
        <v>27.508797542940293</v>
      </c>
      <c r="H37" s="23">
        <f t="shared" si="4"/>
        <v>32.460381100669544</v>
      </c>
      <c r="I37" s="23">
        <f t="shared" si="5"/>
        <v>38.627853509796758</v>
      </c>
      <c r="J37" s="23">
        <f t="shared" si="6"/>
        <v>52.147602238225623</v>
      </c>
      <c r="K37" s="23">
        <f t="shared" si="7"/>
        <v>38.589225656286963</v>
      </c>
      <c r="L37" s="23">
        <f t="shared" si="8"/>
        <v>64.829899102562095</v>
      </c>
      <c r="M37" s="4">
        <f>$M$6*'Eurostat Collected Portables'!M30</f>
        <v>84.927167824356346</v>
      </c>
      <c r="N37" s="4">
        <f>$N$6*'Eurostat Collected Portables'!N30</f>
        <v>94.258494133519889</v>
      </c>
      <c r="O37" s="4">
        <f>$O$6*'Eurostat Collected Portables'!O30</f>
        <v>111.36293213193944</v>
      </c>
      <c r="P37" s="4">
        <f>$P$6*'Eurostat Collected Portables'!P30</f>
        <v>173.18462248550497</v>
      </c>
      <c r="Q37" s="4">
        <f>$Q$6*'Eurostat Collected Portables'!Q30</f>
        <v>198.26321659504549</v>
      </c>
      <c r="R37" s="4">
        <f>$R$6*'Eurostat Collected Portables'!R30</f>
        <v>239.84043386978752</v>
      </c>
      <c r="S37" s="4">
        <f>$S$6*'Eurostat Collected Portables'!S30</f>
        <v>215.9203833433952</v>
      </c>
      <c r="T37" s="4">
        <f>$T$6*'Eurostat Collected Portables'!T30</f>
        <v>250.16768102157866</v>
      </c>
      <c r="U37" s="4">
        <f>$U$6*'Eurostat Collected Portables'!U30</f>
        <v>278.8210296160517</v>
      </c>
      <c r="V37" s="4">
        <f>$V$6*'Eurostat Collected Portables'!V30</f>
        <v>514.72753590801051</v>
      </c>
      <c r="W37" s="4">
        <f>$W$6*'Eurostat Collected Portables'!W30</f>
        <v>577.38729641243833</v>
      </c>
      <c r="X37" s="67">
        <f>X$6*'Eurostat Collected Portables'!X30</f>
        <v>563.28912890848869</v>
      </c>
      <c r="Y37" s="67">
        <f>Y$6*'Eurostat Collected Portables'!Y30</f>
        <v>625.02135151198581</v>
      </c>
      <c r="Z37" s="67">
        <f>Z$6*'Eurostat Collected Portables'!Z30</f>
        <v>684.80449490185345</v>
      </c>
      <c r="AA37" s="67">
        <f>AA$6*'Eurostat Collected Portables'!AA30</f>
        <v>751.96928728930015</v>
      </c>
      <c r="AB37" s="67">
        <f>AB$6*'Eurostat Collected Portables'!AB30</f>
        <v>827.94090109886747</v>
      </c>
      <c r="AC37" s="67">
        <f>AC$6*'Eurostat Collected Portables'!AC30</f>
        <v>913.71004868605826</v>
      </c>
      <c r="AD37" s="67">
        <f>AD$6*'Eurostat Collected Portables'!AD30</f>
        <v>1010.169279189888</v>
      </c>
      <c r="AE37" s="67">
        <f>AE$6*'Eurostat Collected Portables'!AE30</f>
        <v>1119.5326337611343</v>
      </c>
      <c r="AF37" s="67">
        <f>AF$6*'Eurostat Collected Portables'!AF30</f>
        <v>1243.1611228232671</v>
      </c>
      <c r="AG37" s="67">
        <f>AG$6*'Eurostat Collected Portables'!AG30</f>
        <v>1374.4633252467258</v>
      </c>
      <c r="AH37" s="67">
        <f>AH$6*'Eurostat Collected Portables'!AH30</f>
        <v>1512.5863774935162</v>
      </c>
      <c r="AI37" s="67">
        <f>AI$6*'Eurostat Collected Portables'!AI30</f>
        <v>1656.8806603617454</v>
      </c>
      <c r="AJ37" s="67">
        <f>AJ$6*'Eurostat Collected Portables'!AJ30</f>
        <v>1815.5744607194267</v>
      </c>
      <c r="AK37" s="67">
        <f>AK$6*'Eurostat Collected Portables'!AK30</f>
        <v>1990.2249449288331</v>
      </c>
      <c r="AL37" s="67">
        <f>AL$6*'Eurostat Collected Portables'!AL30</f>
        <v>2182.5025111849045</v>
      </c>
      <c r="AM37" s="67">
        <f>AM$6*'Eurostat Collected Portables'!AM30</f>
        <v>2394.2580802053603</v>
      </c>
      <c r="AN37" s="67">
        <f>AN$6*'Eurostat Collected Portables'!AN30</f>
        <v>2627.5430754304734</v>
      </c>
      <c r="AO37" s="67">
        <f>AO$6*'Eurostat Collected Portables'!AO30</f>
        <v>2884.1499053909915</v>
      </c>
      <c r="AP37" s="67">
        <f>AP$6*'Eurostat Collected Portables'!AP30</f>
        <v>3162.0085661483436</v>
      </c>
      <c r="AQ37" s="67">
        <f>AQ$6*'Eurostat Collected Portables'!AQ30</f>
        <v>3438.3630619800633</v>
      </c>
      <c r="AR37" s="67">
        <f>AR$6*'Eurostat Collected Portables'!AR30</f>
        <v>3709.307729469987</v>
      </c>
      <c r="AS37" s="67">
        <f>AS$6*'Eurostat Collected Portables'!AS30</f>
        <v>3975.1397613119125</v>
      </c>
      <c r="AT37" s="67">
        <f>AT$6*'Eurostat Collected Portables'!AT30</f>
        <v>4259.7632488093568</v>
      </c>
      <c r="AU37" s="67">
        <f>AU$6*'Eurostat Collected Portables'!AU30</f>
        <v>4564.8355533311533</v>
      </c>
      <c r="AV37" s="67">
        <f>AV$6*'Eurostat Collected Portables'!AV30</f>
        <v>4890.9704044370983</v>
      </c>
      <c r="AW37" s="67">
        <f>AW$6*'Eurostat Collected Portables'!AW30</f>
        <v>5139.7700763513476</v>
      </c>
      <c r="AX37" s="67">
        <f>AX$6*'Eurostat Collected Portables'!AX30</f>
        <v>5400.3728736477897</v>
      </c>
      <c r="AY37" s="67">
        <f>AY$6*'Eurostat Collected Portables'!AY30</f>
        <v>5674.2529952041241</v>
      </c>
      <c r="AZ37" s="67">
        <f>AZ$6*'Eurostat Collected Portables'!AZ30</f>
        <v>5962.0904818198687</v>
      </c>
    </row>
    <row r="38" spans="1:52" x14ac:dyDescent="0.35">
      <c r="A38" s="1" t="s">
        <v>28</v>
      </c>
      <c r="B38" s="23">
        <f t="shared" ref="B38:C38" si="61">C38/1.34</f>
        <v>5.8033231422284199</v>
      </c>
      <c r="C38" s="23">
        <f t="shared" si="61"/>
        <v>7.7764530105860832</v>
      </c>
      <c r="D38" s="23">
        <f t="shared" ref="D38:E38" si="62">E38/1.5</f>
        <v>10.420447034185353</v>
      </c>
      <c r="E38" s="23">
        <f t="shared" si="62"/>
        <v>15.63067055127803</v>
      </c>
      <c r="F38" s="23">
        <f t="shared" si="2"/>
        <v>23.446005826917045</v>
      </c>
      <c r="G38" s="23">
        <f t="shared" si="3"/>
        <v>28.604127108838792</v>
      </c>
      <c r="H38" s="23">
        <f t="shared" si="4"/>
        <v>33.752869988429772</v>
      </c>
      <c r="I38" s="23">
        <f t="shared" si="5"/>
        <v>40.165915286231424</v>
      </c>
      <c r="J38" s="23">
        <f t="shared" si="6"/>
        <v>54.223985636412422</v>
      </c>
      <c r="K38" s="23">
        <f t="shared" si="7"/>
        <v>40.125749370945194</v>
      </c>
      <c r="L38" s="23">
        <f t="shared" si="8"/>
        <v>67.411258943187917</v>
      </c>
      <c r="M38" s="4">
        <f>M5*'Eurostat Collected Portables'!M31</f>
        <v>88.308749215576171</v>
      </c>
      <c r="N38" s="4">
        <f>N5*'Eurostat Collected Portables'!N31</f>
        <v>169.4552463962454</v>
      </c>
      <c r="O38" s="4">
        <f>O5*'Eurostat Collected Portables'!O31</f>
        <v>171.39526532416232</v>
      </c>
      <c r="P38" s="4">
        <f>P5*'Eurostat Collected Portables'!P31</f>
        <v>367.27604058811346</v>
      </c>
      <c r="Q38" s="4">
        <f>Q5*'Eurostat Collected Portables'!Q31</f>
        <v>180.4</v>
      </c>
      <c r="R38" s="4">
        <f>R5*'Eurostat Collected Portables'!R31</f>
        <v>184.43775593775595</v>
      </c>
      <c r="S38" s="4">
        <f>S5*'Eurostat Collected Portables'!S31</f>
        <v>206.11779434195762</v>
      </c>
      <c r="T38" s="4">
        <f>T5*'Eurostat Collected Portables'!T31</f>
        <v>190.19404154005201</v>
      </c>
      <c r="U38" s="4">
        <f>$U$6*'Eurostat Collected Portables'!U31</f>
        <v>179.53354102106744</v>
      </c>
      <c r="V38" s="4">
        <f>$V$6*'Eurostat Collected Portables'!V31</f>
        <v>322.71407167381108</v>
      </c>
      <c r="W38" s="4">
        <f>$W$6*'Eurostat Collected Portables'!W31</f>
        <v>287.57333296495324</v>
      </c>
      <c r="X38" s="67">
        <f>X$6*'Eurostat Collected Portables'!X31</f>
        <v>285.49201830802394</v>
      </c>
      <c r="Y38" s="67">
        <f>Y$6*'Eurostat Collected Portables'!Y31</f>
        <v>330.3789177008951</v>
      </c>
      <c r="Z38" s="67">
        <f>Z$6*'Eurostat Collected Portables'!Z31</f>
        <v>369.23839281742499</v>
      </c>
      <c r="AA38" s="67">
        <f>AA$6*'Eurostat Collected Portables'!AA31</f>
        <v>410.36409382287297</v>
      </c>
      <c r="AB38" s="67">
        <f>AB$6*'Eurostat Collected Portables'!AB31</f>
        <v>454.57216037242364</v>
      </c>
      <c r="AC38" s="67">
        <f>AC$6*'Eurostat Collected Portables'!AC31</f>
        <v>502.77552718785216</v>
      </c>
      <c r="AD38" s="67">
        <f>AD$6*'Eurostat Collected Portables'!AD31</f>
        <v>556.73012441132016</v>
      </c>
      <c r="AE38" s="67">
        <f>AE$6*'Eurostat Collected Portables'!AE31</f>
        <v>620.77410300929409</v>
      </c>
      <c r="AF38" s="67">
        <f>AF$6*'Eurostat Collected Portables'!AF31</f>
        <v>695.63721695346271</v>
      </c>
      <c r="AG38" s="67">
        <f>AG$6*'Eurostat Collected Portables'!AG31</f>
        <v>775.95742262655108</v>
      </c>
      <c r="AH38" s="67">
        <f>AH$6*'Eurostat Collected Portables'!AH31</f>
        <v>860.6258536910932</v>
      </c>
      <c r="AI38" s="67">
        <f>AI$6*'Eurostat Collected Portables'!AI31</f>
        <v>949.16134621296555</v>
      </c>
      <c r="AJ38" s="67">
        <f>AJ$6*'Eurostat Collected Portables'!AJ31</f>
        <v>1047.1670983823144</v>
      </c>
      <c r="AK38" s="67">
        <f>AK$6*'Eurostat Collected Portables'!AK31</f>
        <v>1155.6885330778057</v>
      </c>
      <c r="AL38" s="67">
        <f>AL$6*'Eurostat Collected Portables'!AL31</f>
        <v>1275.8884363247237</v>
      </c>
      <c r="AM38" s="67">
        <f>AM$6*'Eurostat Collected Portables'!AM31</f>
        <v>1409.0610920119477</v>
      </c>
      <c r="AN38" s="67">
        <f>AN$6*'Eurostat Collected Portables'!AN31</f>
        <v>1556.6473909245485</v>
      </c>
      <c r="AO38" s="67">
        <f>AO$6*'Eurostat Collected Portables'!AO31</f>
        <v>1719.9360838142172</v>
      </c>
      <c r="AP38" s="67">
        <f>AP$6*'Eurostat Collected Portables'!AP31</f>
        <v>1898.4812147728967</v>
      </c>
      <c r="AQ38" s="67">
        <f>AQ$6*'Eurostat Collected Portables'!AQ31</f>
        <v>2076.4633740680629</v>
      </c>
      <c r="AR38" s="67">
        <f>AR$6*'Eurostat Collected Portables'!AR31</f>
        <v>2251.3525543398878</v>
      </c>
      <c r="AS38" s="67">
        <f>AS$6*'Eurostat Collected Portables'!AS31</f>
        <v>2422.2705552272214</v>
      </c>
      <c r="AT38" s="67">
        <f>AT$6*'Eurostat Collected Portables'!AT31</f>
        <v>2606.0838881327722</v>
      </c>
      <c r="AU38" s="67">
        <f>AU$6*'Eurostat Collected Portables'!AU31</f>
        <v>2803.7659489128828</v>
      </c>
      <c r="AV38" s="67">
        <f>AV$6*'Eurostat Collected Portables'!AV31</f>
        <v>3015.7817273793821</v>
      </c>
      <c r="AW38" s="67">
        <f>AW$6*'Eurostat Collected Portables'!AW31</f>
        <v>3181.352960247702</v>
      </c>
      <c r="AX38" s="67">
        <f>AX$6*'Eurostat Collected Portables'!AX31</f>
        <v>3355.2950183183411</v>
      </c>
      <c r="AY38" s="67">
        <f>AY$6*'Eurostat Collected Portables'!AY31</f>
        <v>3538.6427961807512</v>
      </c>
      <c r="AZ38" s="67">
        <f>AZ$6*'Eurostat Collected Portables'!AZ31</f>
        <v>3731.9016148336636</v>
      </c>
    </row>
    <row r="39" spans="1:52" x14ac:dyDescent="0.35">
      <c r="A39" s="1" t="s">
        <v>29</v>
      </c>
      <c r="B39" s="23">
        <f t="shared" ref="B39:C39" si="63">C39/1.34</f>
        <v>3.6540339354996583</v>
      </c>
      <c r="C39" s="23">
        <f t="shared" si="63"/>
        <v>4.8964054735695424</v>
      </c>
      <c r="D39" s="23">
        <f t="shared" ref="D39:E39" si="64">E39/1.5</f>
        <v>6.5611833345831876</v>
      </c>
      <c r="E39" s="23">
        <f t="shared" si="64"/>
        <v>9.8417750018747814</v>
      </c>
      <c r="F39" s="23">
        <f t="shared" si="2"/>
        <v>14.762662502812171</v>
      </c>
      <c r="G39" s="23">
        <f t="shared" si="3"/>
        <v>18.010448253430848</v>
      </c>
      <c r="H39" s="23">
        <f t="shared" si="4"/>
        <v>21.2523289390484</v>
      </c>
      <c r="I39" s="23">
        <f t="shared" si="5"/>
        <v>25.290271437467595</v>
      </c>
      <c r="J39" s="23">
        <f t="shared" si="6"/>
        <v>34.141866440581254</v>
      </c>
      <c r="K39" s="23">
        <f t="shared" si="7"/>
        <v>25.264981166030129</v>
      </c>
      <c r="L39" s="23">
        <f t="shared" si="8"/>
        <v>42.445168358930616</v>
      </c>
      <c r="M39" s="4">
        <f>$M$6*'Eurostat Collected Portables'!M32</f>
        <v>55.60317055019911</v>
      </c>
      <c r="N39" s="4">
        <f>$N$6*'Eurostat Collected Portables'!N32</f>
        <v>61.204960088718288</v>
      </c>
      <c r="O39" s="4">
        <f>$O$6*'Eurostat Collected Portables'!O32</f>
        <v>76.059346397929971</v>
      </c>
      <c r="P39" s="4">
        <f>$P$6*'Eurostat Collected Portables'!P32</f>
        <v>122.15860626299551</v>
      </c>
      <c r="Q39" s="4">
        <f>$Q$6*'Eurostat Collected Portables'!Q32</f>
        <v>114.66433163586071</v>
      </c>
      <c r="R39" s="4">
        <f>$R$6*'Eurostat Collected Portables'!R32</f>
        <v>149.08281458011177</v>
      </c>
      <c r="S39" s="4">
        <f>$S$6*'Eurostat Collected Portables'!S32</f>
        <v>128.48881055916385</v>
      </c>
      <c r="T39" s="4">
        <f>$T$6*'Eurostat Collected Portables'!T32</f>
        <v>156.08240551542309</v>
      </c>
      <c r="U39" s="4">
        <f>$U$6*'Eurostat Collected Portables'!U32</f>
        <v>151.11711204451862</v>
      </c>
      <c r="V39" s="4">
        <f>$V$6*'Eurostat Collected Portables'!V32</f>
        <v>298.11381366434392</v>
      </c>
      <c r="W39" s="4">
        <f>$W$6*'Eurostat Collected Portables'!W32</f>
        <v>252.7276658055782</v>
      </c>
      <c r="X39" s="67">
        <f>X$6*'Eurostat Collected Portables'!X32</f>
        <v>255.15691904448983</v>
      </c>
      <c r="Y39" s="67">
        <f>Y$6*'Eurostat Collected Portables'!Y32</f>
        <v>287.96715555815308</v>
      </c>
      <c r="Z39" s="67">
        <f>Z$6*'Eurostat Collected Portables'!Z32</f>
        <v>315.50977187020231</v>
      </c>
      <c r="AA39" s="67">
        <f>AA$6*'Eurostat Collected Portables'!AA32</f>
        <v>346.30086602796905</v>
      </c>
      <c r="AB39" s="67">
        <f>AB$6*'Eurostat Collected Portables'!AB32</f>
        <v>379.22723775941012</v>
      </c>
      <c r="AC39" s="67">
        <f>AC$6*'Eurostat Collected Portables'!AC32</f>
        <v>414.88947347822261</v>
      </c>
      <c r="AD39" s="67">
        <f>AD$6*'Eurostat Collected Portables'!AD32</f>
        <v>454.41548015023551</v>
      </c>
      <c r="AE39" s="67">
        <f>AE$6*'Eurostat Collected Portables'!AE32</f>
        <v>500.59927758255327</v>
      </c>
      <c r="AF39" s="67">
        <f>AF$6*'Eurostat Collected Portables'!AF32</f>
        <v>553.81141538738734</v>
      </c>
      <c r="AG39" s="67">
        <f>AG$6*'Eurostat Collected Portables'!AG32</f>
        <v>610.44786614064856</v>
      </c>
      <c r="AH39" s="67">
        <f>AH$6*'Eurostat Collected Portables'!AH32</f>
        <v>669.76191344567133</v>
      </c>
      <c r="AI39" s="67">
        <f>AI$6*'Eurostat Collected Portables'!AI32</f>
        <v>731.46121691612996</v>
      </c>
      <c r="AJ39" s="67">
        <f>AJ$6*'Eurostat Collected Portables'!AJ32</f>
        <v>799.15651324262694</v>
      </c>
      <c r="AK39" s="67">
        <f>AK$6*'Eurostat Collected Portables'!AK32</f>
        <v>873.46872076522732</v>
      </c>
      <c r="AL39" s="67">
        <f>AL$6*'Eurostat Collected Portables'!AL32</f>
        <v>955.07380035803988</v>
      </c>
      <c r="AM39" s="67">
        <f>AM$6*'Eurostat Collected Portables'!AM32</f>
        <v>1044.7191798753299</v>
      </c>
      <c r="AN39" s="67">
        <f>AN$6*'Eurostat Collected Portables'!AN32</f>
        <v>1143.2315050149759</v>
      </c>
      <c r="AO39" s="67">
        <f>AO$6*'Eurostat Collected Portables'!AO32</f>
        <v>1251.273838915203</v>
      </c>
      <c r="AP39" s="67">
        <f>AP$6*'Eurostat Collected Portables'!AP32</f>
        <v>1367.8664060584745</v>
      </c>
      <c r="AQ39" s="67">
        <f>AQ$6*'Eurostat Collected Portables'!AQ32</f>
        <v>1483.0913439102624</v>
      </c>
      <c r="AR39" s="67">
        <f>AR$6*'Eurostat Collected Portables'!AR32</f>
        <v>1595.387747706666</v>
      </c>
      <c r="AS39" s="67">
        <f>AS$6*'Eurostat Collected Portables'!AS32</f>
        <v>1704.9152250281786</v>
      </c>
      <c r="AT39" s="67">
        <f>AT$6*'Eurostat Collected Portables'!AT32</f>
        <v>1821.9615024768996</v>
      </c>
      <c r="AU39" s="67">
        <f>AU$6*'Eurostat Collected Portables'!AU32</f>
        <v>1947.1066134274968</v>
      </c>
      <c r="AV39" s="67">
        <f>AV$6*'Eurostat Collected Portables'!AV32</f>
        <v>2080.4743553944795</v>
      </c>
      <c r="AW39" s="67">
        <f>AW$6*'Eurostat Collected Portables'!AW32</f>
        <v>2180.2467794370114</v>
      </c>
      <c r="AX39" s="67">
        <f>AX$6*'Eurostat Collected Portables'!AX32</f>
        <v>2284.4004243681261</v>
      </c>
      <c r="AY39" s="67">
        <f>AY$6*'Eurostat Collected Portables'!AY32</f>
        <v>2393.593913213188</v>
      </c>
      <c r="AZ39" s="67">
        <f>AZ$6*'Eurostat Collected Portables'!AZ32</f>
        <v>2508.0738447144399</v>
      </c>
    </row>
    <row r="40" spans="1:52" x14ac:dyDescent="0.35">
      <c r="A40" s="1" t="s">
        <v>30</v>
      </c>
      <c r="B40" s="23">
        <f t="shared" ref="B40:C40" si="65">C40/1.34</f>
        <v>12.282725697256643</v>
      </c>
      <c r="C40" s="23">
        <f t="shared" si="65"/>
        <v>16.458852434323902</v>
      </c>
      <c r="D40" s="23">
        <f t="shared" ref="D40:E40" si="66">E40/1.5</f>
        <v>22.054862261994032</v>
      </c>
      <c r="E40" s="23">
        <f t="shared" si="66"/>
        <v>33.082293392991048</v>
      </c>
      <c r="F40" s="23">
        <f t="shared" si="2"/>
        <v>49.623440089486571</v>
      </c>
      <c r="G40" s="23">
        <f t="shared" si="3"/>
        <v>60.540596909173615</v>
      </c>
      <c r="H40" s="23">
        <f t="shared" si="4"/>
        <v>71.437904352824859</v>
      </c>
      <c r="I40" s="23">
        <f t="shared" si="5"/>
        <v>85.011106179861585</v>
      </c>
      <c r="J40" s="23">
        <f t="shared" si="6"/>
        <v>114.76499334281316</v>
      </c>
      <c r="K40" s="23">
        <f t="shared" si="7"/>
        <v>84.926095073681736</v>
      </c>
      <c r="L40" s="23">
        <f t="shared" si="8"/>
        <v>142.67583972378532</v>
      </c>
      <c r="M40" s="4">
        <f>$M$6*'Eurostat Collected Portables'!M33</f>
        <v>186.90535003815876</v>
      </c>
      <c r="N40" s="4">
        <f>$N$6*'Eurostat Collected Portables'!N33</f>
        <v>259.57375763908988</v>
      </c>
      <c r="O40" s="4">
        <f>$O$6*'Eurostat Collected Portables'!O33</f>
        <v>367.10307110953369</v>
      </c>
      <c r="P40" s="4">
        <f>$P$6*'Eurostat Collected Portables'!P33</f>
        <v>588.31834991399478</v>
      </c>
      <c r="Q40" s="4">
        <f>$Q$6*'Eurostat Collected Portables'!Q33</f>
        <v>641.4299139013383</v>
      </c>
      <c r="R40" s="4">
        <f>$R$6*'Eurostat Collected Portables'!R33</f>
        <v>916.24256193261988</v>
      </c>
      <c r="S40" s="4">
        <f>$S$6*'Eurostat Collected Portables'!S33</f>
        <v>805.74829133305093</v>
      </c>
      <c r="T40" s="4">
        <f>$T$6*'Eurostat Collected Portables'!T33</f>
        <v>970.34328618588484</v>
      </c>
      <c r="U40" s="4">
        <f>$U$6*'Eurostat Collected Portables'!U33</f>
        <v>858.59433806110633</v>
      </c>
      <c r="V40" s="4">
        <f>$V$6*'Eurostat Collected Portables'!V33</f>
        <v>1664.5758948459059</v>
      </c>
      <c r="W40" s="4">
        <f>$W$6*'Eurostat Collected Portables'!W33</f>
        <v>1413.3153812595838</v>
      </c>
      <c r="X40" s="67">
        <f>X$6*'Eurostat Collected Portables'!X33</f>
        <v>1370.4207882776475</v>
      </c>
      <c r="Y40" s="67">
        <f>Y$6*'Eurostat Collected Portables'!Y33</f>
        <v>1530.7912598431624</v>
      </c>
      <c r="Z40" s="67">
        <f>Z$6*'Eurostat Collected Portables'!Z33</f>
        <v>1692.6079231647168</v>
      </c>
      <c r="AA40" s="67">
        <f>AA$6*'Eurostat Collected Portables'!AA33</f>
        <v>1874.6354750444123</v>
      </c>
      <c r="AB40" s="67">
        <f>AB$6*'Eurostat Collected Portables'!AB33</f>
        <v>2071.2511523113194</v>
      </c>
      <c r="AC40" s="67">
        <f>AC$6*'Eurostat Collected Portables'!AC33</f>
        <v>2286.0568258225771</v>
      </c>
      <c r="AD40" s="67">
        <f>AD$6*'Eurostat Collected Portables'!AD33</f>
        <v>2525.6985960696461</v>
      </c>
      <c r="AE40" s="67">
        <f>AE$6*'Eurostat Collected Portables'!AE33</f>
        <v>2806.3761448924447</v>
      </c>
      <c r="AF40" s="67">
        <f>AF$6*'Eurostat Collected Portables'!AF33</f>
        <v>3131.1168009262401</v>
      </c>
      <c r="AG40" s="67">
        <f>AG$6*'Eurostat Collected Portables'!AG33</f>
        <v>3480.351083687226</v>
      </c>
      <c r="AH40" s="67">
        <f>AH$6*'Eurostat Collected Portables'!AH33</f>
        <v>3850.2450581444841</v>
      </c>
      <c r="AI40" s="67">
        <f>AI$6*'Eurostat Collected Portables'!AI33</f>
        <v>4239.4539058588452</v>
      </c>
      <c r="AJ40" s="67">
        <f>AJ$6*'Eurostat Collected Portables'!AJ33</f>
        <v>4669.3804550046571</v>
      </c>
      <c r="AK40" s="67">
        <f>AK$6*'Eurostat Collected Portables'!AK33</f>
        <v>5144.4925669717968</v>
      </c>
      <c r="AL40" s="67">
        <f>AL$6*'Eurostat Collected Portables'!AL33</f>
        <v>5669.6947338847094</v>
      </c>
      <c r="AM40" s="67">
        <f>AM$6*'Eurostat Collected Portables'!AM33</f>
        <v>6250.4381205357604</v>
      </c>
      <c r="AN40" s="67">
        <f>AN$6*'Eurostat Collected Portables'!AN33</f>
        <v>6892.7827454488743</v>
      </c>
      <c r="AO40" s="67">
        <f>AO$6*'Eurostat Collected Portables'!AO33</f>
        <v>7601.9394475818654</v>
      </c>
      <c r="AP40" s="67">
        <f>AP$6*'Eurostat Collected Portables'!AP33</f>
        <v>8373.1759139757087</v>
      </c>
      <c r="AQ40" s="67">
        <f>AQ$6*'Eurostat Collected Portables'!AQ33</f>
        <v>9146.4484399907706</v>
      </c>
      <c r="AR40" s="67">
        <f>AR$6*'Eurostat Collected Portables'!AR33</f>
        <v>9911.8144326771799</v>
      </c>
      <c r="AS40" s="67">
        <f>AS$6*'Eurostat Collected Portables'!AS33</f>
        <v>10669.816598182371</v>
      </c>
      <c r="AT40" s="67">
        <f>AT$6*'Eurostat Collected Portables'!AT33</f>
        <v>11484.87328169897</v>
      </c>
      <c r="AU40" s="67">
        <f>AU$6*'Eurostat Collected Portables'!AU33</f>
        <v>12361.632220959884</v>
      </c>
      <c r="AV40" s="67">
        <f>AV$6*'Eurostat Collected Portables'!AV33</f>
        <v>13301.92142765951</v>
      </c>
      <c r="AW40" s="67">
        <f>AW$6*'Eurostat Collected Portables'!AW33</f>
        <v>14037.541188496933</v>
      </c>
      <c r="AX40" s="67">
        <f>AX$6*'Eurostat Collected Portables'!AX33</f>
        <v>14810.135875908658</v>
      </c>
      <c r="AY40" s="67">
        <f>AY$6*'Eurostat Collected Portables'!AY33</f>
        <v>15624.54282437341</v>
      </c>
      <c r="AZ40" s="67">
        <f>AZ$6*'Eurostat Collected Portables'!AZ33</f>
        <v>16483.004435040522</v>
      </c>
    </row>
    <row r="41" spans="1:52" x14ac:dyDescent="0.35">
      <c r="A41" s="1" t="s">
        <v>31</v>
      </c>
      <c r="B41" s="4">
        <f t="shared" ref="B41:K41" si="67">SUM(B10:B40)</f>
        <v>109.23681452526705</v>
      </c>
      <c r="C41" s="4">
        <f t="shared" si="67"/>
        <v>146.37733146385784</v>
      </c>
      <c r="D41" s="4">
        <f t="shared" si="67"/>
        <v>196.14562416156957</v>
      </c>
      <c r="E41" s="4">
        <f t="shared" si="67"/>
        <v>294.2184362423543</v>
      </c>
      <c r="F41" s="4">
        <f t="shared" si="67"/>
        <v>441.32765436353139</v>
      </c>
      <c r="G41" s="4">
        <f t="shared" si="67"/>
        <v>538.41973832350834</v>
      </c>
      <c r="H41" s="4">
        <f t="shared" si="67"/>
        <v>635.33529122173979</v>
      </c>
      <c r="I41" s="4">
        <f t="shared" si="67"/>
        <v>756.04899655387044</v>
      </c>
      <c r="J41" s="4">
        <f t="shared" si="67"/>
        <v>1020.6661453477252</v>
      </c>
      <c r="K41" s="4">
        <f t="shared" si="67"/>
        <v>755.29294755731655</v>
      </c>
      <c r="L41" s="4">
        <f>SUM(L10:L40)</f>
        <v>1268.892151896292</v>
      </c>
      <c r="M41" s="4">
        <f>SUM(M10:M40)</f>
        <v>1662.2487189841427</v>
      </c>
      <c r="N41" s="4">
        <f t="shared" ref="N41:W41" si="68">SUM(N10:N40)</f>
        <v>1884.7749315648471</v>
      </c>
      <c r="O41" s="4">
        <f t="shared" si="68"/>
        <v>2435.4497828885724</v>
      </c>
      <c r="P41" s="4">
        <f t="shared" si="68"/>
        <v>3875.9130140422931</v>
      </c>
      <c r="Q41" s="4">
        <f t="shared" si="68"/>
        <v>3925.3695933550143</v>
      </c>
      <c r="R41" s="4">
        <f t="shared" si="68"/>
        <v>5504.8581470759045</v>
      </c>
      <c r="S41" s="4">
        <f t="shared" si="68"/>
        <v>4852.6368402310491</v>
      </c>
      <c r="T41" s="4">
        <f t="shared" si="68"/>
        <v>6093.2702749812943</v>
      </c>
      <c r="U41" s="4">
        <f t="shared" si="68"/>
        <v>5979.6768729748401</v>
      </c>
      <c r="V41" s="4">
        <f t="shared" si="68"/>
        <v>11417.094668589887</v>
      </c>
      <c r="W41" s="4">
        <f t="shared" si="68"/>
        <v>10290.569732058739</v>
      </c>
      <c r="X41" s="4">
        <f t="shared" ref="X41:AZ41" si="69">SUM(X10:X40)</f>
        <v>10001.423315036545</v>
      </c>
      <c r="Y41" s="4">
        <f t="shared" si="69"/>
        <v>11110.59147331434</v>
      </c>
      <c r="Z41" s="4">
        <f t="shared" si="69"/>
        <v>12257.323203015292</v>
      </c>
      <c r="AA41" s="4">
        <f t="shared" si="69"/>
        <v>13544.254544361353</v>
      </c>
      <c r="AB41" s="4">
        <f t="shared" si="69"/>
        <v>14926.493134470948</v>
      </c>
      <c r="AC41" s="4">
        <f t="shared" si="69"/>
        <v>16429.724805125494</v>
      </c>
      <c r="AD41" s="4">
        <f t="shared" si="69"/>
        <v>18102.689931915927</v>
      </c>
      <c r="AE41" s="4">
        <f t="shared" si="69"/>
        <v>20065.060628742791</v>
      </c>
      <c r="AF41" s="4">
        <f t="shared" si="69"/>
        <v>22336.274074727651</v>
      </c>
      <c r="AG41" s="4">
        <f t="shared" si="69"/>
        <v>24773.506382767409</v>
      </c>
      <c r="AH41" s="4">
        <f t="shared" si="69"/>
        <v>27347.743525822814</v>
      </c>
      <c r="AI41" s="4">
        <f t="shared" si="69"/>
        <v>30048.842956696368</v>
      </c>
      <c r="AJ41" s="4">
        <f t="shared" si="69"/>
        <v>33027.737186506012</v>
      </c>
      <c r="AK41" s="4">
        <f t="shared" si="69"/>
        <v>36314.481931321752</v>
      </c>
      <c r="AL41" s="4">
        <f t="shared" si="69"/>
        <v>39942.048814187183</v>
      </c>
      <c r="AM41" s="4">
        <f t="shared" si="69"/>
        <v>43947.04399907816</v>
      </c>
      <c r="AN41" s="4">
        <f t="shared" si="69"/>
        <v>48370.117642298821</v>
      </c>
      <c r="AO41" s="4">
        <f t="shared" si="69"/>
        <v>53245.602589607908</v>
      </c>
      <c r="AP41" s="4">
        <f t="shared" si="69"/>
        <v>58538.274936532194</v>
      </c>
      <c r="AQ41" s="4">
        <f t="shared" si="69"/>
        <v>63826.891680598463</v>
      </c>
      <c r="AR41" s="4">
        <f t="shared" si="69"/>
        <v>69042.88414711607</v>
      </c>
      <c r="AS41" s="4">
        <f t="shared" si="69"/>
        <v>74190.703830856044</v>
      </c>
      <c r="AT41" s="4">
        <f t="shared" si="69"/>
        <v>79718.551875422665</v>
      </c>
      <c r="AU41" s="4">
        <f t="shared" si="69"/>
        <v>85656.818012315183</v>
      </c>
      <c r="AV41" s="4">
        <f t="shared" si="69"/>
        <v>92016.212998382311</v>
      </c>
      <c r="AW41" s="4">
        <f t="shared" si="69"/>
        <v>96942.79297028872</v>
      </c>
      <c r="AX41" s="4">
        <f t="shared" si="69"/>
        <v>102110.03035219524</v>
      </c>
      <c r="AY41" s="4">
        <f t="shared" si="69"/>
        <v>107550.55609332933</v>
      </c>
      <c r="AZ41" s="4">
        <f t="shared" si="69"/>
        <v>113278.77311557841</v>
      </c>
    </row>
    <row r="42" spans="1:52" x14ac:dyDescent="0.35">
      <c r="A42" s="1" t="s">
        <v>68</v>
      </c>
      <c r="B42" s="45">
        <f>_xlfn.RRI(1,B41,C41)</f>
        <v>0.33999999999999986</v>
      </c>
      <c r="C42" s="45">
        <f t="shared" ref="C42:AY42" si="70">_xlfn.RRI(1,C41,D41)</f>
        <v>0.34000000000000052</v>
      </c>
      <c r="D42" s="45">
        <f t="shared" si="70"/>
        <v>0.49999999999999978</v>
      </c>
      <c r="E42" s="45">
        <f t="shared" si="70"/>
        <v>0.49999999999999978</v>
      </c>
      <c r="F42" s="45">
        <f t="shared" si="70"/>
        <v>0.2200000000000002</v>
      </c>
      <c r="G42" s="45">
        <f t="shared" si="70"/>
        <v>0.17999999999999994</v>
      </c>
      <c r="H42" s="45">
        <f t="shared" si="70"/>
        <v>0.19000000000000017</v>
      </c>
      <c r="I42" s="45">
        <f t="shared" si="70"/>
        <v>0.35000000000000009</v>
      </c>
      <c r="J42" s="45">
        <f t="shared" si="70"/>
        <v>-0.26000000000000012</v>
      </c>
      <c r="K42" s="45">
        <f t="shared" si="70"/>
        <v>0.68000000000000038</v>
      </c>
      <c r="L42" s="45">
        <f t="shared" si="70"/>
        <v>0.31000000000000005</v>
      </c>
      <c r="M42" s="45">
        <f t="shared" si="70"/>
        <v>0.13387058749950365</v>
      </c>
      <c r="N42" s="45">
        <f t="shared" si="70"/>
        <v>0.29217008466179228</v>
      </c>
      <c r="O42" s="45">
        <f t="shared" si="70"/>
        <v>0.59145675729977687</v>
      </c>
      <c r="P42" s="45">
        <f t="shared" si="70"/>
        <v>1.2759981747150206E-2</v>
      </c>
      <c r="Q42" s="45">
        <f t="shared" si="70"/>
        <v>0.40237957628109644</v>
      </c>
      <c r="R42" s="45">
        <f t="shared" si="70"/>
        <v>-0.11848103791580988</v>
      </c>
      <c r="S42" s="45">
        <f t="shared" si="70"/>
        <v>0.25566171044672181</v>
      </c>
      <c r="T42" s="45">
        <f t="shared" si="70"/>
        <v>-1.8642436143504693E-2</v>
      </c>
      <c r="U42" s="45">
        <f t="shared" si="70"/>
        <v>0.9093163244638629</v>
      </c>
      <c r="V42" s="45">
        <f t="shared" si="70"/>
        <v>-9.8670018006453475E-2</v>
      </c>
      <c r="W42" s="45">
        <f t="shared" si="70"/>
        <v>-2.8098193253712767E-2</v>
      </c>
      <c r="X42" s="39">
        <f t="shared" si="70"/>
        <v>0.11090103111726379</v>
      </c>
      <c r="Y42" s="39">
        <f t="shared" si="70"/>
        <v>0.10321068256853816</v>
      </c>
      <c r="Z42" s="39">
        <f t="shared" si="70"/>
        <v>0.10499285366232947</v>
      </c>
      <c r="AA42" s="39">
        <f t="shared" si="70"/>
        <v>0.10205350066202334</v>
      </c>
      <c r="AB42" s="39">
        <f t="shared" si="70"/>
        <v>0.10070896473217905</v>
      </c>
      <c r="AC42" s="39">
        <f t="shared" si="70"/>
        <v>0.10182551117767513</v>
      </c>
      <c r="AD42" s="39">
        <f t="shared" si="70"/>
        <v>0.10840216035336869</v>
      </c>
      <c r="AE42" s="39">
        <f t="shared" si="70"/>
        <v>0.11319245368894593</v>
      </c>
      <c r="AF42" s="39">
        <f t="shared" si="70"/>
        <v>0.10911543706375637</v>
      </c>
      <c r="AG42" s="39">
        <f t="shared" si="70"/>
        <v>0.1039108918730236</v>
      </c>
      <c r="AH42" s="39">
        <f t="shared" si="70"/>
        <v>9.8768639844931672E-2</v>
      </c>
      <c r="AI42" s="39">
        <f t="shared" si="70"/>
        <v>9.9135072658290246E-2</v>
      </c>
      <c r="AJ42" s="39">
        <f t="shared" si="70"/>
        <v>9.951468144050124E-2</v>
      </c>
      <c r="AK42" s="39">
        <f t="shared" si="70"/>
        <v>9.9893119492270754E-2</v>
      </c>
      <c r="AL42" s="39">
        <f t="shared" si="70"/>
        <v>0.10027014897313991</v>
      </c>
      <c r="AM42" s="39">
        <f t="shared" si="70"/>
        <v>0.10064553245750596</v>
      </c>
      <c r="AN42" s="39">
        <f t="shared" si="70"/>
        <v>0.10079539155483808</v>
      </c>
      <c r="AO42" s="39">
        <f t="shared" si="70"/>
        <v>9.9401116515061672E-2</v>
      </c>
      <c r="AP42" s="39">
        <f t="shared" si="70"/>
        <v>9.0344595049995036E-2</v>
      </c>
      <c r="AQ42" s="39">
        <f t="shared" si="70"/>
        <v>8.1720922469785906E-2</v>
      </c>
      <c r="AR42" s="39">
        <f t="shared" si="70"/>
        <v>7.4559742793638861E-2</v>
      </c>
      <c r="AS42" s="39">
        <f t="shared" si="70"/>
        <v>7.4508634628528414E-2</v>
      </c>
      <c r="AT42" s="39">
        <f t="shared" si="70"/>
        <v>7.4490391473396755E-2</v>
      </c>
      <c r="AU42" s="39">
        <f t="shared" si="70"/>
        <v>7.4242718018696641E-2</v>
      </c>
      <c r="AV42" s="39">
        <f t="shared" si="70"/>
        <v>5.3540346982037024E-2</v>
      </c>
      <c r="AW42" s="39">
        <f t="shared" si="70"/>
        <v>5.3301923986140975E-2</v>
      </c>
      <c r="AX42" s="39">
        <f t="shared" si="70"/>
        <v>5.3281011888536067E-2</v>
      </c>
      <c r="AY42" s="39">
        <f t="shared" si="70"/>
        <v>5.3260691811563454E-2</v>
      </c>
    </row>
    <row r="43" spans="1:52" x14ac:dyDescent="0.35"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52" x14ac:dyDescent="0.35">
      <c r="A44" s="24" t="s">
        <v>48</v>
      </c>
      <c r="B44" s="24"/>
      <c r="C44" s="24"/>
      <c r="D44" s="24"/>
      <c r="E44" s="24"/>
      <c r="F44" s="24"/>
      <c r="G44" s="6"/>
      <c r="H44" s="6"/>
      <c r="I44" s="6"/>
      <c r="J44" s="6"/>
      <c r="K44" s="6"/>
      <c r="L44" s="6"/>
    </row>
  </sheetData>
  <mergeCells count="2">
    <mergeCell ref="N1:O1"/>
    <mergeCell ref="X8:AZ8"/>
  </mergeCells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8CCF-4F39-402E-8081-9715EB7A3AA9}">
  <sheetPr>
    <tabColor theme="9" tint="0.79998168889431442"/>
  </sheetPr>
  <dimension ref="A1"/>
  <sheetViews>
    <sheetView zoomScale="80" zoomScaleNormal="80" workbookViewId="0">
      <selection activeCell="N50" sqref="N50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7B63-073D-4AF3-9B3C-CCBDA7D1248C}">
  <dimension ref="A1:W22"/>
  <sheetViews>
    <sheetView workbookViewId="0">
      <selection activeCell="G9" sqref="G9"/>
    </sheetView>
  </sheetViews>
  <sheetFormatPr baseColWidth="10" defaultRowHeight="14.5" x14ac:dyDescent="0.35"/>
  <cols>
    <col min="1" max="1" width="25.1796875" customWidth="1"/>
  </cols>
  <sheetData>
    <row r="1" spans="1:23" x14ac:dyDescent="0.35">
      <c r="A1" t="s">
        <v>67</v>
      </c>
    </row>
    <row r="2" spans="1:23" x14ac:dyDescent="0.35"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</row>
    <row r="3" spans="1:23" x14ac:dyDescent="0.35">
      <c r="A3" t="s">
        <v>50</v>
      </c>
      <c r="B3">
        <v>45687.439156180168</v>
      </c>
      <c r="C3">
        <v>46619.835873653217</v>
      </c>
      <c r="D3">
        <v>47571.261095564529</v>
      </c>
      <c r="E3">
        <v>48542.103158739308</v>
      </c>
      <c r="F3">
        <v>49532.758325244198</v>
      </c>
      <c r="G3">
        <v>50543.630944126722</v>
      </c>
      <c r="H3">
        <v>51575.13361645586</v>
      </c>
      <c r="I3">
        <v>52627.687363730452</v>
      </c>
      <c r="J3">
        <v>53701.721799724939</v>
      </c>
      <c r="K3">
        <v>54797.675305841796</v>
      </c>
      <c r="L3">
        <v>55915.995210042631</v>
      </c>
      <c r="M3">
        <v>57057.137969431271</v>
      </c>
      <c r="N3">
        <v>62499.282004389301</v>
      </c>
      <c r="O3">
        <v>63446.279720245373</v>
      </c>
      <c r="P3">
        <v>67355.612014228274</v>
      </c>
      <c r="Q3">
        <v>74187.662364936376</v>
      </c>
      <c r="R3">
        <v>81742.76295919402</v>
      </c>
      <c r="S3">
        <v>82315.052271385604</v>
      </c>
      <c r="T3">
        <v>90098.964829431148</v>
      </c>
      <c r="U3">
        <v>98815.95802686103</v>
      </c>
      <c r="V3">
        <v>92491.674581538638</v>
      </c>
      <c r="W3">
        <v>106953.29353729589</v>
      </c>
    </row>
    <row r="4" spans="1:23" x14ac:dyDescent="0.35">
      <c r="A4" t="s">
        <v>51</v>
      </c>
      <c r="B4">
        <v>560.31214576590537</v>
      </c>
      <c r="C4">
        <v>651.52575089058769</v>
      </c>
      <c r="D4">
        <v>757.58808243091596</v>
      </c>
      <c r="E4">
        <v>880.91637491966958</v>
      </c>
      <c r="F4">
        <v>937.14507970177635</v>
      </c>
      <c r="G4">
        <v>1233.085631186548</v>
      </c>
      <c r="H4">
        <v>1433.8205013797067</v>
      </c>
      <c r="I4">
        <v>1184.9756209749644</v>
      </c>
      <c r="J4">
        <v>1410.6852630654339</v>
      </c>
      <c r="K4">
        <v>1237.4432132152926</v>
      </c>
      <c r="L4">
        <v>1672.2205583990435</v>
      </c>
      <c r="M4">
        <v>2290.7130936973213</v>
      </c>
      <c r="N4">
        <v>2774.238006638916</v>
      </c>
      <c r="O4">
        <v>3442.5702243068317</v>
      </c>
      <c r="P4">
        <v>3395.3598758941603</v>
      </c>
      <c r="Q4">
        <v>3581.5699681350957</v>
      </c>
      <c r="R4">
        <v>3917.7892942953249</v>
      </c>
      <c r="S4">
        <v>5345.769704447709</v>
      </c>
      <c r="T4">
        <v>3265.5035083433522</v>
      </c>
      <c r="U4">
        <v>3039.7787667929474</v>
      </c>
      <c r="V4">
        <v>2424.8665211022967</v>
      </c>
      <c r="W4">
        <v>2677.5569006917676</v>
      </c>
    </row>
    <row r="5" spans="1:23" x14ac:dyDescent="0.35">
      <c r="A5" t="s">
        <v>52</v>
      </c>
      <c r="B5">
        <v>4002.527122806624</v>
      </c>
      <c r="C5">
        <v>4084.2113498026774</v>
      </c>
      <c r="D5">
        <v>4167.5626018394678</v>
      </c>
      <c r="E5">
        <v>4252.6148998361914</v>
      </c>
      <c r="F5">
        <v>4339.402959016521</v>
      </c>
      <c r="G5">
        <v>4427.9622030780838</v>
      </c>
      <c r="H5">
        <v>4518.3287786511064</v>
      </c>
      <c r="I5">
        <v>4610.5395700521476</v>
      </c>
      <c r="J5">
        <v>4704.632214338927</v>
      </c>
      <c r="K5">
        <v>4800.6451166723755</v>
      </c>
      <c r="L5">
        <v>4898.6174659922199</v>
      </c>
      <c r="M5">
        <v>4998.5892510124686</v>
      </c>
      <c r="N5">
        <v>5235.2607216019278</v>
      </c>
      <c r="O5">
        <v>4989.6891902675816</v>
      </c>
      <c r="P5">
        <v>4659.9409863958717</v>
      </c>
      <c r="Q5">
        <v>4835.2627239173935</v>
      </c>
      <c r="R5">
        <v>4951.4575874762249</v>
      </c>
      <c r="S5">
        <v>4401.8417745344768</v>
      </c>
      <c r="T5">
        <v>4617.6052544605936</v>
      </c>
      <c r="U5">
        <v>6624.937088063225</v>
      </c>
      <c r="V5">
        <v>7254.8751787936017</v>
      </c>
      <c r="W5">
        <v>8010.8908798022667</v>
      </c>
    </row>
    <row r="6" spans="1:23" x14ac:dyDescent="0.35">
      <c r="A6" t="s">
        <v>53</v>
      </c>
      <c r="B6">
        <v>5431.3428183941705</v>
      </c>
      <c r="C6">
        <v>6034.8253537713008</v>
      </c>
      <c r="D6">
        <v>6705.361504190334</v>
      </c>
      <c r="E6">
        <v>7534.1140496520584</v>
      </c>
      <c r="F6">
        <v>9784.5637008468329</v>
      </c>
      <c r="G6">
        <v>8086.4162816915969</v>
      </c>
      <c r="H6">
        <v>5902.4936362712369</v>
      </c>
      <c r="I6">
        <v>4246.3982994757116</v>
      </c>
      <c r="J6">
        <v>3931.8502772923257</v>
      </c>
      <c r="K6">
        <v>3222.8280961412488</v>
      </c>
      <c r="L6">
        <v>2318.5813641303953</v>
      </c>
      <c r="M6">
        <v>4293.669192834067</v>
      </c>
      <c r="N6">
        <v>4406.7630562901995</v>
      </c>
      <c r="O6">
        <v>4836.7311893761862</v>
      </c>
      <c r="P6">
        <v>4827.8067992388969</v>
      </c>
      <c r="Q6">
        <v>5319.5745860710804</v>
      </c>
      <c r="R6">
        <v>5752.7573515730528</v>
      </c>
      <c r="S6">
        <v>6512.0193481668757</v>
      </c>
      <c r="T6">
        <v>6048.5993734902077</v>
      </c>
      <c r="U6">
        <v>4808.7010717534622</v>
      </c>
      <c r="V6">
        <v>6003.773578852446</v>
      </c>
      <c r="W6">
        <v>5410.2130337087438</v>
      </c>
    </row>
    <row r="7" spans="1:23" x14ac:dyDescent="0.35">
      <c r="A7" t="s">
        <v>54</v>
      </c>
      <c r="B7">
        <v>4.1919463962026686</v>
      </c>
      <c r="C7">
        <v>6.351433933640406</v>
      </c>
      <c r="D7">
        <v>9.6233847479400083</v>
      </c>
      <c r="E7">
        <v>19.246769495880017</v>
      </c>
      <c r="F7">
        <v>38.493538991760033</v>
      </c>
      <c r="G7">
        <v>49.350691015076968</v>
      </c>
      <c r="H7">
        <v>60.183769530581664</v>
      </c>
      <c r="I7">
        <v>74.300950037755157</v>
      </c>
      <c r="J7">
        <v>114.30915390423873</v>
      </c>
      <c r="K7">
        <v>90.721550717649762</v>
      </c>
      <c r="L7">
        <v>283.50484599265559</v>
      </c>
      <c r="M7">
        <v>410.87658839515291</v>
      </c>
      <c r="N7">
        <v>657.81356534886902</v>
      </c>
      <c r="O7">
        <v>505.58547215870431</v>
      </c>
      <c r="P7">
        <v>599.02969447958981</v>
      </c>
      <c r="Q7">
        <v>771.89658182397318</v>
      </c>
      <c r="R7">
        <v>1041.8303689780207</v>
      </c>
      <c r="S7">
        <v>1182.0412670824344</v>
      </c>
      <c r="T7">
        <v>1315.7801775685705</v>
      </c>
      <c r="U7">
        <v>1320.7139211036808</v>
      </c>
      <c r="V7">
        <v>984.46970485530812</v>
      </c>
      <c r="W7">
        <v>1703.5923162602121</v>
      </c>
    </row>
    <row r="8" spans="1:23" x14ac:dyDescent="0.35">
      <c r="A8" t="s">
        <v>55</v>
      </c>
      <c r="B8">
        <v>17.067300723881665</v>
      </c>
      <c r="C8">
        <v>25.85954655133586</v>
      </c>
      <c r="D8">
        <v>39.181131138387663</v>
      </c>
      <c r="E8">
        <v>78.362262276775326</v>
      </c>
      <c r="F8">
        <v>156.72452455355065</v>
      </c>
      <c r="G8">
        <v>200.92887763275729</v>
      </c>
      <c r="H8">
        <v>245.03521662531372</v>
      </c>
      <c r="I8">
        <v>302.51261311767121</v>
      </c>
      <c r="J8">
        <v>465.40402018103271</v>
      </c>
      <c r="K8">
        <v>369.36826998494655</v>
      </c>
      <c r="L8">
        <v>1154.2758437029584</v>
      </c>
      <c r="M8">
        <v>1672.8635415984902</v>
      </c>
      <c r="N8">
        <v>1895.6007254270262</v>
      </c>
      <c r="O8">
        <v>2450.9471450554461</v>
      </c>
      <c r="P8">
        <v>3897.6101233939144</v>
      </c>
      <c r="Q8">
        <v>3946.4381599278495</v>
      </c>
      <c r="R8">
        <v>5531.1988614379716</v>
      </c>
      <c r="S8">
        <v>4888.7507549396323</v>
      </c>
      <c r="T8">
        <v>6124.3364171912772</v>
      </c>
      <c r="U8">
        <v>6012.911338029432</v>
      </c>
      <c r="V8">
        <v>11489.830450542977</v>
      </c>
      <c r="W8">
        <v>10353.916680079728</v>
      </c>
    </row>
    <row r="9" spans="1:23" x14ac:dyDescent="0.35">
      <c r="A9" t="s">
        <v>56</v>
      </c>
      <c r="B9">
        <v>340.39921178154907</v>
      </c>
      <c r="C9">
        <v>347.34613447096842</v>
      </c>
      <c r="D9">
        <v>354.43483109282499</v>
      </c>
      <c r="E9">
        <v>361.66819499267871</v>
      </c>
      <c r="F9">
        <v>369.04917856395764</v>
      </c>
      <c r="G9">
        <v>376.58079445301814</v>
      </c>
      <c r="H9">
        <v>384.26611678879402</v>
      </c>
      <c r="I9">
        <v>392.10828243754486</v>
      </c>
      <c r="J9">
        <v>400.110492283209</v>
      </c>
      <c r="K9">
        <v>408.27601253388684</v>
      </c>
      <c r="L9">
        <v>416.60817605498642</v>
      </c>
      <c r="M9">
        <v>425.11038372957796</v>
      </c>
      <c r="N9">
        <v>627.47578852311415</v>
      </c>
      <c r="O9">
        <v>730.96536496560714</v>
      </c>
      <c r="P9">
        <v>765.02888894821365</v>
      </c>
      <c r="Q9">
        <v>722.79295126739862</v>
      </c>
      <c r="R9">
        <v>936.3710339669251</v>
      </c>
      <c r="S9">
        <v>787.95735759108061</v>
      </c>
      <c r="T9">
        <v>922.17591080287787</v>
      </c>
      <c r="U9">
        <v>3162.8961662178663</v>
      </c>
      <c r="V9">
        <v>1640.1613327734581</v>
      </c>
      <c r="W9">
        <v>1082.0426067417484</v>
      </c>
    </row>
    <row r="10" spans="1:23" x14ac:dyDescent="0.35">
      <c r="A10" t="s">
        <v>57</v>
      </c>
      <c r="B10">
        <f>SUM(B3:B9)</f>
        <v>56043.279702048509</v>
      </c>
      <c r="C10">
        <f t="shared" ref="C10:W10" si="0">SUM(C3:C9)</f>
        <v>57769.955443073719</v>
      </c>
      <c r="D10">
        <f t="shared" si="0"/>
        <v>59605.012631004392</v>
      </c>
      <c r="E10">
        <f t="shared" si="0"/>
        <v>61669.025709912559</v>
      </c>
      <c r="F10">
        <f t="shared" si="0"/>
        <v>65158.137306918601</v>
      </c>
      <c r="G10">
        <f t="shared" si="0"/>
        <v>64917.955423183805</v>
      </c>
      <c r="H10">
        <f t="shared" si="0"/>
        <v>64119.261635702598</v>
      </c>
      <c r="I10">
        <f t="shared" si="0"/>
        <v>63438.522699826244</v>
      </c>
      <c r="J10">
        <f t="shared" si="0"/>
        <v>64728.713220790101</v>
      </c>
      <c r="K10">
        <f t="shared" si="0"/>
        <v>64926.957565107201</v>
      </c>
      <c r="L10">
        <f t="shared" si="0"/>
        <v>66659.803464314886</v>
      </c>
      <c r="M10">
        <f t="shared" si="0"/>
        <v>71148.96002069836</v>
      </c>
      <c r="N10">
        <f t="shared" si="0"/>
        <v>78096.433868219348</v>
      </c>
      <c r="O10">
        <f t="shared" si="0"/>
        <v>80402.768306375729</v>
      </c>
      <c r="P10">
        <f t="shared" si="0"/>
        <v>85500.388382578923</v>
      </c>
      <c r="Q10">
        <f t="shared" si="0"/>
        <v>93365.19733607916</v>
      </c>
      <c r="R10">
        <f t="shared" si="0"/>
        <v>103874.16745692151</v>
      </c>
      <c r="S10">
        <f t="shared" si="0"/>
        <v>105433.43247814782</v>
      </c>
      <c r="T10">
        <f t="shared" si="0"/>
        <v>112392.96547128803</v>
      </c>
      <c r="U10">
        <f t="shared" si="0"/>
        <v>123785.89637882164</v>
      </c>
      <c r="V10">
        <f t="shared" si="0"/>
        <v>122289.65134845872</v>
      </c>
      <c r="W10">
        <f t="shared" si="0"/>
        <v>136191.50595458035</v>
      </c>
    </row>
    <row r="13" spans="1:23" x14ac:dyDescent="0.35">
      <c r="A13" t="s">
        <v>58</v>
      </c>
    </row>
    <row r="14" spans="1:23" x14ac:dyDescent="0.35">
      <c r="B14">
        <v>2000</v>
      </c>
      <c r="C14">
        <v>2001</v>
      </c>
      <c r="D14">
        <v>2002</v>
      </c>
      <c r="E14">
        <v>2003</v>
      </c>
      <c r="F14">
        <v>2004</v>
      </c>
      <c r="G14">
        <v>2005</v>
      </c>
      <c r="H14">
        <v>2006</v>
      </c>
      <c r="I14">
        <v>2007</v>
      </c>
      <c r="J14">
        <v>2008</v>
      </c>
      <c r="K14">
        <v>2009</v>
      </c>
      <c r="L14">
        <v>2010</v>
      </c>
      <c r="M14">
        <v>2011</v>
      </c>
      <c r="N14">
        <v>2012</v>
      </c>
      <c r="O14">
        <v>2013</v>
      </c>
      <c r="P14">
        <v>2014</v>
      </c>
      <c r="Q14">
        <v>2015</v>
      </c>
      <c r="R14">
        <v>2016</v>
      </c>
      <c r="S14">
        <v>2017</v>
      </c>
      <c r="T14">
        <v>2018</v>
      </c>
      <c r="U14">
        <v>2019</v>
      </c>
      <c r="V14">
        <v>2020</v>
      </c>
      <c r="W14">
        <v>2021</v>
      </c>
    </row>
    <row r="15" spans="1:23" x14ac:dyDescent="0.35">
      <c r="A15" t="s">
        <v>50</v>
      </c>
      <c r="B15" s="2">
        <f>B3/$B$10</f>
        <v>0.81521708577862173</v>
      </c>
      <c r="C15" s="2">
        <f>C3/$C$10</f>
        <v>0.80699103047763665</v>
      </c>
      <c r="D15" s="2">
        <f>D3/$D$10</f>
        <v>0.79810839719241433</v>
      </c>
      <c r="E15" s="2">
        <f>E3/$E$10</f>
        <v>0.78713912859720669</v>
      </c>
      <c r="F15" s="2">
        <f>F3/$F$10</f>
        <v>0.76019297623452364</v>
      </c>
      <c r="G15" s="2">
        <f>G3/$G$10</f>
        <v>0.77857706107109381</v>
      </c>
      <c r="H15" s="2">
        <f>H3/$H$10</f>
        <v>0.80436256283615759</v>
      </c>
      <c r="I15" s="2">
        <f>I3/$I$10</f>
        <v>0.82958563856775625</v>
      </c>
      <c r="J15" s="2">
        <f>J3/$J$10</f>
        <v>0.8296429687478567</v>
      </c>
      <c r="K15" s="2">
        <f>K3/$K$10</f>
        <v>0.84398957476009862</v>
      </c>
      <c r="L15" s="2">
        <f>L3/$L$10</f>
        <v>0.83882628366848155</v>
      </c>
      <c r="M15" s="2">
        <f>M3/$M$10</f>
        <v>0.80193917033829376</v>
      </c>
      <c r="N15" s="2">
        <f>N3/$N$10</f>
        <v>0.8002834304809765</v>
      </c>
      <c r="O15" s="2">
        <f>O3/$O$10</f>
        <v>0.78910566211455002</v>
      </c>
      <c r="P15" s="2">
        <f>P3/$P$10</f>
        <v>0.78778135735290145</v>
      </c>
      <c r="Q15" s="2">
        <f>Q3/$Q$10</f>
        <v>0.79459653577220046</v>
      </c>
      <c r="R15" s="2">
        <f>R3/$R$10</f>
        <v>0.78694024665077789</v>
      </c>
      <c r="S15" s="2">
        <f>S3/$S$10</f>
        <v>0.78073008092993901</v>
      </c>
      <c r="T15" s="2">
        <f>T3/$T$10</f>
        <v>0.80164238439324642</v>
      </c>
      <c r="U15" s="2">
        <f>U3/$U$10</f>
        <v>0.79828123330346801</v>
      </c>
      <c r="V15" s="2">
        <f>V3/$V$10</f>
        <v>0.75633280135853753</v>
      </c>
      <c r="W15" s="2">
        <f t="shared" ref="W15:W22" si="1">W3/$W$10</f>
        <v>0.78531544818194932</v>
      </c>
    </row>
    <row r="16" spans="1:23" x14ac:dyDescent="0.35">
      <c r="A16" t="s">
        <v>51</v>
      </c>
      <c r="B16" s="2">
        <f t="shared" ref="B16:B22" si="2">B4/$B$10</f>
        <v>9.9978471771241598E-3</v>
      </c>
      <c r="C16" s="2">
        <f t="shared" ref="C16:C22" si="3">C4/$C$10</f>
        <v>1.1277934107679874E-2</v>
      </c>
      <c r="D16" s="2">
        <f t="shared" ref="D16:D22" si="4">D4/$D$10</f>
        <v>1.2710140456154283E-2</v>
      </c>
      <c r="E16" s="2">
        <f t="shared" ref="E16:E22" si="5">E4/$E$10</f>
        <v>1.4284583950838594E-2</v>
      </c>
      <c r="F16" s="2">
        <f t="shared" ref="F16:F22" si="6">F4/$F$10</f>
        <v>1.4382625385490703E-2</v>
      </c>
      <c r="G16" s="2">
        <f t="shared" ref="G16:G22" si="7">G4/$G$10</f>
        <v>1.8994523520470926E-2</v>
      </c>
      <c r="H16" s="2">
        <f t="shared" ref="H16:H22" si="8">H4/$H$10</f>
        <v>2.2361774992451459E-2</v>
      </c>
      <c r="I16" s="2">
        <f t="shared" ref="I16:I22" si="9">I4/$I$10</f>
        <v>1.8679117522675381E-2</v>
      </c>
      <c r="J16" s="2">
        <f t="shared" ref="J16:J22" si="10">J4/$J$10</f>
        <v>2.1793809777332918E-2</v>
      </c>
      <c r="K16" s="2">
        <f t="shared" ref="K16:K22" si="11">K4/$K$10</f>
        <v>1.9059005066954109E-2</v>
      </c>
      <c r="L16" s="2">
        <f t="shared" ref="L16:L22" si="12">L4/$L$10</f>
        <v>2.5085890919168945E-2</v>
      </c>
      <c r="M16" s="2">
        <f t="shared" ref="M16:M22" si="13">M4/$M$10</f>
        <v>3.2196016540943347E-2</v>
      </c>
      <c r="N16" s="2">
        <f t="shared" ref="N16:N22" si="14">N4/$N$10</f>
        <v>3.5523235431213045E-2</v>
      </c>
      <c r="O16" s="2">
        <f t="shared" ref="O16:O22" si="15">O4/$O$10</f>
        <v>4.2816563369918757E-2</v>
      </c>
      <c r="P16" s="2">
        <f t="shared" ref="P16:P22" si="16">P4/$P$10</f>
        <v>3.9711631024426777E-2</v>
      </c>
      <c r="Q16" s="2">
        <f t="shared" ref="Q16:Q22" si="17">Q4/$Q$10</f>
        <v>3.8360867542996856E-2</v>
      </c>
      <c r="R16" s="2">
        <f t="shared" ref="R16:R22" si="18">R4/$R$10</f>
        <v>3.7716685391679342E-2</v>
      </c>
      <c r="S16" s="2">
        <f t="shared" ref="S16:S22" si="19">S4/$S$10</f>
        <v>5.0702794918069991E-2</v>
      </c>
      <c r="T16" s="2">
        <f t="shared" ref="T16:T22" si="20">T4/$T$10</f>
        <v>2.9054340675596459E-2</v>
      </c>
      <c r="U16" s="2">
        <f t="shared" ref="U16:U22" si="21">U4/$U$10</f>
        <v>2.4556745604445283E-2</v>
      </c>
      <c r="V16" s="2">
        <f t="shared" ref="V16:V22" si="22">V4/$V$10</f>
        <v>1.9828877540853815E-2</v>
      </c>
      <c r="W16" s="2">
        <f t="shared" si="1"/>
        <v>1.9660234182187018E-2</v>
      </c>
    </row>
    <row r="17" spans="1:23" x14ac:dyDescent="0.35">
      <c r="A17" t="s">
        <v>52</v>
      </c>
      <c r="B17" s="2">
        <f t="shared" si="2"/>
        <v>7.1418502701588366E-2</v>
      </c>
      <c r="C17" s="2">
        <f t="shared" si="3"/>
        <v>7.0697844900144385E-2</v>
      </c>
      <c r="D17" s="2">
        <f t="shared" si="4"/>
        <v>6.9919666448852502E-2</v>
      </c>
      <c r="E17" s="2">
        <f t="shared" si="5"/>
        <v>6.8958684702434575E-2</v>
      </c>
      <c r="F17" s="2">
        <f t="shared" si="6"/>
        <v>6.6598020421859971E-2</v>
      </c>
      <c r="G17" s="2">
        <f t="shared" si="7"/>
        <v>6.8208589968881697E-2</v>
      </c>
      <c r="H17" s="2">
        <f t="shared" si="8"/>
        <v>7.0467573446529375E-2</v>
      </c>
      <c r="I17" s="2">
        <f t="shared" si="9"/>
        <v>7.2677284618810581E-2</v>
      </c>
      <c r="J17" s="2">
        <f t="shared" si="10"/>
        <v>7.2682307128389731E-2</v>
      </c>
      <c r="K17" s="2">
        <f t="shared" si="11"/>
        <v>7.3939166360265735E-2</v>
      </c>
      <c r="L17" s="2">
        <f t="shared" si="12"/>
        <v>7.3486827314374031E-2</v>
      </c>
      <c r="M17" s="2">
        <f t="shared" si="13"/>
        <v>7.0255267955544251E-2</v>
      </c>
      <c r="N17" s="2">
        <f t="shared" si="14"/>
        <v>6.7035848659055999E-2</v>
      </c>
      <c r="O17" s="2">
        <f t="shared" si="15"/>
        <v>6.2058674040355304E-2</v>
      </c>
      <c r="P17" s="2">
        <f t="shared" si="16"/>
        <v>5.45019861844903E-2</v>
      </c>
      <c r="Q17" s="2">
        <f t="shared" si="17"/>
        <v>5.1788705662049732E-2</v>
      </c>
      <c r="R17" s="2">
        <f t="shared" si="18"/>
        <v>4.7667843783486243E-2</v>
      </c>
      <c r="S17" s="2">
        <f t="shared" si="19"/>
        <v>4.1749961763284188E-2</v>
      </c>
      <c r="T17" s="2">
        <f t="shared" si="20"/>
        <v>4.1084468543898411E-2</v>
      </c>
      <c r="U17" s="2">
        <f t="shared" si="21"/>
        <v>5.351932071315256E-2</v>
      </c>
      <c r="V17" s="2">
        <f t="shared" si="22"/>
        <v>5.9325340278558562E-2</v>
      </c>
      <c r="W17" s="2">
        <f t="shared" si="1"/>
        <v>5.8820781983818328E-2</v>
      </c>
    </row>
    <row r="18" spans="1:23" x14ac:dyDescent="0.35">
      <c r="A18" t="s">
        <v>53</v>
      </c>
      <c r="B18" s="2">
        <f t="shared" si="2"/>
        <v>9.6913364943480323E-2</v>
      </c>
      <c r="C18" s="2">
        <f t="shared" si="3"/>
        <v>0.10446304324603459</v>
      </c>
      <c r="D18" s="2">
        <f t="shared" si="4"/>
        <v>0.11249660403062217</v>
      </c>
      <c r="E18" s="2">
        <f t="shared" si="5"/>
        <v>0.12217014883763665</v>
      </c>
      <c r="F18" s="2">
        <f t="shared" si="6"/>
        <v>0.15016641213603096</v>
      </c>
      <c r="G18" s="2">
        <f t="shared" si="7"/>
        <v>0.12456363157123919</v>
      </c>
      <c r="H18" s="2">
        <f t="shared" si="8"/>
        <v>9.2054922120073782E-2</v>
      </c>
      <c r="I18" s="2">
        <f t="shared" si="9"/>
        <v>6.6937219196741199E-2</v>
      </c>
      <c r="J18" s="2">
        <f t="shared" si="10"/>
        <v>6.0743526043546645E-2</v>
      </c>
      <c r="K18" s="2">
        <f t="shared" si="11"/>
        <v>4.9637750127279161E-2</v>
      </c>
      <c r="L18" s="2">
        <f t="shared" si="12"/>
        <v>3.4782301231530116E-2</v>
      </c>
      <c r="M18" s="2">
        <f t="shared" si="13"/>
        <v>6.0347602994969579E-2</v>
      </c>
      <c r="N18" s="2">
        <f t="shared" si="14"/>
        <v>5.642719952778142E-2</v>
      </c>
      <c r="O18" s="2">
        <f t="shared" si="15"/>
        <v>6.0156276845416107E-2</v>
      </c>
      <c r="P18" s="2">
        <f t="shared" si="16"/>
        <v>5.6465320106342157E-2</v>
      </c>
      <c r="Q18" s="2">
        <f t="shared" si="17"/>
        <v>5.6975990388823762E-2</v>
      </c>
      <c r="R18" s="2">
        <f t="shared" si="18"/>
        <v>5.5381982762546085E-2</v>
      </c>
      <c r="S18" s="2">
        <f t="shared" si="19"/>
        <v>6.1764273391332107E-2</v>
      </c>
      <c r="T18" s="2">
        <f t="shared" si="20"/>
        <v>5.3816529781264527E-2</v>
      </c>
      <c r="U18" s="2">
        <f t="shared" si="21"/>
        <v>3.8846922084220387E-2</v>
      </c>
      <c r="V18" s="2">
        <f t="shared" si="22"/>
        <v>4.9094698632715622E-2</v>
      </c>
      <c r="W18" s="2">
        <f t="shared" si="1"/>
        <v>3.972504008813179E-2</v>
      </c>
    </row>
    <row r="19" spans="1:23" x14ac:dyDescent="0.35">
      <c r="A19" t="s">
        <v>54</v>
      </c>
      <c r="B19" s="2">
        <f t="shared" si="2"/>
        <v>7.4798377584055694E-5</v>
      </c>
      <c r="C19" s="2">
        <f t="shared" si="3"/>
        <v>1.0994354911523314E-4</v>
      </c>
      <c r="D19" s="2">
        <f t="shared" si="4"/>
        <v>1.6145260814749444E-4</v>
      </c>
      <c r="E19" s="2">
        <f t="shared" si="5"/>
        <v>3.1209783638249256E-4</v>
      </c>
      <c r="F19" s="2">
        <f t="shared" si="6"/>
        <v>5.9077101621922402E-4</v>
      </c>
      <c r="G19" s="2">
        <f t="shared" si="7"/>
        <v>7.6020094430535032E-4</v>
      </c>
      <c r="H19" s="2">
        <f t="shared" si="8"/>
        <v>9.3862231091367421E-4</v>
      </c>
      <c r="I19" s="2">
        <f t="shared" si="9"/>
        <v>1.1712276212566763E-3</v>
      </c>
      <c r="J19" s="2">
        <f t="shared" si="10"/>
        <v>1.7659729077933218E-3</v>
      </c>
      <c r="K19" s="2">
        <f t="shared" si="11"/>
        <v>1.3972863371377962E-3</v>
      </c>
      <c r="L19" s="2">
        <f t="shared" si="12"/>
        <v>4.2530105289678025E-3</v>
      </c>
      <c r="M19" s="2">
        <f t="shared" si="13"/>
        <v>5.7748783436275446E-3</v>
      </c>
      <c r="N19" s="2">
        <f t="shared" si="14"/>
        <v>8.4230935110157501E-3</v>
      </c>
      <c r="O19" s="2">
        <f t="shared" si="15"/>
        <v>6.2881600075281579E-3</v>
      </c>
      <c r="P19" s="2">
        <f t="shared" si="16"/>
        <v>7.0061634316697999E-3</v>
      </c>
      <c r="Q19" s="2">
        <f t="shared" si="17"/>
        <v>8.2674979954836855E-3</v>
      </c>
      <c r="R19" s="2">
        <f t="shared" si="18"/>
        <v>1.0029734961871888E-2</v>
      </c>
      <c r="S19" s="2">
        <f t="shared" si="19"/>
        <v>1.121125661281515E-2</v>
      </c>
      <c r="T19" s="2">
        <f t="shared" si="20"/>
        <v>1.1706962015382542E-2</v>
      </c>
      <c r="U19" s="2">
        <f t="shared" si="21"/>
        <v>1.0669340851738906E-2</v>
      </c>
      <c r="V19" s="2">
        <f t="shared" si="22"/>
        <v>8.0503108316999535E-3</v>
      </c>
      <c r="W19" s="2">
        <f t="shared" si="1"/>
        <v>1.25088000482817E-2</v>
      </c>
    </row>
    <row r="20" spans="1:23" x14ac:dyDescent="0.35">
      <c r="A20" t="s">
        <v>55</v>
      </c>
      <c r="B20" s="2">
        <f t="shared" si="2"/>
        <v>3.0453786456858297E-4</v>
      </c>
      <c r="C20" s="2">
        <f t="shared" si="3"/>
        <v>4.4762967797019946E-4</v>
      </c>
      <c r="D20" s="2">
        <f t="shared" si="4"/>
        <v>6.5734624335952313E-4</v>
      </c>
      <c r="E20" s="2">
        <f t="shared" si="5"/>
        <v>1.270690778307197E-3</v>
      </c>
      <c r="F20" s="2">
        <f t="shared" si="6"/>
        <v>2.4052947341837131E-3</v>
      </c>
      <c r="G20" s="2">
        <f t="shared" si="7"/>
        <v>3.0951202378903114E-3</v>
      </c>
      <c r="H20" s="2">
        <f t="shared" si="8"/>
        <v>3.8215539351887096E-3</v>
      </c>
      <c r="I20" s="2">
        <f t="shared" si="9"/>
        <v>4.7685948575612053E-3</v>
      </c>
      <c r="J20" s="2">
        <f t="shared" si="10"/>
        <v>7.1900706351682954E-3</v>
      </c>
      <c r="K20" s="2">
        <f t="shared" si="11"/>
        <v>5.6889816470231626E-3</v>
      </c>
      <c r="L20" s="2">
        <f t="shared" si="12"/>
        <v>1.7315920295517807E-2</v>
      </c>
      <c r="M20" s="2">
        <f t="shared" si="13"/>
        <v>2.3512129216109803E-2</v>
      </c>
      <c r="N20" s="2">
        <f t="shared" si="14"/>
        <v>2.4272564463387415E-2</v>
      </c>
      <c r="O20" s="2">
        <f t="shared" si="15"/>
        <v>3.0483367633762089E-2</v>
      </c>
      <c r="P20" s="2">
        <f t="shared" si="16"/>
        <v>4.5585876241330259E-2</v>
      </c>
      <c r="Q20" s="2">
        <f t="shared" si="17"/>
        <v>4.2268835417571871E-2</v>
      </c>
      <c r="R20" s="2">
        <f t="shared" si="18"/>
        <v>5.3249031947542297E-2</v>
      </c>
      <c r="S20" s="2">
        <f t="shared" si="19"/>
        <v>4.6368126694090864E-2</v>
      </c>
      <c r="T20" s="2">
        <f t="shared" si="20"/>
        <v>5.4490389069374666E-2</v>
      </c>
      <c r="U20" s="2">
        <f t="shared" si="21"/>
        <v>4.8575092267604834E-2</v>
      </c>
      <c r="V20" s="2">
        <f t="shared" si="22"/>
        <v>9.3955868905073861E-2</v>
      </c>
      <c r="W20" s="2">
        <f t="shared" si="1"/>
        <v>7.6024687498005519E-2</v>
      </c>
    </row>
    <row r="21" spans="1:23" x14ac:dyDescent="0.35">
      <c r="A21" t="s">
        <v>56</v>
      </c>
      <c r="B21" s="2">
        <f t="shared" si="2"/>
        <v>6.073863157032666E-3</v>
      </c>
      <c r="C21" s="2">
        <f t="shared" si="3"/>
        <v>6.0125740414191924E-3</v>
      </c>
      <c r="D21" s="2">
        <f t="shared" si="4"/>
        <v>5.9463930204497716E-3</v>
      </c>
      <c r="E21" s="2">
        <f t="shared" si="5"/>
        <v>5.8646652971938371E-3</v>
      </c>
      <c r="F21" s="2">
        <f t="shared" si="6"/>
        <v>5.6639000716917571E-3</v>
      </c>
      <c r="G21" s="2">
        <f t="shared" si="7"/>
        <v>5.8008726861186978E-3</v>
      </c>
      <c r="H21" s="2">
        <f t="shared" si="8"/>
        <v>5.9929903586854261E-3</v>
      </c>
      <c r="I21" s="2">
        <f t="shared" si="9"/>
        <v>6.1809176151987983E-3</v>
      </c>
      <c r="J21" s="2">
        <f t="shared" si="10"/>
        <v>6.1813447599124872E-3</v>
      </c>
      <c r="K21" s="2">
        <f t="shared" si="11"/>
        <v>6.2882357012413129E-3</v>
      </c>
      <c r="L21" s="2">
        <f t="shared" si="12"/>
        <v>6.2497660419597555E-3</v>
      </c>
      <c r="M21" s="2">
        <f t="shared" si="13"/>
        <v>5.9749346105116173E-3</v>
      </c>
      <c r="N21" s="2">
        <f t="shared" si="14"/>
        <v>8.0346279265698945E-3</v>
      </c>
      <c r="O21" s="2">
        <f t="shared" si="15"/>
        <v>9.0912959884696352E-3</v>
      </c>
      <c r="P21" s="2">
        <f t="shared" si="16"/>
        <v>8.9476656588391781E-3</v>
      </c>
      <c r="Q21" s="2">
        <f t="shared" si="17"/>
        <v>7.7415672208737399E-3</v>
      </c>
      <c r="R21" s="2">
        <f t="shared" si="18"/>
        <v>9.0144745020965394E-3</v>
      </c>
      <c r="S21" s="2">
        <f t="shared" si="19"/>
        <v>7.4735056904686563E-3</v>
      </c>
      <c r="T21" s="2">
        <f t="shared" si="20"/>
        <v>8.2049255212369807E-3</v>
      </c>
      <c r="U21" s="2">
        <f t="shared" si="21"/>
        <v>2.5551345175370093E-2</v>
      </c>
      <c r="V21" s="2">
        <f t="shared" si="22"/>
        <v>1.3412102452560717E-2</v>
      </c>
      <c r="W21" s="2">
        <f t="shared" si="1"/>
        <v>7.9450080176263552E-3</v>
      </c>
    </row>
    <row r="22" spans="1:23" x14ac:dyDescent="0.35">
      <c r="A22" t="s">
        <v>57</v>
      </c>
      <c r="B22" s="2">
        <f t="shared" si="2"/>
        <v>1</v>
      </c>
      <c r="C22" s="2">
        <f t="shared" si="3"/>
        <v>1</v>
      </c>
      <c r="D22" s="2">
        <f t="shared" si="4"/>
        <v>1</v>
      </c>
      <c r="E22" s="2">
        <f t="shared" si="5"/>
        <v>1</v>
      </c>
      <c r="F22" s="2">
        <f t="shared" si="6"/>
        <v>1</v>
      </c>
      <c r="G22" s="2">
        <f t="shared" si="7"/>
        <v>1</v>
      </c>
      <c r="H22" s="2">
        <f t="shared" si="8"/>
        <v>1</v>
      </c>
      <c r="I22" s="2">
        <f t="shared" si="9"/>
        <v>1</v>
      </c>
      <c r="J22" s="2">
        <f t="shared" si="10"/>
        <v>1</v>
      </c>
      <c r="K22" s="2">
        <f t="shared" si="11"/>
        <v>1</v>
      </c>
      <c r="L22" s="2">
        <f t="shared" si="12"/>
        <v>1</v>
      </c>
      <c r="M22" s="2">
        <f t="shared" si="13"/>
        <v>1</v>
      </c>
      <c r="N22" s="2">
        <f t="shared" si="14"/>
        <v>1</v>
      </c>
      <c r="O22" s="2">
        <f t="shared" si="15"/>
        <v>1</v>
      </c>
      <c r="P22" s="2">
        <f t="shared" si="16"/>
        <v>1</v>
      </c>
      <c r="Q22" s="2">
        <f t="shared" si="17"/>
        <v>1</v>
      </c>
      <c r="R22" s="2">
        <f t="shared" si="18"/>
        <v>1</v>
      </c>
      <c r="S22" s="2">
        <f t="shared" si="19"/>
        <v>1</v>
      </c>
      <c r="T22" s="2">
        <f t="shared" si="20"/>
        <v>1</v>
      </c>
      <c r="U22" s="2">
        <f t="shared" si="21"/>
        <v>1</v>
      </c>
      <c r="V22" s="2">
        <f t="shared" si="22"/>
        <v>1</v>
      </c>
      <c r="W22" s="2">
        <f t="shared" si="1"/>
        <v>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8792-B9CA-4A99-9652-E3C16CB1582F}">
  <sheetPr>
    <tabColor theme="7" tint="0.79998168889431442"/>
  </sheetPr>
  <dimension ref="A1:AZ43"/>
  <sheetViews>
    <sheetView topLeftCell="L1" zoomScale="70" zoomScaleNormal="70" workbookViewId="0"/>
  </sheetViews>
  <sheetFormatPr baseColWidth="10" defaultRowHeight="14.5" x14ac:dyDescent="0.35"/>
  <cols>
    <col min="1" max="1" width="29.6328125" customWidth="1"/>
    <col min="2" max="3" width="12.6328125" hidden="1" customWidth="1"/>
    <col min="4" max="4" width="12" hidden="1" customWidth="1"/>
    <col min="5" max="11" width="11" hidden="1" customWidth="1"/>
    <col min="12" max="12" width="11" customWidth="1"/>
    <col min="13" max="13" width="11.26953125" bestFit="1" customWidth="1"/>
    <col min="14" max="14" width="11.26953125" customWidth="1"/>
    <col min="15" max="22" width="11.26953125" bestFit="1" customWidth="1"/>
    <col min="23" max="23" width="15.453125" customWidth="1"/>
  </cols>
  <sheetData>
    <row r="1" spans="1:52" x14ac:dyDescent="0.35">
      <c r="A1" s="1" t="s">
        <v>66</v>
      </c>
      <c r="D1" s="1"/>
      <c r="E1" s="1"/>
      <c r="F1" s="1"/>
      <c r="G1" s="1"/>
      <c r="H1" s="1"/>
      <c r="I1" s="1"/>
      <c r="J1" s="1"/>
      <c r="K1" s="1"/>
      <c r="M1" s="1" t="s">
        <v>69</v>
      </c>
      <c r="N1" s="1" t="s">
        <v>75</v>
      </c>
      <c r="O1" s="1"/>
      <c r="P1" s="1"/>
      <c r="Q1" s="1"/>
      <c r="R1" s="1"/>
      <c r="S1" s="1"/>
      <c r="T1" s="1"/>
      <c r="U1" s="1"/>
      <c r="V1" s="1"/>
    </row>
    <row r="2" spans="1:5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52" x14ac:dyDescent="0.35">
      <c r="A3" t="s">
        <v>36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  <c r="Z3" s="10">
        <v>2024</v>
      </c>
      <c r="AA3" s="10">
        <v>2025</v>
      </c>
      <c r="AB3" s="10">
        <v>2026</v>
      </c>
      <c r="AC3" s="10">
        <v>2027</v>
      </c>
      <c r="AD3" s="10">
        <v>2028</v>
      </c>
      <c r="AE3" s="10">
        <v>2029</v>
      </c>
      <c r="AF3" s="10">
        <v>2030</v>
      </c>
      <c r="AG3" s="10">
        <v>2031</v>
      </c>
      <c r="AH3" s="10">
        <v>2032</v>
      </c>
      <c r="AI3" s="10">
        <v>2033</v>
      </c>
      <c r="AJ3" s="10">
        <v>2034</v>
      </c>
      <c r="AK3" s="10">
        <v>2035</v>
      </c>
      <c r="AL3" s="10">
        <v>2036</v>
      </c>
      <c r="AM3" s="10">
        <v>2037</v>
      </c>
      <c r="AN3" s="10">
        <v>2038</v>
      </c>
      <c r="AO3" s="10">
        <v>2039</v>
      </c>
      <c r="AP3" s="10">
        <v>2040</v>
      </c>
      <c r="AQ3" s="10">
        <v>2041</v>
      </c>
      <c r="AR3" s="10">
        <v>2042</v>
      </c>
      <c r="AS3" s="10">
        <v>2043</v>
      </c>
      <c r="AT3" s="10">
        <v>2044</v>
      </c>
      <c r="AU3" s="10">
        <v>2045</v>
      </c>
      <c r="AV3" s="10">
        <v>2046</v>
      </c>
      <c r="AW3" s="10">
        <v>2047</v>
      </c>
      <c r="AX3" s="10">
        <v>2048</v>
      </c>
      <c r="AY3" s="10">
        <v>2049</v>
      </c>
      <c r="AZ3" s="10">
        <v>2050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2">
        <v>5.7713199348180333E-3</v>
      </c>
      <c r="N4" s="12">
        <v>8.4074150644338781E-3</v>
      </c>
      <c r="O4" s="12">
        <v>6.2757271070922466E-3</v>
      </c>
      <c r="P4" s="12">
        <v>6.9920756475993877E-3</v>
      </c>
      <c r="Q4" s="12">
        <v>8.2553302132085289E-3</v>
      </c>
      <c r="R4" s="12">
        <v>1.0022550739163118E-2</v>
      </c>
      <c r="S4" s="12">
        <v>1.1206659338907844E-2</v>
      </c>
      <c r="T4" s="12">
        <v>1.1707441805247345E-2</v>
      </c>
      <c r="U4" s="12">
        <v>1.0669340851738906E-2</v>
      </c>
      <c r="V4" s="12">
        <v>8.0450196046563619E-3</v>
      </c>
      <c r="W4" s="44">
        <v>1.271256682645153E-2</v>
      </c>
    </row>
    <row r="5" spans="1:52" x14ac:dyDescent="0.35">
      <c r="A5" s="14" t="s">
        <v>32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15">
        <v>5.7713199348180333E-3</v>
      </c>
      <c r="N5" s="15">
        <v>8.4074150644338781E-3</v>
      </c>
      <c r="O5" s="15">
        <v>6.2757271070922466E-3</v>
      </c>
      <c r="P5" s="15">
        <v>6.9920756475993877E-3</v>
      </c>
      <c r="Q5" s="15">
        <v>8.2553302132085289E-3</v>
      </c>
      <c r="R5" s="15">
        <v>1.0022550739163118E-2</v>
      </c>
      <c r="S5" s="15">
        <v>1.1206659338907844E-2</v>
      </c>
      <c r="T5" s="15">
        <v>1.1707441805247345E-2</v>
      </c>
      <c r="U5" s="15">
        <v>1.0669340851738906E-2</v>
      </c>
      <c r="V5" s="16">
        <v>8.0450196046563619E-3</v>
      </c>
      <c r="W5" s="16">
        <v>1.271256682645153E-2</v>
      </c>
      <c r="X5" s="43">
        <f>'Weighted Average'!X32</f>
        <v>8.5487469544314534E-3</v>
      </c>
      <c r="Y5" s="43">
        <f>'Weighted Average'!Y32</f>
        <v>8.8920000000000006E-3</v>
      </c>
      <c r="Z5" s="43">
        <f>'Weighted Average'!Z32</f>
        <v>9.2476800000000012E-3</v>
      </c>
      <c r="AA5" s="43">
        <f>'Weighted Average'!AA32</f>
        <v>9.7100640000000009E-3</v>
      </c>
      <c r="AB5" s="43">
        <f>'Weighted Average'!AB32</f>
        <v>1.0195567200000002E-2</v>
      </c>
      <c r="AC5" s="43">
        <f>'Weighted Average'!AC32</f>
        <v>1.0705345560000003E-2</v>
      </c>
      <c r="AD5" s="43">
        <f>'Weighted Average'!AD32</f>
        <v>1.1240612838000003E-2</v>
      </c>
      <c r="AE5" s="43">
        <f>'Weighted Average'!AE32</f>
        <v>1.1802643479900003E-2</v>
      </c>
      <c r="AF5" s="43">
        <f>'Weighted Average'!AF32</f>
        <v>1.2392775653895004E-2</v>
      </c>
      <c r="AG5" s="43">
        <f>'Weighted Average'!AG32</f>
        <v>1.3260269949667655E-2</v>
      </c>
      <c r="AH5" s="43">
        <f>'Weighted Average'!AH32</f>
        <v>1.4188488846144392E-2</v>
      </c>
      <c r="AI5" s="43">
        <f>'Weighted Average'!AI32</f>
        <v>1.5181683065374499E-2</v>
      </c>
      <c r="AJ5" s="43">
        <f>'Weighted Average'!AJ32</f>
        <v>1.6244400879950716E-2</v>
      </c>
      <c r="AK5" s="43">
        <f>'Weighted Average'!AK32</f>
        <v>1.7381508941547268E-2</v>
      </c>
      <c r="AL5" s="43">
        <f>'Weighted Average'!AL32</f>
        <v>1.877202965687105E-2</v>
      </c>
      <c r="AM5" s="43">
        <f>'Weighted Average'!AM32</f>
        <v>2.0273792029420735E-2</v>
      </c>
      <c r="AN5" s="43">
        <f>'Weighted Average'!AN32</f>
        <v>2.1895695391774394E-2</v>
      </c>
      <c r="AO5" s="43">
        <f>'Weighted Average'!AO32</f>
        <v>2.3647351023116346E-2</v>
      </c>
      <c r="AP5" s="43">
        <f>'Weighted Average'!AP32</f>
        <v>2.5539139104965653E-2</v>
      </c>
      <c r="AQ5" s="43">
        <f>'Weighted Average'!AQ32</f>
        <v>2.7582270233362904E-2</v>
      </c>
      <c r="AR5" s="43">
        <f>'Weighted Average'!AR32</f>
        <v>2.9788851852031936E-2</v>
      </c>
      <c r="AS5" s="43">
        <f>'Weighted Average'!AS32</f>
        <v>3.217196000019449E-2</v>
      </c>
      <c r="AT5" s="43">
        <f>'Weighted Average'!AT32</f>
        <v>3.4745716800210047E-2</v>
      </c>
      <c r="AU5" s="43">
        <f>'Weighted Average'!AU32</f>
        <v>3.7525374144226853E-2</v>
      </c>
      <c r="AV5" s="43">
        <f>'Weighted Average'!AV32</f>
        <v>4.0902657817207269E-2</v>
      </c>
      <c r="AW5" s="43">
        <f>'Weighted Average'!AW32</f>
        <v>4.4583897020755922E-2</v>
      </c>
      <c r="AX5" s="43">
        <f>'Weighted Average'!AX32</f>
        <v>4.8596447752623957E-2</v>
      </c>
      <c r="AY5" s="43">
        <f>'Weighted Average'!AY32</f>
        <v>5.297012805036011E-2</v>
      </c>
      <c r="AZ5" s="43">
        <f>'Weighted Average'!AZ32</f>
        <v>5.7737439574892517E-2</v>
      </c>
    </row>
    <row r="6" spans="1:52" x14ac:dyDescent="0.35">
      <c r="A6" s="1"/>
      <c r="B6" s="26"/>
      <c r="C6" s="26"/>
      <c r="D6" s="25"/>
      <c r="E6" s="25"/>
      <c r="F6" s="25"/>
      <c r="G6" s="25"/>
      <c r="H6" s="25"/>
      <c r="I6" s="25"/>
      <c r="J6" s="25"/>
      <c r="K6" s="25"/>
      <c r="L6" s="25"/>
      <c r="M6" s="1"/>
      <c r="N6" s="1"/>
      <c r="O6" s="1"/>
      <c r="P6" s="1"/>
      <c r="Q6" s="1"/>
      <c r="R6" s="1"/>
      <c r="S6" s="1"/>
      <c r="T6" s="1"/>
      <c r="U6" s="1"/>
      <c r="V6" s="7"/>
      <c r="X6" s="6" t="s">
        <v>78</v>
      </c>
    </row>
    <row r="7" spans="1:52" x14ac:dyDescent="0.35">
      <c r="A7" s="1"/>
      <c r="B7" s="1"/>
      <c r="C7" s="1"/>
      <c r="D7" s="9"/>
      <c r="E7" s="9"/>
      <c r="F7" s="9"/>
      <c r="G7" s="9"/>
      <c r="H7" s="9"/>
      <c r="I7" s="9"/>
      <c r="J7" s="9"/>
      <c r="K7" s="9"/>
      <c r="L7" s="9"/>
      <c r="M7" s="1"/>
      <c r="N7" s="1"/>
      <c r="O7" s="1"/>
      <c r="P7" s="1"/>
      <c r="Q7" s="1"/>
      <c r="R7" s="1"/>
      <c r="S7" s="1"/>
      <c r="T7" s="1"/>
      <c r="U7" s="1"/>
      <c r="V7" s="7"/>
      <c r="X7" s="105" t="s">
        <v>79</v>
      </c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</row>
    <row r="8" spans="1:52" x14ac:dyDescent="0.35">
      <c r="A8" s="1"/>
      <c r="B8">
        <v>2000</v>
      </c>
      <c r="C8">
        <v>2001</v>
      </c>
      <c r="D8">
        <v>2002</v>
      </c>
      <c r="E8">
        <v>2003</v>
      </c>
      <c r="F8">
        <v>2004</v>
      </c>
      <c r="G8">
        <v>2005</v>
      </c>
      <c r="H8">
        <v>2006</v>
      </c>
      <c r="I8">
        <v>2007</v>
      </c>
      <c r="J8">
        <v>2008</v>
      </c>
      <c r="K8">
        <v>2009</v>
      </c>
      <c r="L8">
        <v>2010</v>
      </c>
      <c r="M8" s="1">
        <v>2011</v>
      </c>
      <c r="N8" s="1">
        <v>2012</v>
      </c>
      <c r="O8" s="1">
        <v>2013</v>
      </c>
      <c r="P8" s="1">
        <v>2014</v>
      </c>
      <c r="Q8" s="1">
        <v>2015</v>
      </c>
      <c r="R8" s="1">
        <v>2016</v>
      </c>
      <c r="S8" s="1">
        <v>2017</v>
      </c>
      <c r="T8" s="1">
        <v>2018</v>
      </c>
      <c r="U8" s="1">
        <v>2019</v>
      </c>
      <c r="V8" s="1">
        <v>2020</v>
      </c>
      <c r="W8" s="1">
        <v>2021</v>
      </c>
      <c r="X8" s="47">
        <v>2022</v>
      </c>
      <c r="Y8" s="47">
        <v>2023</v>
      </c>
      <c r="Z8" s="47">
        <v>2024</v>
      </c>
      <c r="AA8" s="47">
        <v>2025</v>
      </c>
      <c r="AB8" s="47">
        <v>2026</v>
      </c>
      <c r="AC8" s="47">
        <v>2027</v>
      </c>
      <c r="AD8" s="47">
        <v>2028</v>
      </c>
      <c r="AE8" s="47">
        <v>2029</v>
      </c>
      <c r="AF8" s="47">
        <v>2030</v>
      </c>
      <c r="AG8" s="47">
        <v>2031</v>
      </c>
      <c r="AH8" s="47">
        <v>2032</v>
      </c>
      <c r="AI8" s="47">
        <v>2033</v>
      </c>
      <c r="AJ8" s="47">
        <v>2034</v>
      </c>
      <c r="AK8" s="47">
        <v>2035</v>
      </c>
      <c r="AL8" s="47">
        <v>2036</v>
      </c>
      <c r="AM8" s="47">
        <v>2037</v>
      </c>
      <c r="AN8" s="47">
        <v>2038</v>
      </c>
      <c r="AO8" s="47">
        <v>2039</v>
      </c>
      <c r="AP8" s="47">
        <v>2040</v>
      </c>
      <c r="AQ8" s="47">
        <v>2041</v>
      </c>
      <c r="AR8" s="47">
        <v>2042</v>
      </c>
      <c r="AS8" s="47">
        <v>2043</v>
      </c>
      <c r="AT8" s="47">
        <v>2044</v>
      </c>
      <c r="AU8" s="47">
        <v>2045</v>
      </c>
      <c r="AV8" s="47">
        <v>2046</v>
      </c>
      <c r="AW8" s="47">
        <v>2047</v>
      </c>
      <c r="AX8" s="47">
        <v>2048</v>
      </c>
      <c r="AY8" s="47">
        <v>2049</v>
      </c>
      <c r="AZ8" s="47">
        <v>2050</v>
      </c>
    </row>
    <row r="9" spans="1:52" x14ac:dyDescent="0.35">
      <c r="A9" s="1" t="s">
        <v>0</v>
      </c>
      <c r="B9" s="23">
        <f>C9/1.34</f>
        <v>0.65917077238366584</v>
      </c>
      <c r="C9" s="23">
        <f>D9/1.34</f>
        <v>0.88328883499411226</v>
      </c>
      <c r="D9" s="23">
        <f>E9/1.5</f>
        <v>1.1836070388921105</v>
      </c>
      <c r="E9" s="23">
        <f>F9/1.5</f>
        <v>1.7754105583381659</v>
      </c>
      <c r="F9" s="23">
        <f>G9/1.22</f>
        <v>2.6631158375072488</v>
      </c>
      <c r="G9" s="23">
        <f>H9/1.18</f>
        <v>3.2490013217588434</v>
      </c>
      <c r="H9" s="23">
        <f>I9/1.19</f>
        <v>3.8338215596754348</v>
      </c>
      <c r="I9" s="23">
        <f>J9/1.35</f>
        <v>4.562247656013767</v>
      </c>
      <c r="J9" s="23">
        <f>K9/(1-0.26)</f>
        <v>6.1590343356185855</v>
      </c>
      <c r="K9" s="23">
        <f>L9/1.68</f>
        <v>4.5576854083577532</v>
      </c>
      <c r="L9" s="23">
        <f>M9/1.31</f>
        <v>7.6569114860410243</v>
      </c>
      <c r="M9" s="4">
        <f>$M$5*'Eurostat Collected Portables'!M3</f>
        <v>10.030554046713743</v>
      </c>
      <c r="N9" s="4">
        <f>$N$5*'Eurostat Collected Portables'!N3</f>
        <v>16.049755358004273</v>
      </c>
      <c r="O9" s="4">
        <f>$O$5*'Eurostat Collected Portables'!O3</f>
        <v>12.400836763614279</v>
      </c>
      <c r="P9" s="4">
        <f>$P$5*'Eurostat Collected Portables'!P3</f>
        <v>14.662382633015916</v>
      </c>
      <c r="Q9" s="4">
        <f>$Q$5*'Eurostat Collected Portables'!Q3</f>
        <v>18.979004160166408</v>
      </c>
      <c r="R9" s="4">
        <f>$R$5*'Eurostat Collected Portables'!R3</f>
        <v>21.929341017288902</v>
      </c>
      <c r="S9" s="4">
        <f>$S$5*'Eurostat Collected Portables'!S3</f>
        <v>23.724497820467906</v>
      </c>
      <c r="T9" s="4">
        <f>$T$5*'Eurostat Collected Portables'!T3</f>
        <v>26.575892897911473</v>
      </c>
      <c r="U9" s="4">
        <f>$U$5*'Eurostat Collected Portables'!U3</f>
        <v>25.350353863731641</v>
      </c>
      <c r="V9" s="4">
        <f>$V$5*'Eurostat Collected Portables'!V3</f>
        <v>22.759360461572847</v>
      </c>
      <c r="W9" s="4">
        <f>$W$5*'Eurostat Collected Portables'!W3</f>
        <v>35.213810109270739</v>
      </c>
      <c r="X9" s="67">
        <f>X$5*'Eurostat Collected Portables'!X3</f>
        <v>24.757161061929512</v>
      </c>
      <c r="Y9" s="67">
        <f>Y$5*'Eurostat Collected Portables'!Y3</f>
        <v>26.443869309069711</v>
      </c>
      <c r="Z9" s="67">
        <f>Z$5*'Eurostat Collected Portables'!Z3</f>
        <v>28.949396994807334</v>
      </c>
      <c r="AA9" s="67">
        <f>AA$5*'Eurostat Collected Portables'!AA3</f>
        <v>32.050417846626807</v>
      </c>
      <c r="AB9" s="67">
        <f>AB$5*'Eurostat Collected Portables'!AB3</f>
        <v>35.398662497978371</v>
      </c>
      <c r="AC9" s="67">
        <f>AC$5*'Eurostat Collected Portables'!AC3</f>
        <v>39.055458428118165</v>
      </c>
      <c r="AD9" s="67">
        <f>AD$5*'Eurostat Collected Portables'!AD3</f>
        <v>43.134042963440329</v>
      </c>
      <c r="AE9" s="67">
        <f>AE$5*'Eurostat Collected Portables'!AE3</f>
        <v>47.910603938941911</v>
      </c>
      <c r="AF9" s="67">
        <f>AF$5*'Eurostat Collected Portables'!AF3</f>
        <v>53.436161573206626</v>
      </c>
      <c r="AG9" s="67">
        <f>AG$5*'Eurostat Collected Portables'!AG3</f>
        <v>60.507156848266327</v>
      </c>
      <c r="AH9" s="67">
        <f>AH$5*'Eurostat Collected Portables'!AH3</f>
        <v>68.190312892214209</v>
      </c>
      <c r="AI9" s="67">
        <f>AI$5*'Eurostat Collected Portables'!AI3</f>
        <v>76.488770387344957</v>
      </c>
      <c r="AJ9" s="67">
        <f>AJ$5*'Eurostat Collected Portables'!AJ3</f>
        <v>85.82290694634824</v>
      </c>
      <c r="AK9" s="67">
        <f>AK$5*'Eurostat Collected Portables'!AK3</f>
        <v>96.326408740252347</v>
      </c>
      <c r="AL9" s="67">
        <f>AL$5*'Eurostat Collected Portables'!AL3</f>
        <v>109.16010281673276</v>
      </c>
      <c r="AM9" s="67">
        <f>AM$5*'Eurostat Collected Portables'!AM3</f>
        <v>123.74243905187105</v>
      </c>
      <c r="AN9" s="67">
        <f>AN$5*'Eurostat Collected Portables'!AN3</f>
        <v>140.31664799106821</v>
      </c>
      <c r="AO9" s="67">
        <f>AO$5*'Eurostat Collected Portables'!AO3</f>
        <v>159.12843627068301</v>
      </c>
      <c r="AP9" s="67">
        <f>AP$5*'Eurostat Collected Portables'!AP3</f>
        <v>180.22900933179463</v>
      </c>
      <c r="AQ9" s="67">
        <f>AQ$5*'Eurostat Collected Portables'!AQ3</f>
        <v>202.44185642830541</v>
      </c>
      <c r="AR9" s="67">
        <f>AR$5*'Eurostat Collected Portables'!AR3</f>
        <v>225.58826949910031</v>
      </c>
      <c r="AS9" s="67">
        <f>AS$5*'Eurostat Collected Portables'!AS3</f>
        <v>249.71116679982282</v>
      </c>
      <c r="AT9" s="67">
        <f>AT$5*'Eurostat Collected Portables'!AT3</f>
        <v>276.39294276342991</v>
      </c>
      <c r="AU9" s="67">
        <f>AU$5*'Eurostat Collected Portables'!AU3</f>
        <v>305.91326670301817</v>
      </c>
      <c r="AV9" s="67">
        <f>AV$5*'Eurostat Collected Portables'!AV3</f>
        <v>341.63576584547303</v>
      </c>
      <c r="AW9" s="67">
        <f>AW$5*'Eurostat Collected Portables'!AW3</f>
        <v>381.43491529432021</v>
      </c>
      <c r="AX9" s="67">
        <f>AX$5*'Eurostat Collected Portables'!AX3</f>
        <v>425.76578455988744</v>
      </c>
      <c r="AY9" s="67">
        <f>AY$5*'Eurostat Collected Portables'!AY3</f>
        <v>475.22925205118707</v>
      </c>
      <c r="AZ9" s="67">
        <f>AZ$5*'Eurostat Collected Portables'!AZ3</f>
        <v>530.41784369804316</v>
      </c>
    </row>
    <row r="10" spans="1:52" x14ac:dyDescent="0.35">
      <c r="A10" s="1" t="s">
        <v>1</v>
      </c>
      <c r="B10" s="23">
        <f t="shared" ref="B10:C10" si="0">C10/1.34</f>
        <v>0.84539220462784304</v>
      </c>
      <c r="C10" s="23">
        <f t="shared" si="0"/>
        <v>1.1328255542013097</v>
      </c>
      <c r="D10" s="23">
        <f t="shared" ref="D10:E10" si="1">E10/1.5</f>
        <v>1.517986242629755</v>
      </c>
      <c r="E10" s="23">
        <f t="shared" si="1"/>
        <v>2.2769793639446325</v>
      </c>
      <c r="F10" s="23">
        <f t="shared" ref="F10:F39" si="2">G10/1.22</f>
        <v>3.4154690459169488</v>
      </c>
      <c r="G10" s="23">
        <f t="shared" ref="G10:G39" si="3">H10/1.18</f>
        <v>4.1668722360186772</v>
      </c>
      <c r="H10" s="23">
        <f t="shared" ref="H10:H39" si="4">I10/1.19</f>
        <v>4.916909238502039</v>
      </c>
      <c r="I10" s="23">
        <f t="shared" ref="I10:I39" si="5">J10/1.35</f>
        <v>5.8511219938174257</v>
      </c>
      <c r="J10" s="23">
        <f t="shared" ref="J10:J39" si="6">K10/(1-0.26)</f>
        <v>7.8990146916535249</v>
      </c>
      <c r="K10" s="23">
        <f t="shared" ref="K10:K39" si="7">L10/1.68</f>
        <v>5.8452708718236082</v>
      </c>
      <c r="L10" s="23">
        <f t="shared" ref="L10:L39" si="8">M10/1.31</f>
        <v>9.8200550646636611</v>
      </c>
      <c r="M10" s="4">
        <f>$M$5*'Eurostat Collected Portables'!M4</f>
        <v>12.864272134709397</v>
      </c>
      <c r="N10" s="4">
        <f>$N$5*'Eurostat Collected Portables'!N4</f>
        <v>19.110054441458203</v>
      </c>
      <c r="O10" s="4">
        <f>$O$5*'Eurostat Collected Portables'!O4</f>
        <v>14.421620892097982</v>
      </c>
      <c r="P10" s="4">
        <f>$P$5*'Eurostat Collected Portables'!P4</f>
        <v>16.382433242325366</v>
      </c>
      <c r="Q10" s="4">
        <f>$Q$5*'Eurostat Collected Portables'!Q4</f>
        <v>20.126495059802394</v>
      </c>
      <c r="R10" s="4">
        <f>$R$5*'Eurostat Collected Portables'!R4</f>
        <v>31.601102480581311</v>
      </c>
      <c r="S10" s="4">
        <f>$S$5*'Eurostat Collected Portables'!S4</f>
        <v>31.524332720347765</v>
      </c>
      <c r="T10" s="4">
        <f>$T$5*'Eurostat Collected Portables'!T4</f>
        <v>34.361341698400956</v>
      </c>
      <c r="U10" s="4">
        <f>$U$5*'Eurostat Collected Portables'!U4</f>
        <v>36.115718783136195</v>
      </c>
      <c r="V10" s="4">
        <f>$V$5*'Eurostat Collected Portables'!V4</f>
        <v>25.333766735062884</v>
      </c>
      <c r="W10" s="4">
        <f>$W$5*'Eurostat Collected Portables'!W4</f>
        <v>43.121026675323591</v>
      </c>
      <c r="X10" s="67">
        <f>X$5*'Eurostat Collected Portables'!X4</f>
        <v>30.82181204712845</v>
      </c>
      <c r="Y10" s="67">
        <f>Y$5*'Eurostat Collected Portables'!Y4</f>
        <v>34.080808642000129</v>
      </c>
      <c r="Z10" s="67">
        <f>Z$5*'Eurostat Collected Portables'!Z4</f>
        <v>36.937234049358899</v>
      </c>
      <c r="AA10" s="67">
        <f>AA$5*'Eurostat Collected Portables'!AA4</f>
        <v>40.489938995432325</v>
      </c>
      <c r="AB10" s="67">
        <f>AB$5*'Eurostat Collected Portables'!AB4</f>
        <v>44.282940947215266</v>
      </c>
      <c r="AC10" s="67">
        <f>AC$5*'Eurostat Collected Portables'!AC4</f>
        <v>48.385377297855818</v>
      </c>
      <c r="AD10" s="67">
        <f>AD$5*'Eurostat Collected Portables'!AD4</f>
        <v>52.927454193145266</v>
      </c>
      <c r="AE10" s="67">
        <f>AE$5*'Eurostat Collected Portables'!AE4</f>
        <v>58.232530176455143</v>
      </c>
      <c r="AF10" s="67">
        <f>AF$5*'Eurostat Collected Portables'!AF4</f>
        <v>64.340773444872951</v>
      </c>
      <c r="AG10" s="67">
        <f>AG$5*'Eurostat Collected Portables'!AG4</f>
        <v>72.180142721073395</v>
      </c>
      <c r="AH10" s="67">
        <f>AH$5*'Eurostat Collected Portables'!AH4</f>
        <v>80.600131947137115</v>
      </c>
      <c r="AI10" s="67">
        <f>AI$5*'Eurostat Collected Portables'!AI4</f>
        <v>89.588882472317962</v>
      </c>
      <c r="AJ10" s="67">
        <f>AJ$5*'Eurostat Collected Portables'!AJ4</f>
        <v>99.619308657194424</v>
      </c>
      <c r="AK10" s="67">
        <f>AK$5*'Eurostat Collected Portables'!AK4</f>
        <v>110.81773064941969</v>
      </c>
      <c r="AL10" s="67">
        <f>AL$5*'Eurostat Collected Portables'!AL4</f>
        <v>124.47735850936721</v>
      </c>
      <c r="AM10" s="67">
        <f>AM$5*'Eurostat Collected Portables'!AM4</f>
        <v>139.87686052022514</v>
      </c>
      <c r="AN10" s="67">
        <f>AN$5*'Eurostat Collected Portables'!AN4</f>
        <v>157.24422422234781</v>
      </c>
      <c r="AO10" s="67">
        <f>AO$5*'Eurostat Collected Portables'!AO4</f>
        <v>176.80250779228379</v>
      </c>
      <c r="AP10" s="67">
        <f>AP$5*'Eurostat Collected Portables'!AP4</f>
        <v>198.55306752473641</v>
      </c>
      <c r="AQ10" s="67">
        <f>AQ$5*'Eurostat Collected Portables'!AQ4</f>
        <v>221.15613752151737</v>
      </c>
      <c r="AR10" s="67">
        <f>AR$5*'Eurostat Collected Portables'!AR4</f>
        <v>244.39754558469133</v>
      </c>
      <c r="AS10" s="67">
        <f>AS$5*'Eurostat Collected Portables'!AS4</f>
        <v>268.30834191038718</v>
      </c>
      <c r="AT10" s="67">
        <f>AT$5*'Eurostat Collected Portables'!AT4</f>
        <v>294.55926220284493</v>
      </c>
      <c r="AU10" s="67">
        <f>AU$5*'Eurostat Collected Portables'!AU4</f>
        <v>323.39002263761586</v>
      </c>
      <c r="AV10" s="67">
        <f>AV$5*'Eurostat Collected Portables'!AV4</f>
        <v>358.26689823921214</v>
      </c>
      <c r="AW10" s="67">
        <f>AW$5*'Eurostat Collected Portables'!AW4</f>
        <v>396.8357259975341</v>
      </c>
      <c r="AX10" s="67">
        <f>AX$5*'Eurostat Collected Portables'!AX4</f>
        <v>439.48030451219313</v>
      </c>
      <c r="AY10" s="67">
        <f>AY$5*'Eurostat Collected Portables'!AY4</f>
        <v>486.72203443294472</v>
      </c>
      <c r="AZ10" s="67">
        <f>AZ$5*'Eurostat Collected Portables'!AZ4</f>
        <v>539.0579779820963</v>
      </c>
    </row>
    <row r="11" spans="1:52" x14ac:dyDescent="0.35">
      <c r="A11" s="1" t="s">
        <v>2</v>
      </c>
      <c r="B11" s="23">
        <f t="shared" ref="B11:C11" si="9">C11/1.34</f>
        <v>4.0961129699330204E-2</v>
      </c>
      <c r="C11" s="23">
        <f t="shared" si="9"/>
        <v>5.4887913797102478E-2</v>
      </c>
      <c r="D11" s="23">
        <f t="shared" ref="D11:E11" si="10">E11/1.5</f>
        <v>7.3549804488117321E-2</v>
      </c>
      <c r="E11" s="23">
        <f t="shared" si="10"/>
        <v>0.11032470673217598</v>
      </c>
      <c r="F11" s="23">
        <f t="shared" si="2"/>
        <v>0.16548706009826397</v>
      </c>
      <c r="G11" s="23">
        <f t="shared" si="3"/>
        <v>0.20189421331988205</v>
      </c>
      <c r="H11" s="23">
        <f t="shared" si="4"/>
        <v>0.23823517171746081</v>
      </c>
      <c r="I11" s="23">
        <f t="shared" si="5"/>
        <v>0.28349985434377833</v>
      </c>
      <c r="J11" s="23">
        <f t="shared" si="6"/>
        <v>0.38272480336410081</v>
      </c>
      <c r="K11" s="23">
        <f t="shared" si="7"/>
        <v>0.28321635448943461</v>
      </c>
      <c r="L11" s="23">
        <f t="shared" si="8"/>
        <v>0.47580347554225011</v>
      </c>
      <c r="M11" s="4">
        <f>$M$5*'Eurostat Collected Portables'!M5</f>
        <v>0.62330255296034764</v>
      </c>
      <c r="N11" s="4">
        <f>$N$5*'Eurostat Collected Portables'!N5</f>
        <v>2.1943353318172423</v>
      </c>
      <c r="O11" s="4">
        <f>$O$5*'Eurostat Collected Portables'!O5</f>
        <v>1.5501045954517849</v>
      </c>
      <c r="P11" s="4">
        <f>$P$5*'Eurostat Collected Portables'!P5</f>
        <v>2.1185989212226146</v>
      </c>
      <c r="Q11" s="4">
        <f>$Q$5*'Eurostat Collected Portables'!Q5</f>
        <v>2.6582163286531464</v>
      </c>
      <c r="R11" s="4">
        <f>$R$5*'Eurostat Collected Portables'!R5</f>
        <v>3.6281633675770486</v>
      </c>
      <c r="S11" s="4">
        <f>$S$5*'Eurostat Collected Portables'!S5</f>
        <v>4.3481838234962433</v>
      </c>
      <c r="T11" s="4">
        <f>$T$5*'Eurostat Collected Portables'!T5</f>
        <v>4.7063916057094328</v>
      </c>
      <c r="U11" s="4">
        <f>$U$5*'Eurostat Collected Portables'!U5</f>
        <v>4.1823816138816516</v>
      </c>
      <c r="V11" s="4">
        <f>$V$5*'Eurostat Collected Portables'!V5</f>
        <v>3.2823679986997956</v>
      </c>
      <c r="W11" s="4">
        <f>$W$5*'Eurostat Collected Portables'!W5</f>
        <v>5.6952299382502858</v>
      </c>
      <c r="X11" s="67">
        <f>X$5*'Eurostat Collected Portables'!X5</f>
        <v>4.0018760857248044</v>
      </c>
      <c r="Y11" s="67">
        <f>Y$5*'Eurostat Collected Portables'!Y5</f>
        <v>4.4075555916826659</v>
      </c>
      <c r="Z11" s="67">
        <f>Z$5*'Eurostat Collected Portables'!Z5</f>
        <v>4.8204385528093825</v>
      </c>
      <c r="AA11" s="67">
        <f>AA$5*'Eurostat Collected Portables'!AA5</f>
        <v>5.3316727206920742</v>
      </c>
      <c r="AB11" s="67">
        <f>AB$5*'Eurostat Collected Portables'!AB5</f>
        <v>5.8831194874082646</v>
      </c>
      <c r="AC11" s="67">
        <f>AC$5*'Eurostat Collected Portables'!AC5</f>
        <v>6.4848750539682216</v>
      </c>
      <c r="AD11" s="67">
        <f>AD$5*'Eurostat Collected Portables'!AD5</f>
        <v>7.1556137479894826</v>
      </c>
      <c r="AE11" s="67">
        <f>AE$5*'Eurostat Collected Portables'!AE5</f>
        <v>7.9409559544105823</v>
      </c>
      <c r="AF11" s="67">
        <f>AF$5*'Eurostat Collected Portables'!AF5</f>
        <v>8.8490809148714717</v>
      </c>
      <c r="AG11" s="67">
        <f>AG$5*'Eurostat Collected Portables'!AG5</f>
        <v>10.011486631988756</v>
      </c>
      <c r="AH11" s="67">
        <f>AH$5*'Eurostat Collected Portables'!AH5</f>
        <v>11.273281833839262</v>
      </c>
      <c r="AI11" s="67">
        <f>AI$5*'Eurostat Collected Portables'!AI5</f>
        <v>12.634788203560941</v>
      </c>
      <c r="AJ11" s="67">
        <f>AJ$5*'Eurostat Collected Portables'!AJ5</f>
        <v>14.165198881825839</v>
      </c>
      <c r="AK11" s="67">
        <f>AK$5*'Eurostat Collected Portables'!AK5</f>
        <v>15.886212886396724</v>
      </c>
      <c r="AL11" s="67">
        <f>AL$5*'Eurostat Collected Portables'!AL5</f>
        <v>17.988738539963126</v>
      </c>
      <c r="AM11" s="67">
        <f>AM$5*'Eurostat Collected Portables'!AM5</f>
        <v>20.376202815269192</v>
      </c>
      <c r="AN11" s="67">
        <f>AN$5*'Eurostat Collected Portables'!AN5</f>
        <v>23.088061860352507</v>
      </c>
      <c r="AO11" s="67">
        <f>AO$5*'Eurostat Collected Portables'!AO5</f>
        <v>26.164081508210359</v>
      </c>
      <c r="AP11" s="67">
        <f>AP$5*'Eurostat Collected Portables'!AP5</f>
        <v>29.611976464548583</v>
      </c>
      <c r="AQ11" s="67">
        <f>AQ$5*'Eurostat Collected Portables'!AQ5</f>
        <v>33.237890120442827</v>
      </c>
      <c r="AR11" s="67">
        <f>AR$5*'Eurostat Collected Portables'!AR5</f>
        <v>37.012240988137123</v>
      </c>
      <c r="AS11" s="67">
        <f>AS$5*'Eurostat Collected Portables'!AS5</f>
        <v>40.94187470139407</v>
      </c>
      <c r="AT11" s="67">
        <f>AT$5*'Eurostat Collected Portables'!AT5</f>
        <v>45.28586144668882</v>
      </c>
      <c r="AU11" s="67">
        <f>AU$5*'Eurostat Collected Portables'!AU5</f>
        <v>50.089283852329103</v>
      </c>
      <c r="AV11" s="67">
        <f>AV$5*'Eurostat Collected Portables'!AV5</f>
        <v>55.901756125481889</v>
      </c>
      <c r="AW11" s="67">
        <f>AW$5*'Eurostat Collected Portables'!AW5</f>
        <v>62.373891385875346</v>
      </c>
      <c r="AX11" s="67">
        <f>AX$5*'Eurostat Collected Portables'!AX5</f>
        <v>69.578967311967347</v>
      </c>
      <c r="AY11" s="67">
        <f>AY$5*'Eurostat Collected Portables'!AY5</f>
        <v>77.613926084479445</v>
      </c>
      <c r="AZ11" s="67">
        <f>AZ$5*'Eurostat Collected Portables'!AZ5</f>
        <v>86.574145526215844</v>
      </c>
    </row>
    <row r="12" spans="1:52" x14ac:dyDescent="0.35">
      <c r="A12" s="1" t="s">
        <v>3</v>
      </c>
      <c r="B12" s="23">
        <f t="shared" ref="B12:C12" si="11">C12/1.34</f>
        <v>2.5475542684505009E-2</v>
      </c>
      <c r="C12" s="23">
        <f t="shared" si="11"/>
        <v>3.4137227197236712E-2</v>
      </c>
      <c r="D12" s="23">
        <f t="shared" ref="D12:E12" si="12">E12/1.5</f>
        <v>4.5743884444297195E-2</v>
      </c>
      <c r="E12" s="23">
        <f t="shared" si="12"/>
        <v>6.8615826666445792E-2</v>
      </c>
      <c r="F12" s="23">
        <f t="shared" si="2"/>
        <v>0.1029237399996687</v>
      </c>
      <c r="G12" s="23">
        <f t="shared" si="3"/>
        <v>0.12556696279959581</v>
      </c>
      <c r="H12" s="23">
        <f t="shared" si="4"/>
        <v>0.14816901610352304</v>
      </c>
      <c r="I12" s="23">
        <f t="shared" si="5"/>
        <v>0.1763211291631924</v>
      </c>
      <c r="J12" s="23">
        <f t="shared" si="6"/>
        <v>0.23803352437030975</v>
      </c>
      <c r="K12" s="23">
        <f t="shared" si="7"/>
        <v>0.17614480803402921</v>
      </c>
      <c r="L12" s="23">
        <f t="shared" si="8"/>
        <v>0.29592327749716907</v>
      </c>
      <c r="M12" s="4">
        <f>$M$5*'Eurostat Collected Portables'!M6</f>
        <v>0.38765949352129148</v>
      </c>
      <c r="N12" s="4">
        <f>$N$5*'Eurostat Collected Portables'!N6</f>
        <v>0.60069901748328913</v>
      </c>
      <c r="O12" s="4">
        <f>$O$5*'Eurostat Collected Portables'!O6</f>
        <v>0.47695526013901074</v>
      </c>
      <c r="P12" s="4">
        <f>$P$5*'Eurostat Collected Portables'!P6</f>
        <v>0.50342944662715594</v>
      </c>
      <c r="Q12" s="4">
        <f>$Q$5*'Eurostat Collected Portables'!Q6</f>
        <v>0.8090223608944358</v>
      </c>
      <c r="R12" s="4">
        <f>$R$5*'Eurostat Collected Portables'!R6</f>
        <v>3.3775995990979708</v>
      </c>
      <c r="S12" s="4">
        <f>$S$5*'Eurostat Collected Portables'!S6</f>
        <v>5.3343698453201336</v>
      </c>
      <c r="T12" s="4">
        <f>$T$5*'Eurostat Collected Portables'!T6</f>
        <v>6.1464069477548566</v>
      </c>
      <c r="U12" s="4">
        <f>$U$5*'Eurostat Collected Portables'!U6</f>
        <v>6.9457408944820278</v>
      </c>
      <c r="V12" s="4">
        <f>$V$5*'Eurostat Collected Portables'!V6</f>
        <v>4.7948316843751915</v>
      </c>
      <c r="W12" s="4">
        <f>$W$5*'Eurostat Collected Portables'!W6</f>
        <v>9.3691617510947776</v>
      </c>
      <c r="X12" s="67">
        <f>X$5*'Eurostat Collected Portables'!X6</f>
        <v>6.6877181440992777</v>
      </c>
      <c r="Y12" s="67">
        <f>Y$5*'Eurostat Collected Portables'!Y6</f>
        <v>7.1388804921994931</v>
      </c>
      <c r="Z12" s="67">
        <f>Z$5*'Eurostat Collected Portables'!Z6</f>
        <v>7.7324559533555943</v>
      </c>
      <c r="AA12" s="67">
        <f>AA$5*'Eurostat Collected Portables'!AA6</f>
        <v>8.4709717367534019</v>
      </c>
      <c r="AB12" s="67">
        <f>AB$5*'Eurostat Collected Portables'!AB6</f>
        <v>9.2588224689064056</v>
      </c>
      <c r="AC12" s="67">
        <f>AC$5*'Eurostat Collected Portables'!AC6</f>
        <v>10.110363906883748</v>
      </c>
      <c r="AD12" s="67">
        <f>AD$5*'Eurostat Collected Portables'!AD6</f>
        <v>11.052669374410753</v>
      </c>
      <c r="AE12" s="67">
        <f>AE$5*'Eurostat Collected Portables'!AE6</f>
        <v>12.153056472529434</v>
      </c>
      <c r="AF12" s="67">
        <f>AF$5*'Eurostat Collected Portables'!AF6</f>
        <v>13.419612568457794</v>
      </c>
      <c r="AG12" s="67">
        <f>AG$5*'Eurostat Collected Portables'!AG6</f>
        <v>15.045459110477733</v>
      </c>
      <c r="AH12" s="67">
        <f>AH$5*'Eurostat Collected Portables'!AH6</f>
        <v>16.790268134500401</v>
      </c>
      <c r="AI12" s="67">
        <f>AI$5*'Eurostat Collected Portables'!AI6</f>
        <v>18.651352560288235</v>
      </c>
      <c r="AJ12" s="67">
        <f>AJ$5*'Eurostat Collected Portables'!AJ6</f>
        <v>20.726894240189917</v>
      </c>
      <c r="AK12" s="67">
        <f>AK$5*'Eurostat Collected Portables'!AK6</f>
        <v>23.042766456640962</v>
      </c>
      <c r="AL12" s="67">
        <f>AL$5*'Eurostat Collected Portables'!AL6</f>
        <v>25.867267217882311</v>
      </c>
      <c r="AM12" s="67">
        <f>AM$5*'Eurostat Collected Portables'!AM6</f>
        <v>29.049659330447916</v>
      </c>
      <c r="AN12" s="67">
        <f>AN$5*'Eurostat Collected Portables'!AN6</f>
        <v>32.63660784771443</v>
      </c>
      <c r="AO12" s="67">
        <f>AO$5*'Eurostat Collected Portables'!AO6</f>
        <v>36.673641607531785</v>
      </c>
      <c r="AP12" s="67">
        <f>AP$5*'Eurostat Collected Portables'!AP6</f>
        <v>41.160219564448738</v>
      </c>
      <c r="AQ12" s="67">
        <f>AQ$5*'Eurostat Collected Portables'!AQ6</f>
        <v>45.81795540834554</v>
      </c>
      <c r="AR12" s="67">
        <f>AR$5*'Eurostat Collected Portables'!AR6</f>
        <v>50.602192777819667</v>
      </c>
      <c r="AS12" s="67">
        <f>AS$5*'Eurostat Collected Portables'!AS6</f>
        <v>55.519125998843499</v>
      </c>
      <c r="AT12" s="67">
        <f>AT$5*'Eurostat Collected Portables'!AT6</f>
        <v>60.914016640422183</v>
      </c>
      <c r="AU12" s="67">
        <f>AU$5*'Eurostat Collected Portables'!AU6</f>
        <v>66.835536758040291</v>
      </c>
      <c r="AV12" s="67">
        <f>AV$5*'Eurostat Collected Portables'!AV6</f>
        <v>73.998673823955869</v>
      </c>
      <c r="AW12" s="67">
        <f>AW$5*'Eurostat Collected Portables'!AW6</f>
        <v>81.915220661985529</v>
      </c>
      <c r="AX12" s="67">
        <f>AX$5*'Eurostat Collected Portables'!AX6</f>
        <v>90.66298370712731</v>
      </c>
      <c r="AY12" s="67">
        <f>AY$5*'Eurostat Collected Portables'!AY6</f>
        <v>100.34795046087932</v>
      </c>
      <c r="AZ12" s="67">
        <f>AZ$5*'Eurostat Collected Portables'!AZ6</f>
        <v>111.07083699280739</v>
      </c>
    </row>
    <row r="13" spans="1:52" x14ac:dyDescent="0.35">
      <c r="A13" s="1" t="s">
        <v>4</v>
      </c>
      <c r="B13" s="23">
        <f t="shared" ref="B13:C13" si="13">C13/1.34</f>
        <v>1.2515900741462006E-2</v>
      </c>
      <c r="C13" s="23">
        <f t="shared" si="13"/>
        <v>1.6771306993559089E-2</v>
      </c>
      <c r="D13" s="23">
        <f t="shared" ref="D13:E13" si="14">E13/1.5</f>
        <v>2.247355137136918E-2</v>
      </c>
      <c r="E13" s="23">
        <f t="shared" si="14"/>
        <v>3.371032705705377E-2</v>
      </c>
      <c r="F13" s="23">
        <f t="shared" si="2"/>
        <v>5.0565490585580658E-2</v>
      </c>
      <c r="G13" s="23">
        <f t="shared" si="3"/>
        <v>6.1689898514408398E-2</v>
      </c>
      <c r="H13" s="23">
        <f t="shared" si="4"/>
        <v>7.2794080247001902E-2</v>
      </c>
      <c r="I13" s="23">
        <f t="shared" si="5"/>
        <v>8.662495549393226E-2</v>
      </c>
      <c r="J13" s="23">
        <f t="shared" si="6"/>
        <v>0.11694368991680856</v>
      </c>
      <c r="K13" s="23">
        <f t="shared" si="7"/>
        <v>8.6538330538438332E-2</v>
      </c>
      <c r="L13" s="23">
        <f t="shared" si="8"/>
        <v>0.14538439530457639</v>
      </c>
      <c r="M13" s="4">
        <f>$M$5*'Eurostat Collected Portables'!M7</f>
        <v>0.19045355784899509</v>
      </c>
      <c r="N13" s="4">
        <f>$N$5*'Eurostat Collected Portables'!N7</f>
        <v>0.26062986699745022</v>
      </c>
      <c r="O13" s="4">
        <f>$O$5*'Eurostat Collected Portables'!O7</f>
        <v>0.24475335717659763</v>
      </c>
      <c r="P13" s="4">
        <f>$P$5*'Eurostat Collected Portables'!P7</f>
        <v>0.28667510155157488</v>
      </c>
      <c r="Q13" s="4">
        <f>$Q$5*'Eurostat Collected Portables'!Q7</f>
        <v>0.45404316172646908</v>
      </c>
      <c r="R13" s="4">
        <f>$R$5*'Eurostat Collected Portables'!R7</f>
        <v>0.57128539213229768</v>
      </c>
      <c r="S13" s="4">
        <f>$S$5*'Eurostat Collected Portables'!S7</f>
        <v>0.71722619769010199</v>
      </c>
      <c r="T13" s="4">
        <f>$T$5*'Eurostat Collected Portables'!T7</f>
        <v>0.90147301900404553</v>
      </c>
      <c r="U13" s="4">
        <f>$U$5*'Eurostat Collected Portables'!U7</f>
        <v>0.89622463154606813</v>
      </c>
      <c r="V13" s="4">
        <f>$V$5*'Eurostat Collected Portables'!V7</f>
        <v>0.64360156837250893</v>
      </c>
      <c r="W13" s="4">
        <f>$W$5*'Eurostat Collected Portables'!W7</f>
        <v>1.1314184475541862</v>
      </c>
      <c r="X13" s="67">
        <f>X$5*'Eurostat Collected Portables'!X7</f>
        <v>0.80840877442641823</v>
      </c>
      <c r="Y13" s="67">
        <f>Y$5*'Eurostat Collected Portables'!Y7</f>
        <v>0.86371767389922716</v>
      </c>
      <c r="Z13" s="67">
        <f>Z$5*'Eurostat Collected Portables'!Z7</f>
        <v>0.94477116038173803</v>
      </c>
      <c r="AA13" s="67">
        <f>AA$5*'Eurostat Collected Portables'!AA7</f>
        <v>1.0451252934551487</v>
      </c>
      <c r="AB13" s="67">
        <f>AB$5*'Eurostat Collected Portables'!AB7</f>
        <v>1.153389809806374</v>
      </c>
      <c r="AC13" s="67">
        <f>AC$5*'Eurostat Collected Portables'!AC7</f>
        <v>1.2715470090484802</v>
      </c>
      <c r="AD13" s="67">
        <f>AD$5*'Eurostat Collected Portables'!AD7</f>
        <v>1.4032624350602583</v>
      </c>
      <c r="AE13" s="67">
        <f>AE$5*'Eurostat Collected Portables'!AE7</f>
        <v>1.557488561731468</v>
      </c>
      <c r="AF13" s="67">
        <f>AF$5*'Eurostat Collected Portables'!AF7</f>
        <v>1.7358380840730561</v>
      </c>
      <c r="AG13" s="67">
        <f>AG$5*'Eurostat Collected Portables'!AG7</f>
        <v>1.9641177211964875</v>
      </c>
      <c r="AH13" s="67">
        <f>AH$5*'Eurostat Collected Portables'!AH7</f>
        <v>2.2119543523894265</v>
      </c>
      <c r="AI13" s="67">
        <f>AI$5*'Eurostat Collected Portables'!AI7</f>
        <v>2.479417149353234</v>
      </c>
      <c r="AJ13" s="67">
        <f>AJ$5*'Eurostat Collected Portables'!AJ7</f>
        <v>2.7800919615754043</v>
      </c>
      <c r="AK13" s="67">
        <f>AK$5*'Eurostat Collected Portables'!AK7</f>
        <v>3.1182487213354086</v>
      </c>
      <c r="AL13" s="67">
        <f>AL$5*'Eurostat Collected Portables'!AL7</f>
        <v>3.5313766164561544</v>
      </c>
      <c r="AM13" s="67">
        <f>AM$5*'Eurostat Collected Portables'!AM7</f>
        <v>4.0005400475572737</v>
      </c>
      <c r="AN13" s="67">
        <f>AN$5*'Eurostat Collected Portables'!AN7</f>
        <v>4.533503923716502</v>
      </c>
      <c r="AO13" s="67">
        <f>AO$5*'Eurostat Collected Portables'!AO7</f>
        <v>5.1380969721939653</v>
      </c>
      <c r="AP13" s="67">
        <f>AP$5*'Eurostat Collected Portables'!AP7</f>
        <v>5.8158559146381368</v>
      </c>
      <c r="AQ13" s="67">
        <f>AQ$5*'Eurostat Collected Portables'!AQ7</f>
        <v>6.5287239664354066</v>
      </c>
      <c r="AR13" s="67">
        <f>AR$5*'Eurostat Collected Portables'!AR7</f>
        <v>7.270898025168961</v>
      </c>
      <c r="AS13" s="67">
        <f>AS$5*'Eurostat Collected Portables'!AS7</f>
        <v>8.0437289376186367</v>
      </c>
      <c r="AT13" s="67">
        <f>AT$5*'Eurostat Collected Portables'!AT7</f>
        <v>8.8981270235646228</v>
      </c>
      <c r="AU13" s="67">
        <f>AU$5*'Eurostat Collected Portables'!AU7</f>
        <v>9.8429733604293919</v>
      </c>
      <c r="AV13" s="67">
        <f>AV$5*'Eurostat Collected Portables'!AV7</f>
        <v>10.986306986161914</v>
      </c>
      <c r="AW13" s="67">
        <f>AW$5*'Eurostat Collected Portables'!AW7</f>
        <v>12.259512468554137</v>
      </c>
      <c r="AX13" s="67">
        <f>AX$5*'Eurostat Collected Portables'!AX7</f>
        <v>13.677027680700446</v>
      </c>
      <c r="AY13" s="67">
        <f>AY$5*'Eurostat Collected Portables'!AY7</f>
        <v>15.257947264428429</v>
      </c>
      <c r="AZ13" s="67">
        <f>AZ$5*'Eurostat Collected Portables'!AZ7</f>
        <v>17.02106453958535</v>
      </c>
    </row>
    <row r="14" spans="1:52" x14ac:dyDescent="0.35">
      <c r="A14" s="1" t="s">
        <v>5</v>
      </c>
      <c r="B14" s="23">
        <f t="shared" ref="B14:C14" si="15">C14/1.34</f>
        <v>0.32427561011969747</v>
      </c>
      <c r="C14" s="23">
        <f t="shared" si="15"/>
        <v>0.43452931756039465</v>
      </c>
      <c r="D14" s="23">
        <f t="shared" ref="D14:E14" si="16">E14/1.5</f>
        <v>0.58226928553092883</v>
      </c>
      <c r="E14" s="23">
        <f t="shared" si="16"/>
        <v>0.87340392829639324</v>
      </c>
      <c r="F14" s="23">
        <f t="shared" si="2"/>
        <v>1.3101058924445899</v>
      </c>
      <c r="G14" s="23">
        <f t="shared" si="3"/>
        <v>1.5983291887823996</v>
      </c>
      <c r="H14" s="23">
        <f t="shared" si="4"/>
        <v>1.8860284427632314</v>
      </c>
      <c r="I14" s="23">
        <f t="shared" si="5"/>
        <v>2.2443738468882453</v>
      </c>
      <c r="J14" s="23">
        <f t="shared" si="6"/>
        <v>3.0299046932991311</v>
      </c>
      <c r="K14" s="23">
        <f t="shared" si="7"/>
        <v>2.242129473041357</v>
      </c>
      <c r="L14" s="23">
        <f t="shared" si="8"/>
        <v>3.7667775147094793</v>
      </c>
      <c r="M14" s="4">
        <f>$M$5*'Eurostat Collected Portables'!M8</f>
        <v>4.9344785442694183</v>
      </c>
      <c r="N14" s="4">
        <f>$N$5*'Eurostat Collected Portables'!N8</f>
        <v>8.4914892150782162</v>
      </c>
      <c r="O14" s="4">
        <f>$O$5*'Eurostat Collected Portables'!O8</f>
        <v>6.9911599973007625</v>
      </c>
      <c r="P14" s="4">
        <f>$P$5*'Eurostat Collected Portables'!P8</f>
        <v>8.3555303988812675</v>
      </c>
      <c r="Q14" s="4">
        <f>$Q$5*'Eurostat Collected Portables'!Q8</f>
        <v>11.615249609984399</v>
      </c>
      <c r="R14" s="4">
        <f>$R$5*'Eurostat Collected Portables'!R8</f>
        <v>20.86695063893761</v>
      </c>
      <c r="S14" s="4">
        <f>$S$5*'Eurostat Collected Portables'!S8</f>
        <v>21.180586150535824</v>
      </c>
      <c r="T14" s="4">
        <f>$T$5*'Eurostat Collected Portables'!T8</f>
        <v>22.489995707880151</v>
      </c>
      <c r="U14" s="4">
        <f>$U$5*'Eurostat Collected Portables'!U8</f>
        <v>21.786794019250845</v>
      </c>
      <c r="V14" s="4">
        <f>$V$5*'Eurostat Collected Portables'!V8</f>
        <v>17.328972228429805</v>
      </c>
      <c r="W14" s="4">
        <f>$W$5*'Eurostat Collected Portables'!W8</f>
        <v>30.929675088756571</v>
      </c>
      <c r="X14" s="67">
        <f>X$5*'Eurostat Collected Portables'!X8</f>
        <v>22.556735847315636</v>
      </c>
      <c r="Y14" s="67">
        <f>Y$5*'Eurostat Collected Portables'!Y8</f>
        <v>24.635274025033887</v>
      </c>
      <c r="Z14" s="67">
        <f>Z$5*'Eurostat Collected Portables'!Z8</f>
        <v>26.855124550929563</v>
      </c>
      <c r="AA14" s="67">
        <f>AA$5*'Eurostat Collected Portables'!AA8</f>
        <v>29.607904161479279</v>
      </c>
      <c r="AB14" s="67">
        <f>AB$5*'Eurostat Collected Portables'!AB8</f>
        <v>32.56697486936568</v>
      </c>
      <c r="AC14" s="67">
        <f>AC$5*'Eurostat Collected Portables'!AC8</f>
        <v>35.786432742403356</v>
      </c>
      <c r="AD14" s="67">
        <f>AD$5*'Eurostat Collected Portables'!AD8</f>
        <v>39.366944391692599</v>
      </c>
      <c r="AE14" s="67">
        <f>AE$5*'Eurostat Collected Portables'!AE8</f>
        <v>43.555811390417794</v>
      </c>
      <c r="AF14" s="67">
        <f>AF$5*'Eurostat Collected Portables'!AF8</f>
        <v>48.3927164413357</v>
      </c>
      <c r="AG14" s="67">
        <f>AG$5*'Eurostat Collected Portables'!AG8</f>
        <v>54.589418657207297</v>
      </c>
      <c r="AH14" s="67">
        <f>AH$5*'Eurostat Collected Portables'!AH8</f>
        <v>61.292513029591078</v>
      </c>
      <c r="AI14" s="67">
        <f>AI$5*'Eurostat Collected Portables'!AI8</f>
        <v>68.500046552504571</v>
      </c>
      <c r="AJ14" s="67">
        <f>AJ$5*'Eurostat Collected Portables'!AJ8</f>
        <v>76.582522216614834</v>
      </c>
      <c r="AK14" s="67">
        <f>AK$5*'Eurostat Collected Portables'!AK8</f>
        <v>85.650381393049585</v>
      </c>
      <c r="AL14" s="67">
        <f>AL$5*'Eurostat Collected Portables'!AL8</f>
        <v>96.72283497894378</v>
      </c>
      <c r="AM14" s="67">
        <f>AM$5*'Eurostat Collected Portables'!AM8</f>
        <v>109.26674738694014</v>
      </c>
      <c r="AN14" s="67">
        <f>AN$5*'Eurostat Collected Portables'!AN8</f>
        <v>123.4824925091238</v>
      </c>
      <c r="AO14" s="67">
        <f>AO$5*'Eurostat Collected Portables'!AO8</f>
        <v>139.57026020102569</v>
      </c>
      <c r="AP14" s="67">
        <f>AP$5*'Eurostat Collected Portables'!AP8</f>
        <v>157.55792789936061</v>
      </c>
      <c r="AQ14" s="67">
        <f>AQ$5*'Eurostat Collected Portables'!AQ8</f>
        <v>176.40359369206175</v>
      </c>
      <c r="AR14" s="67">
        <f>AR$5*'Eurostat Collected Portables'!AR8</f>
        <v>195.94572454843592</v>
      </c>
      <c r="AS14" s="67">
        <f>AS$5*'Eurostat Collected Portables'!AS8</f>
        <v>216.21686137314353</v>
      </c>
      <c r="AT14" s="67">
        <f>AT$5*'Eurostat Collected Portables'!AT8</f>
        <v>238.57809797473644</v>
      </c>
      <c r="AU14" s="67">
        <f>AU$5*'Eurostat Collected Portables'!AU8</f>
        <v>263.25294779139978</v>
      </c>
      <c r="AV14" s="67">
        <f>AV$5*'Eurostat Collected Portables'!AV8</f>
        <v>293.10851570633309</v>
      </c>
      <c r="AW14" s="67">
        <f>AW$5*'Eurostat Collected Portables'!AW8</f>
        <v>326.28280299874547</v>
      </c>
      <c r="AX14" s="67">
        <f>AX$5*'Eurostat Collected Portables'!AX8</f>
        <v>363.13758381157555</v>
      </c>
      <c r="AY14" s="67">
        <f>AY$5*'Eurostat Collected Portables'!AY8</f>
        <v>404.15503551286571</v>
      </c>
      <c r="AZ14" s="67">
        <f>AZ$5*'Eurostat Collected Portables'!AZ8</f>
        <v>449.805390827824</v>
      </c>
    </row>
    <row r="15" spans="1:52" x14ac:dyDescent="0.35">
      <c r="A15" s="1" t="s">
        <v>6</v>
      </c>
      <c r="B15" s="23">
        <f t="shared" ref="B15:C15" si="17">C15/1.34</f>
        <v>0.60265958418736754</v>
      </c>
      <c r="C15" s="23">
        <f t="shared" si="17"/>
        <v>0.80756384281107252</v>
      </c>
      <c r="D15" s="23">
        <f t="shared" ref="D15:E15" si="18">E15/1.5</f>
        <v>1.0821355493668372</v>
      </c>
      <c r="E15" s="23">
        <f t="shared" si="18"/>
        <v>1.6232033240502559</v>
      </c>
      <c r="F15" s="23">
        <f t="shared" si="2"/>
        <v>2.4348049860753838</v>
      </c>
      <c r="G15" s="23">
        <f t="shared" si="3"/>
        <v>2.9704620830119683</v>
      </c>
      <c r="H15" s="23">
        <f t="shared" si="4"/>
        <v>3.5051452579541227</v>
      </c>
      <c r="I15" s="23">
        <f t="shared" si="5"/>
        <v>4.1711228569654057</v>
      </c>
      <c r="J15" s="23">
        <f t="shared" si="6"/>
        <v>5.6310158569032982</v>
      </c>
      <c r="K15" s="23">
        <f t="shared" si="7"/>
        <v>4.1669517341084408</v>
      </c>
      <c r="L15" s="23">
        <f t="shared" si="8"/>
        <v>7.0004789133021799</v>
      </c>
      <c r="M15" s="4">
        <f>$M$5*'Eurostat Collected Portables'!M9</f>
        <v>9.1706273764258555</v>
      </c>
      <c r="N15" s="4">
        <f>$N$5*'Eurostat Collected Portables'!N9</f>
        <v>12.703604162359589</v>
      </c>
      <c r="O15" s="4">
        <f>$O$5*'Eurostat Collected Portables'!O9</f>
        <v>8.8048451312504223</v>
      </c>
      <c r="P15" s="4">
        <f>$P$5*'Eurostat Collected Portables'!P9</f>
        <v>10.795764799893455</v>
      </c>
      <c r="Q15" s="4">
        <f>$Q$5*'Eurostat Collected Portables'!Q9</f>
        <v>13.134230369214769</v>
      </c>
      <c r="R15" s="4">
        <f>$R$5*'Eurostat Collected Portables'!R9</f>
        <v>16.867952894011527</v>
      </c>
      <c r="S15" s="4">
        <f>$S$5*'Eurostat Collected Portables'!S9</f>
        <v>22.245218787732071</v>
      </c>
      <c r="T15" s="4">
        <f>$T$5*'Eurostat Collected Portables'!T9</f>
        <v>23.169027332584495</v>
      </c>
      <c r="U15" s="4">
        <f>$U$5*'Eurostat Collected Portables'!U9</f>
        <v>23.9953475755608</v>
      </c>
      <c r="V15" s="4">
        <f>$V$5*'Eurostat Collected Portables'!V9</f>
        <v>21.35952705036264</v>
      </c>
      <c r="W15" s="4">
        <f>$W$5*'Eurostat Collected Portables'!W9</f>
        <v>33.294212518476556</v>
      </c>
      <c r="X15" s="67">
        <f>X$5*'Eurostat Collected Portables'!X9</f>
        <v>24.494254882772182</v>
      </c>
      <c r="Y15" s="67">
        <f>Y$5*'Eurostat Collected Portables'!Y9</f>
        <v>26.549798797790729</v>
      </c>
      <c r="Z15" s="67">
        <f>Z$5*'Eurostat Collected Portables'!Z9</f>
        <v>28.831536245513245</v>
      </c>
      <c r="AA15" s="67">
        <f>AA$5*'Eurostat Collected Portables'!AA9</f>
        <v>31.666487348280043</v>
      </c>
      <c r="AB15" s="67">
        <f>AB$5*'Eurostat Collected Portables'!AB9</f>
        <v>34.700512015537598</v>
      </c>
      <c r="AC15" s="67">
        <f>AC$5*'Eurostat Collected Portables'!AC9</f>
        <v>37.988971321840488</v>
      </c>
      <c r="AD15" s="67">
        <f>AD$5*'Eurostat Collected Portables'!AD9</f>
        <v>41.635684801688512</v>
      </c>
      <c r="AE15" s="67">
        <f>AE$5*'Eurostat Collected Portables'!AE9</f>
        <v>45.897498652639193</v>
      </c>
      <c r="AF15" s="67">
        <f>AF$5*'Eurostat Collected Portables'!AF9</f>
        <v>50.809584545352955</v>
      </c>
      <c r="AG15" s="67">
        <f>AG$5*'Eurostat Collected Portables'!AG9</f>
        <v>57.109779739862802</v>
      </c>
      <c r="AH15" s="67">
        <f>AH$5*'Eurostat Collected Portables'!AH9</f>
        <v>63.893881296134374</v>
      </c>
      <c r="AI15" s="67">
        <f>AI$5*'Eurostat Collected Portables'!AI9</f>
        <v>71.155062882024211</v>
      </c>
      <c r="AJ15" s="67">
        <f>AJ$5*'Eurostat Collected Portables'!AJ9</f>
        <v>79.272178820095846</v>
      </c>
      <c r="AK15" s="67">
        <f>AK$5*'Eurostat Collected Portables'!AK9</f>
        <v>88.350606657542997</v>
      </c>
      <c r="AL15" s="67">
        <f>AL$5*'Eurostat Collected Portables'!AL9</f>
        <v>99.428548787112859</v>
      </c>
      <c r="AM15" s="67">
        <f>AM$5*'Eurostat Collected Portables'!AM9</f>
        <v>111.93979862304856</v>
      </c>
      <c r="AN15" s="67">
        <f>AN$5*'Eurostat Collected Portables'!AN9</f>
        <v>126.07492645752798</v>
      </c>
      <c r="AO15" s="67">
        <f>AO$5*'Eurostat Collected Portables'!AO9</f>
        <v>142.02189378919272</v>
      </c>
      <c r="AP15" s="67">
        <f>AP$5*'Eurostat Collected Portables'!AP9</f>
        <v>159.79155802479045</v>
      </c>
      <c r="AQ15" s="67">
        <f>AQ$5*'Eurostat Collected Portables'!AQ9</f>
        <v>178.31344291310572</v>
      </c>
      <c r="AR15" s="67">
        <f>AR$5*'Eurostat Collected Portables'!AR9</f>
        <v>197.41825472599561</v>
      </c>
      <c r="AS15" s="67">
        <f>AS$5*'Eurostat Collected Portables'!AS9</f>
        <v>217.13386125983828</v>
      </c>
      <c r="AT15" s="67">
        <f>AT$5*'Eurostat Collected Portables'!AT9</f>
        <v>238.81770516633946</v>
      </c>
      <c r="AU15" s="67">
        <f>AU$5*'Eurostat Collected Portables'!AU9</f>
        <v>262.67483604088699</v>
      </c>
      <c r="AV15" s="67">
        <f>AV$5*'Eurostat Collected Portables'!AV9</f>
        <v>291.5372971867431</v>
      </c>
      <c r="AW15" s="67">
        <f>AW$5*'Eurostat Collected Portables'!AW9</f>
        <v>323.51272836752941</v>
      </c>
      <c r="AX15" s="67">
        <f>AX$5*'Eurostat Collected Portables'!AX9</f>
        <v>358.93085239685513</v>
      </c>
      <c r="AY15" s="67">
        <f>AY$5*'Eurostat Collected Portables'!AY9</f>
        <v>398.23621686485285</v>
      </c>
      <c r="AZ15" s="67">
        <f>AZ$5*'Eurostat Collected Portables'!AZ9</f>
        <v>441.85646728649482</v>
      </c>
    </row>
    <row r="16" spans="1:52" x14ac:dyDescent="0.35">
      <c r="A16" s="1" t="s">
        <v>7</v>
      </c>
      <c r="B16" s="23">
        <f t="shared" ref="B16:C16" si="19">C16/1.34</f>
        <v>2.7307419799553471E-2</v>
      </c>
      <c r="C16" s="23">
        <f t="shared" si="19"/>
        <v>3.6591942531401654E-2</v>
      </c>
      <c r="D16" s="23">
        <f t="shared" ref="D16:E16" si="20">E16/1.5</f>
        <v>4.9033202992078216E-2</v>
      </c>
      <c r="E16" s="23">
        <f t="shared" si="20"/>
        <v>7.3549804488117321E-2</v>
      </c>
      <c r="F16" s="23">
        <f t="shared" si="2"/>
        <v>0.11032470673217598</v>
      </c>
      <c r="G16" s="23">
        <f t="shared" si="3"/>
        <v>0.13459614221325469</v>
      </c>
      <c r="H16" s="23">
        <f t="shared" si="4"/>
        <v>0.15882344781164054</v>
      </c>
      <c r="I16" s="23">
        <f t="shared" si="5"/>
        <v>0.18899990289585222</v>
      </c>
      <c r="J16" s="23">
        <f t="shared" si="6"/>
        <v>0.2551498689094005</v>
      </c>
      <c r="K16" s="23">
        <f t="shared" si="7"/>
        <v>0.18881090299295639</v>
      </c>
      <c r="L16" s="23">
        <f t="shared" si="8"/>
        <v>0.3172023170281667</v>
      </c>
      <c r="M16" s="4">
        <f>$M$5*'Eurostat Collected Portables'!M10</f>
        <v>0.41553503530689839</v>
      </c>
      <c r="N16" s="4">
        <f>$N$5*'Eurostat Collected Portables'!N10</f>
        <v>1.0341120529253669</v>
      </c>
      <c r="O16" s="4">
        <f>$O$5*'Eurostat Collected Portables'!O10</f>
        <v>1.8387880423780283</v>
      </c>
      <c r="P16" s="4">
        <f>$P$5*'Eurostat Collected Portables'!P10</f>
        <v>0.74815209429313445</v>
      </c>
      <c r="Q16" s="4">
        <f>$Q$5*'Eurostat Collected Portables'!Q10</f>
        <v>1.4281721268850756</v>
      </c>
      <c r="R16" s="4">
        <f>$R$5*'Eurostat Collected Portables'!R10</f>
        <v>1.2728639438737159</v>
      </c>
      <c r="S16" s="4">
        <f>$S$5*'Eurostat Collected Portables'!S10</f>
        <v>1.7482388568696237</v>
      </c>
      <c r="T16" s="4">
        <f>$T$5*'Eurostat Collected Portables'!T10</f>
        <v>1.9083130142553173</v>
      </c>
      <c r="U16" s="4">
        <f>$U$5*'Eurostat Collected Portables'!U10</f>
        <v>1.4937077192434469</v>
      </c>
      <c r="V16" s="4">
        <f>$V$5*'Eurostat Collected Portables'!V10</f>
        <v>1.5768238425126468</v>
      </c>
      <c r="W16" s="4">
        <f>$W$5*'Eurostat Collected Portables'!W10</f>
        <v>2.9111778032574005</v>
      </c>
      <c r="X16" s="67">
        <f>X$5*'Eurostat Collected Portables'!X10</f>
        <v>2.0654972895222046</v>
      </c>
      <c r="Y16" s="67">
        <f>Y$5*'Eurostat Collected Portables'!Y10</f>
        <v>2.2020157703549934</v>
      </c>
      <c r="Z16" s="67">
        <f>Z$5*'Eurostat Collected Portables'!Z10</f>
        <v>2.4126142303346998</v>
      </c>
      <c r="AA16" s="67">
        <f>AA$5*'Eurostat Collected Portables'!AA10</f>
        <v>2.6731745589933928</v>
      </c>
      <c r="AB16" s="67">
        <f>AB$5*'Eurostat Collected Portables'!AB10</f>
        <v>2.9547334216481262</v>
      </c>
      <c r="AC16" s="67">
        <f>AC$5*'Eurostat Collected Portables'!AC10</f>
        <v>3.2624497060649884</v>
      </c>
      <c r="AD16" s="67">
        <f>AD$5*'Eurostat Collected Portables'!AD10</f>
        <v>3.6058355727575804</v>
      </c>
      <c r="AE16" s="67">
        <f>AE$5*'Eurostat Collected Portables'!AE10</f>
        <v>4.0080609355706986</v>
      </c>
      <c r="AF16" s="67">
        <f>AF$5*'Eurostat Collected Portables'!AF10</f>
        <v>4.4735088665280767</v>
      </c>
      <c r="AG16" s="67">
        <f>AG$5*'Eurostat Collected Portables'!AG10</f>
        <v>5.0690179953272745</v>
      </c>
      <c r="AH16" s="67">
        <f>AH$5*'Eurostat Collected Portables'!AH10</f>
        <v>5.7165981042214762</v>
      </c>
      <c r="AI16" s="67">
        <f>AI$5*'Eurostat Collected Portables'!AI10</f>
        <v>6.4165943682554483</v>
      </c>
      <c r="AJ16" s="67">
        <f>AJ$5*'Eurostat Collected Portables'!AJ10</f>
        <v>7.2043743356280734</v>
      </c>
      <c r="AK16" s="67">
        <f>AK$5*'Eurostat Collected Portables'!AK10</f>
        <v>8.0913119935216606</v>
      </c>
      <c r="AL16" s="67">
        <f>AL$5*'Eurostat Collected Portables'!AL10</f>
        <v>9.1751377193499106</v>
      </c>
      <c r="AM16" s="67">
        <f>AM$5*'Eurostat Collected Portables'!AM10</f>
        <v>10.407276938158388</v>
      </c>
      <c r="AN16" s="67">
        <f>AN$5*'Eurostat Collected Portables'!AN10</f>
        <v>11.808433328110349</v>
      </c>
      <c r="AO16" s="67">
        <f>AO$5*'Eurostat Collected Portables'!AO10</f>
        <v>13.399559457997631</v>
      </c>
      <c r="AP16" s="67">
        <f>AP$5*'Eurostat Collected Portables'!AP10</f>
        <v>15.185259177926563</v>
      </c>
      <c r="AQ16" s="67">
        <f>AQ$5*'Eurostat Collected Portables'!AQ10</f>
        <v>17.066634635984911</v>
      </c>
      <c r="AR16" s="67">
        <f>AR$5*'Eurostat Collected Portables'!AR10</f>
        <v>19.028719668249558</v>
      </c>
      <c r="AS16" s="67">
        <f>AS$5*'Eurostat Collected Portables'!AS10</f>
        <v>21.075215724241211</v>
      </c>
      <c r="AT16" s="67">
        <f>AT$5*'Eurostat Collected Portables'!AT10</f>
        <v>23.339829484941657</v>
      </c>
      <c r="AU16" s="67">
        <f>AU$5*'Eurostat Collected Portables'!AU10</f>
        <v>25.846484214433445</v>
      </c>
      <c r="AV16" s="67">
        <f>AV$5*'Eurostat Collected Portables'!AV10</f>
        <v>28.879842105553902</v>
      </c>
      <c r="AW16" s="67">
        <f>AW$5*'Eurostat Collected Portables'!AW10</f>
        <v>32.260882215257375</v>
      </c>
      <c r="AX16" s="67">
        <f>AX$5*'Eurostat Collected Portables'!AX10</f>
        <v>36.028564681860452</v>
      </c>
      <c r="AY16" s="67">
        <f>AY$5*'Eurostat Collected Portables'!AY10</f>
        <v>40.234255938676093</v>
      </c>
      <c r="AZ16" s="67">
        <f>AZ$5*'Eurostat Collected Portables'!AZ10</f>
        <v>44.928698277078077</v>
      </c>
    </row>
    <row r="17" spans="1:52" x14ac:dyDescent="0.35">
      <c r="A17" s="1" t="s">
        <v>8</v>
      </c>
      <c r="B17" s="23">
        <f t="shared" ref="B17:C17" si="21">C17/1.34</f>
        <v>0.36713308841621883</v>
      </c>
      <c r="C17" s="23">
        <f t="shared" si="21"/>
        <v>0.49195833847773324</v>
      </c>
      <c r="D17" s="23">
        <f t="shared" ref="D17:E17" si="22">E17/1.5</f>
        <v>0.65922417356016261</v>
      </c>
      <c r="E17" s="23">
        <f t="shared" si="22"/>
        <v>0.98883626034024397</v>
      </c>
      <c r="F17" s="23">
        <f t="shared" si="2"/>
        <v>1.4832543905103659</v>
      </c>
      <c r="G17" s="23">
        <f t="shared" si="3"/>
        <v>1.8095703564226464</v>
      </c>
      <c r="H17" s="23">
        <f t="shared" si="4"/>
        <v>2.1352930205787226</v>
      </c>
      <c r="I17" s="23">
        <f t="shared" si="5"/>
        <v>2.54099869448868</v>
      </c>
      <c r="J17" s="23">
        <f t="shared" si="6"/>
        <v>3.4303482375597181</v>
      </c>
      <c r="K17" s="23">
        <f t="shared" si="7"/>
        <v>2.5384576957941913</v>
      </c>
      <c r="L17" s="23">
        <f t="shared" si="8"/>
        <v>4.2646089289342415</v>
      </c>
      <c r="M17" s="4">
        <f>$M$5*'Eurostat Collected Portables'!M11</f>
        <v>5.586637696903856</v>
      </c>
      <c r="N17" s="4">
        <f>$N$5*'Eurostat Collected Portables'!N11</f>
        <v>7.734821859279168</v>
      </c>
      <c r="O17" s="4">
        <f>$O$5*'Eurostat Collected Portables'!O11</f>
        <v>7.0727444496929621</v>
      </c>
      <c r="P17" s="4">
        <f>$P$5*'Eurostat Collected Portables'!P11</f>
        <v>8.7540787107944329</v>
      </c>
      <c r="Q17" s="4">
        <f>$Q$5*'Eurostat Collected Portables'!Q11</f>
        <v>10.674141965678627</v>
      </c>
      <c r="R17" s="4">
        <f>$R$5*'Eurostat Collected Portables'!R11</f>
        <v>13.089451265347032</v>
      </c>
      <c r="S17" s="4">
        <f>$S$5*'Eurostat Collected Portables'!S11</f>
        <v>15.353123294303746</v>
      </c>
      <c r="T17" s="4">
        <f>$T$5*'Eurostat Collected Portables'!T11</f>
        <v>17.163109686492607</v>
      </c>
      <c r="U17" s="4">
        <f>$U$5*'Eurostat Collected Portables'!U11</f>
        <v>17.913823290069622</v>
      </c>
      <c r="V17" s="4">
        <f>$V$5*'Eurostat Collected Portables'!V11</f>
        <v>14.062694268939321</v>
      </c>
      <c r="W17" s="4">
        <f>$W$5*'Eurostat Collected Portables'!W11</f>
        <v>26.620114934589505</v>
      </c>
      <c r="X17" s="67">
        <f>X$5*'Eurostat Collected Portables'!X11</f>
        <v>18.922271955808387</v>
      </c>
      <c r="Y17" s="67">
        <f>Y$5*'Eurostat Collected Portables'!Y11</f>
        <v>21.021779449575781</v>
      </c>
      <c r="Z17" s="67">
        <f>Z$5*'Eurostat Collected Portables'!Z11</f>
        <v>22.832172207831366</v>
      </c>
      <c r="AA17" s="67">
        <f>AA$5*'Eurostat Collected Portables'!AA11</f>
        <v>25.081307241130943</v>
      </c>
      <c r="AB17" s="67">
        <f>AB$5*'Eurostat Collected Portables'!AB11</f>
        <v>27.488852759057025</v>
      </c>
      <c r="AC17" s="67">
        <f>AC$5*'Eurostat Collected Portables'!AC11</f>
        <v>30.098742374386863</v>
      </c>
      <c r="AD17" s="67">
        <f>AD$5*'Eurostat Collected Portables'!AD11</f>
        <v>32.993337048000711</v>
      </c>
      <c r="AE17" s="67">
        <f>AE$5*'Eurostat Collected Portables'!AE11</f>
        <v>36.376331544242227</v>
      </c>
      <c r="AF17" s="67">
        <f>AF$5*'Eurostat Collected Portables'!AF11</f>
        <v>40.275831310908863</v>
      </c>
      <c r="AG17" s="67">
        <f>AG$5*'Eurostat Collected Portables'!AG11</f>
        <v>45.277035364441694</v>
      </c>
      <c r="AH17" s="67">
        <f>AH$5*'Eurostat Collected Portables'!AH11</f>
        <v>50.663482498447834</v>
      </c>
      <c r="AI17" s="67">
        <f>AI$5*'Eurostat Collected Portables'!AI11</f>
        <v>56.429927472422861</v>
      </c>
      <c r="AJ17" s="67">
        <f>AJ$5*'Eurostat Collected Portables'!AJ11</f>
        <v>62.877033812895966</v>
      </c>
      <c r="AK17" s="67">
        <f>AK$5*'Eurostat Collected Portables'!AK11</f>
        <v>70.088699820984957</v>
      </c>
      <c r="AL17" s="67">
        <f>AL$5*'Eurostat Collected Portables'!AL11</f>
        <v>78.88899790182937</v>
      </c>
      <c r="AM17" s="67">
        <f>AM$5*'Eurostat Collected Portables'!AM11</f>
        <v>88.829330250075444</v>
      </c>
      <c r="AN17" s="67">
        <f>AN$5*'Eurostat Collected Portables'!AN11</f>
        <v>100.06144651465661</v>
      </c>
      <c r="AO17" s="67">
        <f>AO$5*'Eurostat Collected Portables'!AO11</f>
        <v>112.73511229677413</v>
      </c>
      <c r="AP17" s="67">
        <f>AP$5*'Eurostat Collected Portables'!AP11</f>
        <v>126.85957354516199</v>
      </c>
      <c r="AQ17" s="67">
        <f>AQ$5*'Eurostat Collected Portables'!AQ11</f>
        <v>141.58546841936896</v>
      </c>
      <c r="AR17" s="67">
        <f>AR$5*'Eurostat Collected Portables'!AR11</f>
        <v>156.77859021507268</v>
      </c>
      <c r="AS17" s="67">
        <f>AS$5*'Eurostat Collected Portables'!AS11</f>
        <v>172.46124797322929</v>
      </c>
      <c r="AT17" s="67">
        <f>AT$5*'Eurostat Collected Portables'!AT11</f>
        <v>189.71194945691815</v>
      </c>
      <c r="AU17" s="67">
        <f>AU$5*'Eurostat Collected Portables'!AU11</f>
        <v>208.6942627119893</v>
      </c>
      <c r="AV17" s="67">
        <f>AV$5*'Eurostat Collected Portables'!AV11</f>
        <v>231.65928775512631</v>
      </c>
      <c r="AW17" s="67">
        <f>AW$5*'Eurostat Collected Portables'!AW11</f>
        <v>257.10480985038134</v>
      </c>
      <c r="AX17" s="67">
        <f>AX$5*'Eurostat Collected Portables'!AX11</f>
        <v>285.29393496242841</v>
      </c>
      <c r="AY17" s="67">
        <f>AY$5*'Eurostat Collected Portables'!AY11</f>
        <v>316.58119115654353</v>
      </c>
      <c r="AZ17" s="67">
        <f>AZ$5*'Eurostat Collected Portables'!AZ11</f>
        <v>351.30785998961437</v>
      </c>
    </row>
    <row r="18" spans="1:52" x14ac:dyDescent="0.35">
      <c r="A18" s="1" t="s">
        <v>9</v>
      </c>
      <c r="B18" s="23">
        <f t="shared" ref="B18:C18" si="23">C18/1.34</f>
        <v>4.4074934095918188</v>
      </c>
      <c r="C18" s="23">
        <f t="shared" si="23"/>
        <v>5.9060411688530374</v>
      </c>
      <c r="D18" s="23">
        <f t="shared" ref="D18:E18" si="24">E18/1.5</f>
        <v>7.9140951662630705</v>
      </c>
      <c r="E18" s="23">
        <f t="shared" si="24"/>
        <v>11.871142749394606</v>
      </c>
      <c r="F18" s="23">
        <f t="shared" si="2"/>
        <v>17.806714124091908</v>
      </c>
      <c r="G18" s="23">
        <f t="shared" si="3"/>
        <v>21.724191231392126</v>
      </c>
      <c r="H18" s="23">
        <f t="shared" si="4"/>
        <v>25.634545653042707</v>
      </c>
      <c r="I18" s="23">
        <f t="shared" si="5"/>
        <v>30.50510932712082</v>
      </c>
      <c r="J18" s="23">
        <f t="shared" si="6"/>
        <v>41.181897591613108</v>
      </c>
      <c r="K18" s="23">
        <f t="shared" si="7"/>
        <v>30.474604217793697</v>
      </c>
      <c r="L18" s="23">
        <f t="shared" si="8"/>
        <v>51.197335085893407</v>
      </c>
      <c r="M18" s="4">
        <f>$M$5*'Eurostat Collected Portables'!M12</f>
        <v>67.068508962520369</v>
      </c>
      <c r="N18" s="4">
        <f>$N$5*'Eurostat Collected Portables'!N12</f>
        <v>99.005719798773342</v>
      </c>
      <c r="O18" s="4">
        <f>$O$5*'Eurostat Collected Portables'!O12</f>
        <v>71.329914299210472</v>
      </c>
      <c r="P18" s="4">
        <f>$P$5*'Eurostat Collected Portables'!P12</f>
        <v>83.827994939069058</v>
      </c>
      <c r="Q18" s="4">
        <f>$Q$5*'Eurostat Collected Portables'!Q12</f>
        <v>101.50754030161207</v>
      </c>
      <c r="R18" s="4">
        <f>$R$5*'Eurostat Collected Portables'!R12</f>
        <v>137.08844901027314</v>
      </c>
      <c r="S18" s="4">
        <f>$S$5*'Eurostat Collected Portables'!S12</f>
        <v>156.68030421727056</v>
      </c>
      <c r="T18" s="4">
        <f>$T$5*'Eurostat Collected Portables'!T12</f>
        <v>168.58716199556176</v>
      </c>
      <c r="U18" s="4">
        <f>$U$5*'Eurostat Collected Portables'!U12</f>
        <v>165.63084738239479</v>
      </c>
      <c r="V18" s="4">
        <f>$V$5*'Eurostat Collected Portables'!V12</f>
        <v>121.67287650082282</v>
      </c>
      <c r="W18" s="4">
        <f>$W$5*'Eurostat Collected Portables'!W12</f>
        <v>255.01409053861769</v>
      </c>
      <c r="X18" s="67">
        <f>X$5*'Eurostat Collected Portables'!X12</f>
        <v>181.61200689770246</v>
      </c>
      <c r="Y18" s="67">
        <f>Y$5*'Eurostat Collected Portables'!Y12</f>
        <v>198.50933484437971</v>
      </c>
      <c r="Z18" s="67">
        <f>Z$5*'Eurostat Collected Portables'!Z12</f>
        <v>215.41456907549798</v>
      </c>
      <c r="AA18" s="67">
        <f>AA$5*'Eurostat Collected Portables'!AA12</f>
        <v>236.75639416908515</v>
      </c>
      <c r="AB18" s="67">
        <f>AB$5*'Eurostat Collected Portables'!AB12</f>
        <v>259.43686750645435</v>
      </c>
      <c r="AC18" s="67">
        <f>AC$5*'Eurostat Collected Portables'!AC12</f>
        <v>283.88571175633689</v>
      </c>
      <c r="AD18" s="67">
        <f>AD$5*'Eurostat Collected Portables'!AD12</f>
        <v>310.94185598988395</v>
      </c>
      <c r="AE18" s="67">
        <f>AE$5*'Eurostat Collected Portables'!AE12</f>
        <v>342.55568618052786</v>
      </c>
      <c r="AF18" s="67">
        <f>AF$5*'Eurostat Collected Portables'!AF12</f>
        <v>378.98123152003927</v>
      </c>
      <c r="AG18" s="67">
        <f>AG$5*'Eurostat Collected Portables'!AG12</f>
        <v>425.70979102547625</v>
      </c>
      <c r="AH18" s="67">
        <f>AH$5*'Eurostat Collected Portables'!AH12</f>
        <v>475.98658152478225</v>
      </c>
      <c r="AI18" s="67">
        <f>AI$5*'Eurostat Collected Portables'!AI12</f>
        <v>529.75457323370131</v>
      </c>
      <c r="AJ18" s="67">
        <f>AJ$5*'Eurostat Collected Portables'!AJ12</f>
        <v>589.82658920469942</v>
      </c>
      <c r="AK18" s="67">
        <f>AK$5*'Eurostat Collected Portables'!AK12</f>
        <v>656.97508286419077</v>
      </c>
      <c r="AL18" s="67">
        <f>AL$5*'Eurostat Collected Portables'!AL12</f>
        <v>738.90300655092483</v>
      </c>
      <c r="AM18" s="67">
        <f>AM$5*'Eurostat Collected Portables'!AM12</f>
        <v>831.37885901449135</v>
      </c>
      <c r="AN18" s="67">
        <f>AN$5*'Eurostat Collected Portables'!AN12</f>
        <v>935.7987175250081</v>
      </c>
      <c r="AO18" s="67">
        <f>AO$5*'Eurostat Collected Portables'!AO12</f>
        <v>1053.5361087361123</v>
      </c>
      <c r="AP18" s="67">
        <f>AP$5*'Eurostat Collected Portables'!AP12</f>
        <v>1184.6484480536501</v>
      </c>
      <c r="AQ18" s="67">
        <f>AQ$5*'Eurostat Collected Portables'!AQ12</f>
        <v>1321.1812413955925</v>
      </c>
      <c r="AR18" s="67">
        <f>AR$5*'Eurostat Collected Portables'!AR12</f>
        <v>1461.8721443051847</v>
      </c>
      <c r="AS18" s="67">
        <f>AS$5*'Eurostat Collected Portables'!AS12</f>
        <v>1606.9209565497765</v>
      </c>
      <c r="AT18" s="67">
        <f>AT$5*'Eurostat Collected Portables'!AT12</f>
        <v>1766.3609572289217</v>
      </c>
      <c r="AU18" s="67">
        <f>AU$5*'Eurostat Collected Portables'!AU12</f>
        <v>1941.6836579186313</v>
      </c>
      <c r="AV18" s="67">
        <f>AV$5*'Eurostat Collected Portables'!AV12</f>
        <v>2153.7846839582253</v>
      </c>
      <c r="AW18" s="67">
        <f>AW$5*'Eurostat Collected Portables'!AW12</f>
        <v>2388.6293692274949</v>
      </c>
      <c r="AX18" s="67">
        <f>AX$5*'Eurostat Collected Portables'!AX12</f>
        <v>2648.6129132707642</v>
      </c>
      <c r="AY18" s="67">
        <f>AY$5*'Eurostat Collected Portables'!AY12</f>
        <v>2936.9721389710448</v>
      </c>
      <c r="AZ18" s="67">
        <f>AZ$5*'Eurostat Collected Portables'!AZ12</f>
        <v>3256.8122170311176</v>
      </c>
    </row>
    <row r="19" spans="1:52" x14ac:dyDescent="0.35">
      <c r="A19" s="1" t="s">
        <v>10</v>
      </c>
      <c r="B19" s="23">
        <f t="shared" ref="B19:C19" si="25">C19/1.34</f>
        <v>6.7236935862011631</v>
      </c>
      <c r="C19" s="23">
        <f t="shared" si="25"/>
        <v>9.0097494055095595</v>
      </c>
      <c r="D19" s="23">
        <f t="shared" ref="D19:E19" si="26">E19/1.5</f>
        <v>12.073064203382811</v>
      </c>
      <c r="E19" s="23">
        <f t="shared" si="26"/>
        <v>18.109596305074216</v>
      </c>
      <c r="F19" s="23">
        <f t="shared" si="2"/>
        <v>27.164394457611326</v>
      </c>
      <c r="G19" s="23">
        <f t="shared" si="3"/>
        <v>33.140561238285819</v>
      </c>
      <c r="H19" s="23">
        <f t="shared" si="4"/>
        <v>39.105862261177265</v>
      </c>
      <c r="I19" s="23">
        <f t="shared" si="5"/>
        <v>46.535976090800943</v>
      </c>
      <c r="J19" s="23">
        <f t="shared" si="6"/>
        <v>62.823567722581281</v>
      </c>
      <c r="K19" s="23">
        <f t="shared" si="7"/>
        <v>46.489440114710149</v>
      </c>
      <c r="L19" s="23">
        <f t="shared" si="8"/>
        <v>78.102259392713052</v>
      </c>
      <c r="M19" s="4">
        <f>$M$5*'Eurostat Collected Portables'!M13</f>
        <v>102.3139598044541</v>
      </c>
      <c r="N19" s="4">
        <f>$N$5*'Eurostat Collected Portables'!N13</f>
        <v>152.65343532492594</v>
      </c>
      <c r="O19" s="4">
        <f>$O$5*'Eurostat Collected Portables'!O13</f>
        <v>116.7222484648087</v>
      </c>
      <c r="P19" s="4">
        <f>$P$5*'Eurostat Collected Portables'!P13</f>
        <v>133.84231204634747</v>
      </c>
      <c r="Q19" s="4">
        <f>$Q$5*'Eurostat Collected Portables'!Q13</f>
        <v>162.44838793551745</v>
      </c>
      <c r="R19" s="4">
        <f>$R$5*'Eurostat Collected Portables'!R13</f>
        <v>205.70283137058382</v>
      </c>
      <c r="S19" s="4">
        <f>$S$5*'Eurostat Collected Portables'!S13</f>
        <v>235.75449251260432</v>
      </c>
      <c r="T19" s="4">
        <f>$T$5*'Eurostat Collected Portables'!T13</f>
        <v>275.93269590787469</v>
      </c>
      <c r="U19" s="4">
        <f>$U$5*'Eurostat Collected Portables'!U13</f>
        <v>294.74054102928727</v>
      </c>
      <c r="V19" s="4">
        <f>$V$5*'Eurostat Collected Portables'!V13</f>
        <v>211.92995144546254</v>
      </c>
      <c r="W19" s="4">
        <f>$W$5*'Eurostat Collected Portables'!W13</f>
        <v>376.59707966680014</v>
      </c>
      <c r="X19" s="67">
        <f>X$5*'Eurostat Collected Portables'!X13</f>
        <v>269.05567150947377</v>
      </c>
      <c r="Y19" s="67">
        <f>Y$5*'Eurostat Collected Portables'!Y13</f>
        <v>286.76083176452943</v>
      </c>
      <c r="Z19" s="67">
        <f>Z$5*'Eurostat Collected Portables'!Z13</f>
        <v>313.26720455762973</v>
      </c>
      <c r="AA19" s="67">
        <f>AA$5*'Eurostat Collected Portables'!AA13</f>
        <v>345.93363717280261</v>
      </c>
      <c r="AB19" s="67">
        <f>AB$5*'Eurostat Collected Portables'!AB13</f>
        <v>380.29468570922501</v>
      </c>
      <c r="AC19" s="67">
        <f>AC$5*'Eurostat Collected Portables'!AC13</f>
        <v>417.0454031664064</v>
      </c>
      <c r="AD19" s="67">
        <f>AD$5*'Eurostat Collected Portables'!AD13</f>
        <v>457.68590750651794</v>
      </c>
      <c r="AE19" s="67">
        <f>AE$5*'Eurostat Collected Portables'!AE13</f>
        <v>506.05569940310363</v>
      </c>
      <c r="AF19" s="67">
        <f>AF$5*'Eurostat Collected Portables'!AF13</f>
        <v>562.54140353512844</v>
      </c>
      <c r="AG19" s="67">
        <f>AG$5*'Eurostat Collected Portables'!AG13</f>
        <v>635.20406796394138</v>
      </c>
      <c r="AH19" s="67">
        <f>AH$5*'Eurostat Collected Portables'!AH13</f>
        <v>713.98118025812221</v>
      </c>
      <c r="AI19" s="67">
        <f>AI$5*'Eurostat Collected Portables'!AI13</f>
        <v>798.90412409573526</v>
      </c>
      <c r="AJ19" s="67">
        <f>AJ$5*'Eurostat Collected Portables'!AJ13</f>
        <v>894.23447607302762</v>
      </c>
      <c r="AK19" s="67">
        <f>AK$5*'Eurostat Collected Portables'!AK13</f>
        <v>1001.2879189102443</v>
      </c>
      <c r="AL19" s="67">
        <f>AL$5*'Eurostat Collected Portables'!AL13</f>
        <v>1132.0274547045333</v>
      </c>
      <c r="AM19" s="67">
        <f>AM$5*'Eurostat Collected Portables'!AM13</f>
        <v>1280.2798436814865</v>
      </c>
      <c r="AN19" s="67">
        <f>AN$5*'Eurostat Collected Portables'!AN13</f>
        <v>1448.4458157515535</v>
      </c>
      <c r="AO19" s="67">
        <f>AO$5*'Eurostat Collected Portables'!AO13</f>
        <v>1638.8960430512743</v>
      </c>
      <c r="AP19" s="67">
        <f>AP$5*'Eurostat Collected Portables'!AP13</f>
        <v>1851.9375433295995</v>
      </c>
      <c r="AQ19" s="67">
        <f>AQ$5*'Eurostat Collected Portables'!AQ13</f>
        <v>2075.6527815470195</v>
      </c>
      <c r="AR19" s="67">
        <f>AR$5*'Eurostat Collected Portables'!AR13</f>
        <v>2308.300844186308</v>
      </c>
      <c r="AS19" s="67">
        <f>AS$5*'Eurostat Collected Portables'!AS13</f>
        <v>2550.4565859755048</v>
      </c>
      <c r="AT19" s="67">
        <f>AT$5*'Eurostat Collected Portables'!AT13</f>
        <v>2817.9401950533675</v>
      </c>
      <c r="AU19" s="67">
        <f>AU$5*'Eurostat Collected Portables'!AU13</f>
        <v>3113.4327558193431</v>
      </c>
      <c r="AV19" s="67">
        <f>AV$5*'Eurostat Collected Portables'!AV13</f>
        <v>3470.8970004275188</v>
      </c>
      <c r="AW19" s="67">
        <f>AW$5*'Eurostat Collected Portables'!AW13</f>
        <v>3868.4473911388322</v>
      </c>
      <c r="AX19" s="67">
        <f>AX$5*'Eurostat Collected Portables'!AX13</f>
        <v>4310.4764263347124</v>
      </c>
      <c r="AY19" s="67">
        <f>AY$5*'Eurostat Collected Portables'!AY13</f>
        <v>4802.9282111031935</v>
      </c>
      <c r="AZ19" s="67">
        <f>AZ$5*'Eurostat Collected Portables'!AZ13</f>
        <v>5351.5474618397584</v>
      </c>
    </row>
    <row r="20" spans="1:52" x14ac:dyDescent="0.35">
      <c r="A20" s="1" t="s">
        <v>11</v>
      </c>
      <c r="B20" s="23">
        <f t="shared" ref="B20:C20" si="27">C20/1.34</f>
        <v>0.16375121941783388</v>
      </c>
      <c r="C20" s="23">
        <f t="shared" si="27"/>
        <v>0.2194266340198974</v>
      </c>
      <c r="D20" s="23">
        <f t="shared" ref="D20:E20" si="28">E20/1.5</f>
        <v>0.29403168958666254</v>
      </c>
      <c r="E20" s="23">
        <f t="shared" si="28"/>
        <v>0.44104753437999378</v>
      </c>
      <c r="F20" s="23">
        <f t="shared" si="2"/>
        <v>0.66157130156999067</v>
      </c>
      <c r="G20" s="23">
        <f t="shared" si="3"/>
        <v>0.80711698791538866</v>
      </c>
      <c r="H20" s="23">
        <f t="shared" si="4"/>
        <v>0.95239804574015852</v>
      </c>
      <c r="I20" s="23">
        <f t="shared" si="5"/>
        <v>1.1333536744307886</v>
      </c>
      <c r="J20" s="23">
        <f t="shared" si="6"/>
        <v>1.5300274604815647</v>
      </c>
      <c r="K20" s="23">
        <f t="shared" si="7"/>
        <v>1.1322203207563579</v>
      </c>
      <c r="L20" s="23">
        <f t="shared" si="8"/>
        <v>1.9021301388706813</v>
      </c>
      <c r="M20" s="4">
        <f>$M$5*'Eurostat Collected Portables'!M14</f>
        <v>2.4917904819205927</v>
      </c>
      <c r="N20" s="4">
        <f>$N$5*'Eurostat Collected Portables'!N14</f>
        <v>3.8858455301862662</v>
      </c>
      <c r="O20" s="4">
        <f>$O$5*'Eurostat Collected Portables'!O14</f>
        <v>3.1050869511850796</v>
      </c>
      <c r="P20" s="4">
        <f>$P$5*'Eurostat Collected Portables'!P14</f>
        <v>3.7034160599615626</v>
      </c>
      <c r="Q20" s="4">
        <f>$Q$5*'Eurostat Collected Portables'!Q14</f>
        <v>4.6807722308892359</v>
      </c>
      <c r="R20" s="4">
        <f>$R$5*'Eurostat Collected Portables'!R14</f>
        <v>6.3342520671510902</v>
      </c>
      <c r="S20" s="4">
        <f>$S$5*'Eurostat Collected Portables'!S14</f>
        <v>6.3990024825163783</v>
      </c>
      <c r="T20" s="4">
        <f>$T$5*'Eurostat Collected Portables'!T14</f>
        <v>6.4742153183017823</v>
      </c>
      <c r="U20" s="4">
        <f>$U$5*'Eurostat Collected Portables'!U14</f>
        <v>6.5082979195607331</v>
      </c>
      <c r="V20" s="4">
        <f>$V$5*'Eurostat Collected Portables'!V14</f>
        <v>4.8350567823984738</v>
      </c>
      <c r="W20" s="4">
        <f>$W$5*'Eurostat Collected Portables'!W14</f>
        <v>8.0851925016231725</v>
      </c>
      <c r="X20" s="67">
        <f>X$5*'Eurostat Collected Portables'!X14</f>
        <v>6.6609496561443624</v>
      </c>
      <c r="Y20" s="67">
        <f>Y$5*'Eurostat Collected Portables'!Y14</f>
        <v>8.3422978757336175</v>
      </c>
      <c r="Z20" s="67">
        <f>Z$5*'Eurostat Collected Portables'!Z14</f>
        <v>9.341090619448229</v>
      </c>
      <c r="AA20" s="67">
        <f>AA$5*'Eurostat Collected Portables'!AA14</f>
        <v>10.567546804842937</v>
      </c>
      <c r="AB20" s="67">
        <f>AB$5*'Eurostat Collected Portables'!AB14</f>
        <v>11.915785568189014</v>
      </c>
      <c r="AC20" s="67">
        <f>AC$5*'Eurostat Collected Portables'!AC14</f>
        <v>13.41068974181885</v>
      </c>
      <c r="AD20" s="67">
        <f>AD$5*'Eurostat Collected Portables'!AD14</f>
        <v>15.096779177785086</v>
      </c>
      <c r="AE20" s="67">
        <f>AE$5*'Eurostat Collected Portables'!AE14</f>
        <v>17.079405110633211</v>
      </c>
      <c r="AF20" s="67">
        <f>AF$5*'Eurostat Collected Portables'!AF14</f>
        <v>19.388968157469566</v>
      </c>
      <c r="AG20" s="67">
        <f>AG$5*'Eurostat Collected Portables'!AG14</f>
        <v>22.331789392906455</v>
      </c>
      <c r="AH20" s="67">
        <f>AH$5*'Eurostat Collected Portables'!AH14</f>
        <v>25.584206149880401</v>
      </c>
      <c r="AI20" s="67">
        <f>AI$5*'Eurostat Collected Portables'!AI14</f>
        <v>29.156102297294364</v>
      </c>
      <c r="AJ20" s="67">
        <f>AJ$5*'Eurostat Collected Portables'!AJ14</f>
        <v>33.218598242969506</v>
      </c>
      <c r="AK20" s="67">
        <f>AK$5*'Eurostat Collected Portables'!AK14</f>
        <v>37.83957197287063</v>
      </c>
      <c r="AL20" s="67">
        <f>AL$5*'Eurostat Collected Portables'!AL14</f>
        <v>43.4986495596577</v>
      </c>
      <c r="AM20" s="67">
        <f>AM$5*'Eurostat Collected Portables'!AM14</f>
        <v>49.996619304081165</v>
      </c>
      <c r="AN20" s="67">
        <f>AN$5*'Eurostat Collected Portables'!AN14</f>
        <v>57.458008762061823</v>
      </c>
      <c r="AO20" s="67">
        <f>AO$5*'Eurostat Collected Portables'!AO14</f>
        <v>66.012666735713339</v>
      </c>
      <c r="AP20" s="67">
        <f>AP$5*'Eurostat Collected Portables'!AP14</f>
        <v>75.712885052597557</v>
      </c>
      <c r="AQ20" s="67">
        <f>AQ$5*'Eurostat Collected Portables'!AQ14</f>
        <v>86.088817802297271</v>
      </c>
      <c r="AR20" s="67">
        <f>AR$5*'Eurostat Collected Portables'!AR14</f>
        <v>97.075060327213038</v>
      </c>
      <c r="AS20" s="67">
        <f>AS$5*'Eurostat Collected Portables'!AS14</f>
        <v>108.69871718409674</v>
      </c>
      <c r="AT20" s="67">
        <f>AT$5*'Eurostat Collected Portables'!AT14</f>
        <v>121.66509828856574</v>
      </c>
      <c r="AU20" s="67">
        <f>AU$5*'Eurostat Collected Portables'!AU14</f>
        <v>136.1299253177452</v>
      </c>
      <c r="AV20" s="67">
        <f>AV$5*'Eurostat Collected Portables'!AV14</f>
        <v>153.64004326309984</v>
      </c>
      <c r="AW20" s="67">
        <f>AW$5*'Eurostat Collected Portables'!AW14</f>
        <v>173.30954229190439</v>
      </c>
      <c r="AX20" s="67">
        <f>AX$5*'Eurostat Collected Portables'!AX14</f>
        <v>195.39530814455048</v>
      </c>
      <c r="AY20" s="67">
        <f>AY$5*'Eurostat Collected Portables'!AY14</f>
        <v>220.22835640655924</v>
      </c>
      <c r="AZ20" s="67">
        <f>AZ$5*'Eurostat Collected Portables'!AZ14</f>
        <v>248.1446566380159</v>
      </c>
    </row>
    <row r="21" spans="1:52" x14ac:dyDescent="0.35">
      <c r="A21" s="1" t="s">
        <v>12</v>
      </c>
      <c r="B21" s="23">
        <f t="shared" ref="B21:C21" si="29">C21/1.34</f>
        <v>0.17105064346664742</v>
      </c>
      <c r="C21" s="23">
        <f t="shared" si="29"/>
        <v>0.22920786224530756</v>
      </c>
      <c r="D21" s="23">
        <f t="shared" ref="D21:E21" si="30">E21/1.5</f>
        <v>0.30713853540871217</v>
      </c>
      <c r="E21" s="23">
        <f t="shared" si="30"/>
        <v>0.46070780311306825</v>
      </c>
      <c r="F21" s="23">
        <f t="shared" si="2"/>
        <v>0.69106170466960237</v>
      </c>
      <c r="G21" s="23">
        <f t="shared" si="3"/>
        <v>0.84309527969691489</v>
      </c>
      <c r="H21" s="23">
        <f t="shared" si="4"/>
        <v>0.99485243004235946</v>
      </c>
      <c r="I21" s="23">
        <f t="shared" si="5"/>
        <v>1.1838743917504078</v>
      </c>
      <c r="J21" s="23">
        <f t="shared" si="6"/>
        <v>1.5982304288630504</v>
      </c>
      <c r="K21" s="23">
        <f t="shared" si="7"/>
        <v>1.1826905173586573</v>
      </c>
      <c r="L21" s="23">
        <f t="shared" si="8"/>
        <v>1.9869200691625442</v>
      </c>
      <c r="M21" s="4">
        <f>$M$5*'Eurostat Collected Portables'!M15</f>
        <v>2.6028652906029328</v>
      </c>
      <c r="N21" s="4">
        <f>$N$5*'Eurostat Collected Portables'!N15</f>
        <v>4.430707738956654</v>
      </c>
      <c r="O21" s="4">
        <f>$O$5*'Eurostat Collected Portables'!O15</f>
        <v>3.2633780956879681</v>
      </c>
      <c r="P21" s="4">
        <f>$P$5*'Eurostat Collected Portables'!P15</f>
        <v>4.244189918092828</v>
      </c>
      <c r="Q21" s="4">
        <f>$Q$5*'Eurostat Collected Portables'!Q15</f>
        <v>6.1584763390535624</v>
      </c>
      <c r="R21" s="4">
        <f>$R$5*'Eurostat Collected Portables'!R15</f>
        <v>9.2407917815083938</v>
      </c>
      <c r="S21" s="4">
        <f>$S$5*'Eurostat Collected Portables'!S15</f>
        <v>11.094592745518765</v>
      </c>
      <c r="T21" s="4">
        <f>$T$5*'Eurostat Collected Portables'!T15</f>
        <v>12.515255289809412</v>
      </c>
      <c r="U21" s="4">
        <f>$U$5*'Eurostat Collected Portables'!U15</f>
        <v>15.566568302687065</v>
      </c>
      <c r="V21" s="4">
        <f>$V$5*'Eurostat Collected Portables'!V15</f>
        <v>10.21717489791358</v>
      </c>
      <c r="W21" s="4">
        <f>$W$5*'Eurostat Collected Portables'!W15</f>
        <v>16.920426446006985</v>
      </c>
      <c r="X21" s="67">
        <f>X$5*'Eurostat Collected Portables'!X15</f>
        <v>12.000303618707017</v>
      </c>
      <c r="Y21" s="67">
        <f>Y$5*'Eurostat Collected Portables'!Y15</f>
        <v>13.910310120785251</v>
      </c>
      <c r="Z21" s="67">
        <f>Z$5*'Eurostat Collected Portables'!Z15</f>
        <v>15.21575259035769</v>
      </c>
      <c r="AA21" s="67">
        <f>AA$5*'Eurostat Collected Portables'!AA15</f>
        <v>16.832047109434519</v>
      </c>
      <c r="AB21" s="67">
        <f>AB$5*'Eurostat Collected Portables'!AB15</f>
        <v>18.575752890882697</v>
      </c>
      <c r="AC21" s="67">
        <f>AC$5*'Eurostat Collected Portables'!AC15</f>
        <v>20.478796863786283</v>
      </c>
      <c r="AD21" s="67">
        <f>AD$5*'Eurostat Collected Portables'!AD15</f>
        <v>22.600215862382889</v>
      </c>
      <c r="AE21" s="67">
        <f>AE$5*'Eurostat Collected Portables'!AE15</f>
        <v>25.084196426601903</v>
      </c>
      <c r="AF21" s="67">
        <f>AF$5*'Eurostat Collected Portables'!AF15</f>
        <v>27.956715605261088</v>
      </c>
      <c r="AG21" s="67">
        <f>AG$5*'Eurostat Collected Portables'!AG15</f>
        <v>31.633411408510327</v>
      </c>
      <c r="AH21" s="67">
        <f>AH$5*'Eurostat Collected Portables'!AH15</f>
        <v>35.625111039373209</v>
      </c>
      <c r="AI21" s="67">
        <f>AI$5*'Eurostat Collected Portables'!AI15</f>
        <v>39.932931217048029</v>
      </c>
      <c r="AJ21" s="67">
        <f>AJ$5*'Eurostat Collected Portables'!AJ15</f>
        <v>44.775685883252621</v>
      </c>
      <c r="AK21" s="67">
        <f>AK$5*'Eurostat Collected Portables'!AK15</f>
        <v>50.22215077254171</v>
      </c>
      <c r="AL21" s="67">
        <f>AL$5*'Eurostat Collected Portables'!AL15</f>
        <v>56.876129609101611</v>
      </c>
      <c r="AM21" s="67">
        <f>AM$5*'Eurostat Collected Portables'!AM15</f>
        <v>64.432656783872289</v>
      </c>
      <c r="AN21" s="67">
        <f>AN$5*'Eurostat Collected Portables'!AN15</f>
        <v>73.016801889117161</v>
      </c>
      <c r="AO21" s="67">
        <f>AO$5*'Eurostat Collected Portables'!AO15</f>
        <v>82.754663696425354</v>
      </c>
      <c r="AP21" s="67">
        <f>AP$5*'Eurostat Collected Portables'!AP15</f>
        <v>93.671002315184353</v>
      </c>
      <c r="AQ21" s="67">
        <f>AQ$5*'Eurostat Collected Portables'!AQ15</f>
        <v>105.15287725302919</v>
      </c>
      <c r="AR21" s="67">
        <f>AR$5*'Eurostat Collected Portables'!AR15</f>
        <v>117.10682588649018</v>
      </c>
      <c r="AS21" s="67">
        <f>AS$5*'Eurostat Collected Portables'!AS15</f>
        <v>129.55460793255779</v>
      </c>
      <c r="AT21" s="67">
        <f>AT$5*'Eurostat Collected Portables'!AT15</f>
        <v>143.31620469475652</v>
      </c>
      <c r="AU21" s="67">
        <f>AU$5*'Eurostat Collected Portables'!AU15</f>
        <v>158.53466780975197</v>
      </c>
      <c r="AV21" s="67">
        <f>AV$5*'Eurostat Collected Portables'!AV15</f>
        <v>176.95013047442933</v>
      </c>
      <c r="AW21" s="67">
        <f>AW$5*'Eurostat Collected Portables'!AW15</f>
        <v>197.45746493310182</v>
      </c>
      <c r="AX21" s="67">
        <f>AX$5*'Eurostat Collected Portables'!AX15</f>
        <v>220.28922980198081</v>
      </c>
      <c r="AY21" s="67">
        <f>AY$5*'Eurostat Collected Portables'!AY15</f>
        <v>245.75299023071835</v>
      </c>
      <c r="AZ21" s="67">
        <f>AZ$5*'Eurostat Collected Portables'!AZ15</f>
        <v>274.15146083301681</v>
      </c>
    </row>
    <row r="22" spans="1:52" x14ac:dyDescent="0.35">
      <c r="A22" s="1" t="s">
        <v>13</v>
      </c>
      <c r="B22" s="23">
        <f t="shared" ref="B22:C22" si="31">C22/1.34</f>
        <v>1.3919198703383505E-2</v>
      </c>
      <c r="C22" s="23">
        <f t="shared" si="31"/>
        <v>1.8651726262533898E-2</v>
      </c>
      <c r="D22" s="23">
        <f t="shared" ref="D22:E22" si="32">E22/1.5</f>
        <v>2.4993313191795426E-2</v>
      </c>
      <c r="E22" s="23">
        <f t="shared" si="32"/>
        <v>3.7489969787693138E-2</v>
      </c>
      <c r="F22" s="23">
        <f t="shared" si="2"/>
        <v>5.6234954681539703E-2</v>
      </c>
      <c r="G22" s="23">
        <f t="shared" si="3"/>
        <v>6.860664471147844E-2</v>
      </c>
      <c r="H22" s="23">
        <f t="shared" si="4"/>
        <v>8.0955840759544553E-2</v>
      </c>
      <c r="I22" s="23">
        <f t="shared" si="5"/>
        <v>9.6337450503858016E-2</v>
      </c>
      <c r="J22" s="23">
        <f t="shared" si="6"/>
        <v>0.13005555818020834</v>
      </c>
      <c r="K22" s="23">
        <f t="shared" si="7"/>
        <v>9.6241113053354171E-2</v>
      </c>
      <c r="L22" s="23">
        <f t="shared" si="8"/>
        <v>0.16168506992963499</v>
      </c>
      <c r="M22" s="4">
        <f>$M$5*'Eurostat Collected Portables'!M16</f>
        <v>0.21180744160782183</v>
      </c>
      <c r="N22" s="4">
        <f>$N$5*'Eurostat Collected Portables'!N16</f>
        <v>0.46661153607608025</v>
      </c>
      <c r="O22" s="4">
        <f>$O$5*'Eurostat Collected Portables'!O16</f>
        <v>0.40666711653957754</v>
      </c>
      <c r="P22" s="4">
        <f>$P$5*'Eurostat Collected Portables'!P16</f>
        <v>0.43630552041020176</v>
      </c>
      <c r="Q22" s="4">
        <f>$Q$5*'Eurostat Collected Portables'!Q16</f>
        <v>0.50605174206968284</v>
      </c>
      <c r="R22" s="4">
        <f>$R$5*'Eurostat Collected Portables'!R16</f>
        <v>0.5933350037584566</v>
      </c>
      <c r="S22" s="4">
        <f>$S$5*'Eurostat Collected Portables'!S16</f>
        <v>1.1498032481719447</v>
      </c>
      <c r="T22" s="4">
        <f>$T$5*'Eurostat Collected Portables'!T16</f>
        <v>0.95766873966923283</v>
      </c>
      <c r="U22" s="4">
        <f>$U$5*'Eurostat Collected Portables'!U16</f>
        <v>0.89729156563124191</v>
      </c>
      <c r="V22" s="4">
        <f>$V$5*'Eurostat Collected Portables'!V16</f>
        <v>0.79002092517725475</v>
      </c>
      <c r="W22" s="4">
        <f>$W$5*'Eurostat Collected Portables'!W16</f>
        <v>1.238204008896379</v>
      </c>
      <c r="X22" s="67">
        <f>X$5*'Eurostat Collected Portables'!X16</f>
        <v>1.0438869859669675</v>
      </c>
      <c r="Y22" s="67">
        <f>Y$5*'Eurostat Collected Portables'!Y16</f>
        <v>1.1730032413153291</v>
      </c>
      <c r="Z22" s="67">
        <f>Z$5*'Eurostat Collected Portables'!Z16</f>
        <v>1.2992004909418926</v>
      </c>
      <c r="AA22" s="67">
        <f>AA$5*'Eurostat Collected Portables'!AA16</f>
        <v>1.4546888083419682</v>
      </c>
      <c r="AB22" s="67">
        <f>AB$5*'Eurostat Collected Portables'!AB16</f>
        <v>1.624307772722648</v>
      </c>
      <c r="AC22" s="67">
        <f>AC$5*'Eurostat Collected Portables'!AC16</f>
        <v>1.8111777673677154</v>
      </c>
      <c r="AD22" s="67">
        <f>AD$5*'Eurostat Collected Portables'!AD16</f>
        <v>2.020957434316661</v>
      </c>
      <c r="AE22" s="67">
        <f>AE$5*'Eurostat Collected Portables'!AE16</f>
        <v>2.2672146550751413</v>
      </c>
      <c r="AF22" s="67">
        <f>AF$5*'Eurostat Collected Portables'!AF16</f>
        <v>2.5532462687978219</v>
      </c>
      <c r="AG22" s="67">
        <f>AG$5*'Eurostat Collected Portables'!AG16</f>
        <v>2.918360006457934</v>
      </c>
      <c r="AH22" s="67">
        <f>AH$5*'Eurostat Collected Portables'!AH16</f>
        <v>3.3190445121131811</v>
      </c>
      <c r="AI22" s="67">
        <f>AI$5*'Eurostat Collected Portables'!AI16</f>
        <v>3.7560817023499005</v>
      </c>
      <c r="AJ22" s="67">
        <f>AJ$5*'Eurostat Collected Portables'!AJ16</f>
        <v>4.2509009651826313</v>
      </c>
      <c r="AK22" s="67">
        <f>AK$5*'Eurostat Collected Portables'!AK16</f>
        <v>4.8112897014877154</v>
      </c>
      <c r="AL22" s="67">
        <f>AL$5*'Eurostat Collected Portables'!AL16</f>
        <v>5.4969355595686782</v>
      </c>
      <c r="AM22" s="67">
        <f>AM$5*'Eurostat Collected Portables'!AM16</f>
        <v>6.2809040054717258</v>
      </c>
      <c r="AN22" s="67">
        <f>AN$5*'Eurostat Collected Portables'!AN16</f>
        <v>7.1774379294641655</v>
      </c>
      <c r="AO22" s="67">
        <f>AO$5*'Eurostat Collected Portables'!AO16</f>
        <v>8.2012181190336531</v>
      </c>
      <c r="AP22" s="67">
        <f>AP$5*'Eurostat Collected Portables'!AP16</f>
        <v>9.3571272368094771</v>
      </c>
      <c r="AQ22" s="67">
        <f>AQ$5*'Eurostat Collected Portables'!AQ16</f>
        <v>10.585846153796684</v>
      </c>
      <c r="AR22" s="67">
        <f>AR$5*'Eurostat Collected Portables'!AR16</f>
        <v>11.878795397163538</v>
      </c>
      <c r="AS22" s="67">
        <f>AS$5*'Eurostat Collected Portables'!AS16</f>
        <v>13.238858937343647</v>
      </c>
      <c r="AT22" s="67">
        <f>AT$5*'Eurostat Collected Portables'!AT16</f>
        <v>14.751122146147901</v>
      </c>
      <c r="AU22" s="67">
        <f>AU$5*'Eurostat Collected Portables'!AU16</f>
        <v>16.43286767578978</v>
      </c>
      <c r="AV22" s="67">
        <f>AV$5*'Eurostat Collected Portables'!AV16</f>
        <v>18.468397200168582</v>
      </c>
      <c r="AW22" s="67">
        <f>AW$5*'Eurostat Collected Portables'!AW16</f>
        <v>20.747864105775257</v>
      </c>
      <c r="AX22" s="67">
        <f>AX$5*'Eurostat Collected Portables'!AX16</f>
        <v>23.299643118159391</v>
      </c>
      <c r="AY22" s="67">
        <f>AY$5*'Eurostat Collected Portables'!AY16</f>
        <v>26.160609512887316</v>
      </c>
      <c r="AZ22" s="67">
        <f>AZ$5*'Eurostat Collected Portables'!AZ16</f>
        <v>29.367816431497761</v>
      </c>
    </row>
    <row r="23" spans="1:52" x14ac:dyDescent="0.35">
      <c r="A23" s="1" t="s">
        <v>14</v>
      </c>
      <c r="B23" s="23">
        <f t="shared" ref="B23:C23" si="33">C23/1.34</f>
        <v>0.23249233801564276</v>
      </c>
      <c r="C23" s="23">
        <f t="shared" si="33"/>
        <v>0.31153973294096132</v>
      </c>
      <c r="D23" s="23">
        <f t="shared" ref="D23:E23" si="34">E23/1.5</f>
        <v>0.4174632421408882</v>
      </c>
      <c r="E23" s="23">
        <f t="shared" si="34"/>
        <v>0.62619486321133233</v>
      </c>
      <c r="F23" s="23">
        <f t="shared" si="2"/>
        <v>0.9392922948169985</v>
      </c>
      <c r="G23" s="23">
        <f t="shared" si="3"/>
        <v>1.1459365996767381</v>
      </c>
      <c r="H23" s="23">
        <f t="shared" si="4"/>
        <v>1.3522051876185508</v>
      </c>
      <c r="I23" s="23">
        <f t="shared" si="5"/>
        <v>1.6091241732660755</v>
      </c>
      <c r="J23" s="23">
        <f t="shared" si="6"/>
        <v>2.1723176339092021</v>
      </c>
      <c r="K23" s="23">
        <f t="shared" si="7"/>
        <v>1.6075150490928094</v>
      </c>
      <c r="L23" s="23">
        <f t="shared" si="8"/>
        <v>2.7006252824759196</v>
      </c>
      <c r="M23" s="4">
        <f>$M$5*'Eurostat Collected Portables'!M17</f>
        <v>3.5378191200434546</v>
      </c>
      <c r="N23" s="4">
        <f>$N$5*'Eurostat Collected Portables'!N17</f>
        <v>4.8258562469850457</v>
      </c>
      <c r="O23" s="4">
        <f>$O$5*'Eurostat Collected Portables'!O17</f>
        <v>3.8658478979688238</v>
      </c>
      <c r="P23" s="4">
        <f>$P$5*'Eurostat Collected Portables'!P17</f>
        <v>4.7406272890723846</v>
      </c>
      <c r="Q23" s="4">
        <f>$Q$5*'Eurostat Collected Portables'!Q17</f>
        <v>6.3813702548101929</v>
      </c>
      <c r="R23" s="4">
        <f>$R$5*'Eurostat Collected Portables'!R17</f>
        <v>11.315459784515159</v>
      </c>
      <c r="S23" s="4">
        <f>$S$5*'Eurostat Collected Portables'!S17</f>
        <v>14.882443602069616</v>
      </c>
      <c r="T23" s="4">
        <f>$T$5*'Eurostat Collected Portables'!T17</f>
        <v>14.365031095038493</v>
      </c>
      <c r="U23" s="4">
        <f>$U$5*'Eurostat Collected Portables'!U17</f>
        <v>13.432700132339283</v>
      </c>
      <c r="V23" s="4">
        <f>$V$5*'Eurostat Collected Portables'!V17</f>
        <v>11.753773642402944</v>
      </c>
      <c r="W23" s="4">
        <f>$W$5*'Eurostat Collected Portables'!W17</f>
        <v>20.238406387710835</v>
      </c>
      <c r="X23" s="67">
        <f>X$5*'Eurostat Collected Portables'!X17</f>
        <v>15.350335916613576</v>
      </c>
      <c r="Y23" s="67">
        <f>Y$5*'Eurostat Collected Portables'!Y17</f>
        <v>16.760577958592354</v>
      </c>
      <c r="Z23" s="67">
        <f>Z$5*'Eurostat Collected Portables'!Z17</f>
        <v>18.304290593261936</v>
      </c>
      <c r="AA23" s="67">
        <f>AA$5*'Eurostat Collected Portables'!AA17</f>
        <v>20.216968497650409</v>
      </c>
      <c r="AB23" s="67">
        <f>AB$5*'Eurostat Collected Portables'!AB17</f>
        <v>22.277023992320956</v>
      </c>
      <c r="AC23" s="67">
        <f>AC$5*'Eurostat Collected Portables'!AC17</f>
        <v>24.522149671402442</v>
      </c>
      <c r="AD23" s="67">
        <f>AD$5*'Eurostat Collected Portables'!AD17</f>
        <v>27.022245668629292</v>
      </c>
      <c r="AE23" s="67">
        <f>AE$5*'Eurostat Collected Portables'!AE17</f>
        <v>29.948487613328666</v>
      </c>
      <c r="AF23" s="67">
        <f>AF$5*'Eurostat Collected Portables'!AF17</f>
        <v>33.330169346579616</v>
      </c>
      <c r="AG23" s="67">
        <f>AG$5*'Eurostat Collected Portables'!AG17</f>
        <v>37.660372604804756</v>
      </c>
      <c r="AH23" s="67">
        <f>AH$5*'Eurostat Collected Portables'!AH17</f>
        <v>42.353791771669819</v>
      </c>
      <c r="AI23" s="67">
        <f>AI$5*'Eurostat Collected Portables'!AI17</f>
        <v>47.410525325577431</v>
      </c>
      <c r="AJ23" s="67">
        <f>AJ$5*'Eurostat Collected Portables'!AJ17</f>
        <v>53.088823676506131</v>
      </c>
      <c r="AK23" s="67">
        <f>AK$5*'Eurostat Collected Portables'!AK17</f>
        <v>59.467950537590781</v>
      </c>
      <c r="AL23" s="67">
        <f>AL$5*'Eurostat Collected Portables'!AL17</f>
        <v>67.259526605822785</v>
      </c>
      <c r="AM23" s="67">
        <f>AM$5*'Eurostat Collected Portables'!AM17</f>
        <v>76.098306277229653</v>
      </c>
      <c r="AN23" s="67">
        <f>AN$5*'Eurostat Collected Portables'!AN17</f>
        <v>86.128284078698556</v>
      </c>
      <c r="AO23" s="67">
        <f>AO$5*'Eurostat Collected Portables'!AO17</f>
        <v>97.494057946941354</v>
      </c>
      <c r="AP23" s="67">
        <f>AP$5*'Eurostat Collected Portables'!AP17</f>
        <v>110.22039385579679</v>
      </c>
      <c r="AQ23" s="67">
        <f>AQ$5*'Eurostat Collected Portables'!AQ17</f>
        <v>123.58259691442542</v>
      </c>
      <c r="AR23" s="67">
        <f>AR$5*'Eurostat Collected Portables'!AR17</f>
        <v>137.46931958412287</v>
      </c>
      <c r="AS23" s="67">
        <f>AS$5*'Eurostat Collected Portables'!AS17</f>
        <v>151.90487801468541</v>
      </c>
      <c r="AT23" s="67">
        <f>AT$5*'Eurostat Collected Portables'!AT17</f>
        <v>167.84836804792374</v>
      </c>
      <c r="AU23" s="67">
        <f>AU$5*'Eurostat Collected Portables'!AU17</f>
        <v>185.46268851778899</v>
      </c>
      <c r="AV23" s="67">
        <f>AV$5*'Eurostat Collected Portables'!AV17</f>
        <v>206.77642058555611</v>
      </c>
      <c r="AW23" s="67">
        <f>AW$5*'Eurostat Collected Portables'!AW17</f>
        <v>230.48819268602915</v>
      </c>
      <c r="AX23" s="67">
        <f>AX$5*'Eurostat Collected Portables'!AX17</f>
        <v>256.86232421001569</v>
      </c>
      <c r="AY23" s="67">
        <f>AY$5*'Eurostat Collected Portables'!AY17</f>
        <v>286.24956537009155</v>
      </c>
      <c r="AZ23" s="67">
        <f>AZ$5*'Eurostat Collected Portables'!AZ17</f>
        <v>318.99375776725441</v>
      </c>
    </row>
    <row r="24" spans="1:52" x14ac:dyDescent="0.35">
      <c r="A24" s="1" t="s">
        <v>15</v>
      </c>
      <c r="B24" s="23">
        <f t="shared" ref="B24:C24" si="35">C24/1.34</f>
        <v>2.8240423309371541</v>
      </c>
      <c r="C24" s="23">
        <f t="shared" si="35"/>
        <v>3.7842167234557866</v>
      </c>
      <c r="D24" s="23">
        <f t="shared" ref="D24:E24" si="36">E24/1.5</f>
        <v>5.0708504094307543</v>
      </c>
      <c r="E24" s="23">
        <f t="shared" si="36"/>
        <v>7.6062756141461314</v>
      </c>
      <c r="F24" s="23">
        <f t="shared" si="2"/>
        <v>11.409413421219197</v>
      </c>
      <c r="G24" s="23">
        <f t="shared" si="3"/>
        <v>13.919484373887421</v>
      </c>
      <c r="H24" s="23">
        <f t="shared" si="4"/>
        <v>16.424991561187156</v>
      </c>
      <c r="I24" s="23">
        <f t="shared" si="5"/>
        <v>19.545739957812714</v>
      </c>
      <c r="J24" s="23">
        <f t="shared" si="6"/>
        <v>26.386748943047166</v>
      </c>
      <c r="K24" s="23">
        <f t="shared" si="7"/>
        <v>19.526194217854904</v>
      </c>
      <c r="L24" s="23">
        <f t="shared" si="8"/>
        <v>32.804006285996238</v>
      </c>
      <c r="M24" s="4">
        <f>$M$5*'Eurostat Collected Portables'!M18</f>
        <v>42.973248234655074</v>
      </c>
      <c r="N24" s="4">
        <f>$N$5*'Eurostat Collected Portables'!N18</f>
        <v>67.679691268692721</v>
      </c>
      <c r="O24" s="4">
        <f>$O$5*'Eurostat Collected Portables'!O18</f>
        <v>52.898103785680547</v>
      </c>
      <c r="P24" s="4">
        <f>$P$5*'Eurostat Collected Portables'!P18</f>
        <v>67.019045082240126</v>
      </c>
      <c r="Q24" s="4">
        <f>$Q$5*'Eurostat Collected Portables'!Q18</f>
        <v>83.420111804472185</v>
      </c>
      <c r="R24" s="4">
        <f>$R$5*'Eurostat Collected Portables'!R18</f>
        <v>95.164119268353801</v>
      </c>
      <c r="S24" s="4">
        <f>$S$5*'Eurostat Collected Portables'!S18</f>
        <v>106.32878380755761</v>
      </c>
      <c r="T24" s="4">
        <f>$T$5*'Eurostat Collected Portables'!T18</f>
        <v>122.13203291234031</v>
      </c>
      <c r="U24" s="4">
        <f>$U$5*'Eurostat Collected Portables'!U18</f>
        <v>117.02133046187232</v>
      </c>
      <c r="V24" s="4">
        <f>$V$5*'Eurostat Collected Portables'!V18</f>
        <v>84.279625378380047</v>
      </c>
      <c r="W24" s="4">
        <f>$W$5*'Eurostat Collected Portables'!W18</f>
        <v>133.46923911091463</v>
      </c>
      <c r="X24" s="67">
        <f>X$5*'Eurostat Collected Portables'!X18</f>
        <v>100.14655038300064</v>
      </c>
      <c r="Y24" s="67">
        <f>Y$5*'Eurostat Collected Portables'!Y18</f>
        <v>114.1916273567368</v>
      </c>
      <c r="Z24" s="67">
        <f>Z$5*'Eurostat Collected Portables'!Z18</f>
        <v>126.31356335732295</v>
      </c>
      <c r="AA24" s="67">
        <f>AA$5*'Eurostat Collected Portables'!AA18</f>
        <v>141.25577799996722</v>
      </c>
      <c r="AB24" s="67">
        <f>AB$5*'Eurostat Collected Portables'!AB18</f>
        <v>157.53928094019776</v>
      </c>
      <c r="AC24" s="67">
        <f>AC$5*'Eurostat Collected Portables'!AC18</f>
        <v>175.4635013926551</v>
      </c>
      <c r="AD24" s="67">
        <f>AD$5*'Eurostat Collected Portables'!AD18</f>
        <v>195.5724113094648</v>
      </c>
      <c r="AE24" s="67">
        <f>AE$5*'Eurostat Collected Portables'!AE18</f>
        <v>219.17255718030151</v>
      </c>
      <c r="AF24" s="67">
        <f>AF$5*'Eurostat Collected Portables'!AF18</f>
        <v>246.57367180001091</v>
      </c>
      <c r="AG24" s="67">
        <f>AG$5*'Eurostat Collected Portables'!AG18</f>
        <v>281.55918829595225</v>
      </c>
      <c r="AH24" s="67">
        <f>AH$5*'Eurostat Collected Portables'!AH18</f>
        <v>319.91620627115407</v>
      </c>
      <c r="AI24" s="67">
        <f>AI$5*'Eurostat Collected Portables'!AI18</f>
        <v>361.71387386530216</v>
      </c>
      <c r="AJ24" s="67">
        <f>AJ$5*'Eurostat Collected Portables'!AJ18</f>
        <v>409.00815507580518</v>
      </c>
      <c r="AK24" s="67">
        <f>AK$5*'Eurostat Collected Portables'!AK18</f>
        <v>462.53700261710543</v>
      </c>
      <c r="AL24" s="67">
        <f>AL$5*'Eurostat Collected Portables'!AL18</f>
        <v>528.02208872925826</v>
      </c>
      <c r="AM24" s="67">
        <f>AM$5*'Eurostat Collected Portables'!AM18</f>
        <v>602.85368762465998</v>
      </c>
      <c r="AN24" s="67">
        <f>AN$5*'Eurostat Collected Portables'!AN18</f>
        <v>688.3808751473847</v>
      </c>
      <c r="AO24" s="67">
        <f>AO$5*'Eurostat Collected Portables'!AO18</f>
        <v>785.99179735438565</v>
      </c>
      <c r="AP24" s="67">
        <f>AP$5*'Eurostat Collected Portables'!AP18</f>
        <v>896.13345191375242</v>
      </c>
      <c r="AQ24" s="67">
        <f>AQ$5*'Eurostat Collected Portables'!AQ18</f>
        <v>1013.1084966385307</v>
      </c>
      <c r="AR24" s="67">
        <f>AR$5*'Eurostat Collected Portables'!AR18</f>
        <v>1136.0887980814243</v>
      </c>
      <c r="AS24" s="67">
        <f>AS$5*'Eurostat Collected Portables'!AS18</f>
        <v>1265.3444765303166</v>
      </c>
      <c r="AT24" s="67">
        <f>AT$5*'Eurostat Collected Portables'!AT18</f>
        <v>1408.9970068158973</v>
      </c>
      <c r="AU24" s="67">
        <f>AU$5*'Eurostat Collected Portables'!AU18</f>
        <v>1568.6759431639748</v>
      </c>
      <c r="AV24" s="67">
        <f>AV$5*'Eurostat Collected Portables'!AV18</f>
        <v>1761.942263921992</v>
      </c>
      <c r="AW24" s="67">
        <f>AW$5*'Eurostat Collected Portables'!AW18</f>
        <v>1978.2712493754418</v>
      </c>
      <c r="AX24" s="67">
        <f>AX$5*'Eurostat Collected Portables'!AX18</f>
        <v>2220.3363385096613</v>
      </c>
      <c r="AY24" s="67">
        <f>AY$5*'Eurostat Collected Portables'!AY18</f>
        <v>2491.6164450469337</v>
      </c>
      <c r="AZ24" s="67">
        <f>AZ$5*'Eurostat Collected Portables'!AZ18</f>
        <v>2795.6018489483436</v>
      </c>
    </row>
    <row r="25" spans="1:52" x14ac:dyDescent="0.35">
      <c r="A25" s="1" t="s">
        <v>16</v>
      </c>
      <c r="B25" s="23">
        <f t="shared" ref="B25:C25" si="37">C25/1.34</f>
        <v>4.8167254368656813E-2</v>
      </c>
      <c r="C25" s="23">
        <f t="shared" si="37"/>
        <v>6.4544120854000131E-2</v>
      </c>
      <c r="D25" s="23">
        <f t="shared" ref="D25:E25" si="38">E25/1.5</f>
        <v>8.6489121944360189E-2</v>
      </c>
      <c r="E25" s="23">
        <f t="shared" si="38"/>
        <v>0.12973368291654028</v>
      </c>
      <c r="F25" s="23">
        <f t="shared" si="2"/>
        <v>0.1946005243748104</v>
      </c>
      <c r="G25" s="23">
        <f t="shared" si="3"/>
        <v>0.23741263973726867</v>
      </c>
      <c r="H25" s="23">
        <f t="shared" si="4"/>
        <v>0.28014691488997701</v>
      </c>
      <c r="I25" s="23">
        <f t="shared" si="5"/>
        <v>0.33337482871907265</v>
      </c>
      <c r="J25" s="23">
        <f t="shared" si="6"/>
        <v>0.45005601877074813</v>
      </c>
      <c r="K25" s="23">
        <f t="shared" si="7"/>
        <v>0.33304145389035361</v>
      </c>
      <c r="L25" s="23">
        <f t="shared" si="8"/>
        <v>0.55950964253579405</v>
      </c>
      <c r="M25" s="4">
        <f>$M$5*'Eurostat Collected Portables'!M19</f>
        <v>0.73295763172189021</v>
      </c>
      <c r="N25" s="4">
        <f>$N$5*'Eurostat Collected Portables'!N19</f>
        <v>1.0845565433119704</v>
      </c>
      <c r="O25" s="4">
        <f>$O$5*'Eurostat Collected Portables'!O19</f>
        <v>0.83467170524326884</v>
      </c>
      <c r="P25" s="4">
        <f>$P$5*'Eurostat Collected Portables'!P19</f>
        <v>1.0278351201971101</v>
      </c>
      <c r="Q25" s="4">
        <f>$Q$5*'Eurostat Collected Portables'!Q19</f>
        <v>1.0731929277171088</v>
      </c>
      <c r="R25" s="4">
        <f>$R$5*'Eurostat Collected Portables'!R19</f>
        <v>1.6938110749185669</v>
      </c>
      <c r="S25" s="4">
        <f>$S$5*'Eurostat Collected Portables'!S19</f>
        <v>2.5214983512542646</v>
      </c>
      <c r="T25" s="4">
        <f>$T$5*'Eurostat Collected Portables'!T19</f>
        <v>2.7161264988173839</v>
      </c>
      <c r="U25" s="4">
        <f>$U$5*'Eurostat Collected Portables'!U19</f>
        <v>2.8380446665625492</v>
      </c>
      <c r="V25" s="4">
        <f>$V$5*'Eurostat Collected Portables'!V19</f>
        <v>2.4939560774434724</v>
      </c>
      <c r="W25" s="4">
        <f>$W$5*'Eurostat Collected Portables'!W19</f>
        <v>4.0298836839851351</v>
      </c>
      <c r="X25" s="67">
        <f>X$5*'Eurostat Collected Portables'!X19</f>
        <v>2.9390329948307645</v>
      </c>
      <c r="Y25" s="67">
        <f>Y$5*'Eurostat Collected Portables'!Y19</f>
        <v>3.190935933680656</v>
      </c>
      <c r="Z25" s="67">
        <f>Z$5*'Eurostat Collected Portables'!Z19</f>
        <v>3.4808464552622049</v>
      </c>
      <c r="AA25" s="67">
        <f>AA$5*'Eurostat Collected Portables'!AA19</f>
        <v>3.8402403045427032</v>
      </c>
      <c r="AB25" s="67">
        <f>AB$5*'Eurostat Collected Portables'!AB19</f>
        <v>4.226854554894274</v>
      </c>
      <c r="AC25" s="67">
        <f>AC$5*'Eurostat Collected Portables'!AC19</f>
        <v>4.6477593349849542</v>
      </c>
      <c r="AD25" s="67">
        <f>AD$5*'Eurostat Collected Portables'!AD19</f>
        <v>5.1160941630471619</v>
      </c>
      <c r="AE25" s="67">
        <f>AE$5*'Eurostat Collected Portables'!AE19</f>
        <v>5.6640994002400085</v>
      </c>
      <c r="AF25" s="67">
        <f>AF$5*'Eurostat Collected Portables'!AF19</f>
        <v>6.2970784054587865</v>
      </c>
      <c r="AG25" s="67">
        <f>AG$5*'Eurostat Collected Portables'!AG19</f>
        <v>7.1078521698133477</v>
      </c>
      <c r="AH25" s="67">
        <f>AH$5*'Eurostat Collected Portables'!AH19</f>
        <v>7.9855476686403328</v>
      </c>
      <c r="AI25" s="67">
        <f>AI$5*'Eurostat Collected Portables'!AI19</f>
        <v>8.930013498501074</v>
      </c>
      <c r="AJ25" s="67">
        <f>AJ$5*'Eurostat Collected Portables'!AJ19</f>
        <v>9.9896795687355571</v>
      </c>
      <c r="AK25" s="67">
        <f>AK$5*'Eurostat Collected Portables'!AK19</f>
        <v>11.179144582416273</v>
      </c>
      <c r="AL25" s="67">
        <f>AL$5*'Eurostat Collected Portables'!AL19</f>
        <v>12.631719278357048</v>
      </c>
      <c r="AM25" s="67">
        <f>AM$5*'Eurostat Collected Portables'!AM19</f>
        <v>14.278168280886126</v>
      </c>
      <c r="AN25" s="67">
        <f>AN$5*'Eurostat Collected Portables'!AN19</f>
        <v>16.144991288870656</v>
      </c>
      <c r="AO25" s="67">
        <f>AO$5*'Eurostat Collected Portables'!AO19</f>
        <v>18.258716014005245</v>
      </c>
      <c r="AP25" s="67">
        <f>AP$5*'Eurostat Collected Portables'!AP19</f>
        <v>20.623366055524901</v>
      </c>
      <c r="AQ25" s="67">
        <f>AQ$5*'Eurostat Collected Portables'!AQ19</f>
        <v>23.102859774021901</v>
      </c>
      <c r="AR25" s="67">
        <f>AR$5*'Eurostat Collected Portables'!AR19</f>
        <v>25.676171165728217</v>
      </c>
      <c r="AS25" s="67">
        <f>AS$5*'Eurostat Collected Portables'!AS19</f>
        <v>28.347670080483326</v>
      </c>
      <c r="AT25" s="67">
        <f>AT$5*'Eurostat Collected Portables'!AT19</f>
        <v>31.296008948143417</v>
      </c>
      <c r="AU25" s="67">
        <f>AU$5*'Eurostat Collected Portables'!AU19</f>
        <v>34.550909636370477</v>
      </c>
      <c r="AV25" s="67">
        <f>AV$5*'Eurostat Collected Portables'!AV19</f>
        <v>38.489287099126017</v>
      </c>
      <c r="AW25" s="67">
        <f>AW$5*'Eurostat Collected Portables'!AW19</f>
        <v>42.867502413234902</v>
      </c>
      <c r="AX25" s="67">
        <f>AX$5*'Eurostat Collected Portables'!AX19</f>
        <v>47.733709362854235</v>
      </c>
      <c r="AY25" s="67">
        <f>AY$5*'Eurostat Collected Portables'!AY19</f>
        <v>53.151978488555443</v>
      </c>
      <c r="AZ25" s="67">
        <f>AZ$5*'Eurostat Collected Portables'!AZ19</f>
        <v>59.184919845766338</v>
      </c>
    </row>
    <row r="26" spans="1:52" x14ac:dyDescent="0.35">
      <c r="A26" s="1" t="s">
        <v>17</v>
      </c>
      <c r="B26" s="23">
        <f t="shared" ref="B26:C26" si="39">C26/1.34</f>
        <v>8.0784450240345668E-2</v>
      </c>
      <c r="C26" s="23">
        <f t="shared" si="39"/>
        <v>0.10825116332206319</v>
      </c>
      <c r="D26" s="23">
        <f t="shared" ref="D26:E26" si="40">E26/1.5</f>
        <v>0.14505655885156468</v>
      </c>
      <c r="E26" s="23">
        <f t="shared" si="40"/>
        <v>0.21758483827734701</v>
      </c>
      <c r="F26" s="23">
        <f t="shared" si="2"/>
        <v>0.32637725741602053</v>
      </c>
      <c r="G26" s="23">
        <f t="shared" si="3"/>
        <v>0.39818025404754503</v>
      </c>
      <c r="H26" s="23">
        <f t="shared" si="4"/>
        <v>0.46985269977610311</v>
      </c>
      <c r="I26" s="23">
        <f t="shared" si="5"/>
        <v>0.55912471273356268</v>
      </c>
      <c r="J26" s="23">
        <f t="shared" si="6"/>
        <v>0.75481836219030973</v>
      </c>
      <c r="K26" s="23">
        <f t="shared" si="7"/>
        <v>0.55856558802082923</v>
      </c>
      <c r="L26" s="23">
        <f t="shared" si="8"/>
        <v>0.93839018787499306</v>
      </c>
      <c r="M26" s="4">
        <f>$M$5*'Eurostat Collected Portables'!M20</f>
        <v>1.229291146116241</v>
      </c>
      <c r="N26" s="4">
        <f>$N$5*'Eurostat Collected Portables'!N20</f>
        <v>2.1270760113017713</v>
      </c>
      <c r="O26" s="4">
        <f>$O$5*'Eurostat Collected Portables'!O20</f>
        <v>1.73210068155746</v>
      </c>
      <c r="P26" s="4">
        <f>$P$5*'Eurostat Collected Portables'!P20</f>
        <v>1.7340347606046482</v>
      </c>
      <c r="Q26" s="4">
        <f>$Q$5*'Eurostat Collected Portables'!Q20</f>
        <v>2.5508970358814356</v>
      </c>
      <c r="R26" s="4">
        <f>$R$5*'Eurostat Collected Portables'!R20</f>
        <v>3.7584565271861692</v>
      </c>
      <c r="S26" s="4">
        <f>$S$5*'Eurostat Collected Portables'!S20</f>
        <v>3.8887107906010216</v>
      </c>
      <c r="T26" s="4">
        <f>$T$5*'Eurostat Collected Portables'!T20</f>
        <v>4.2498013753047861</v>
      </c>
      <c r="U26" s="4">
        <f>$U$5*'Eurostat Collected Portables'!U20</f>
        <v>3.7769466615155727</v>
      </c>
      <c r="V26" s="4">
        <f>$V$5*'Eurostat Collected Portables'!V20</f>
        <v>2.8479369400483523</v>
      </c>
      <c r="W26" s="4">
        <f>$W$5*'Eurostat Collected Portables'!W20</f>
        <v>5.0341764632748056</v>
      </c>
      <c r="X26" s="67">
        <f>X$5*'Eurostat Collected Portables'!X20</f>
        <v>3.7113722658228765</v>
      </c>
      <c r="Y26" s="67">
        <f>Y$5*'Eurostat Collected Portables'!Y20</f>
        <v>4.1660135976597346</v>
      </c>
      <c r="Z26" s="67">
        <f>Z$5*'Eurostat Collected Portables'!Z20</f>
        <v>4.552240070345217</v>
      </c>
      <c r="AA26" s="67">
        <f>AA$5*'Eurostat Collected Portables'!AA20</f>
        <v>5.0306581735551807</v>
      </c>
      <c r="AB26" s="67">
        <f>AB$5*'Eurostat Collected Portables'!AB20</f>
        <v>5.5462382674147079</v>
      </c>
      <c r="AC26" s="67">
        <f>AC$5*'Eurostat Collected Portables'!AC20</f>
        <v>6.1084162044887984</v>
      </c>
      <c r="AD26" s="67">
        <f>AD$5*'Eurostat Collected Portables'!AD20</f>
        <v>6.7346728025171458</v>
      </c>
      <c r="AE26" s="67">
        <f>AE$5*'Eurostat Collected Portables'!AE20</f>
        <v>7.4677759676808382</v>
      </c>
      <c r="AF26" s="67">
        <f>AF$5*'Eurostat Collected Portables'!AF20</f>
        <v>8.3151800493906372</v>
      </c>
      <c r="AG26" s="67">
        <f>AG$5*'Eurostat Collected Portables'!AG20</f>
        <v>9.4001117668489158</v>
      </c>
      <c r="AH26" s="67">
        <f>AH$5*'Eurostat Collected Portables'!AH20</f>
        <v>10.576733657099798</v>
      </c>
      <c r="AI26" s="67">
        <f>AI$5*'Eurostat Collected Portables'!AI20</f>
        <v>11.845177786792842</v>
      </c>
      <c r="AJ26" s="67">
        <f>AJ$5*'Eurostat Collected Portables'!AJ20</f>
        <v>13.270100756922165</v>
      </c>
      <c r="AK26" s="67">
        <f>AK$5*'Eurostat Collected Portables'!AK20</f>
        <v>14.871515341871703</v>
      </c>
      <c r="AL26" s="67">
        <f>AL$5*'Eurostat Collected Portables'!AL20</f>
        <v>16.827674300033241</v>
      </c>
      <c r="AM26" s="67">
        <f>AM$5*'Eurostat Collected Portables'!AM20</f>
        <v>19.047601557633577</v>
      </c>
      <c r="AN26" s="67">
        <f>AN$5*'Eurostat Collected Portables'!AN20</f>
        <v>21.56766665972474</v>
      </c>
      <c r="AO26" s="67">
        <f>AO$5*'Eurostat Collected Portables'!AO20</f>
        <v>24.424444061529531</v>
      </c>
      <c r="AP26" s="67">
        <f>AP$5*'Eurostat Collected Portables'!AP20</f>
        <v>27.624526798654593</v>
      </c>
      <c r="AQ26" s="67">
        <f>AQ$5*'Eurostat Collected Portables'!AQ20</f>
        <v>30.986590566921802</v>
      </c>
      <c r="AR26" s="67">
        <f>AR$5*'Eurostat Collected Portables'!AR20</f>
        <v>34.482849580729585</v>
      </c>
      <c r="AS26" s="67">
        <f>AS$5*'Eurostat Collected Portables'!AS20</f>
        <v>38.119511979261596</v>
      </c>
      <c r="AT26" s="67">
        <f>AT$5*'Eurostat Collected Portables'!AT20</f>
        <v>42.137464389517248</v>
      </c>
      <c r="AU26" s="67">
        <f>AU$5*'Eurostat Collected Portables'!AU20</f>
        <v>46.578013532040003</v>
      </c>
      <c r="AV26" s="67">
        <f>AV$5*'Eurostat Collected Portables'!AV20</f>
        <v>51.951260271339606</v>
      </c>
      <c r="AW26" s="67">
        <f>AW$5*'Eurostat Collected Portables'!AW20</f>
        <v>57.931129840104369</v>
      </c>
      <c r="AX26" s="67">
        <f>AX$5*'Eurostat Collected Portables'!AX20</f>
        <v>64.584692535171968</v>
      </c>
      <c r="AY26" s="67">
        <f>AY$5*'Eurostat Collected Portables'!AY20</f>
        <v>72.00084225390718</v>
      </c>
      <c r="AZ26" s="67">
        <f>AZ$5*'Eurostat Collected Portables'!AZ20</f>
        <v>80.266847498856805</v>
      </c>
    </row>
    <row r="27" spans="1:52" x14ac:dyDescent="0.35">
      <c r="A27" s="1" t="s">
        <v>18</v>
      </c>
      <c r="B27" s="23">
        <f t="shared" ref="B27:C27" si="41">C27/1.34</f>
        <v>5.0442872685286265E-2</v>
      </c>
      <c r="C27" s="23">
        <f t="shared" si="41"/>
        <v>6.75934493982836E-2</v>
      </c>
      <c r="D27" s="23">
        <f t="shared" ref="D27:E27" si="42">E27/1.5</f>
        <v>9.0575222193700025E-2</v>
      </c>
      <c r="E27" s="23">
        <f t="shared" si="42"/>
        <v>0.13586283329055004</v>
      </c>
      <c r="F27" s="23">
        <f t="shared" si="2"/>
        <v>0.20379424993582507</v>
      </c>
      <c r="G27" s="23">
        <f t="shared" si="3"/>
        <v>0.24862898492170657</v>
      </c>
      <c r="H27" s="23">
        <f t="shared" si="4"/>
        <v>0.29338220220761374</v>
      </c>
      <c r="I27" s="23">
        <f t="shared" si="5"/>
        <v>0.34912482062706035</v>
      </c>
      <c r="J27" s="23">
        <f t="shared" si="6"/>
        <v>0.47131850784653151</v>
      </c>
      <c r="K27" s="23">
        <f t="shared" si="7"/>
        <v>0.34877569580643331</v>
      </c>
      <c r="L27" s="23">
        <f t="shared" si="8"/>
        <v>0.58594316895480791</v>
      </c>
      <c r="M27" s="4">
        <f>$M$5*'Eurostat Collected Portables'!M21</f>
        <v>0.76758555133079842</v>
      </c>
      <c r="N27" s="4">
        <f>$N$5*'Eurostat Collected Portables'!N21</f>
        <v>1.0761491282475364</v>
      </c>
      <c r="O27" s="4">
        <f>$O$5*'Eurostat Collected Portables'!O21</f>
        <v>0.73426007152979289</v>
      </c>
      <c r="P27" s="4">
        <f>$P$5*'Eurostat Collected Portables'!P21</f>
        <v>0.8460411533595259</v>
      </c>
      <c r="Q27" s="4">
        <f>$Q$5*'Eurostat Collected Portables'!Q21</f>
        <v>0.87506500260010411</v>
      </c>
      <c r="R27" s="4">
        <f>$R$5*'Eurostat Collected Portables'!R21</f>
        <v>1.1425707842645954</v>
      </c>
      <c r="S27" s="4">
        <f>$S$5*'Eurostat Collected Portables'!S21</f>
        <v>1.2215258679409549</v>
      </c>
      <c r="T27" s="4">
        <f>$T$5*'Eurostat Collected Portables'!T21</f>
        <v>1.6390418527346284</v>
      </c>
      <c r="U27" s="4">
        <f>$U$5*'Eurostat Collected Portables'!U21</f>
        <v>1.6644171728712693</v>
      </c>
      <c r="V27" s="4">
        <f>$V$5*'Eurostat Collected Portables'!V21</f>
        <v>1.3113381955589869</v>
      </c>
      <c r="W27" s="4">
        <f>$W$5*'Eurostat Collected Portables'!W21</f>
        <v>2.0975735263645023</v>
      </c>
      <c r="X27" s="67">
        <f>X$5*'Eurostat Collected Portables'!X21</f>
        <v>1.5078636602683768</v>
      </c>
      <c r="Y27" s="67">
        <f>Y$5*'Eurostat Collected Portables'!Y21</f>
        <v>1.6570024499066094</v>
      </c>
      <c r="Z27" s="67">
        <f>Z$5*'Eurostat Collected Portables'!Z21</f>
        <v>1.794776992345696</v>
      </c>
      <c r="AA27" s="67">
        <f>AA$5*'Eurostat Collected Portables'!AA21</f>
        <v>1.9661935700180639</v>
      </c>
      <c r="AB27" s="67">
        <f>AB$5*'Eurostat Collected Portables'!AB21</f>
        <v>2.1490612612148432</v>
      </c>
      <c r="AC27" s="67">
        <f>AC$5*'Eurostat Collected Portables'!AC21</f>
        <v>2.3467121744731929</v>
      </c>
      <c r="AD27" s="67">
        <f>AD$5*'Eurostat Collected Portables'!AD21</f>
        <v>2.5654302872023185</v>
      </c>
      <c r="AE27" s="67">
        <f>AE$5*'Eurostat Collected Portables'!AE21</f>
        <v>2.8208406585372359</v>
      </c>
      <c r="AF27" s="67">
        <f>AF$5*'Eurostat Collected Portables'!AF21</f>
        <v>3.1148204437697573</v>
      </c>
      <c r="AG27" s="67">
        <f>AG$5*'Eurostat Collected Portables'!AG21</f>
        <v>3.4921949783684165</v>
      </c>
      <c r="AH27" s="67">
        <f>AH$5*'Eurostat Collected Portables'!AH21</f>
        <v>3.8971818429872922</v>
      </c>
      <c r="AI27" s="67">
        <f>AI$5*'Eurostat Collected Portables'!AI21</f>
        <v>4.3291573405997124</v>
      </c>
      <c r="AJ27" s="67">
        <f>AJ$5*'Eurostat Collected Portables'!AJ21</f>
        <v>4.8109104183040197</v>
      </c>
      <c r="AK27" s="67">
        <f>AK$5*'Eurostat Collected Portables'!AK21</f>
        <v>5.3484465124469454</v>
      </c>
      <c r="AL27" s="67">
        <f>AL$5*'Eurostat Collected Portables'!AL21</f>
        <v>6.004040157172331</v>
      </c>
      <c r="AM27" s="67">
        <f>AM$5*'Eurostat Collected Portables'!AM21</f>
        <v>6.7427038079851762</v>
      </c>
      <c r="AN27" s="67">
        <f>AN$5*'Eurostat Collected Portables'!AN21</f>
        <v>7.5752688701533826</v>
      </c>
      <c r="AO27" s="67">
        <f>AO$5*'Eurostat Collected Portables'!AO21</f>
        <v>8.512303022452528</v>
      </c>
      <c r="AP27" s="67">
        <f>AP$5*'Eurostat Collected Portables'!AP21</f>
        <v>9.5536806830579497</v>
      </c>
      <c r="AQ27" s="67">
        <f>AQ$5*'Eurostat Collected Portables'!AQ21</f>
        <v>10.63478572645908</v>
      </c>
      <c r="AR27" s="67">
        <f>AR$5*'Eurostat Collected Portables'!AR21</f>
        <v>11.745252984009559</v>
      </c>
      <c r="AS27" s="67">
        <f>AS$5*'Eurostat Collected Portables'!AS21</f>
        <v>12.886520218020006</v>
      </c>
      <c r="AT27" s="67">
        <f>AT$5*'Eurostat Collected Portables'!AT21</f>
        <v>14.138725941290199</v>
      </c>
      <c r="AU27" s="67">
        <f>AU$5*'Eurostat Collected Portables'!AU21</f>
        <v>15.513167403475451</v>
      </c>
      <c r="AV27" s="67">
        <f>AV$5*'Eurostat Collected Portables'!AV21</f>
        <v>17.175800036170216</v>
      </c>
      <c r="AW27" s="67">
        <f>AW$5*'Eurostat Collected Portables'!AW21</f>
        <v>19.013306283788321</v>
      </c>
      <c r="AX27" s="67">
        <f>AX$5*'Eurostat Collected Portables'!AX21</f>
        <v>21.043745764157951</v>
      </c>
      <c r="AY27" s="67">
        <f>AY$5*'Eurostat Collected Portables'!AY21</f>
        <v>23.291719190210745</v>
      </c>
      <c r="AZ27" s="67">
        <f>AZ$5*'Eurostat Collected Portables'!AZ21</f>
        <v>25.780603725102448</v>
      </c>
    </row>
    <row r="28" spans="1:52" x14ac:dyDescent="0.35">
      <c r="A28" s="1" t="s">
        <v>19</v>
      </c>
      <c r="B28" s="23">
        <f t="shared" ref="B28:C28" si="43">C28/1.34</f>
        <v>6.8268549498883679E-3</v>
      </c>
      <c r="C28" s="23">
        <f t="shared" si="43"/>
        <v>9.1479856328504135E-3</v>
      </c>
      <c r="D28" s="23">
        <f t="shared" ref="D28:E28" si="44">E28/1.5</f>
        <v>1.2258300748019554E-2</v>
      </c>
      <c r="E28" s="23">
        <f t="shared" si="44"/>
        <v>1.838745112202933E-2</v>
      </c>
      <c r="F28" s="23">
        <f t="shared" si="2"/>
        <v>2.7581176683043995E-2</v>
      </c>
      <c r="G28" s="23">
        <f t="shared" si="3"/>
        <v>3.3649035553313673E-2</v>
      </c>
      <c r="H28" s="23">
        <f t="shared" si="4"/>
        <v>3.9705861952910135E-2</v>
      </c>
      <c r="I28" s="23">
        <f t="shared" si="5"/>
        <v>4.7249975723963056E-2</v>
      </c>
      <c r="J28" s="23">
        <f t="shared" si="6"/>
        <v>6.3787467227350125E-2</v>
      </c>
      <c r="K28" s="23">
        <f t="shared" si="7"/>
        <v>4.7202725748239097E-2</v>
      </c>
      <c r="L28" s="23">
        <f t="shared" si="8"/>
        <v>7.9300579257041676E-2</v>
      </c>
      <c r="M28" s="4">
        <f>$M$5*'Eurostat Collected Portables'!M22</f>
        <v>0.1038837588267246</v>
      </c>
      <c r="N28" s="4">
        <f>$N$5*'Eurostat Collected Portables'!N22</f>
        <v>0.16814830128867755</v>
      </c>
      <c r="O28" s="4">
        <f>$O$5*'Eurostat Collected Portables'!O22</f>
        <v>0.24475335717659763</v>
      </c>
      <c r="P28" s="4">
        <f>$P$5*'Eurostat Collected Portables'!P22</f>
        <v>0.14683358859958714</v>
      </c>
      <c r="Q28" s="4">
        <f>$Q$5*'Eurostat Collected Portables'!Q22</f>
        <v>0.28893655746229852</v>
      </c>
      <c r="R28" s="4">
        <f>$R$5*'Eurostat Collected Portables'!R22</f>
        <v>0.23051866700075171</v>
      </c>
      <c r="S28" s="4">
        <f>$S$5*'Eurostat Collected Portables'!S22</f>
        <v>0.25775316479488042</v>
      </c>
      <c r="T28" s="4">
        <f>$T$5*'Eurostat Collected Portables'!T22</f>
        <v>0.30439348693643098</v>
      </c>
      <c r="U28" s="4">
        <f>$U$5*'Eurostat Collected Portables'!U22</f>
        <v>0.3200802255521672</v>
      </c>
      <c r="V28" s="4">
        <f>$V$5*'Eurostat Collected Portables'!V22</f>
        <v>0.28157568616297268</v>
      </c>
      <c r="W28" s="4">
        <f>$W$5*'Eurostat Collected Portables'!W22</f>
        <v>0.44493983892580358</v>
      </c>
      <c r="X28" s="67">
        <f>X$5*'Eurostat Collected Portables'!X22</f>
        <v>0.31641022671686703</v>
      </c>
      <c r="Y28" s="67">
        <f>Y$5*'Eurostat Collected Portables'!Y22</f>
        <v>0.37279045476863493</v>
      </c>
      <c r="Z28" s="67">
        <f>Z$5*'Eurostat Collected Portables'!Z22</f>
        <v>0.42536748826243187</v>
      </c>
      <c r="AA28" s="67">
        <f>AA$5*'Eurostat Collected Portables'!AA22</f>
        <v>0.48963554666719755</v>
      </c>
      <c r="AB28" s="67">
        <f>AB$5*'Eurostat Collected Portables'!AB22</f>
        <v>0.56101521256407993</v>
      </c>
      <c r="AC28" s="67">
        <f>AC$5*'Eurostat Collected Portables'!AC22</f>
        <v>0.64082947292345538</v>
      </c>
      <c r="AD28" s="67">
        <f>AD$5*'Eurostat Collected Portables'!AD22</f>
        <v>0.73140315453641858</v>
      </c>
      <c r="AE28" s="67">
        <f>AE$5*'Eurostat Collected Portables'!AE22</f>
        <v>0.83813877962187422</v>
      </c>
      <c r="AF28" s="67">
        <f>AF$5*'Eurostat Collected Portables'!AF22</f>
        <v>0.96294024721494542</v>
      </c>
      <c r="AG28" s="67">
        <f>AG$5*'Eurostat Collected Portables'!AG22</f>
        <v>1.1215954972056066</v>
      </c>
      <c r="AH28" s="67">
        <f>AH$5*'Eurostat Collected Portables'!AH22</f>
        <v>1.2985262924194254</v>
      </c>
      <c r="AI28" s="67">
        <f>AI$5*'Eurostat Collected Portables'!AI22</f>
        <v>1.4945133648687583</v>
      </c>
      <c r="AJ28" s="67">
        <f>AJ$5*'Eurostat Collected Portables'!AJ22</f>
        <v>1.718671488166543</v>
      </c>
      <c r="AK28" s="67">
        <f>AK$5*'Eurostat Collected Portables'!AK22</f>
        <v>1.9750138822295118</v>
      </c>
      <c r="AL28" s="67">
        <f>AL$5*'Eurostat Collected Portables'!AL22</f>
        <v>2.2892976131507221</v>
      </c>
      <c r="AM28" s="67">
        <f>AM$5*'Eurostat Collected Portables'!AM22</f>
        <v>2.6520201119114528</v>
      </c>
      <c r="AN28" s="67">
        <f>AN$5*'Eurostat Collected Portables'!AN22</f>
        <v>3.0705683332603519</v>
      </c>
      <c r="AO28" s="67">
        <f>AO$5*'Eurostat Collected Portables'!AO22</f>
        <v>3.5527401157051925</v>
      </c>
      <c r="AP28" s="67">
        <f>AP$5*'Eurostat Collected Portables'!AP22</f>
        <v>4.1022499938279706</v>
      </c>
      <c r="AQ28" s="67">
        <f>AQ$5*'Eurostat Collected Portables'!AQ22</f>
        <v>4.694339456644931</v>
      </c>
      <c r="AR28" s="67">
        <f>AR$5*'Eurostat Collected Portables'!AR22</f>
        <v>5.3257416097599899</v>
      </c>
      <c r="AS28" s="67">
        <f>AS$5*'Eurostat Collected Portables'!AS22</f>
        <v>5.998184844406091</v>
      </c>
      <c r="AT28" s="67">
        <f>AT$5*'Eurostat Collected Portables'!AT22</f>
        <v>6.7510452183615435</v>
      </c>
      <c r="AU28" s="67">
        <f>AU$5*'Eurostat Collected Portables'!AU22</f>
        <v>7.5938546765926738</v>
      </c>
      <c r="AV28" s="67">
        <f>AV$5*'Eurostat Collected Portables'!AV22</f>
        <v>8.6142549253845537</v>
      </c>
      <c r="AW28" s="67">
        <f>AW$5*'Eurostat Collected Portables'!AW22</f>
        <v>9.7644465293691152</v>
      </c>
      <c r="AX28" s="67">
        <f>AX$5*'Eurostat Collected Portables'!AX22</f>
        <v>11.060229435051248</v>
      </c>
      <c r="AY28" s="67">
        <f>AY$5*'Eurostat Collected Portables'!AY22</f>
        <v>12.52178873342743</v>
      </c>
      <c r="AZ28" s="67">
        <f>AZ$5*'Eurostat Collected Portables'!AZ22</f>
        <v>14.169820225847708</v>
      </c>
    </row>
    <row r="29" spans="1:52" x14ac:dyDescent="0.35">
      <c r="A29" s="1" t="s">
        <v>20</v>
      </c>
      <c r="B29" s="23">
        <f t="shared" ref="B29:C29" si="45">C29/1.34</f>
        <v>1.2595547382544039</v>
      </c>
      <c r="C29" s="23">
        <f t="shared" si="45"/>
        <v>1.6878033492609013</v>
      </c>
      <c r="D29" s="23">
        <f t="shared" ref="D29:E29" si="46">E29/1.5</f>
        <v>2.2616564880096077</v>
      </c>
      <c r="E29" s="23">
        <f t="shared" si="46"/>
        <v>3.3924847320144118</v>
      </c>
      <c r="F29" s="23">
        <f t="shared" si="2"/>
        <v>5.0887270980216179</v>
      </c>
      <c r="G29" s="23">
        <f t="shared" si="3"/>
        <v>6.2082470595863732</v>
      </c>
      <c r="H29" s="23">
        <f t="shared" si="4"/>
        <v>7.3257315303119199</v>
      </c>
      <c r="I29" s="23">
        <f t="shared" si="5"/>
        <v>8.7176205210711846</v>
      </c>
      <c r="J29" s="23">
        <f t="shared" si="6"/>
        <v>11.768787703446099</v>
      </c>
      <c r="K29" s="23">
        <f t="shared" si="7"/>
        <v>8.7089029005501128</v>
      </c>
      <c r="L29" s="23">
        <f t="shared" si="8"/>
        <v>14.630956872924189</v>
      </c>
      <c r="M29" s="4">
        <f>$M$5*'Eurostat Collected Portables'!M23</f>
        <v>19.16655350353069</v>
      </c>
      <c r="N29" s="4">
        <f>$N$5*'Eurostat Collected Portables'!N23</f>
        <v>27.727654882502929</v>
      </c>
      <c r="O29" s="4">
        <f>$O$5*'Eurostat Collected Portables'!O23</f>
        <v>19.812470477090223</v>
      </c>
      <c r="P29" s="4">
        <f>$P$5*'Eurostat Collected Portables'!P23</f>
        <v>22.801158686821605</v>
      </c>
      <c r="Q29" s="4">
        <f>$Q$5*'Eurostat Collected Portables'!Q23</f>
        <v>28.315782631305254</v>
      </c>
      <c r="R29" s="4">
        <f>$R$5*'Eurostat Collected Portables'!R23</f>
        <v>39.528940115259338</v>
      </c>
      <c r="S29" s="4">
        <f>$S$5*'Eurostat Collected Portables'!S23</f>
        <v>44.826637355631377</v>
      </c>
      <c r="T29" s="4">
        <f>$T$5*'Eurostat Collected Portables'!T23</f>
        <v>50.447366738810814</v>
      </c>
      <c r="U29" s="4">
        <f>$U$5*'Eurostat Collected Portables'!U23</f>
        <v>49.025621213740273</v>
      </c>
      <c r="V29" s="4">
        <f>$V$5*'Eurostat Collected Portables'!V23</f>
        <v>37.674826808605744</v>
      </c>
      <c r="W29" s="4">
        <f>$W$5*'Eurostat Collected Portables'!W23</f>
        <v>57.816753926701558</v>
      </c>
      <c r="X29" s="67">
        <f>X$5*'Eurostat Collected Portables'!X23</f>
        <v>43.877600304104192</v>
      </c>
      <c r="Y29" s="67">
        <f>Y$5*'Eurostat Collected Portables'!Y23</f>
        <v>48.825045985278962</v>
      </c>
      <c r="Z29" s="67">
        <f>Z$5*'Eurostat Collected Portables'!Z23</f>
        <v>53.570611424734864</v>
      </c>
      <c r="AA29" s="67">
        <f>AA$5*'Eurostat Collected Portables'!AA23</f>
        <v>59.438491041363591</v>
      </c>
      <c r="AB29" s="67">
        <f>AB$5*'Eurostat Collected Portables'!AB23</f>
        <v>65.78793859708469</v>
      </c>
      <c r="AC29" s="67">
        <f>AC$5*'Eurostat Collected Portables'!AC23</f>
        <v>72.73536034005015</v>
      </c>
      <c r="AD29" s="67">
        <f>AD$5*'Eurostat Collected Portables'!AD23</f>
        <v>80.49487635931419</v>
      </c>
      <c r="AE29" s="67">
        <f>AE$5*'Eurostat Collected Portables'!AE23</f>
        <v>89.586875768791714</v>
      </c>
      <c r="AF29" s="67">
        <f>AF$5*'Eurostat Collected Portables'!AF23</f>
        <v>100.11376084764265</v>
      </c>
      <c r="AG29" s="67">
        <f>AG$5*'Eurostat Collected Portables'!AG23</f>
        <v>113.57761896292779</v>
      </c>
      <c r="AH29" s="67">
        <f>AH$5*'Eurostat Collected Portables'!AH23</f>
        <v>128.23851837953825</v>
      </c>
      <c r="AI29" s="67">
        <f>AI$5*'Eurostat Collected Portables'!AI23</f>
        <v>144.10735581859279</v>
      </c>
      <c r="AJ29" s="67">
        <f>AJ$5*'Eurostat Collected Portables'!AJ23</f>
        <v>161.98237351615128</v>
      </c>
      <c r="AK29" s="67">
        <f>AK$5*'Eurostat Collected Portables'!AK23</f>
        <v>182.12513944364804</v>
      </c>
      <c r="AL29" s="67">
        <f>AL$5*'Eurostat Collected Portables'!AL23</f>
        <v>206.74398023699891</v>
      </c>
      <c r="AM29" s="67">
        <f>AM$5*'Eurostat Collected Portables'!AM23</f>
        <v>234.75611389694956</v>
      </c>
      <c r="AN29" s="67">
        <f>AN$5*'Eurostat Collected Portables'!AN23</f>
        <v>266.63803103617067</v>
      </c>
      <c r="AO29" s="67">
        <f>AO$5*'Eurostat Collected Portables'!AO23</f>
        <v>302.87339661298103</v>
      </c>
      <c r="AP29" s="67">
        <f>AP$5*'Eurostat Collected Portables'!AP23</f>
        <v>343.57747033967041</v>
      </c>
      <c r="AQ29" s="67">
        <f>AQ$5*'Eurostat Collected Portables'!AQ23</f>
        <v>386.52141039512316</v>
      </c>
      <c r="AR29" s="67">
        <f>AR$5*'Eurostat Collected Portables'!AR23</f>
        <v>431.37008158392217</v>
      </c>
      <c r="AS29" s="67">
        <f>AS$5*'Eurostat Collected Portables'!AS23</f>
        <v>478.21050273458172</v>
      </c>
      <c r="AT29" s="67">
        <f>AT$5*'Eurostat Collected Portables'!AT23</f>
        <v>530.08250231509192</v>
      </c>
      <c r="AU29" s="67">
        <f>AU$5*'Eurostat Collected Portables'!AU23</f>
        <v>587.54114233036353</v>
      </c>
      <c r="AV29" s="67">
        <f>AV$5*'Eurostat Collected Portables'!AV23</f>
        <v>657.07533962862635</v>
      </c>
      <c r="AW29" s="67">
        <f>AW$5*'Eurostat Collected Portables'!AW23</f>
        <v>734.6371416458245</v>
      </c>
      <c r="AX29" s="67">
        <f>AX$5*'Eurostat Collected Portables'!AX23</f>
        <v>821.13173501518747</v>
      </c>
      <c r="AY29" s="67">
        <f>AY$5*'Eurostat Collected Portables'!AY23</f>
        <v>917.74964885729139</v>
      </c>
      <c r="AZ29" s="67">
        <f>AZ$5*'Eurostat Collected Portables'!AZ23</f>
        <v>1025.6703408599883</v>
      </c>
    </row>
    <row r="30" spans="1:52" x14ac:dyDescent="0.35">
      <c r="A30" s="1" t="s">
        <v>21</v>
      </c>
      <c r="B30" s="23">
        <f t="shared" ref="B30:C30" si="47">C30/1.34</f>
        <v>0.17218845262496213</v>
      </c>
      <c r="C30" s="23">
        <f t="shared" si="47"/>
        <v>0.23073252651744927</v>
      </c>
      <c r="D30" s="23">
        <f t="shared" ref="D30:E30" si="48">E30/1.5</f>
        <v>0.30918158553338204</v>
      </c>
      <c r="E30" s="23">
        <f t="shared" si="48"/>
        <v>0.46377237830007306</v>
      </c>
      <c r="F30" s="23">
        <f t="shared" si="2"/>
        <v>0.69565856745010957</v>
      </c>
      <c r="G30" s="23">
        <f t="shared" si="3"/>
        <v>0.84870345228913369</v>
      </c>
      <c r="H30" s="23">
        <f t="shared" si="4"/>
        <v>1.0014700737011777</v>
      </c>
      <c r="I30" s="23">
        <f t="shared" si="5"/>
        <v>1.1917493877044014</v>
      </c>
      <c r="J30" s="23">
        <f t="shared" si="6"/>
        <v>1.608861673400942</v>
      </c>
      <c r="K30" s="23">
        <f t="shared" si="7"/>
        <v>1.1905576383166971</v>
      </c>
      <c r="L30" s="23">
        <f t="shared" si="8"/>
        <v>2.0001368323720512</v>
      </c>
      <c r="M30" s="4">
        <f>$M$5*'Eurostat Collected Portables'!M24</f>
        <v>2.6201792504073871</v>
      </c>
      <c r="N30" s="4">
        <f>$N$5*'Eurostat Collected Portables'!N24</f>
        <v>5.5825236027840948</v>
      </c>
      <c r="O30" s="4">
        <f>$O$5*'Eurostat Collected Portables'!O24</f>
        <v>5.1147175922801811</v>
      </c>
      <c r="P30" s="4">
        <f>$P$5*'Eurostat Collected Portables'!P24</f>
        <v>6.1460344942398617</v>
      </c>
      <c r="Q30" s="4">
        <f>$Q$5*'Eurostat Collected Portables'!Q24</f>
        <v>5.3659646385855435</v>
      </c>
      <c r="R30" s="4">
        <f>$R$5*'Eurostat Collected Portables'!R24</f>
        <v>17.810072663492861</v>
      </c>
      <c r="S30" s="4">
        <f>$S$5*'Eurostat Collected Portables'!S24</f>
        <v>11.867852239903407</v>
      </c>
      <c r="T30" s="4">
        <f>$T$5*'Eurostat Collected Portables'!T24</f>
        <v>13.697706912139394</v>
      </c>
      <c r="U30" s="4">
        <f>$U$5*'Eurostat Collected Portables'!U24</f>
        <v>20.709190593225216</v>
      </c>
      <c r="V30" s="4">
        <f>$V$5*'Eurostat Collected Portables'!V24</f>
        <v>18.672490502407417</v>
      </c>
      <c r="W30" s="4">
        <f>$W$5*'Eurostat Collected Portables'!W24</f>
        <v>29.531292737846904</v>
      </c>
      <c r="X30" s="67">
        <f>X$5*'Eurostat Collected Portables'!X24</f>
        <v>18.648411805742047</v>
      </c>
      <c r="Y30" s="67">
        <f>Y$5*'Eurostat Collected Portables'!Y24</f>
        <v>19.932616091616175</v>
      </c>
      <c r="Z30" s="67">
        <f>Z$5*'Eurostat Collected Portables'!Z24</f>
        <v>21.589950431581197</v>
      </c>
      <c r="AA30" s="67">
        <f>AA$5*'Eurostat Collected Portables'!AA24</f>
        <v>23.65197564746099</v>
      </c>
      <c r="AB30" s="67">
        <f>AB$5*'Eurostat Collected Portables'!AB24</f>
        <v>25.851749995646806</v>
      </c>
      <c r="AC30" s="67">
        <f>AC$5*'Eurostat Collected Portables'!AC24</f>
        <v>28.229356482805631</v>
      </c>
      <c r="AD30" s="67">
        <f>AD$5*'Eurostat Collected Portables'!AD24</f>
        <v>30.860387096887223</v>
      </c>
      <c r="AE30" s="67">
        <f>AE$5*'Eurostat Collected Portables'!AE24</f>
        <v>33.932800706126592</v>
      </c>
      <c r="AF30" s="67">
        <f>AF$5*'Eurostat Collected Portables'!AF24</f>
        <v>37.469178216048739</v>
      </c>
      <c r="AG30" s="67">
        <f>AG$5*'Eurostat Collected Portables'!AG24</f>
        <v>42.00873802257248</v>
      </c>
      <c r="AH30" s="67">
        <f>AH$5*'Eurostat Collected Portables'!AH24</f>
        <v>46.880455439194492</v>
      </c>
      <c r="AI30" s="67">
        <f>AI$5*'Eurostat Collected Portables'!AI24</f>
        <v>52.07682781352532</v>
      </c>
      <c r="AJ30" s="67">
        <f>AJ$5*'Eurostat Collected Portables'!AJ24</f>
        <v>57.871990729172047</v>
      </c>
      <c r="AK30" s="67">
        <f>AK$5*'Eurostat Collected Portables'!AK24</f>
        <v>64.338185513942349</v>
      </c>
      <c r="AL30" s="67">
        <f>AL$5*'Eurostat Collected Portables'!AL24</f>
        <v>72.224532593966913</v>
      </c>
      <c r="AM30" s="67">
        <f>AM$5*'Eurostat Collected Portables'!AM24</f>
        <v>81.110155529113399</v>
      </c>
      <c r="AN30" s="67">
        <f>AN$5*'Eurostat Collected Portables'!AN24</f>
        <v>91.125348781499227</v>
      </c>
      <c r="AO30" s="67">
        <f>AO$5*'Eurostat Collected Portables'!AO24</f>
        <v>102.39723436233497</v>
      </c>
      <c r="AP30" s="67">
        <f>AP$5*'Eurostat Collected Portables'!AP24</f>
        <v>114.92430160740943</v>
      </c>
      <c r="AQ30" s="67">
        <f>AQ$5*'Eurostat Collected Portables'!AQ24</f>
        <v>127.92926233395475</v>
      </c>
      <c r="AR30" s="67">
        <f>AR$5*'Eurostat Collected Portables'!AR24</f>
        <v>141.28743059032098</v>
      </c>
      <c r="AS30" s="67">
        <f>AS$5*'Eurostat Collected Portables'!AS24</f>
        <v>155.01610168236013</v>
      </c>
      <c r="AT30" s="67">
        <f>AT$5*'Eurostat Collected Portables'!AT24</f>
        <v>170.07928758837738</v>
      </c>
      <c r="AU30" s="67">
        <f>AU$5*'Eurostat Collected Portables'!AU24</f>
        <v>186.61288656264705</v>
      </c>
      <c r="AV30" s="67">
        <f>AV$5*'Eurostat Collected Portables'!AV24</f>
        <v>206.61322993616815</v>
      </c>
      <c r="AW30" s="67">
        <f>AW$5*'Eurostat Collected Portables'!AW24</f>
        <v>228.71718433996651</v>
      </c>
      <c r="AX30" s="67">
        <f>AX$5*'Eurostat Collected Portables'!AX24</f>
        <v>253.14199473282352</v>
      </c>
      <c r="AY30" s="67">
        <f>AY$5*'Eurostat Collected Portables'!AY24</f>
        <v>280.18359101301667</v>
      </c>
      <c r="AZ30" s="67">
        <f>AZ$5*'Eurostat Collected Portables'!AZ24</f>
        <v>310.12318460453679</v>
      </c>
    </row>
    <row r="31" spans="1:52" x14ac:dyDescent="0.35">
      <c r="A31" s="1" t="s">
        <v>22</v>
      </c>
      <c r="B31" s="23">
        <f t="shared" ref="B31:C31" si="49">C31/1.34</f>
        <v>0.84577147434728095</v>
      </c>
      <c r="C31" s="23">
        <f t="shared" si="49"/>
        <v>1.1333337756253565</v>
      </c>
      <c r="D31" s="23">
        <f t="shared" ref="D31:E31" si="50">E31/1.5</f>
        <v>1.5186672593379777</v>
      </c>
      <c r="E31" s="23">
        <f t="shared" si="50"/>
        <v>2.2780008890069667</v>
      </c>
      <c r="F31" s="23">
        <f t="shared" si="2"/>
        <v>3.4170013335104503</v>
      </c>
      <c r="G31" s="23">
        <f t="shared" si="3"/>
        <v>4.1687416268827491</v>
      </c>
      <c r="H31" s="23">
        <f t="shared" si="4"/>
        <v>4.9191151197216438</v>
      </c>
      <c r="I31" s="23">
        <f t="shared" si="5"/>
        <v>5.8537469924687562</v>
      </c>
      <c r="J31" s="23">
        <f t="shared" si="6"/>
        <v>7.9025584398328217</v>
      </c>
      <c r="K31" s="23">
        <f t="shared" si="7"/>
        <v>5.8478932454762882</v>
      </c>
      <c r="L31" s="23">
        <f t="shared" si="8"/>
        <v>9.8244606524001643</v>
      </c>
      <c r="M31" s="4">
        <f>$M$5*'Eurostat Collected Portables'!M25</f>
        <v>12.870043454644215</v>
      </c>
      <c r="N31" s="4">
        <f>$N$5*'Eurostat Collected Portables'!N25</f>
        <v>24.658948383984566</v>
      </c>
      <c r="O31" s="4">
        <f>$O$5*'Eurostat Collected Portables'!O25</f>
        <v>19.894054929482422</v>
      </c>
      <c r="P31" s="4">
        <f>$P$5*'Eurostat Collected Portables'!P25</f>
        <v>25.94060065259373</v>
      </c>
      <c r="Q31" s="4">
        <f>$Q$5*'Eurostat Collected Portables'!Q25</f>
        <v>53.44500780031202</v>
      </c>
      <c r="R31" s="4">
        <f>$R$5*'Eurostat Collected Portables'!R25</f>
        <v>96.366825357053372</v>
      </c>
      <c r="S31" s="4">
        <f>$S$5*'Eurostat Collected Portables'!S25</f>
        <v>93.138545765663082</v>
      </c>
      <c r="T31" s="4">
        <f>$T$5*'Eurostat Collected Portables'!T25</f>
        <v>125.33987196697808</v>
      </c>
      <c r="U31" s="4">
        <f>$U$5*'Eurostat Collected Portables'!U25</f>
        <v>119.26189204073749</v>
      </c>
      <c r="V31" s="4">
        <f>$V$5*'Eurostat Collected Portables'!V25</f>
        <v>88.286045141498917</v>
      </c>
      <c r="W31" s="4">
        <f>$W$5*'Eurostat Collected Portables'!W25</f>
        <v>115.4555319178328</v>
      </c>
      <c r="X31" s="67">
        <f>X$5*'Eurostat Collected Portables'!X25</f>
        <v>81.477388857597603</v>
      </c>
      <c r="Y31" s="67">
        <f>Y$5*'Eurostat Collected Portables'!Y25</f>
        <v>89.824091030604606</v>
      </c>
      <c r="Z31" s="67">
        <f>Z$5*'Eurostat Collected Portables'!Z25</f>
        <v>98.333298885700685</v>
      </c>
      <c r="AA31" s="67">
        <f>AA$5*'Eurostat Collected Portables'!AA25</f>
        <v>108.86497633645121</v>
      </c>
      <c r="AB31" s="67">
        <f>AB$5*'Eurostat Collected Portables'!AB25</f>
        <v>120.23609863098056</v>
      </c>
      <c r="AC31" s="67">
        <f>AC$5*'Eurostat Collected Portables'!AC25</f>
        <v>132.65494136618506</v>
      </c>
      <c r="AD31" s="67">
        <f>AD$5*'Eurostat Collected Portables'!AD25</f>
        <v>146.50608274640629</v>
      </c>
      <c r="AE31" s="67">
        <f>AE$5*'Eurostat Collected Portables'!AE25</f>
        <v>162.72753947876444</v>
      </c>
      <c r="AF31" s="67">
        <f>AF$5*'Eurostat Collected Portables'!AF25</f>
        <v>181.49251138602972</v>
      </c>
      <c r="AG31" s="67">
        <f>AG$5*'Eurostat Collected Portables'!AG25</f>
        <v>205.50593240460157</v>
      </c>
      <c r="AH31" s="67">
        <f>AH$5*'Eurostat Collected Portables'!AH25</f>
        <v>231.59787754466521</v>
      </c>
      <c r="AI31" s="67">
        <f>AI$5*'Eurostat Collected Portables'!AI25</f>
        <v>259.77894987310174</v>
      </c>
      <c r="AJ31" s="67">
        <f>AJ$5*'Eurostat Collected Portables'!AJ25</f>
        <v>291.47679893197073</v>
      </c>
      <c r="AK31" s="67">
        <f>AK$5*'Eurostat Collected Portables'!AK25</f>
        <v>327.1453393574123</v>
      </c>
      <c r="AL31" s="67">
        <f>AL$5*'Eurostat Collected Portables'!AL25</f>
        <v>370.72681807397561</v>
      </c>
      <c r="AM31" s="67">
        <f>AM$5*'Eurostat Collected Portables'!AM25</f>
        <v>420.24595076615873</v>
      </c>
      <c r="AN31" s="67">
        <f>AN$5*'Eurostat Collected Portables'!AN25</f>
        <v>476.52858872078605</v>
      </c>
      <c r="AO31" s="67">
        <f>AO$5*'Eurostat Collected Portables'!AO25</f>
        <v>540.40896070835345</v>
      </c>
      <c r="AP31" s="67">
        <f>AP$5*'Eurostat Collected Portables'!AP25</f>
        <v>612.06073576700101</v>
      </c>
      <c r="AQ31" s="67">
        <f>AQ$5*'Eurostat Collected Portables'!AQ25</f>
        <v>687.48828495315809</v>
      </c>
      <c r="AR31" s="67">
        <f>AR$5*'Eurostat Collected Portables'!AR25</f>
        <v>766.08464186020831</v>
      </c>
      <c r="AS31" s="67">
        <f>AS$5*'Eurostat Collected Portables'!AS25</f>
        <v>847.9954911213681</v>
      </c>
      <c r="AT31" s="67">
        <f>AT$5*'Eurostat Collected Portables'!AT25</f>
        <v>938.59437362488438</v>
      </c>
      <c r="AU31" s="67">
        <f>AU$5*'Eurostat Collected Portables'!AU25</f>
        <v>1038.8307709402484</v>
      </c>
      <c r="AV31" s="67">
        <f>AV$5*'Eurostat Collected Portables'!AV25</f>
        <v>1160.1266372128769</v>
      </c>
      <c r="AW31" s="67">
        <f>AW$5*'Eurostat Collected Portables'!AW25</f>
        <v>1295.2636029401103</v>
      </c>
      <c r="AX31" s="67">
        <f>AX$5*'Eurostat Collected Portables'!AX25</f>
        <v>1445.7866103859847</v>
      </c>
      <c r="AY31" s="67">
        <f>AY$5*'Eurostat Collected Portables'!AY25</f>
        <v>1613.7356769447942</v>
      </c>
      <c r="AZ31" s="67">
        <f>AZ$5*'Eurostat Collected Portables'!AZ25</f>
        <v>1801.1223928537881</v>
      </c>
    </row>
    <row r="32" spans="1:52" x14ac:dyDescent="0.35">
      <c r="A32" s="1" t="s">
        <v>23</v>
      </c>
      <c r="B32" s="23">
        <f t="shared" ref="B32:C32" si="51">C32/1.34</f>
        <v>0.15587985468911769</v>
      </c>
      <c r="C32" s="23">
        <f t="shared" si="51"/>
        <v>0.20887900528341771</v>
      </c>
      <c r="D32" s="23">
        <f t="shared" ref="D32:E32" si="52">E32/1.5</f>
        <v>0.27989786707977976</v>
      </c>
      <c r="E32" s="23">
        <f t="shared" si="52"/>
        <v>0.41984680061966967</v>
      </c>
      <c r="F32" s="23">
        <f t="shared" si="2"/>
        <v>0.62977020092950453</v>
      </c>
      <c r="G32" s="23">
        <f t="shared" si="3"/>
        <v>0.76831964513399553</v>
      </c>
      <c r="H32" s="23">
        <f t="shared" si="4"/>
        <v>0.90661718125811463</v>
      </c>
      <c r="I32" s="23">
        <f t="shared" si="5"/>
        <v>1.0788744456971564</v>
      </c>
      <c r="J32" s="23">
        <f t="shared" si="6"/>
        <v>1.4564805016911613</v>
      </c>
      <c r="K32" s="23">
        <f t="shared" si="7"/>
        <v>1.0777955712514593</v>
      </c>
      <c r="L32" s="23">
        <f t="shared" si="8"/>
        <v>1.8106965597024516</v>
      </c>
      <c r="M32" s="4">
        <f>$M$5*'Eurostat Collected Portables'!M26</f>
        <v>2.3720124932102116</v>
      </c>
      <c r="N32" s="4">
        <f>$N$5*'Eurostat Collected Portables'!N26</f>
        <v>3.7665219488663775</v>
      </c>
      <c r="O32" s="4">
        <f>$O$5*'Eurostat Collected Portables'!O26</f>
        <v>3.050003374046832</v>
      </c>
      <c r="P32" s="4">
        <f>$P$5*'Eurostat Collected Portables'!P26</f>
        <v>3.4191249916761004</v>
      </c>
      <c r="Q32" s="4">
        <f>$Q$5*'Eurostat Collected Portables'!Q26</f>
        <v>4.350559022360895</v>
      </c>
      <c r="R32" s="4">
        <f>$R$5*'Eurostat Collected Portables'!R26</f>
        <v>7.1260335755449766</v>
      </c>
      <c r="S32" s="4">
        <f>$S$5*'Eurostat Collected Portables'!S26</f>
        <v>8.2032746360805415</v>
      </c>
      <c r="T32" s="4">
        <f>$T$5*'Eurostat Collected Portables'!T26</f>
        <v>7.8322785677104738</v>
      </c>
      <c r="U32" s="4">
        <f>$U$5*'Eurostat Collected Portables'!U26</f>
        <v>8.0340136613593955</v>
      </c>
      <c r="V32" s="4">
        <f>$V$5*'Eurostat Collected Portables'!V26</f>
        <v>3.1214676066066684</v>
      </c>
      <c r="W32" s="4">
        <f>$W$5*'Eurostat Collected Portables'!W26</f>
        <v>5.4282660348948033</v>
      </c>
      <c r="X32" s="67">
        <f>X$5*'Eurostat Collected Portables'!X26</f>
        <v>4.1910311955876702</v>
      </c>
      <c r="Y32" s="67">
        <f>Y$5*'Eurostat Collected Portables'!Y26</f>
        <v>5.1154972048411755</v>
      </c>
      <c r="Z32" s="67">
        <f>Z$5*'Eurostat Collected Portables'!Z26</f>
        <v>5.9749941742214991</v>
      </c>
      <c r="AA32" s="67">
        <f>AA$5*'Eurostat Collected Portables'!AA26</f>
        <v>7.0212827156228768</v>
      </c>
      <c r="AB32" s="67">
        <f>AB$5*'Eurostat Collected Portables'!AB26</f>
        <v>8.1941651544991352</v>
      </c>
      <c r="AC32" s="67">
        <f>AC$5*'Eurostat Collected Portables'!AC26</f>
        <v>9.5154626734314238</v>
      </c>
      <c r="AD32" s="67">
        <f>AD$5*'Eurostat Collected Portables'!AD26</f>
        <v>11.022903942402538</v>
      </c>
      <c r="AE32" s="67">
        <f>AE$5*'Eurostat Collected Portables'!AE26</f>
        <v>12.802693568834345</v>
      </c>
      <c r="AF32" s="67">
        <f>AF$5*'Eurostat Collected Portables'!AF26</f>
        <v>14.890433064630505</v>
      </c>
      <c r="AG32" s="67">
        <f>AG$5*'Eurostat Collected Portables'!AG26</f>
        <v>17.539243766982288</v>
      </c>
      <c r="AH32" s="67">
        <f>AH$5*'Eurostat Collected Portables'!AH26</f>
        <v>20.515989472440744</v>
      </c>
      <c r="AI32" s="67">
        <f>AI$5*'Eurostat Collected Portables'!AI26</f>
        <v>23.837274372840699</v>
      </c>
      <c r="AJ32" s="67">
        <f>AJ$5*'Eurostat Collected Portables'!AJ26</f>
        <v>27.653677793355762</v>
      </c>
      <c r="AK32" s="67">
        <f>AK$5*'Eurostat Collected Portables'!AK26</f>
        <v>32.037296243866557</v>
      </c>
      <c r="AL32" s="67">
        <f>AL$5*'Eurostat Collected Portables'!AL26</f>
        <v>37.416701684490256</v>
      </c>
      <c r="AM32" s="67">
        <f>AM$5*'Eurostat Collected Portables'!AM26</f>
        <v>43.651065910160952</v>
      </c>
      <c r="AN32" s="67">
        <f>AN$5*'Eurostat Collected Portables'!AN26</f>
        <v>50.873413955317126</v>
      </c>
      <c r="AO32" s="67">
        <f>AO$5*'Eurostat Collected Portables'!AO26</f>
        <v>59.225416482230209</v>
      </c>
      <c r="AP32" s="67">
        <f>AP$5*'Eurostat Collected Portables'!AP26</f>
        <v>68.781983088108092</v>
      </c>
      <c r="AQ32" s="67">
        <f>AQ$5*'Eurostat Collected Portables'!AQ26</f>
        <v>79.138000071595016</v>
      </c>
      <c r="AR32" s="67">
        <f>AR$5*'Eurostat Collected Portables'!AR26</f>
        <v>90.242658772773339</v>
      </c>
      <c r="AS32" s="67">
        <f>AS$5*'Eurostat Collected Portables'!AS26</f>
        <v>102.12866209313921</v>
      </c>
      <c r="AT32" s="67">
        <f>AT$5*'Eurostat Collected Portables'!AT26</f>
        <v>115.47286366582249</v>
      </c>
      <c r="AU32" s="67">
        <f>AU$5*'Eurostat Collected Portables'!AU26</f>
        <v>130.45077106243977</v>
      </c>
      <c r="AV32" s="67">
        <f>AV$5*'Eurostat Collected Portables'!AV26</f>
        <v>148.58676131059269</v>
      </c>
      <c r="AW32" s="67">
        <f>AW$5*'Eurostat Collected Portables'!AW26</f>
        <v>169.08226142795294</v>
      </c>
      <c r="AX32" s="67">
        <f>AX$5*'Eurostat Collected Portables'!AX26</f>
        <v>192.22914796253374</v>
      </c>
      <c r="AY32" s="67">
        <f>AY$5*'Eurostat Collected Portables'!AY26</f>
        <v>218.39810557085985</v>
      </c>
      <c r="AZ32" s="67">
        <f>AZ$5*'Eurostat Collected Portables'!AZ26</f>
        <v>247.9718539523347</v>
      </c>
    </row>
    <row r="33" spans="1:52" x14ac:dyDescent="0.35">
      <c r="A33" s="1" t="s">
        <v>24</v>
      </c>
      <c r="B33" s="23">
        <f t="shared" ref="B33:C33" si="53">C33/1.34</f>
        <v>6.0303885390680573E-2</v>
      </c>
      <c r="C33" s="23">
        <f t="shared" si="53"/>
        <v>8.0807206423511968E-2</v>
      </c>
      <c r="D33" s="23">
        <f t="shared" ref="D33:E33" si="54">E33/1.5</f>
        <v>0.10828165660750605</v>
      </c>
      <c r="E33" s="23">
        <f t="shared" si="54"/>
        <v>0.16242248491125907</v>
      </c>
      <c r="F33" s="23">
        <f t="shared" si="2"/>
        <v>0.2436337273668886</v>
      </c>
      <c r="G33" s="23">
        <f t="shared" si="3"/>
        <v>0.29723314738760409</v>
      </c>
      <c r="H33" s="23">
        <f t="shared" si="4"/>
        <v>0.35073511391737283</v>
      </c>
      <c r="I33" s="23">
        <f t="shared" si="5"/>
        <v>0.41737478556167362</v>
      </c>
      <c r="J33" s="23">
        <f t="shared" si="6"/>
        <v>0.56345596050825941</v>
      </c>
      <c r="K33" s="23">
        <f t="shared" si="7"/>
        <v>0.41695741077611198</v>
      </c>
      <c r="L33" s="23">
        <f t="shared" si="8"/>
        <v>0.70048845010386807</v>
      </c>
      <c r="M33" s="4">
        <f>$M$5*'Eurostat Collected Portables'!M27</f>
        <v>0.91763986963606725</v>
      </c>
      <c r="N33" s="4">
        <f>$N$5*'Eurostat Collected Portables'!N27</f>
        <v>2.6231135001033699</v>
      </c>
      <c r="O33" s="4">
        <f>$O$5*'Eurostat Collected Portables'!O27</f>
        <v>2.9307645590120792</v>
      </c>
      <c r="P33" s="4">
        <f>$P$5*'Eurostat Collected Portables'!P27</f>
        <v>5.446826929479923</v>
      </c>
      <c r="Q33" s="4">
        <f>$Q$5*'Eurostat Collected Portables'!Q27</f>
        <v>4.1771970878835161</v>
      </c>
      <c r="R33" s="4">
        <f>$R$5*'Eurostat Collected Portables'!R27</f>
        <v>7.6772738661989486</v>
      </c>
      <c r="S33" s="4">
        <f>$S$5*'Eurostat Collected Portables'!S27</f>
        <v>15.767769689843336</v>
      </c>
      <c r="T33" s="4">
        <f>$T$5*'Eurostat Collected Portables'!T27</f>
        <v>18.029460380080913</v>
      </c>
      <c r="U33" s="4">
        <f>$U$5*'Eurostat Collected Portables'!U27</f>
        <v>20.069030142120884</v>
      </c>
      <c r="V33" s="4">
        <f>$V$5*'Eurostat Collected Portables'!V27</f>
        <v>16.830181012941107</v>
      </c>
      <c r="W33" s="4">
        <f>$W$5*'Eurostat Collected Portables'!W27</f>
        <v>40.514950475901024</v>
      </c>
      <c r="X33" s="67">
        <f>X$5*'Eurostat Collected Portables'!X27</f>
        <v>32.113464846713917</v>
      </c>
      <c r="Y33" s="67">
        <f>Y$5*'Eurostat Collected Portables'!Y27</f>
        <v>37.778535036449597</v>
      </c>
      <c r="Z33" s="67">
        <f>Z$5*'Eurostat Collected Portables'!Z27</f>
        <v>40.935539366262752</v>
      </c>
      <c r="AA33" s="67">
        <f>AA$5*'Eurostat Collected Portables'!AA27</f>
        <v>44.862584664166832</v>
      </c>
      <c r="AB33" s="67">
        <f>AB$5*'Eurostat Collected Portables'!AB27</f>
        <v>49.054036075482308</v>
      </c>
      <c r="AC33" s="67">
        <f>AC$5*'Eurostat Collected Portables'!AC27</f>
        <v>53.586284187338734</v>
      </c>
      <c r="AD33" s="67">
        <f>AD$5*'Eurostat Collected Portables'!AD27</f>
        <v>58.60326806020683</v>
      </c>
      <c r="AE33" s="67">
        <f>AE$5*'Eurostat Collected Portables'!AE27</f>
        <v>64.462613491076894</v>
      </c>
      <c r="AF33" s="67">
        <f>AF$5*'Eurostat Collected Portables'!AF27</f>
        <v>71.20820567432456</v>
      </c>
      <c r="AG33" s="67">
        <f>AG$5*'Eurostat Collected Portables'!AG27</f>
        <v>79.866217480434884</v>
      </c>
      <c r="AH33" s="67">
        <f>AH$5*'Eurostat Collected Portables'!AH27</f>
        <v>89.162624971311956</v>
      </c>
      <c r="AI33" s="67">
        <f>AI$5*'Eurostat Collected Portables'!AI27</f>
        <v>99.083884231170543</v>
      </c>
      <c r="AJ33" s="67">
        <f>AJ$5*'Eurostat Collected Portables'!AJ27</f>
        <v>110.15249442425416</v>
      </c>
      <c r="AK33" s="67">
        <f>AK$5*'Eurostat Collected Portables'!AK27</f>
        <v>122.50732915680956</v>
      </c>
      <c r="AL33" s="67">
        <f>AL$5*'Eurostat Collected Portables'!AL27</f>
        <v>137.57682646699962</v>
      </c>
      <c r="AM33" s="67">
        <f>AM$5*'Eurostat Collected Portables'!AM27</f>
        <v>154.56209694092263</v>
      </c>
      <c r="AN33" s="67">
        <f>AN$5*'Eurostat Collected Portables'!AN27</f>
        <v>173.7137221594819</v>
      </c>
      <c r="AO33" s="67">
        <f>AO$5*'Eurostat Collected Portables'!AO27</f>
        <v>195.27661600762744</v>
      </c>
      <c r="AP33" s="67">
        <f>AP$5*'Eurostat Collected Portables'!AP27</f>
        <v>219.25066211834636</v>
      </c>
      <c r="AQ33" s="67">
        <f>AQ$5*'Eurostat Collected Portables'!AQ27</f>
        <v>244.15515521104916</v>
      </c>
      <c r="AR33" s="67">
        <f>AR$5*'Eurostat Collected Portables'!AR27</f>
        <v>269.7530902958049</v>
      </c>
      <c r="AS33" s="67">
        <f>AS$5*'Eurostat Collected Portables'!AS27</f>
        <v>296.07827844846418</v>
      </c>
      <c r="AT33" s="67">
        <f>AT$5*'Eurostat Collected Portables'!AT27</f>
        <v>324.97348971157305</v>
      </c>
      <c r="AU33" s="67">
        <f>AU$5*'Eurostat Collected Portables'!AU27</f>
        <v>356.70142388480627</v>
      </c>
      <c r="AV33" s="67">
        <f>AV$5*'Eurostat Collected Portables'!AV27</f>
        <v>395.08267132958485</v>
      </c>
      <c r="AW33" s="67">
        <f>AW$5*'Eurostat Collected Portables'!AW27</f>
        <v>437.51729861515975</v>
      </c>
      <c r="AX33" s="67">
        <f>AX$5*'Eurostat Collected Portables'!AX27</f>
        <v>484.42566647660914</v>
      </c>
      <c r="AY33" s="67">
        <f>AY$5*'Eurostat Collected Portables'!AY27</f>
        <v>536.37940642313174</v>
      </c>
      <c r="AZ33" s="67">
        <f>AZ$5*'Eurostat Collected Portables'!AZ27</f>
        <v>593.92283068583617</v>
      </c>
    </row>
    <row r="34" spans="1:52" x14ac:dyDescent="0.35">
      <c r="A34" s="1" t="s">
        <v>25</v>
      </c>
      <c r="B34" s="23">
        <f t="shared" ref="B34:C34" si="55">C34/1.34</f>
        <v>0.16005182160293838</v>
      </c>
      <c r="C34" s="23">
        <f t="shared" si="55"/>
        <v>0.21446944094793743</v>
      </c>
      <c r="D34" s="23">
        <f t="shared" ref="D34:E34" si="56">E34/1.5</f>
        <v>0.2873890508702362</v>
      </c>
      <c r="E34" s="23">
        <f t="shared" si="56"/>
        <v>0.43108357630535427</v>
      </c>
      <c r="F34" s="23">
        <f t="shared" si="2"/>
        <v>0.64662536445803143</v>
      </c>
      <c r="G34" s="23">
        <f t="shared" si="3"/>
        <v>0.78888294463879838</v>
      </c>
      <c r="H34" s="23">
        <f t="shared" si="4"/>
        <v>0.93088187467378203</v>
      </c>
      <c r="I34" s="23">
        <f t="shared" si="5"/>
        <v>1.1077494308618006</v>
      </c>
      <c r="J34" s="23">
        <f t="shared" si="6"/>
        <v>1.4954617316634309</v>
      </c>
      <c r="K34" s="23">
        <f t="shared" si="7"/>
        <v>1.1066416814309388</v>
      </c>
      <c r="L34" s="23">
        <f t="shared" si="8"/>
        <v>1.8591580248039772</v>
      </c>
      <c r="M34" s="4">
        <f>$M$5*'Eurostat Collected Portables'!M28</f>
        <v>2.4354970124932103</v>
      </c>
      <c r="N34" s="4">
        <f>$N$5*'Eurostat Collected Portables'!N28</f>
        <v>4.9771897181448557</v>
      </c>
      <c r="O34" s="4">
        <f>$O$5*'Eurostat Collected Portables'!O28</f>
        <v>2.9370402861191716</v>
      </c>
      <c r="P34" s="4">
        <f>$P$5*'Eurostat Collected Portables'!P28</f>
        <v>4.3141106745688225</v>
      </c>
      <c r="Q34" s="4">
        <f>$Q$5*'Eurostat Collected Portables'!Q28</f>
        <v>3.9790691627665109</v>
      </c>
      <c r="R34" s="4">
        <f>$R$5*'Eurostat Collected Portables'!R28</f>
        <v>4.79077925331997</v>
      </c>
      <c r="S34" s="4">
        <f>$S$5*'Eurostat Collected Portables'!S28</f>
        <v>12.37215191015426</v>
      </c>
      <c r="T34" s="4">
        <f>$T$5*'Eurostat Collected Portables'!T28</f>
        <v>9.518150187666091</v>
      </c>
      <c r="U34" s="4">
        <f>$U$5*'Eurostat Collected Portables'!U28</f>
        <v>9.5063826988993654</v>
      </c>
      <c r="V34" s="4">
        <f>$V$5*'Eurostat Collected Portables'!V28</f>
        <v>7.4175080754931653</v>
      </c>
      <c r="W34" s="4">
        <f>$W$5*'Eurostat Collected Portables'!W28</f>
        <v>12.127788752434761</v>
      </c>
      <c r="X34" s="67">
        <f>X$5*'Eurostat Collected Portables'!X28</f>
        <v>9.0644776694405955</v>
      </c>
      <c r="Y34" s="67">
        <f>Y$5*'Eurostat Collected Portables'!Y28</f>
        <v>10.125919610006621</v>
      </c>
      <c r="Z34" s="67">
        <f>Z$5*'Eurostat Collected Portables'!Z28</f>
        <v>11.067349217155488</v>
      </c>
      <c r="AA34" s="67">
        <f>AA$5*'Eurostat Collected Portables'!AA28</f>
        <v>12.233369378568607</v>
      </c>
      <c r="AB34" s="67">
        <f>AB$5*'Eurostat Collected Portables'!AB28</f>
        <v>13.490276005997989</v>
      </c>
      <c r="AC34" s="67">
        <f>AC$5*'Eurostat Collected Portables'!AC28</f>
        <v>14.861074749817661</v>
      </c>
      <c r="AD34" s="67">
        <f>AD$5*'Eurostat Collected Portables'!AD28</f>
        <v>16.388367102424176</v>
      </c>
      <c r="AE34" s="67">
        <f>AE$5*'Eurostat Collected Portables'!AE28</f>
        <v>18.176338026283453</v>
      </c>
      <c r="AF34" s="67">
        <f>AF$5*'Eurostat Collected Portables'!AF28</f>
        <v>20.243289166091817</v>
      </c>
      <c r="AG34" s="67">
        <f>AG$5*'Eurostat Collected Portables'!AG28</f>
        <v>22.889440380123652</v>
      </c>
      <c r="AH34" s="67">
        <f>AH$5*'Eurostat Collected Portables'!AH28</f>
        <v>25.759944646817718</v>
      </c>
      <c r="AI34" s="67">
        <f>AI$5*'Eurostat Collected Portables'!AI28</f>
        <v>28.855236789196901</v>
      </c>
      <c r="AJ34" s="67">
        <f>AJ$5*'Eurostat Collected Portables'!AJ28</f>
        <v>32.332964047016766</v>
      </c>
      <c r="AK34" s="67">
        <f>AK$5*'Eurostat Collected Portables'!AK28</f>
        <v>36.242098483104478</v>
      </c>
      <c r="AL34" s="67">
        <f>AL$5*'Eurostat Collected Portables'!AL28</f>
        <v>41.017353173078277</v>
      </c>
      <c r="AM34" s="67">
        <f>AM$5*'Eurostat Collected Portables'!AM28</f>
        <v>46.437399950400582</v>
      </c>
      <c r="AN34" s="67">
        <f>AN$5*'Eurostat Collected Portables'!AN28</f>
        <v>52.591250417758637</v>
      </c>
      <c r="AO34" s="67">
        <f>AO$5*'Eurostat Collected Portables'!AO28</f>
        <v>59.568472341278749</v>
      </c>
      <c r="AP34" s="67">
        <f>AP$5*'Eurostat Collected Portables'!AP28</f>
        <v>67.385553290590693</v>
      </c>
      <c r="AQ34" s="67">
        <f>AQ$5*'Eurostat Collected Portables'!AQ28</f>
        <v>75.600502987150534</v>
      </c>
      <c r="AR34" s="67">
        <f>AR$5*'Eurostat Collected Portables'!AR28</f>
        <v>84.14566971467498</v>
      </c>
      <c r="AS34" s="67">
        <f>AS$5*'Eurostat Collected Portables'!AS28</f>
        <v>93.036316604490295</v>
      </c>
      <c r="AT34" s="67">
        <f>AT$5*'Eurostat Collected Portables'!AT28</f>
        <v>102.86058106366956</v>
      </c>
      <c r="AU34" s="67">
        <f>AU$5*'Eurostat Collected Portables'!AU28</f>
        <v>113.7197271239106</v>
      </c>
      <c r="AV34" s="67">
        <f>AV$5*'Eurostat Collected Portables'!AV28</f>
        <v>126.85982342120583</v>
      </c>
      <c r="AW34" s="67">
        <f>AW$5*'Eurostat Collected Portables'!AW28</f>
        <v>141.48555562626163</v>
      </c>
      <c r="AX34" s="67">
        <f>AX$5*'Eurostat Collected Portables'!AX28</f>
        <v>157.76139533921031</v>
      </c>
      <c r="AY34" s="67">
        <f>AY$5*'Eurostat Collected Portables'!AY28</f>
        <v>175.90521868914081</v>
      </c>
      <c r="AZ34" s="67">
        <f>AZ$5*'Eurostat Collected Portables'!AZ28</f>
        <v>196.13104824801394</v>
      </c>
    </row>
    <row r="35" spans="1:52" x14ac:dyDescent="0.35">
      <c r="A35" s="1" t="s">
        <v>26</v>
      </c>
      <c r="B35" s="23">
        <f t="shared" ref="B35:C35" si="57">C35/1.34</f>
        <v>9.7472317895628352E-2</v>
      </c>
      <c r="C35" s="23">
        <f t="shared" si="57"/>
        <v>0.130612905980142</v>
      </c>
      <c r="D35" s="23">
        <f t="shared" ref="D35:E35" si="58">E35/1.5</f>
        <v>0.17502129401339028</v>
      </c>
      <c r="E35" s="23">
        <f t="shared" si="58"/>
        <v>0.26253194102008542</v>
      </c>
      <c r="F35" s="23">
        <f t="shared" si="2"/>
        <v>0.39379791153012811</v>
      </c>
      <c r="G35" s="23">
        <f t="shared" si="3"/>
        <v>0.48043345206675625</v>
      </c>
      <c r="H35" s="23">
        <f t="shared" si="4"/>
        <v>0.56691147343877235</v>
      </c>
      <c r="I35" s="23">
        <f t="shared" si="5"/>
        <v>0.67462465339213906</v>
      </c>
      <c r="J35" s="23">
        <f t="shared" si="6"/>
        <v>0.91074328207938782</v>
      </c>
      <c r="K35" s="23">
        <f t="shared" si="7"/>
        <v>0.67395002873874699</v>
      </c>
      <c r="L35" s="23">
        <f t="shared" si="8"/>
        <v>1.1322360482810949</v>
      </c>
      <c r="M35" s="4">
        <f>$M$5*'Eurostat Collected Portables'!M29</f>
        <v>1.4832292232482345</v>
      </c>
      <c r="N35" s="4">
        <f>$N$5*'Eurostat Collected Portables'!N29</f>
        <v>2.2952243125904488</v>
      </c>
      <c r="O35" s="4">
        <f>$O$5*'Eurostat Collected Portables'!O29</f>
        <v>1.4308657804170322</v>
      </c>
      <c r="P35" s="4">
        <f>$P$5*'Eurostat Collected Portables'!P29</f>
        <v>1.4683358859958715</v>
      </c>
      <c r="Q35" s="4">
        <f>$Q$5*'Eurostat Collected Portables'!Q29</f>
        <v>2.0390665626625069</v>
      </c>
      <c r="R35" s="4">
        <f>$R$5*'Eurostat Collected Portables'!R29</f>
        <v>2.6860435980957154</v>
      </c>
      <c r="S35" s="4">
        <f>$S$5*'Eurostat Collected Portables'!S29</f>
        <v>3.0370046808440256</v>
      </c>
      <c r="T35" s="4">
        <f>$T$5*'Eurostat Collected Portables'!T29</f>
        <v>3.7463813776791506</v>
      </c>
      <c r="U35" s="4">
        <f>$U$5*'Eurostat Collected Portables'!U29</f>
        <v>3.2754876414838443</v>
      </c>
      <c r="V35" s="4">
        <f>$V$5*'Eurostat Collected Portables'!V29</f>
        <v>2.7594417243971323</v>
      </c>
      <c r="W35" s="4">
        <f>$W$5*'Eurostat Collected Portables'!W29</f>
        <v>4.3985481219522296</v>
      </c>
      <c r="X35" s="67">
        <f>X$5*'Eurostat Collected Portables'!X29</f>
        <v>3.1077578305416358</v>
      </c>
      <c r="Y35" s="67">
        <f>Y$5*'Eurostat Collected Portables'!Y29</f>
        <v>3.4479002157501193</v>
      </c>
      <c r="Z35" s="67">
        <f>Z$5*'Eurostat Collected Portables'!Z29</f>
        <v>3.7932009983008728</v>
      </c>
      <c r="AA35" s="67">
        <f>AA$5*'Eurostat Collected Portables'!AA29</f>
        <v>4.2197015014605892</v>
      </c>
      <c r="AB35" s="67">
        <f>AB$5*'Eurostat Collected Portables'!AB29</f>
        <v>4.6823487329846083</v>
      </c>
      <c r="AC35" s="67">
        <f>AC$5*'Eurostat Collected Portables'!AC29</f>
        <v>5.1896334849340269</v>
      </c>
      <c r="AD35" s="67">
        <f>AD$5*'Eurostat Collected Portables'!AD29</f>
        <v>5.7571061823700553</v>
      </c>
      <c r="AE35" s="67">
        <f>AE$5*'Eurostat Collected Portables'!AE29</f>
        <v>6.4224057031534389</v>
      </c>
      <c r="AF35" s="67">
        <f>AF$5*'Eurostat Collected Portables'!AF29</f>
        <v>7.193462395246689</v>
      </c>
      <c r="AG35" s="67">
        <f>AG$5*'Eurostat Collected Portables'!AG29</f>
        <v>8.1790404143196707</v>
      </c>
      <c r="AH35" s="67">
        <f>AH$5*'Eurostat Collected Portables'!AH29</f>
        <v>9.2548415316138044</v>
      </c>
      <c r="AI35" s="67">
        <f>AI$5*'Eurostat Collected Portables'!AI29</f>
        <v>10.422069767188338</v>
      </c>
      <c r="AJ35" s="67">
        <f>AJ$5*'Eurostat Collected Portables'!AJ29</f>
        <v>11.738976237915557</v>
      </c>
      <c r="AK35" s="67">
        <f>AK$5*'Eurostat Collected Portables'!AK29</f>
        <v>13.225288109340205</v>
      </c>
      <c r="AL35" s="67">
        <f>AL$5*'Eurostat Collected Portables'!AL29</f>
        <v>15.042493442720041</v>
      </c>
      <c r="AM35" s="67">
        <f>AM$5*'Eurostat Collected Portables'!AM29</f>
        <v>17.113359429697343</v>
      </c>
      <c r="AN35" s="67">
        <f>AN$5*'Eurostat Collected Portables'!AN29</f>
        <v>19.473869924930838</v>
      </c>
      <c r="AO35" s="67">
        <f>AO$5*'Eurostat Collected Portables'!AO29</f>
        <v>22.160737249818514</v>
      </c>
      <c r="AP35" s="67">
        <f>AP$5*'Eurostat Collected Portables'!AP29</f>
        <v>25.183866475509728</v>
      </c>
      <c r="AQ35" s="67">
        <f>AQ$5*'Eurostat Collected Portables'!AQ29</f>
        <v>28.381040427075501</v>
      </c>
      <c r="AR35" s="67">
        <f>AR$5*'Eurostat Collected Portables'!AR29</f>
        <v>31.728151632662335</v>
      </c>
      <c r="AS35" s="67">
        <f>AS$5*'Eurostat Collected Portables'!AS29</f>
        <v>35.232007937494927</v>
      </c>
      <c r="AT35" s="67">
        <f>AT$5*'Eurostat Collected Portables'!AT29</f>
        <v>39.117344893922088</v>
      </c>
      <c r="AU35" s="67">
        <f>AU$5*'Eurostat Collected Portables'!AU29</f>
        <v>43.426657360173209</v>
      </c>
      <c r="AV35" s="67">
        <f>AV$5*'Eurostat Collected Portables'!AV29</f>
        <v>48.641908456297891</v>
      </c>
      <c r="AW35" s="67">
        <f>AW$5*'Eurostat Collected Portables'!AW29</f>
        <v>54.466719149278049</v>
      </c>
      <c r="AX35" s="67">
        <f>AX$5*'Eurostat Collected Portables'!AX29</f>
        <v>60.970548501029178</v>
      </c>
      <c r="AY35" s="67">
        <f>AY$5*'Eurostat Collected Portables'!AY29</f>
        <v>68.244380242932792</v>
      </c>
      <c r="AZ35" s="67">
        <f>AZ$5*'Eurostat Collected Portables'!AZ29</f>
        <v>76.378787071032747</v>
      </c>
    </row>
    <row r="36" spans="1:52" x14ac:dyDescent="0.35">
      <c r="A36" s="1" t="s">
        <v>27</v>
      </c>
      <c r="B36" s="23">
        <f t="shared" ref="B36:C36" si="59">C36/1.34</f>
        <v>1.3752320026830676</v>
      </c>
      <c r="C36" s="23">
        <f t="shared" si="59"/>
        <v>1.8428108835953105</v>
      </c>
      <c r="D36" s="23">
        <f t="shared" ref="D36:E36" si="60">E36/1.5</f>
        <v>2.4693665840177164</v>
      </c>
      <c r="E36" s="23">
        <f t="shared" si="60"/>
        <v>3.7040498760265748</v>
      </c>
      <c r="F36" s="23">
        <f t="shared" si="2"/>
        <v>5.5560748140398619</v>
      </c>
      <c r="G36" s="23">
        <f t="shared" si="3"/>
        <v>6.778411273128631</v>
      </c>
      <c r="H36" s="23">
        <f t="shared" si="4"/>
        <v>7.9985253022917844</v>
      </c>
      <c r="I36" s="23">
        <f t="shared" si="5"/>
        <v>9.5182451097272232</v>
      </c>
      <c r="J36" s="23">
        <f t="shared" si="6"/>
        <v>12.849630898131753</v>
      </c>
      <c r="K36" s="23">
        <f t="shared" si="7"/>
        <v>9.5087268646174969</v>
      </c>
      <c r="L36" s="23">
        <f t="shared" si="8"/>
        <v>15.974661132557396</v>
      </c>
      <c r="M36" s="4">
        <f>$M$5*'Eurostat Collected Portables'!M30</f>
        <v>20.926806083650188</v>
      </c>
      <c r="N36" s="4">
        <f>$N$5*'Eurostat Collected Portables'!N30</f>
        <v>33.301771070222593</v>
      </c>
      <c r="O36" s="4">
        <f>$O$5*'Eurostat Collected Portables'!O30</f>
        <v>23.201363114920035</v>
      </c>
      <c r="P36" s="4">
        <f>$P$5*'Eurostat Collected Portables'!P30</f>
        <v>27.101285210095227</v>
      </c>
      <c r="Q36" s="4">
        <f>$Q$5*'Eurostat Collected Portables'!Q30</f>
        <v>38.88260530421217</v>
      </c>
      <c r="R36" s="4">
        <f>$R$5*'Eurostat Collected Portables'!R30</f>
        <v>45.211726384364823</v>
      </c>
      <c r="S36" s="4">
        <f>$S$5*'Eurostat Collected Portables'!S30</f>
        <v>52.335099112699631</v>
      </c>
      <c r="T36" s="4">
        <f>$T$5*'Eurostat Collected Portables'!T30</f>
        <v>53.760572769695813</v>
      </c>
      <c r="U36" s="4">
        <f>$U$5*'Eurostat Collected Portables'!U30</f>
        <v>61.242016488981321</v>
      </c>
      <c r="V36" s="4">
        <f>$V$5*'Eurostat Collected Portables'!V30</f>
        <v>44.102797472726174</v>
      </c>
      <c r="W36" s="4">
        <f>$W$5*'Eurostat Collected Portables'!W30</f>
        <v>95.001011894072292</v>
      </c>
      <c r="X36" s="67">
        <f>X$5*'Eurostat Collected Portables'!X30</f>
        <v>68.993553141754489</v>
      </c>
      <c r="Y36" s="67">
        <f>Y$5*'Eurostat Collected Portables'!Y30</f>
        <v>75.831489393431283</v>
      </c>
      <c r="Z36" s="67">
        <f>Z$5*'Eurostat Collected Portables'!Z30</f>
        <v>82.293469925916924</v>
      </c>
      <c r="AA36" s="67">
        <f>AA$5*'Eurostat Collected Portables'!AA30</f>
        <v>90.364713417402712</v>
      </c>
      <c r="AB36" s="67">
        <f>AB$5*'Eurostat Collected Portables'!AB30</f>
        <v>99.494279246489512</v>
      </c>
      <c r="AC36" s="67">
        <f>AC$5*'Eurostat Collected Portables'!AC30</f>
        <v>109.80122206021856</v>
      </c>
      <c r="AD36" s="67">
        <f>AD$5*'Eurostat Collected Portables'!AD30</f>
        <v>121.39280015825904</v>
      </c>
      <c r="AE36" s="67">
        <f>AE$5*'Eurostat Collected Portables'!AE30</f>
        <v>134.53507652678098</v>
      </c>
      <c r="AF36" s="67">
        <f>AF$5*'Eurostat Collected Portables'!AF30</f>
        <v>149.39160480946887</v>
      </c>
      <c r="AG36" s="67">
        <f>AG$5*'Eurostat Collected Portables'!AG30</f>
        <v>168.31638972653141</v>
      </c>
      <c r="AH36" s="67">
        <f>AH$5*'Eurostat Collected Portables'!AH30</f>
        <v>188.75910721630905</v>
      </c>
      <c r="AI36" s="67">
        <f>AI$5*'Eurostat Collected Portables'!AI30</f>
        <v>210.7043186728722</v>
      </c>
      <c r="AJ36" s="67">
        <f>AJ$5*'Eurostat Collected Portables'!AJ30</f>
        <v>235.28310995732292</v>
      </c>
      <c r="AK36" s="67">
        <f>AK$5*'Eurostat Collected Portables'!AK30</f>
        <v>262.8290291883348</v>
      </c>
      <c r="AL36" s="67">
        <f>AL$5*'Eurostat Collected Portables'!AL30</f>
        <v>296.45608849231081</v>
      </c>
      <c r="AM36" s="67">
        <f>AM$5*'Eurostat Collected Portables'!AM30</f>
        <v>334.51149036228816</v>
      </c>
      <c r="AN36" s="67">
        <f>AN$5*'Eurostat Collected Portables'!AN30</f>
        <v>377.59338676766788</v>
      </c>
      <c r="AO36" s="67">
        <f>AO$5*'Eurostat Collected Portables'!AO30</f>
        <v>426.31127668385307</v>
      </c>
      <c r="AP36" s="67">
        <f>AP$5*'Eurostat Collected Portables'!AP30</f>
        <v>480.73582764703821</v>
      </c>
      <c r="AQ36" s="67">
        <f>AQ$5*'Eurostat Collected Portables'!AQ30</f>
        <v>537.68712422429974</v>
      </c>
      <c r="AR36" s="67">
        <f>AR$5*'Eurostat Collected Portables'!AR30</f>
        <v>596.63018974776617</v>
      </c>
      <c r="AS36" s="67">
        <f>AS$5*'Eurostat Collected Portables'!AS30</f>
        <v>657.65665547636377</v>
      </c>
      <c r="AT36" s="67">
        <f>AT$5*'Eurostat Collected Portables'!AT30</f>
        <v>724.88103206936569</v>
      </c>
      <c r="AU36" s="67">
        <f>AU$5*'Eurostat Collected Portables'!AU30</f>
        <v>798.98912215581265</v>
      </c>
      <c r="AV36" s="67">
        <f>AV$5*'Eurostat Collected Portables'!AV30</f>
        <v>888.68523273719416</v>
      </c>
      <c r="AW36" s="67">
        <f>AW$5*'Eurostat Collected Portables'!AW30</f>
        <v>988.29339644580818</v>
      </c>
      <c r="AX36" s="67">
        <f>AX$5*'Eurostat Collected Portables'!AX30</f>
        <v>1098.8925327786299</v>
      </c>
      <c r="AY36" s="67">
        <f>AY$5*'Eurostat Collected Portables'!AY30</f>
        <v>1221.882497591947</v>
      </c>
      <c r="AZ36" s="67">
        <f>AZ$5*'Eurostat Collected Portables'!AZ30</f>
        <v>1358.6531008221239</v>
      </c>
    </row>
    <row r="37" spans="1:52" x14ac:dyDescent="0.35">
      <c r="A37" s="1" t="s">
        <v>28</v>
      </c>
      <c r="B37" s="23">
        <f t="shared" ref="B37:C37" si="61">C37/1.34</f>
        <v>1.1484287104589985</v>
      </c>
      <c r="C37" s="23">
        <f t="shared" si="61"/>
        <v>1.5388944720150581</v>
      </c>
      <c r="D37" s="23">
        <f t="shared" ref="D37:E37" si="62">E37/1.5</f>
        <v>2.0621185925001781</v>
      </c>
      <c r="E37" s="23">
        <f t="shared" si="62"/>
        <v>3.093177888750267</v>
      </c>
      <c r="F37" s="23">
        <f t="shared" si="2"/>
        <v>4.6397668331254005</v>
      </c>
      <c r="G37" s="23">
        <f t="shared" si="3"/>
        <v>5.6605155364129889</v>
      </c>
      <c r="H37" s="23">
        <f t="shared" si="4"/>
        <v>6.6794083329673262</v>
      </c>
      <c r="I37" s="23">
        <f t="shared" si="5"/>
        <v>7.948495916231118</v>
      </c>
      <c r="J37" s="23">
        <f t="shared" si="6"/>
        <v>10.730469486912011</v>
      </c>
      <c r="K37" s="23">
        <f t="shared" si="7"/>
        <v>7.9405474203148882</v>
      </c>
      <c r="L37" s="23">
        <f t="shared" si="8"/>
        <v>13.340119666129011</v>
      </c>
      <c r="M37" s="4">
        <f>$M$5*'Eurostat Collected Portables'!M31</f>
        <v>17.475556762629004</v>
      </c>
      <c r="N37" s="4">
        <f>$N$5*'Eurostat Collected Portables'!N31</f>
        <v>30.140583005995452</v>
      </c>
      <c r="O37" s="4">
        <f>$O$5*'Eurostat Collected Portables'!O31</f>
        <v>22.718132127673933</v>
      </c>
      <c r="P37" s="4">
        <f>$P$5*'Eurostat Collected Portables'!P31</f>
        <v>23.640207764533528</v>
      </c>
      <c r="Q37" s="4">
        <f>$Q$5*'Eurostat Collected Portables'!Q31</f>
        <v>29.157826313052524</v>
      </c>
      <c r="R37" s="4">
        <f>$R$5*'Eurostat Collected Portables'!R31</f>
        <v>29.376096216487099</v>
      </c>
      <c r="S37" s="4">
        <f>$S$5*'Eurostat Collected Portables'!S31</f>
        <v>38.943141202704759</v>
      </c>
      <c r="T37" s="4">
        <f>$T$5*'Eurostat Collected Portables'!T31</f>
        <v>37.370154242349528</v>
      </c>
      <c r="U37" s="4">
        <f>$U$5*'Eurostat Collected Portables'!U31</f>
        <v>39.433883788026996</v>
      </c>
      <c r="V37" s="4">
        <f>$V$5*'Eurostat Collected Portables'!V31</f>
        <v>27.650732381203916</v>
      </c>
      <c r="W37" s="4">
        <f>$W$5*'Eurostat Collected Portables'!W31</f>
        <v>47.316173728052597</v>
      </c>
      <c r="X37" s="67">
        <f>X$5*'Eurostat Collected Portables'!X31</f>
        <v>34.968025700849914</v>
      </c>
      <c r="Y37" s="67">
        <f>Y$5*'Eurostat Collected Portables'!Y31</f>
        <v>40.083631275704185</v>
      </c>
      <c r="Z37" s="67">
        <f>Z$5*'Eurostat Collected Portables'!Z31</f>
        <v>44.371654685428993</v>
      </c>
      <c r="AA37" s="67">
        <f>AA$5*'Eurostat Collected Portables'!AA31</f>
        <v>49.313761029750133</v>
      </c>
      <c r="AB37" s="67">
        <f>AB$5*'Eurostat Collected Portables'!AB31</f>
        <v>54.62627755404629</v>
      </c>
      <c r="AC37" s="67">
        <f>AC$5*'Eurostat Collected Portables'!AC31</f>
        <v>60.418912308761122</v>
      </c>
      <c r="AD37" s="67">
        <f>AD$5*'Eurostat Collected Portables'!AD31</f>
        <v>66.902676736462169</v>
      </c>
      <c r="AE37" s="67">
        <f>AE$5*'Eurostat Collected Portables'!AE31</f>
        <v>74.598889693481084</v>
      </c>
      <c r="AF37" s="67">
        <f>AF$5*'Eurostat Collected Portables'!AF31</f>
        <v>83.595246262092516</v>
      </c>
      <c r="AG37" s="67">
        <f>AG$5*'Eurostat Collected Portables'!AG31</f>
        <v>95.02352631676122</v>
      </c>
      <c r="AH37" s="67">
        <f>AH$5*'Eurostat Collected Portables'!AH31</f>
        <v>107.39946505349306</v>
      </c>
      <c r="AI37" s="67">
        <f>AI$5*'Eurostat Collected Portables'!AI31</f>
        <v>120.70416388393653</v>
      </c>
      <c r="AJ37" s="67">
        <f>AJ$5*'Eurostat Collected Portables'!AJ31</f>
        <v>135.70400822599572</v>
      </c>
      <c r="AK37" s="67">
        <f>AK$5*'Eurostat Collected Portables'!AK31</f>
        <v>152.62018294308533</v>
      </c>
      <c r="AL37" s="67">
        <f>AL$5*'Eurostat Collected Portables'!AL31</f>
        <v>173.30788544204012</v>
      </c>
      <c r="AM37" s="67">
        <f>AM$5*'Eurostat Collected Portables'!AM31</f>
        <v>196.86563023314574</v>
      </c>
      <c r="AN37" s="67">
        <f>AN$5*'Eurostat Collected Portables'!AN31</f>
        <v>223.69938131117317</v>
      </c>
      <c r="AO37" s="67">
        <f>AO$5*'Eurostat Collected Portables'!AO31</f>
        <v>254.22678146338063</v>
      </c>
      <c r="AP37" s="67">
        <f>AP$5*'Eurostat Collected Portables'!AP31</f>
        <v>288.63550460520344</v>
      </c>
      <c r="AQ37" s="67">
        <f>AQ$5*'Eurostat Collected Portables'!AQ31</f>
        <v>324.71487159264296</v>
      </c>
      <c r="AR37" s="67">
        <f>AR$5*'Eurostat Collected Portables'!AR31</f>
        <v>362.12280016919897</v>
      </c>
      <c r="AS37" s="67">
        <f>AS$5*'Eurostat Collected Portables'!AS31</f>
        <v>400.74624985861254</v>
      </c>
      <c r="AT37" s="67">
        <f>AT$5*'Eurostat Collected Portables'!AT31</f>
        <v>443.47553329801843</v>
      </c>
      <c r="AU37" s="67">
        <f>AU$5*'Eurostat Collected Portables'!AU31</f>
        <v>490.74681181395687</v>
      </c>
      <c r="AV37" s="67">
        <f>AV$5*'Eurostat Collected Portables'!AV31</f>
        <v>547.96501811774385</v>
      </c>
      <c r="AW37" s="67">
        <f>AW$5*'Eurostat Collected Portables'!AW31</f>
        <v>611.72194002267292</v>
      </c>
      <c r="AX37" s="67">
        <f>AX$5*'Eurostat Collected Portables'!AX31</f>
        <v>682.75075206220527</v>
      </c>
      <c r="AY37" s="67">
        <f>AY$5*'Eurostat Collected Portables'!AY31</f>
        <v>762.00439098107995</v>
      </c>
      <c r="AZ37" s="67">
        <f>AZ$5*'Eurostat Collected Portables'!AZ31</f>
        <v>850.43320231684436</v>
      </c>
    </row>
    <row r="38" spans="1:52" x14ac:dyDescent="0.35">
      <c r="A38" s="1" t="s">
        <v>29</v>
      </c>
      <c r="B38" s="23">
        <f t="shared" ref="B38:C38" si="63">C38/1.34</f>
        <v>0.90038631394638802</v>
      </c>
      <c r="C38" s="23">
        <f t="shared" si="63"/>
        <v>1.20651766068816</v>
      </c>
      <c r="D38" s="23">
        <f t="shared" ref="D38:E38" si="64">E38/1.5</f>
        <v>1.6167336653221345</v>
      </c>
      <c r="E38" s="23">
        <f t="shared" si="64"/>
        <v>2.4251004979832018</v>
      </c>
      <c r="F38" s="23">
        <f t="shared" si="2"/>
        <v>3.6376507469748027</v>
      </c>
      <c r="G38" s="23">
        <f t="shared" si="3"/>
        <v>4.4379339113092593</v>
      </c>
      <c r="H38" s="23">
        <f t="shared" si="4"/>
        <v>5.2367620153449259</v>
      </c>
      <c r="I38" s="23">
        <f t="shared" si="5"/>
        <v>6.2317467982604615</v>
      </c>
      <c r="J38" s="23">
        <f t="shared" si="6"/>
        <v>8.4128581776516231</v>
      </c>
      <c r="K38" s="23">
        <f t="shared" si="7"/>
        <v>6.2255150514622004</v>
      </c>
      <c r="L38" s="23">
        <f t="shared" si="8"/>
        <v>10.458865286456497</v>
      </c>
      <c r="M38" s="4">
        <f>$M$5*'Eurostat Collected Portables'!M32</f>
        <v>13.701113525258011</v>
      </c>
      <c r="N38" s="4">
        <f>$N$5*'Eurostat Collected Portables'!N32</f>
        <v>21.623871545723933</v>
      </c>
      <c r="O38" s="4">
        <f>$O$5*'Eurostat Collected Portables'!O32</f>
        <v>15.846210945407922</v>
      </c>
      <c r="P38" s="4">
        <f>$P$5*'Eurostat Collected Portables'!P32</f>
        <v>19.116334820536725</v>
      </c>
      <c r="Q38" s="4">
        <f>$Q$5*'Eurostat Collected Portables'!Q32</f>
        <v>22.487519500780031</v>
      </c>
      <c r="R38" s="4">
        <f>$R$5*'Eurostat Collected Portables'!R32</f>
        <v>28.103232272613383</v>
      </c>
      <c r="S38" s="4">
        <f>$S$5*'Eurostat Collected Portables'!S32</f>
        <v>31.143306302824897</v>
      </c>
      <c r="T38" s="4">
        <f>$T$5*'Eurostat Collected Portables'!T32</f>
        <v>33.541820772033645</v>
      </c>
      <c r="U38" s="4">
        <f>$U$5*'Eurostat Collected Portables'!U32</f>
        <v>33.192319389759739</v>
      </c>
      <c r="V38" s="4">
        <f>$V$5*'Eurostat Collected Portables'!V32</f>
        <v>25.54293724478395</v>
      </c>
      <c r="W38" s="4">
        <f>$W$5*'Eurostat Collected Portables'!W32</f>
        <v>41.582806089322958</v>
      </c>
      <c r="X38" s="67">
        <f>X$5*'Eurostat Collected Portables'!X32</f>
        <v>31.25248038728316</v>
      </c>
      <c r="Y38" s="67">
        <f>Y$5*'Eurostat Collected Portables'!Y32</f>
        <v>34.937971718148418</v>
      </c>
      <c r="Z38" s="67">
        <f>Z$5*'Eurostat Collected Portables'!Z32</f>
        <v>37.915045996382702</v>
      </c>
      <c r="AA38" s="67">
        <f>AA$5*'Eurostat Collected Portables'!AA32</f>
        <v>41.615234882294466</v>
      </c>
      <c r="AB38" s="67">
        <f>AB$5*'Eurostat Collected Portables'!AB32</f>
        <v>45.572021676223514</v>
      </c>
      <c r="AC38" s="67">
        <f>AC$5*'Eurostat Collected Portables'!AC32</f>
        <v>49.857579298092908</v>
      </c>
      <c r="AD38" s="67">
        <f>AD$5*'Eurostat Collected Portables'!AD32</f>
        <v>54.607449174196844</v>
      </c>
      <c r="AE38" s="67">
        <f>AE$5*'Eurostat Collected Portables'!AE32</f>
        <v>60.157390760964304</v>
      </c>
      <c r="AF38" s="67">
        <f>AF$5*'Eurostat Collected Portables'!AF32</f>
        <v>66.551933283299036</v>
      </c>
      <c r="AG38" s="67">
        <f>AG$5*'Eurostat Collected Portables'!AG32</f>
        <v>74.755272881955449</v>
      </c>
      <c r="AH38" s="67">
        <f>AH$5*'Eurostat Collected Portables'!AH32</f>
        <v>83.581118216195023</v>
      </c>
      <c r="AI38" s="67">
        <f>AI$5*'Eurostat Collected Portables'!AI32</f>
        <v>93.019395441729529</v>
      </c>
      <c r="AJ38" s="67">
        <f>AJ$5*'Eurostat Collected Portables'!AJ32</f>
        <v>103.56393188295297</v>
      </c>
      <c r="AK38" s="67">
        <f>AK$5*'Eurostat Collected Portables'!AK32</f>
        <v>115.35024545344069</v>
      </c>
      <c r="AL38" s="67">
        <f>AL$5*'Eurostat Collected Portables'!AL32</f>
        <v>129.73063793723298</v>
      </c>
      <c r="AM38" s="67">
        <f>AM$5*'Eurostat Collected Portables'!AM32</f>
        <v>145.96194652507518</v>
      </c>
      <c r="AN38" s="67">
        <f>AN$5*'Eurostat Collected Portables'!AN32</f>
        <v>164.28908811223991</v>
      </c>
      <c r="AO38" s="67">
        <f>AO$5*'Eurostat Collected Portables'!AO32</f>
        <v>184.95298970139041</v>
      </c>
      <c r="AP38" s="67">
        <f>AP$5*'Eurostat Collected Portables'!AP32</f>
        <v>207.9635064455579</v>
      </c>
      <c r="AQ38" s="67">
        <f>AQ$5*'Eurostat Collected Portables'!AQ32</f>
        <v>231.92405958719104</v>
      </c>
      <c r="AR38" s="67">
        <f>AR$5*'Eurostat Collected Portables'!AR32</f>
        <v>256.61297580492129</v>
      </c>
      <c r="AS38" s="67">
        <f>AS$5*'Eurostat Collected Portables'!AS32</f>
        <v>282.06526363559078</v>
      </c>
      <c r="AT38" s="67">
        <f>AT$5*'Eurostat Collected Portables'!AT32</f>
        <v>310.04195706774465</v>
      </c>
      <c r="AU38" s="67">
        <f>AU$5*'Eurostat Collected Portables'!AU32</f>
        <v>340.80461073147325</v>
      </c>
      <c r="AV38" s="67">
        <f>AV$5*'Eurostat Collected Portables'!AV32</f>
        <v>378.02045071673166</v>
      </c>
      <c r="AW38" s="67">
        <f>AW$5*'Eurostat Collected Portables'!AW32</f>
        <v>419.22565848888081</v>
      </c>
      <c r="AX38" s="67">
        <f>AX$5*'Eurostat Collected Portables'!AX32</f>
        <v>464.84022991524051</v>
      </c>
      <c r="AY38" s="67">
        <f>AY$5*'Eurostat Collected Portables'!AY32</f>
        <v>515.43181302803373</v>
      </c>
      <c r="AZ38" s="67">
        <f>AZ$5*'Eurostat Collected Portables'!AZ32</f>
        <v>571.54488289013739</v>
      </c>
    </row>
    <row r="39" spans="1:52" x14ac:dyDescent="0.35">
      <c r="A39" s="1" t="s">
        <v>30</v>
      </c>
      <c r="B39" s="23">
        <f t="shared" ref="B39:C39" si="65">C39/1.34</f>
        <v>3.0265723611171755</v>
      </c>
      <c r="C39" s="23">
        <f t="shared" si="65"/>
        <v>4.0556069638970156</v>
      </c>
      <c r="D39" s="23">
        <f t="shared" ref="D39:E39" si="66">E39/1.5</f>
        <v>5.4345133316220009</v>
      </c>
      <c r="E39" s="23">
        <f t="shared" si="66"/>
        <v>8.1517699974330018</v>
      </c>
      <c r="F39" s="23">
        <f t="shared" si="2"/>
        <v>12.227654996149504</v>
      </c>
      <c r="G39" s="23">
        <f t="shared" si="3"/>
        <v>14.917739095302395</v>
      </c>
      <c r="H39" s="23">
        <f t="shared" si="4"/>
        <v>17.602932132456825</v>
      </c>
      <c r="I39" s="23">
        <f t="shared" si="5"/>
        <v>20.947489237623621</v>
      </c>
      <c r="J39" s="23">
        <f t="shared" si="6"/>
        <v>28.279110470791888</v>
      </c>
      <c r="K39" s="23">
        <f t="shared" si="7"/>
        <v>20.926541748385997</v>
      </c>
      <c r="L39" s="23">
        <f t="shared" si="8"/>
        <v>35.156590137288475</v>
      </c>
      <c r="M39" s="4">
        <f>$M$5*'Eurostat Collected Portables'!M33</f>
        <v>46.055133079847906</v>
      </c>
      <c r="N39" s="4">
        <f>$N$5*'Eurostat Collected Portables'!N33</f>
        <v>91.708083522844746</v>
      </c>
      <c r="O39" s="4">
        <f>$O$5*'Eurostat Collected Portables'!O33</f>
        <v>76.482286254133214</v>
      </c>
      <c r="P39" s="4">
        <f>$P$5*'Eurostat Collected Portables'!P33</f>
        <v>92.064660051941132</v>
      </c>
      <c r="Q39" s="4">
        <f>$Q$5*'Eurostat Collected Portables'!Q33</f>
        <v>125.79472178887157</v>
      </c>
      <c r="R39" s="4">
        <f>$R$5*'Eurostat Collected Portables'!R33</f>
        <v>172.718616887998</v>
      </c>
      <c r="S39" s="4">
        <f>$S$5*'Eurostat Collected Portables'!S33</f>
        <v>195.29845229914699</v>
      </c>
      <c r="T39" s="4">
        <f>$T$5*'Eurostat Collected Portables'!T33</f>
        <v>208.52498066719633</v>
      </c>
      <c r="U39" s="4">
        <f>$U$5*'Eurostat Collected Portables'!U33</f>
        <v>188.58709718306389</v>
      </c>
      <c r="V39" s="4">
        <f>$V$5*'Eurostat Collected Portables'!V33</f>
        <v>142.62390963573944</v>
      </c>
      <c r="W39" s="4">
        <f>$W$5*'Eurostat Collected Portables'!W33</f>
        <v>232.54129798035609</v>
      </c>
      <c r="X39" s="67">
        <f>X$5*'Eurostat Collected Portables'!X33</f>
        <v>167.85376218038013</v>
      </c>
      <c r="Y39" s="67">
        <f>Y$5*'Eurostat Collected Portables'!Y33</f>
        <v>185.72514507470871</v>
      </c>
      <c r="Z39" s="67">
        <f>Z$5*'Eurostat Collected Portables'!Z33</f>
        <v>203.40196400329921</v>
      </c>
      <c r="AA39" s="67">
        <f>AA$5*'Eurostat Collected Portables'!AA33</f>
        <v>225.27635147858427</v>
      </c>
      <c r="AB39" s="67">
        <f>AB$5*'Eurostat Collected Portables'!AB33</f>
        <v>248.90380492637007</v>
      </c>
      <c r="AC39" s="67">
        <f>AC$5*'Eurostat Collected Portables'!AC33</f>
        <v>274.7171638698573</v>
      </c>
      <c r="AD39" s="67">
        <f>AD$5*'Eurostat Collected Portables'!AD33</f>
        <v>303.51509519133191</v>
      </c>
      <c r="AE39" s="67">
        <f>AE$5*'Eurostat Collected Portables'!AE33</f>
        <v>337.24432681128417</v>
      </c>
      <c r="AF39" s="67">
        <f>AF$5*'Eurostat Collected Portables'!AF33</f>
        <v>376.26865508306309</v>
      </c>
      <c r="AG39" s="67">
        <f>AG$5*'Eurostat Collected Portables'!AG33</f>
        <v>426.20280849028819</v>
      </c>
      <c r="AH39" s="67">
        <f>AH$5*'Eurostat Collected Portables'!AH33</f>
        <v>480.48087074780892</v>
      </c>
      <c r="AI39" s="67">
        <f>AI$5*'Eurostat Collected Portables'!AI33</f>
        <v>539.1282958085875</v>
      </c>
      <c r="AJ39" s="67">
        <f>AJ$5*'Eurostat Collected Portables'!AJ33</f>
        <v>605.11225443879698</v>
      </c>
      <c r="AK39" s="67">
        <f>AK$5*'Eurostat Collected Portables'!AK33</f>
        <v>679.38148925781411</v>
      </c>
      <c r="AL39" s="67">
        <f>AL$5*'Eurostat Collected Portables'!AL33</f>
        <v>770.13222900732455</v>
      </c>
      <c r="AM39" s="67">
        <f>AM$5*'Eurostat Collected Portables'!AM33</f>
        <v>873.27401686719611</v>
      </c>
      <c r="AN39" s="67">
        <f>AN$5*'Eurostat Collected Portables'!AN33</f>
        <v>990.53340188586105</v>
      </c>
      <c r="AO39" s="67">
        <f>AO$5*'Eurostat Collected Portables'!AO33</f>
        <v>1123.6560572369522</v>
      </c>
      <c r="AP39" s="67">
        <f>AP$5*'Eurostat Collected Portables'!AP33</f>
        <v>1273.0154168881888</v>
      </c>
      <c r="AQ39" s="67">
        <f>AQ$5*'Eurostat Collected Portables'!AQ33</f>
        <v>1430.3107234209187</v>
      </c>
      <c r="AR39" s="67">
        <f>AR$5*'Eurostat Collected Portables'!AR33</f>
        <v>1594.2833965295792</v>
      </c>
      <c r="AS39" s="67">
        <f>AS$5*'Eurostat Collected Portables'!AS33</f>
        <v>1765.240046853339</v>
      </c>
      <c r="AT39" s="67">
        <f>AT$5*'Eurostat Collected Portables'!AT33</f>
        <v>1954.373121546319</v>
      </c>
      <c r="AU39" s="67">
        <f>AU$5*'Eurostat Collected Portables'!AU33</f>
        <v>2163.6726145436328</v>
      </c>
      <c r="AV39" s="67">
        <f>AV$5*'Eurostat Collected Portables'!AV33</f>
        <v>2416.948000557768</v>
      </c>
      <c r="AW39" s="67">
        <f>AW$5*'Eurostat Collected Portables'!AW33</f>
        <v>2699.1886899298738</v>
      </c>
      <c r="AX39" s="67">
        <f>AX$5*'Eurostat Collected Portables'!AX33</f>
        <v>3013.6340775446888</v>
      </c>
      <c r="AY39" s="67">
        <f>AY$5*'Eurostat Collected Portables'!AY33</f>
        <v>3364.5583702583795</v>
      </c>
      <c r="AZ39" s="67">
        <f>AZ$5*'Eurostat Collected Portables'!AZ33</f>
        <v>3756.1800101525578</v>
      </c>
    </row>
    <row r="40" spans="1:52" x14ac:dyDescent="0.35">
      <c r="A40" s="1" t="s">
        <v>31</v>
      </c>
      <c r="B40" s="4">
        <f t="shared" ref="B40:K40" si="67">SUM(B9:B39)</f>
        <v>26.829397344248108</v>
      </c>
      <c r="C40" s="4">
        <f t="shared" si="67"/>
        <v>35.951392441292462</v>
      </c>
      <c r="D40" s="4">
        <f t="shared" si="67"/>
        <v>48.17486587133191</v>
      </c>
      <c r="E40" s="4">
        <f t="shared" si="67"/>
        <v>72.262298806997848</v>
      </c>
      <c r="F40" s="4">
        <f t="shared" si="67"/>
        <v>108.39344821049679</v>
      </c>
      <c r="G40" s="4">
        <f t="shared" si="67"/>
        <v>132.2400068168061</v>
      </c>
      <c r="H40" s="4">
        <f t="shared" si="67"/>
        <v>156.04320804383116</v>
      </c>
      <c r="I40" s="4">
        <f t="shared" si="67"/>
        <v>185.69141757215903</v>
      </c>
      <c r="J40" s="4">
        <f t="shared" si="67"/>
        <v>250.68341372241474</v>
      </c>
      <c r="K40" s="4">
        <f t="shared" si="67"/>
        <v>185.50572615458697</v>
      </c>
      <c r="L40" s="4">
        <f>SUM(L9:L39)</f>
        <v>311.6496199397061</v>
      </c>
      <c r="M40" s="4">
        <f>SUM(M9:M39)</f>
        <v>408.26100212101488</v>
      </c>
      <c r="N40" s="4">
        <f t="shared" ref="N40:W40" si="68">SUM(N9:N39)</f>
        <v>653.98878422791211</v>
      </c>
      <c r="O40" s="4">
        <f t="shared" si="68"/>
        <v>502.3567503562731</v>
      </c>
      <c r="P40" s="4">
        <f t="shared" si="68"/>
        <v>595.63436098904197</v>
      </c>
      <c r="Q40" s="4">
        <f t="shared" si="68"/>
        <v>767.76469708788375</v>
      </c>
      <c r="R40" s="4">
        <f t="shared" si="68"/>
        <v>1036.8649461287901</v>
      </c>
      <c r="S40" s="4">
        <f t="shared" si="68"/>
        <v>1173.28792348256</v>
      </c>
      <c r="T40" s="4">
        <f t="shared" si="68"/>
        <v>1309.1041209647221</v>
      </c>
      <c r="U40" s="4">
        <f t="shared" si="68"/>
        <v>1313.414092752575</v>
      </c>
      <c r="V40" s="4">
        <f t="shared" si="68"/>
        <v>978.23756991650282</v>
      </c>
      <c r="W40" s="4">
        <f t="shared" si="68"/>
        <v>1693.1694610990614</v>
      </c>
      <c r="X40" s="4">
        <f>SUM(X9:X39)</f>
        <v>1225.0080741239699</v>
      </c>
      <c r="Y40" s="4">
        <f t="shared" ref="Y40:AZ40" si="69">SUM(Y9:Y39)</f>
        <v>1348.0062679862342</v>
      </c>
      <c r="Z40" s="4">
        <f t="shared" si="69"/>
        <v>1472.9717253449826</v>
      </c>
      <c r="AA40" s="4">
        <f t="shared" si="69"/>
        <v>1627.6232301528778</v>
      </c>
      <c r="AB40" s="4">
        <f t="shared" si="69"/>
        <v>1793.7278785488093</v>
      </c>
      <c r="AC40" s="4">
        <f t="shared" si="69"/>
        <v>1974.3723562087071</v>
      </c>
      <c r="AD40" s="4">
        <f t="shared" si="69"/>
        <v>2175.4138306347299</v>
      </c>
      <c r="AE40" s="4">
        <f t="shared" si="69"/>
        <v>2411.2333895381316</v>
      </c>
      <c r="AF40" s="4">
        <f t="shared" si="69"/>
        <v>2684.1668133166672</v>
      </c>
      <c r="AG40" s="4">
        <f t="shared" si="69"/>
        <v>3033.7565787476265</v>
      </c>
      <c r="AH40" s="4">
        <f t="shared" si="69"/>
        <v>3412.7873482961049</v>
      </c>
      <c r="AI40" s="4">
        <f t="shared" si="69"/>
        <v>3821.2896882485852</v>
      </c>
      <c r="AJ40" s="4">
        <f t="shared" si="69"/>
        <v>4280.1156814108444</v>
      </c>
      <c r="AK40" s="4">
        <f t="shared" si="69"/>
        <v>4795.6890781649381</v>
      </c>
      <c r="AL40" s="4">
        <f t="shared" si="69"/>
        <v>5425.4524323063579</v>
      </c>
      <c r="AM40" s="4">
        <f t="shared" si="69"/>
        <v>6140.0194518244107</v>
      </c>
      <c r="AN40" s="4">
        <f t="shared" si="69"/>
        <v>6951.0702639628034</v>
      </c>
      <c r="AO40" s="4">
        <f t="shared" si="69"/>
        <v>7870.3262875996697</v>
      </c>
      <c r="AP40" s="4">
        <f t="shared" si="69"/>
        <v>8899.8639510084849</v>
      </c>
      <c r="AQ40" s="4">
        <f t="shared" si="69"/>
        <v>9981.1733715384635</v>
      </c>
      <c r="AR40" s="4">
        <f t="shared" si="69"/>
        <v>11105.325325842636</v>
      </c>
      <c r="AS40" s="4">
        <f t="shared" si="69"/>
        <v>12274.287969370775</v>
      </c>
      <c r="AT40" s="4">
        <f t="shared" si="69"/>
        <v>13565.652075777569</v>
      </c>
      <c r="AU40" s="4">
        <f t="shared" si="69"/>
        <v>14992.624604051109</v>
      </c>
      <c r="AV40" s="4">
        <f t="shared" si="69"/>
        <v>16719.268959361842</v>
      </c>
      <c r="AW40" s="4">
        <f t="shared" si="69"/>
        <v>18640.507396697049</v>
      </c>
      <c r="AX40" s="4">
        <f t="shared" si="69"/>
        <v>20777.815254825819</v>
      </c>
      <c r="AY40" s="4">
        <f t="shared" si="69"/>
        <v>23159.725554674998</v>
      </c>
      <c r="AZ40" s="4">
        <f t="shared" si="69"/>
        <v>25814.193330361533</v>
      </c>
    </row>
    <row r="41" spans="1:52" x14ac:dyDescent="0.35">
      <c r="A41" s="1" t="s">
        <v>68</v>
      </c>
      <c r="B41" s="45">
        <f>_xlfn.RRI(1,B40,C40)</f>
        <v>0.33999999999999986</v>
      </c>
      <c r="C41" s="45">
        <f t="shared" ref="C41:AY41" si="70">_xlfn.RRI(1,C40,D40)</f>
        <v>0.3400000000000003</v>
      </c>
      <c r="D41" s="45">
        <f t="shared" si="70"/>
        <v>0.49999999999999956</v>
      </c>
      <c r="E41" s="45">
        <f t="shared" si="70"/>
        <v>0.50000000000000022</v>
      </c>
      <c r="F41" s="45">
        <f t="shared" si="70"/>
        <v>0.2200000000000002</v>
      </c>
      <c r="G41" s="45">
        <f t="shared" si="70"/>
        <v>0.17999999999999972</v>
      </c>
      <c r="H41" s="45">
        <f t="shared" si="70"/>
        <v>0.18999999999999972</v>
      </c>
      <c r="I41" s="45">
        <f t="shared" si="70"/>
        <v>0.35000000000000031</v>
      </c>
      <c r="J41" s="45">
        <f t="shared" si="70"/>
        <v>-0.25999999999999979</v>
      </c>
      <c r="K41" s="45">
        <f t="shared" si="70"/>
        <v>0.67999999999999994</v>
      </c>
      <c r="L41" s="45">
        <f t="shared" si="70"/>
        <v>0.30999999999999961</v>
      </c>
      <c r="M41" s="45">
        <f t="shared" si="70"/>
        <v>0.60188894072733334</v>
      </c>
      <c r="N41" s="45">
        <f t="shared" si="70"/>
        <v>-0.23185723903606881</v>
      </c>
      <c r="O41" s="45">
        <f t="shared" si="70"/>
        <v>0.18568001836666093</v>
      </c>
      <c r="P41" s="45">
        <f t="shared" si="70"/>
        <v>0.28898657863361321</v>
      </c>
      <c r="Q41" s="45">
        <f t="shared" si="70"/>
        <v>0.35049833635435212</v>
      </c>
      <c r="R41" s="45">
        <f t="shared" si="70"/>
        <v>0.13157256194561784</v>
      </c>
      <c r="S41" s="45">
        <f t="shared" si="70"/>
        <v>0.11575692101136759</v>
      </c>
      <c r="T41" s="45">
        <f t="shared" si="70"/>
        <v>3.2923063328811342E-3</v>
      </c>
      <c r="U41" s="45">
        <f t="shared" si="70"/>
        <v>-0.25519485795498753</v>
      </c>
      <c r="V41" s="45">
        <f t="shared" si="70"/>
        <v>0.7308366731852074</v>
      </c>
      <c r="W41" s="45">
        <f t="shared" si="70"/>
        <v>-0.27650001829775561</v>
      </c>
      <c r="X41" s="39">
        <f t="shared" si="70"/>
        <v>0.10040602707881985</v>
      </c>
      <c r="Y41" s="39">
        <f t="shared" si="70"/>
        <v>9.2703914163123624E-2</v>
      </c>
      <c r="Z41" s="39">
        <f t="shared" si="70"/>
        <v>0.10499285366232991</v>
      </c>
      <c r="AA41" s="39">
        <f t="shared" si="70"/>
        <v>0.10205350066202334</v>
      </c>
      <c r="AB41" s="39">
        <f t="shared" si="70"/>
        <v>0.10070896473217883</v>
      </c>
      <c r="AC41" s="39">
        <f t="shared" si="70"/>
        <v>0.10182551117767535</v>
      </c>
      <c r="AD41" s="39">
        <f t="shared" si="70"/>
        <v>0.10840216035336847</v>
      </c>
      <c r="AE41" s="39">
        <f t="shared" si="70"/>
        <v>0.11319245368894615</v>
      </c>
      <c r="AF41" s="39">
        <f t="shared" si="70"/>
        <v>0.13024144538878035</v>
      </c>
      <c r="AG41" s="39">
        <f t="shared" si="70"/>
        <v>0.12493776600393791</v>
      </c>
      <c r="AH41" s="39">
        <f t="shared" si="70"/>
        <v>0.11969756631816875</v>
      </c>
      <c r="AI41" s="39">
        <f t="shared" si="70"/>
        <v>0.12007097880416207</v>
      </c>
      <c r="AJ41" s="39">
        <f t="shared" si="70"/>
        <v>0.12045781822984436</v>
      </c>
      <c r="AK41" s="39">
        <f t="shared" si="70"/>
        <v>0.13131863719205028</v>
      </c>
      <c r="AL41" s="39">
        <f t="shared" si="70"/>
        <v>0.13170643894380074</v>
      </c>
      <c r="AM41" s="39">
        <f t="shared" si="70"/>
        <v>0.1320925476705781</v>
      </c>
      <c r="AN41" s="39">
        <f t="shared" si="70"/>
        <v>0.13224668845640442</v>
      </c>
      <c r="AO41" s="39">
        <f t="shared" si="70"/>
        <v>0.13081257698692039</v>
      </c>
      <c r="AP41" s="39">
        <f t="shared" si="70"/>
        <v>0.12149729776570917</v>
      </c>
      <c r="AQ41" s="39">
        <f t="shared" si="70"/>
        <v>0.1126272345403514</v>
      </c>
      <c r="AR41" s="39">
        <f t="shared" si="70"/>
        <v>0.10526144973059948</v>
      </c>
      <c r="AS41" s="39">
        <f t="shared" si="70"/>
        <v>0.10520888133220119</v>
      </c>
      <c r="AT41" s="39">
        <f t="shared" si="70"/>
        <v>0.10519011694406499</v>
      </c>
      <c r="AU41" s="39">
        <f t="shared" si="70"/>
        <v>0.11516625013369453</v>
      </c>
      <c r="AV41" s="39">
        <f t="shared" si="70"/>
        <v>0.11491162933050503</v>
      </c>
      <c r="AW41" s="39">
        <f t="shared" si="70"/>
        <v>0.11465931761640169</v>
      </c>
      <c r="AX41" s="39">
        <f t="shared" si="70"/>
        <v>0.11463718733835404</v>
      </c>
      <c r="AY41" s="39">
        <f t="shared" si="70"/>
        <v>0.11461568356757601</v>
      </c>
      <c r="AZ41" s="2"/>
    </row>
    <row r="42" spans="1:52" x14ac:dyDescent="0.35"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52" x14ac:dyDescent="0.35">
      <c r="A43" s="24" t="s">
        <v>47</v>
      </c>
      <c r="B43" s="24"/>
      <c r="C43" s="24"/>
      <c r="D43" s="24"/>
      <c r="E43" s="24"/>
      <c r="F43" s="24"/>
      <c r="G43" s="6"/>
      <c r="H43" s="6"/>
      <c r="I43" s="6"/>
      <c r="J43" s="6"/>
      <c r="K43" s="6"/>
      <c r="L43" s="6"/>
    </row>
  </sheetData>
  <mergeCells count="1">
    <mergeCell ref="X7:AZ7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13A6-5110-41F7-A4F1-92BA038CC3A9}">
  <sheetPr>
    <tabColor theme="7" tint="0.79998168889431442"/>
  </sheetPr>
  <dimension ref="A1:AZ44"/>
  <sheetViews>
    <sheetView zoomScale="70" zoomScaleNormal="70" workbookViewId="0">
      <selection activeCell="AA56" sqref="AA56"/>
    </sheetView>
  </sheetViews>
  <sheetFormatPr baseColWidth="10" defaultRowHeight="14.5" x14ac:dyDescent="0.35"/>
  <cols>
    <col min="1" max="1" width="31" customWidth="1"/>
    <col min="2" max="11" width="10.36328125" style="6" hidden="1" customWidth="1"/>
    <col min="12" max="12" width="10.36328125" style="6" customWidth="1"/>
    <col min="13" max="22" width="11.26953125" bestFit="1" customWidth="1"/>
  </cols>
  <sheetData>
    <row r="1" spans="1:52" x14ac:dyDescent="0.35">
      <c r="A1" s="1" t="s">
        <v>66</v>
      </c>
      <c r="D1" s="26"/>
      <c r="E1" s="26"/>
      <c r="F1" s="26"/>
      <c r="G1" s="26"/>
      <c r="H1" s="26"/>
      <c r="I1" s="26"/>
      <c r="J1" s="26"/>
      <c r="K1" s="26"/>
      <c r="L1" s="26"/>
      <c r="M1" s="26" t="s">
        <v>69</v>
      </c>
      <c r="N1" s="26" t="s">
        <v>72</v>
      </c>
      <c r="O1" s="1"/>
      <c r="P1" s="1"/>
      <c r="Q1" s="1"/>
      <c r="R1" s="1"/>
      <c r="S1" s="1"/>
      <c r="T1" s="1"/>
      <c r="U1" s="1"/>
      <c r="V1" s="1"/>
    </row>
    <row r="2" spans="1:52" x14ac:dyDescent="0.35">
      <c r="A2" s="1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1"/>
      <c r="N2" s="1"/>
      <c r="O2" s="1"/>
      <c r="P2" s="1"/>
      <c r="Q2" s="1"/>
      <c r="R2" s="1"/>
      <c r="S2" s="1"/>
      <c r="T2" s="1"/>
      <c r="U2" s="1"/>
      <c r="V2" s="1"/>
    </row>
    <row r="3" spans="1:52" x14ac:dyDescent="0.35">
      <c r="A3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  <c r="Z3" s="10">
        <v>2024</v>
      </c>
      <c r="AA3" s="10">
        <v>2025</v>
      </c>
      <c r="AB3" s="10">
        <v>2026</v>
      </c>
      <c r="AC3" s="10">
        <v>2027</v>
      </c>
      <c r="AD3" s="10">
        <v>2028</v>
      </c>
      <c r="AE3" s="10">
        <v>2029</v>
      </c>
      <c r="AF3" s="10">
        <v>2030</v>
      </c>
      <c r="AG3" s="10">
        <v>2031</v>
      </c>
      <c r="AH3" s="10">
        <v>2032</v>
      </c>
      <c r="AI3" s="10">
        <v>2033</v>
      </c>
      <c r="AJ3" s="10">
        <v>2034</v>
      </c>
      <c r="AK3" s="10">
        <v>2035</v>
      </c>
      <c r="AL3" s="10">
        <v>2036</v>
      </c>
      <c r="AM3" s="10">
        <v>2037</v>
      </c>
      <c r="AN3" s="10">
        <v>2038</v>
      </c>
      <c r="AO3" s="10">
        <v>2039</v>
      </c>
      <c r="AP3" s="10">
        <v>2040</v>
      </c>
      <c r="AQ3" s="10">
        <v>2041</v>
      </c>
      <c r="AR3" s="10">
        <v>2042</v>
      </c>
      <c r="AS3" s="10">
        <v>2043</v>
      </c>
      <c r="AT3" s="10">
        <v>2044</v>
      </c>
      <c r="AU3" s="10">
        <v>2045</v>
      </c>
      <c r="AV3" s="10">
        <v>2046</v>
      </c>
      <c r="AW3" s="10">
        <v>2047</v>
      </c>
      <c r="AX3" s="10">
        <v>2048</v>
      </c>
      <c r="AY3" s="10">
        <v>2049</v>
      </c>
      <c r="AZ3" s="10">
        <v>2050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2">
        <v>6.4299293862031509E-2</v>
      </c>
      <c r="N4" s="12">
        <v>5.9196471642202465E-2</v>
      </c>
      <c r="O4" s="12">
        <v>5.3309939941966394E-2</v>
      </c>
      <c r="P4" s="12">
        <v>4.7013384830525404E-2</v>
      </c>
      <c r="Q4" s="12">
        <v>4.4591783671346856E-2</v>
      </c>
      <c r="R4" s="12">
        <v>4.0967176146329241E-2</v>
      </c>
      <c r="S4" s="12">
        <v>2.907045224100608E-2</v>
      </c>
      <c r="T4" s="12">
        <v>3.1958028547163092E-2</v>
      </c>
      <c r="U4" s="12">
        <v>5.3519320713152553E-2</v>
      </c>
      <c r="V4" s="12">
        <v>5.92863475177305E-2</v>
      </c>
      <c r="W4" s="2">
        <v>5.9778965117932681E-2</v>
      </c>
    </row>
    <row r="5" spans="1:52" x14ac:dyDescent="0.35">
      <c r="A5" s="8" t="s">
        <v>28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2">
        <v>0.11477359051425173</v>
      </c>
      <c r="N5" s="12">
        <v>0.12230416806347079</v>
      </c>
      <c r="O5" s="12">
        <v>0.12402972293583051</v>
      </c>
      <c r="P5" s="12">
        <v>0.10939857409105702</v>
      </c>
      <c r="Q5" s="12">
        <v>0.10478482446206117</v>
      </c>
      <c r="R5" s="12">
        <v>0.10077122577122577</v>
      </c>
      <c r="S5" s="12">
        <v>0.13802630442915939</v>
      </c>
      <c r="T5" s="12">
        <v>0.11368691457034555</v>
      </c>
      <c r="U5" s="13"/>
      <c r="V5" s="13"/>
    </row>
    <row r="6" spans="1:52" x14ac:dyDescent="0.35">
      <c r="A6" s="14" t="s">
        <v>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15">
        <v>6.9614943389746595E-2</v>
      </c>
      <c r="N6" s="15">
        <v>6.5875491584896181E-2</v>
      </c>
      <c r="O6" s="15">
        <v>6.0833119250852316E-2</v>
      </c>
      <c r="P6" s="15">
        <v>5.3684127329124948E-2</v>
      </c>
      <c r="Q6" s="15">
        <v>5.1039153885696048E-2</v>
      </c>
      <c r="R6" s="15">
        <v>4.7398620678878893E-2</v>
      </c>
      <c r="S6" s="15">
        <v>4.0889991716850635E-2</v>
      </c>
      <c r="T6" s="15">
        <v>4.0892278727162133E-2</v>
      </c>
      <c r="U6" s="15">
        <v>5.351932071315256E-2</v>
      </c>
      <c r="V6" s="16">
        <v>5.92863475177305E-2</v>
      </c>
      <c r="W6" s="16">
        <v>5.9778965117932688E-2</v>
      </c>
      <c r="X6" s="43">
        <f>'Weighted Average'!X21</f>
        <v>4.763090977050774E-2</v>
      </c>
      <c r="Y6" s="43">
        <f>'Weighted Average'!Y21</f>
        <v>4.6677400000000001E-2</v>
      </c>
      <c r="Z6" s="43">
        <f>'Weighted Average'!Z21</f>
        <v>4.5277077999999998E-2</v>
      </c>
      <c r="AA6" s="43">
        <f>'Weighted Average'!AA21</f>
        <v>4.3465994879999997E-2</v>
      </c>
      <c r="AB6" s="43">
        <f>'Weighted Average'!AB21</f>
        <v>4.1292695136E-2</v>
      </c>
      <c r="AC6" s="43">
        <f>'Weighted Average'!AC21</f>
        <v>3.8815133427840001E-2</v>
      </c>
      <c r="AD6" s="43">
        <f>'Weighted Average'!AD21</f>
        <v>3.6098074087891202E-2</v>
      </c>
      <c r="AE6" s="43">
        <f>'Weighted Average'!AE21</f>
        <v>3.3210228160859903E-2</v>
      </c>
      <c r="AF6" s="43">
        <f>'Weighted Average'!AF21</f>
        <v>3.0221307626382511E-2</v>
      </c>
      <c r="AG6" s="43">
        <f>'Weighted Average'!AG21</f>
        <v>2.7199176863744259E-2</v>
      </c>
      <c r="AH6" s="43">
        <f>'Weighted Average'!AH21</f>
        <v>2.4479259177369834E-2</v>
      </c>
      <c r="AI6" s="43">
        <f>'Weighted Average'!AI21</f>
        <v>2.203133325963285E-2</v>
      </c>
      <c r="AJ6" s="43">
        <f>'Weighted Average'!AJ21</f>
        <v>1.9828199933669566E-2</v>
      </c>
      <c r="AK6" s="43">
        <f>'Weighted Average'!AK21</f>
        <v>1.7845379940302608E-2</v>
      </c>
      <c r="AL6" s="43">
        <f>'Weighted Average'!AL21</f>
        <v>1.6060841946272348E-2</v>
      </c>
      <c r="AM6" s="43">
        <f>'Weighted Average'!AM21</f>
        <v>1.4454757751645113E-2</v>
      </c>
      <c r="AN6" s="43">
        <f>'Weighted Average'!AN21</f>
        <v>1.3009281976480602E-2</v>
      </c>
      <c r="AO6" s="43">
        <f>'Weighted Average'!AO21</f>
        <v>1.1708353778832541E-2</v>
      </c>
      <c r="AP6" s="43">
        <f>'Weighted Average'!AP21</f>
        <v>1.0537518400949287E-2</v>
      </c>
      <c r="AQ6" s="43">
        <f>'Weighted Average'!AQ21</f>
        <v>9.4837665608543589E-3</v>
      </c>
      <c r="AR6" s="43">
        <f>'Weighted Average'!AR21</f>
        <v>8.5353899047689238E-3</v>
      </c>
      <c r="AS6" s="43">
        <f>'Weighted Average'!AS21</f>
        <v>7.6818509142920315E-3</v>
      </c>
      <c r="AT6" s="43">
        <f>'Weighted Average'!AT21</f>
        <v>6.9136658228628285E-3</v>
      </c>
      <c r="AU6" s="43">
        <f>'Weighted Average'!AU21</f>
        <v>0</v>
      </c>
      <c r="AV6" s="43">
        <f>'Weighted Average'!AV21</f>
        <v>0</v>
      </c>
      <c r="AW6" s="43">
        <f>'Weighted Average'!AW21</f>
        <v>0</v>
      </c>
      <c r="AX6" s="43">
        <f>'Weighted Average'!AX21</f>
        <v>0</v>
      </c>
      <c r="AY6" s="43">
        <f>'Weighted Average'!AY21</f>
        <v>0</v>
      </c>
      <c r="AZ6" s="43">
        <f>'Weighted Average'!AZ21</f>
        <v>0</v>
      </c>
    </row>
    <row r="7" spans="1:52" x14ac:dyDescent="0.35">
      <c r="A7" s="1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1"/>
      <c r="N7" s="1"/>
      <c r="O7" s="1"/>
      <c r="P7" s="1"/>
      <c r="Q7" s="1"/>
      <c r="R7" s="1"/>
      <c r="S7" s="1"/>
      <c r="T7" s="1"/>
      <c r="U7" s="1"/>
      <c r="V7" s="7"/>
      <c r="X7" s="6" t="s">
        <v>78</v>
      </c>
    </row>
    <row r="8" spans="1:52" ht="14.5" customHeight="1" x14ac:dyDescent="0.35">
      <c r="A8" s="1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1"/>
      <c r="N8" s="1"/>
      <c r="O8" s="1"/>
      <c r="P8" s="1"/>
      <c r="Q8" s="1"/>
      <c r="R8" s="1"/>
      <c r="S8" s="1"/>
      <c r="T8" s="1"/>
      <c r="U8" s="1"/>
      <c r="V8" s="7"/>
      <c r="X8" s="105" t="s">
        <v>79</v>
      </c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</row>
    <row r="9" spans="1:52" x14ac:dyDescent="0.35">
      <c r="A9" s="1"/>
      <c r="B9" s="1">
        <v>2000</v>
      </c>
      <c r="C9" s="1">
        <v>2001</v>
      </c>
      <c r="D9" s="1">
        <v>2002</v>
      </c>
      <c r="E9" s="1">
        <v>2003</v>
      </c>
      <c r="F9" s="1">
        <v>2004</v>
      </c>
      <c r="G9" s="1">
        <v>2005</v>
      </c>
      <c r="H9" s="1">
        <v>2006</v>
      </c>
      <c r="I9" s="1">
        <v>2007</v>
      </c>
      <c r="J9" s="1">
        <v>2008</v>
      </c>
      <c r="K9" s="1">
        <v>2009</v>
      </c>
      <c r="L9" s="1">
        <v>2010</v>
      </c>
      <c r="M9" s="1">
        <v>2011</v>
      </c>
      <c r="N9" s="1">
        <v>2012</v>
      </c>
      <c r="O9" s="1">
        <v>2013</v>
      </c>
      <c r="P9" s="1">
        <v>2014</v>
      </c>
      <c r="Q9" s="1">
        <v>2015</v>
      </c>
      <c r="R9" s="1">
        <v>2016</v>
      </c>
      <c r="S9" s="1">
        <v>2017</v>
      </c>
      <c r="T9" s="1">
        <v>2018</v>
      </c>
      <c r="U9" s="1">
        <v>2019</v>
      </c>
      <c r="V9" s="1">
        <v>2020</v>
      </c>
      <c r="W9" s="1">
        <v>2021</v>
      </c>
      <c r="X9" s="47">
        <v>2022</v>
      </c>
      <c r="Y9" s="47">
        <v>2023</v>
      </c>
      <c r="Z9" s="47">
        <v>2024</v>
      </c>
      <c r="AA9" s="47">
        <v>2025</v>
      </c>
      <c r="AB9" s="47">
        <v>2026</v>
      </c>
      <c r="AC9" s="47">
        <v>2027</v>
      </c>
      <c r="AD9" s="47">
        <v>2028</v>
      </c>
      <c r="AE9" s="47">
        <v>2029</v>
      </c>
      <c r="AF9" s="47">
        <v>2030</v>
      </c>
      <c r="AG9" s="47">
        <v>2031</v>
      </c>
      <c r="AH9" s="47">
        <v>2032</v>
      </c>
      <c r="AI9" s="47">
        <v>2033</v>
      </c>
      <c r="AJ9" s="47">
        <v>2034</v>
      </c>
      <c r="AK9" s="47">
        <v>2035</v>
      </c>
      <c r="AL9" s="47">
        <v>2036</v>
      </c>
      <c r="AM9" s="47">
        <v>2037</v>
      </c>
      <c r="AN9" s="47">
        <v>2038</v>
      </c>
      <c r="AO9" s="47">
        <v>2039</v>
      </c>
      <c r="AP9" s="47">
        <v>2040</v>
      </c>
      <c r="AQ9" s="47">
        <v>2041</v>
      </c>
      <c r="AR9" s="47">
        <v>2042</v>
      </c>
      <c r="AS9" s="47">
        <v>2043</v>
      </c>
      <c r="AT9" s="47">
        <v>2044</v>
      </c>
      <c r="AU9" s="47">
        <v>2045</v>
      </c>
      <c r="AV9" s="47">
        <v>2046</v>
      </c>
      <c r="AW9" s="47">
        <v>2047</v>
      </c>
      <c r="AX9" s="47">
        <v>2048</v>
      </c>
      <c r="AY9" s="47">
        <v>2049</v>
      </c>
      <c r="AZ9" s="47">
        <v>2050</v>
      </c>
    </row>
    <row r="10" spans="1:52" x14ac:dyDescent="0.35">
      <c r="A10" s="1" t="s">
        <v>0</v>
      </c>
      <c r="B10" s="23">
        <f t="shared" ref="B10:K10" si="0">C10/1.02</f>
        <v>97.308405678410224</v>
      </c>
      <c r="C10" s="23">
        <f t="shared" si="0"/>
        <v>99.25457379197843</v>
      </c>
      <c r="D10" s="23">
        <f t="shared" si="0"/>
        <v>101.239665267818</v>
      </c>
      <c r="E10" s="23">
        <f t="shared" si="0"/>
        <v>103.26445857317437</v>
      </c>
      <c r="F10" s="23">
        <f t="shared" si="0"/>
        <v>105.32974774463786</v>
      </c>
      <c r="G10" s="23">
        <f t="shared" si="0"/>
        <v>107.43634269953061</v>
      </c>
      <c r="H10" s="23">
        <f t="shared" si="0"/>
        <v>109.58506955352122</v>
      </c>
      <c r="I10" s="23">
        <f t="shared" si="0"/>
        <v>111.77677094459165</v>
      </c>
      <c r="J10" s="23">
        <f t="shared" si="0"/>
        <v>114.01230636348348</v>
      </c>
      <c r="K10" s="23">
        <f t="shared" si="0"/>
        <v>116.29255249075315</v>
      </c>
      <c r="L10" s="23">
        <f>M10/1.02</f>
        <v>118.61840354056822</v>
      </c>
      <c r="M10" s="4">
        <f>$M$6*'Eurostat Collected Portables'!M3</f>
        <v>120.99077161137959</v>
      </c>
      <c r="N10" s="4">
        <f>$N$6*'Eurostat Collected Portables'!N3</f>
        <v>125.75631343556681</v>
      </c>
      <c r="O10" s="4">
        <f>$O$6*'Eurostat Collected Portables'!O3</f>
        <v>120.20624363968417</v>
      </c>
      <c r="P10" s="4">
        <f>$P$6*'Eurostat Collected Portables'!P3</f>
        <v>112.57561500917501</v>
      </c>
      <c r="Q10" s="4">
        <f>$Q$6*'Eurostat Collected Portables'!Q3</f>
        <v>117.33901478321522</v>
      </c>
      <c r="R10" s="4">
        <f>$R$6*'Eurostat Collected Portables'!R3</f>
        <v>103.70818204538702</v>
      </c>
      <c r="S10" s="4">
        <f>$S$6*'Eurostat Collected Portables'!S3</f>
        <v>86.564112464572787</v>
      </c>
      <c r="T10" s="4">
        <f>$T$6*'Eurostat Collected Portables'!T3</f>
        <v>92.825472710658048</v>
      </c>
      <c r="U10" s="4">
        <f>$U$6*'Eurostat Collected Portables'!U3</f>
        <v>127.16190601445048</v>
      </c>
      <c r="V10" s="4">
        <f>$V$6*'Eurostat Collected Portables'!V3</f>
        <v>167.72107712765958</v>
      </c>
      <c r="W10" s="4">
        <f>$W$6*'Eurostat Collected Portables'!W3</f>
        <v>165.58773337667355</v>
      </c>
      <c r="X10" s="48">
        <f>X$6*'Eurostat Collected Portables'!X3</f>
        <v>137.9390583205205</v>
      </c>
      <c r="Y10" s="48">
        <f>Y$6*'Eurostat Collected Portables'!Y3</f>
        <v>138.81366006378434</v>
      </c>
      <c r="Z10" s="48">
        <f>Z$6*'Eurostat Collected Portables'!Z3</f>
        <v>141.73761481656555</v>
      </c>
      <c r="AA10" s="48">
        <f>AA$6*'Eurostat Collected Portables'!AA3</f>
        <v>143.47004283631304</v>
      </c>
      <c r="AB10" s="48">
        <f>AB$6*'Eurostat Collected Portables'!AB3</f>
        <v>143.3668328674423</v>
      </c>
      <c r="AC10" s="48">
        <f>AC$6*'Eurostat Collected Portables'!AC3</f>
        <v>141.60615567956171</v>
      </c>
      <c r="AD10" s="48">
        <f>AD$6*'Eurostat Collected Portables'!AD3</f>
        <v>138.5205505291286</v>
      </c>
      <c r="AE10" s="48">
        <f>AE$6*'Eurostat Collected Portables'!AE3</f>
        <v>134.81065414256966</v>
      </c>
      <c r="AF10" s="48">
        <f>AF$6*'Eurostat Collected Portables'!AF3</f>
        <v>130.31065213945004</v>
      </c>
      <c r="AG10" s="48">
        <f>AG$6*'Eurostat Collected Portables'!AG3</f>
        <v>124.11096206073528</v>
      </c>
      <c r="AH10" s="48">
        <f>AH$6*'Eurostat Collected Portables'!AH3</f>
        <v>117.64807096620864</v>
      </c>
      <c r="AI10" s="48">
        <f>AI$6*'Eurostat Collected Portables'!AI3</f>
        <v>110.99886513021237</v>
      </c>
      <c r="AJ10" s="48">
        <f>AJ$6*'Eurostat Collected Portables'!AJ3</f>
        <v>104.75694181625457</v>
      </c>
      <c r="AK10" s="48">
        <f>AK$6*'Eurostat Collected Portables'!AK3</f>
        <v>98.897130740230708</v>
      </c>
      <c r="AL10" s="48">
        <f>AL$6*'Eurostat Collected Portables'!AL3</f>
        <v>93.39443790707341</v>
      </c>
      <c r="AM10" s="48">
        <f>AM$6*'Eurostat Collected Portables'!AM3</f>
        <v>88.225576029232442</v>
      </c>
      <c r="AN10" s="48">
        <f>AN$6*'Eurostat Collected Portables'!AN3</f>
        <v>83.36884520215493</v>
      </c>
      <c r="AO10" s="48">
        <f>AO$6*'Eurostat Collected Portables'!AO3</f>
        <v>78.788191806696219</v>
      </c>
      <c r="AP10" s="48">
        <f>AP$6*'Eurostat Collected Portables'!AP3</f>
        <v>74.362980459642273</v>
      </c>
      <c r="AQ10" s="48">
        <f>AQ$6*'Eurostat Collected Portables'!AQ3</f>
        <v>69.606718093485995</v>
      </c>
      <c r="AR10" s="48">
        <f>AR$6*'Eurostat Collected Portables'!AR3</f>
        <v>64.637732520918647</v>
      </c>
      <c r="AS10" s="48">
        <f>AS$6*'Eurostat Collected Portables'!AS3</f>
        <v>59.624715279347377</v>
      </c>
      <c r="AT10" s="48">
        <f>AT$6*'Eurostat Collected Portables'!AT3</f>
        <v>54.996374173304012</v>
      </c>
      <c r="AU10" s="48">
        <f>AU$6*'Eurostat Collected Portables'!AU3</f>
        <v>0</v>
      </c>
      <c r="AV10" s="48">
        <f>AV$6*'Eurostat Collected Portables'!AV3</f>
        <v>0</v>
      </c>
      <c r="AW10" s="48">
        <f>AW$6*'Eurostat Collected Portables'!AW3</f>
        <v>0</v>
      </c>
      <c r="AX10" s="48">
        <f>AX$6*'Eurostat Collected Portables'!AX3</f>
        <v>0</v>
      </c>
      <c r="AY10" s="48">
        <f>AY$6*'Eurostat Collected Portables'!AY3</f>
        <v>0</v>
      </c>
      <c r="AZ10" s="48">
        <f>AZ$6*'Eurostat Collected Portables'!AZ3</f>
        <v>0</v>
      </c>
    </row>
    <row r="11" spans="1:52" x14ac:dyDescent="0.35">
      <c r="A11" s="1" t="s">
        <v>1</v>
      </c>
      <c r="B11" s="23">
        <f t="shared" ref="B11:B40" si="1">C11/1.02</f>
        <v>124.79887011345016</v>
      </c>
      <c r="C11" s="23">
        <f t="shared" ref="C11:C40" si="2">D11/1.02</f>
        <v>127.29484751571917</v>
      </c>
      <c r="D11" s="23">
        <f t="shared" ref="D11:D40" si="3">E11/1.02</f>
        <v>129.84074446603356</v>
      </c>
      <c r="E11" s="23">
        <f t="shared" ref="E11:E40" si="4">F11/1.02</f>
        <v>132.43755935535424</v>
      </c>
      <c r="F11" s="23">
        <f t="shared" ref="F11:F40" si="5">G11/1.02</f>
        <v>135.08631054246132</v>
      </c>
      <c r="G11" s="23">
        <f t="shared" ref="G11:G40" si="6">H11/1.02</f>
        <v>137.78803675331054</v>
      </c>
      <c r="H11" s="23">
        <f t="shared" ref="H11:H40" si="7">I11/1.02</f>
        <v>140.54379748837675</v>
      </c>
      <c r="I11" s="23">
        <f t="shared" ref="I11:I40" si="8">J11/1.02</f>
        <v>143.35467343814429</v>
      </c>
      <c r="J11" s="23">
        <f t="shared" ref="J11:J40" si="9">K11/1.02</f>
        <v>146.22176690690716</v>
      </c>
      <c r="K11" s="23">
        <f t="shared" ref="K11:K40" si="10">L11/1.02</f>
        <v>149.14620224504532</v>
      </c>
      <c r="L11" s="23">
        <f t="shared" ref="L11:L40" si="11">M11/1.02</f>
        <v>152.12912628994621</v>
      </c>
      <c r="M11" s="4">
        <f>$M$6*'Eurostat Collected Portables'!M4</f>
        <v>155.17170881574515</v>
      </c>
      <c r="N11" s="4">
        <f>$N$6*'Eurostat Collected Portables'!N4</f>
        <v>149.73499237246901</v>
      </c>
      <c r="O11" s="4">
        <f>$O$6*'Eurostat Collected Portables'!O4</f>
        <v>139.79450803845862</v>
      </c>
      <c r="P11" s="4">
        <f>$P$6*'Eurostat Collected Portables'!P4</f>
        <v>125.78191033213976</v>
      </c>
      <c r="Q11" s="4">
        <f>$Q$6*'Eurostat Collected Portables'!Q4</f>
        <v>124.43345717332697</v>
      </c>
      <c r="R11" s="4">
        <f>$R$6*'Eurostat Collected Portables'!R4</f>
        <v>149.44785100050515</v>
      </c>
      <c r="S11" s="4">
        <f>$S$6*'Eurostat Collected Portables'!S4</f>
        <v>115.02354669950084</v>
      </c>
      <c r="T11" s="4">
        <f>$T$6*'Eurostat Collected Portables'!T4</f>
        <v>120.01883806422086</v>
      </c>
      <c r="U11" s="4">
        <f>$U$6*'Eurostat Collected Portables'!U4</f>
        <v>181.16290061402142</v>
      </c>
      <c r="V11" s="4">
        <f>$V$6*'Eurostat Collected Portables'!V4</f>
        <v>186.69270833333334</v>
      </c>
      <c r="W11" s="4">
        <f>$W$6*'Eurostat Collected Portables'!W4</f>
        <v>202.77024968002769</v>
      </c>
      <c r="X11" s="48">
        <f>X$6*'Eurostat Collected Portables'!X4</f>
        <v>171.72937231687655</v>
      </c>
      <c r="Y11" s="48">
        <f>Y$6*'Eurostat Collected Portables'!Y4</f>
        <v>178.90278197324523</v>
      </c>
      <c r="Z11" s="48">
        <f>Z$6*'Eurostat Collected Portables'!Z4</f>
        <v>180.84644225979687</v>
      </c>
      <c r="AA11" s="48">
        <f>AA$6*'Eurostat Collected Portables'!AA4</f>
        <v>181.24859744147656</v>
      </c>
      <c r="AB11" s="48">
        <f>AB$6*'Eurostat Collected Portables'!AB4</f>
        <v>179.34872522431618</v>
      </c>
      <c r="AC11" s="48">
        <f>AC$6*'Eurostat Collected Portables'!AC4</f>
        <v>175.4343066505042</v>
      </c>
      <c r="AD11" s="48">
        <f>AD$6*'Eurostat Collected Portables'!AD4</f>
        <v>169.97108523200123</v>
      </c>
      <c r="AE11" s="48">
        <f>AE$6*'Eurostat Collected Portables'!AE4</f>
        <v>163.85444640751103</v>
      </c>
      <c r="AF11" s="48">
        <f>AF$6*'Eurostat Collected Portables'!AF4</f>
        <v>156.90288935277798</v>
      </c>
      <c r="AG11" s="48">
        <f>AG$6*'Eurostat Collected Portables'!AG4</f>
        <v>148.05433640285605</v>
      </c>
      <c r="AH11" s="48">
        <f>AH$6*'Eurostat Collected Portables'!AH4</f>
        <v>139.05860878202904</v>
      </c>
      <c r="AI11" s="48">
        <f>AI$6*'Eurostat Collected Portables'!AI4</f>
        <v>130.00946717214509</v>
      </c>
      <c r="AJ11" s="48">
        <f>AJ$6*'Eurostat Collected Portables'!AJ4</f>
        <v>121.59707113278181</v>
      </c>
      <c r="AK11" s="48">
        <f>AK$6*'Eurostat Collected Portables'!AK4</f>
        <v>113.77519145268012</v>
      </c>
      <c r="AL11" s="48">
        <f>AL$6*'Eurostat Collected Portables'!AL4</f>
        <v>106.49946848856926</v>
      </c>
      <c r="AM11" s="48">
        <f>AM$6*'Eurostat Collected Portables'!AM4</f>
        <v>99.729055666863133</v>
      </c>
      <c r="AN11" s="48">
        <f>AN$6*'Eurostat Collected Portables'!AN4</f>
        <v>93.426329489857267</v>
      </c>
      <c r="AO11" s="48">
        <f>AO$6*'Eurostat Collected Portables'!AO4</f>
        <v>87.539035902722176</v>
      </c>
      <c r="AP11" s="48">
        <f>AP$6*'Eurostat Collected Portables'!AP4</f>
        <v>81.923536811780494</v>
      </c>
      <c r="AQ11" s="48">
        <f>AQ$6*'Eurostat Collected Portables'!AQ4</f>
        <v>76.041354247095811</v>
      </c>
      <c r="AR11" s="48">
        <f>AR$6*'Eurostat Collected Portables'!AR4</f>
        <v>70.027148199455922</v>
      </c>
      <c r="AS11" s="48">
        <f>AS$6*'Eurostat Collected Portables'!AS4</f>
        <v>64.065250659394906</v>
      </c>
      <c r="AT11" s="48">
        <f>AT$6*'Eurostat Collected Portables'!AT4</f>
        <v>58.611089119542605</v>
      </c>
      <c r="AU11" s="48">
        <f>AU$6*'Eurostat Collected Portables'!AU4</f>
        <v>0</v>
      </c>
      <c r="AV11" s="48">
        <f>AV$6*'Eurostat Collected Portables'!AV4</f>
        <v>0</v>
      </c>
      <c r="AW11" s="48">
        <f>AW$6*'Eurostat Collected Portables'!AW4</f>
        <v>0</v>
      </c>
      <c r="AX11" s="48">
        <f>AX$6*'Eurostat Collected Portables'!AX4</f>
        <v>0</v>
      </c>
      <c r="AY11" s="48">
        <f>AY$6*'Eurostat Collected Portables'!AY4</f>
        <v>0</v>
      </c>
      <c r="AZ11" s="48">
        <f>AZ$6*'Eurostat Collected Portables'!AZ4</f>
        <v>0</v>
      </c>
    </row>
    <row r="12" spans="1:52" x14ac:dyDescent="0.35">
      <c r="A12" s="1" t="s">
        <v>2</v>
      </c>
      <c r="B12" s="23">
        <f t="shared" si="1"/>
        <v>6.0467824011900468</v>
      </c>
      <c r="C12" s="23">
        <f t="shared" si="2"/>
        <v>6.1677180492138479</v>
      </c>
      <c r="D12" s="23">
        <f t="shared" si="3"/>
        <v>6.291072410198125</v>
      </c>
      <c r="E12" s="23">
        <f t="shared" si="4"/>
        <v>6.416893858402088</v>
      </c>
      <c r="F12" s="23">
        <f t="shared" si="5"/>
        <v>6.5452317355701295</v>
      </c>
      <c r="G12" s="23">
        <f t="shared" si="6"/>
        <v>6.6761363702815322</v>
      </c>
      <c r="H12" s="23">
        <f t="shared" si="7"/>
        <v>6.8096590976871632</v>
      </c>
      <c r="I12" s="23">
        <f t="shared" si="8"/>
        <v>6.9458522796409063</v>
      </c>
      <c r="J12" s="23">
        <f t="shared" si="9"/>
        <v>7.0847693252337249</v>
      </c>
      <c r="K12" s="23">
        <f t="shared" si="10"/>
        <v>7.2264647117383998</v>
      </c>
      <c r="L12" s="23">
        <f t="shared" si="11"/>
        <v>7.3709940059731682</v>
      </c>
      <c r="M12" s="4">
        <f>$M$6*'Eurostat Collected Portables'!M5</f>
        <v>7.5184138860926319</v>
      </c>
      <c r="N12" s="4">
        <f>$N$6*'Eurostat Collected Portables'!N5</f>
        <v>17.193503303657902</v>
      </c>
      <c r="O12" s="4">
        <f>$O$6*'Eurostat Collected Portables'!O5</f>
        <v>15.025780454960522</v>
      </c>
      <c r="P12" s="4">
        <f>$P$6*'Eurostat Collected Portables'!P5</f>
        <v>16.26629058072486</v>
      </c>
      <c r="Q12" s="4">
        <f>$Q$6*'Eurostat Collected Portables'!Q5</f>
        <v>16.434607551194127</v>
      </c>
      <c r="R12" s="4">
        <f>$R$6*'Eurostat Collected Portables'!R5</f>
        <v>17.15830068575416</v>
      </c>
      <c r="S12" s="4">
        <f>$S$6*'Eurostat Collected Portables'!S5</f>
        <v>15.865316786138047</v>
      </c>
      <c r="T12" s="4">
        <f>$T$6*'Eurostat Collected Portables'!T5</f>
        <v>16.438696048319176</v>
      </c>
      <c r="U12" s="4">
        <f>$U$6*'Eurostat Collected Portables'!U5</f>
        <v>20.979573719555802</v>
      </c>
      <c r="V12" s="4">
        <f>$V$6*'Eurostat Collected Portables'!V5</f>
        <v>24.188829787234045</v>
      </c>
      <c r="W12" s="4">
        <f>$W$6*'Eurostat Collected Portables'!W5</f>
        <v>26.780976372833845</v>
      </c>
      <c r="X12" s="48">
        <f>X$6*'Eurostat Collected Portables'!X5</f>
        <v>22.297185747567593</v>
      </c>
      <c r="Y12" s="48">
        <f>Y$6*'Eurostat Collected Portables'!Y5</f>
        <v>23.136891067837205</v>
      </c>
      <c r="Z12" s="48">
        <f>Z$6*'Eurostat Collected Portables'!Z5</f>
        <v>23.601094798885505</v>
      </c>
      <c r="AA12" s="48">
        <f>AA$6*'Eurostat Collected Portables'!AA5</f>
        <v>23.86662530539833</v>
      </c>
      <c r="AB12" s="48">
        <f>AB$6*'Eurostat Collected Portables'!AB5</f>
        <v>23.827007823773648</v>
      </c>
      <c r="AC12" s="48">
        <f>AC$6*'Eurostat Collected Portables'!AC5</f>
        <v>23.51267309139039</v>
      </c>
      <c r="AD12" s="48">
        <f>AD$6*'Eurostat Collected Portables'!AD5</f>
        <v>22.979518905413716</v>
      </c>
      <c r="AE12" s="48">
        <f>AE$6*'Eurostat Collected Portables'!AE5</f>
        <v>22.344228181630104</v>
      </c>
      <c r="AF12" s="48">
        <f>AF$6*'Eurostat Collected Portables'!AF5</f>
        <v>21.579572164289814</v>
      </c>
      <c r="AG12" s="48">
        <f>AG$6*'Eurostat Collected Portables'!AG5</f>
        <v>20.535343292863981</v>
      </c>
      <c r="AH12" s="48">
        <f>AH$6*'Eurostat Collected Portables'!AH5</f>
        <v>19.449681413047504</v>
      </c>
      <c r="AI12" s="48">
        <f>AI$6*'Eurostat Collected Portables'!AI5</f>
        <v>18.33533399286928</v>
      </c>
      <c r="AJ12" s="48">
        <f>AJ$6*'Eurostat Collected Portables'!AJ5</f>
        <v>17.290289596072039</v>
      </c>
      <c r="AK12" s="48">
        <f>AK$6*'Eurostat Collected Portables'!AK5</f>
        <v>16.310178001441379</v>
      </c>
      <c r="AL12" s="48">
        <f>AL$6*'Eurostat Collected Portables'!AL5</f>
        <v>15.390679206465862</v>
      </c>
      <c r="AM12" s="48">
        <f>AM$6*'Eurostat Collected Portables'!AM5</f>
        <v>14.527774338697345</v>
      </c>
      <c r="AN12" s="48">
        <f>AN$6*'Eurostat Collected Portables'!AN5</f>
        <v>13.717724039246074</v>
      </c>
      <c r="AO12" s="48">
        <f>AO$6*'Eurostat Collected Portables'!AO5</f>
        <v>12.954445607750227</v>
      </c>
      <c r="AP12" s="48">
        <f>AP$6*'Eurostat Collected Portables'!AP5</f>
        <v>12.217982195922479</v>
      </c>
      <c r="AQ12" s="48">
        <f>AQ$6*'Eurostat Collected Portables'!AQ5</f>
        <v>11.428370043895935</v>
      </c>
      <c r="AR12" s="48">
        <f>AR$6*'Eurostat Collected Portables'!AR5</f>
        <v>10.605105213595914</v>
      </c>
      <c r="AS12" s="48">
        <f>AS$6*'Eurostat Collected Portables'!AS5</f>
        <v>9.7758848887612846</v>
      </c>
      <c r="AT12" s="48">
        <f>AT$6*'Eurostat Collected Portables'!AT5</f>
        <v>9.0109326091376296</v>
      </c>
      <c r="AU12" s="48">
        <f>AU$6*'Eurostat Collected Portables'!AU5</f>
        <v>0</v>
      </c>
      <c r="AV12" s="48">
        <f>AV$6*'Eurostat Collected Portables'!AV5</f>
        <v>0</v>
      </c>
      <c r="AW12" s="48">
        <f>AW$6*'Eurostat Collected Portables'!AW5</f>
        <v>0</v>
      </c>
      <c r="AX12" s="48">
        <f>AX$6*'Eurostat Collected Portables'!AX5</f>
        <v>0</v>
      </c>
      <c r="AY12" s="48">
        <f>AY$6*'Eurostat Collected Portables'!AY5</f>
        <v>0</v>
      </c>
      <c r="AZ12" s="48">
        <f>AZ$6*'Eurostat Collected Portables'!AZ5</f>
        <v>0</v>
      </c>
    </row>
    <row r="13" spans="1:52" x14ac:dyDescent="0.35">
      <c r="A13" s="1" t="s">
        <v>3</v>
      </c>
      <c r="B13" s="23">
        <f t="shared" si="1"/>
        <v>3.7607620760505949</v>
      </c>
      <c r="C13" s="23">
        <f t="shared" si="2"/>
        <v>3.835977317571607</v>
      </c>
      <c r="D13" s="23">
        <f t="shared" si="3"/>
        <v>3.9126968639230393</v>
      </c>
      <c r="E13" s="23">
        <f t="shared" si="4"/>
        <v>3.9909508012015</v>
      </c>
      <c r="F13" s="23">
        <f t="shared" si="5"/>
        <v>4.0707698172255302</v>
      </c>
      <c r="G13" s="23">
        <f t="shared" si="6"/>
        <v>4.152185213570041</v>
      </c>
      <c r="H13" s="23">
        <f t="shared" si="7"/>
        <v>4.2352289178414422</v>
      </c>
      <c r="I13" s="23">
        <f t="shared" si="8"/>
        <v>4.3199334961982707</v>
      </c>
      <c r="J13" s="23">
        <f t="shared" si="9"/>
        <v>4.4063321661222359</v>
      </c>
      <c r="K13" s="23">
        <f t="shared" si="10"/>
        <v>4.4944588094446809</v>
      </c>
      <c r="L13" s="23">
        <f t="shared" si="11"/>
        <v>4.5843479856335749</v>
      </c>
      <c r="M13" s="4">
        <f>$M$6*'Eurostat Collected Portables'!M6</f>
        <v>4.6760349453462462</v>
      </c>
      <c r="N13" s="4">
        <f>$N$6*'Eurostat Collected Portables'!N6</f>
        <v>4.70671933858429</v>
      </c>
      <c r="O13" s="4">
        <f>$O$6*'Eurostat Collected Portables'!O6</f>
        <v>4.6233170630647757</v>
      </c>
      <c r="P13" s="4">
        <f>$P$6*'Eurostat Collected Portables'!P6</f>
        <v>3.8652571676969965</v>
      </c>
      <c r="Q13" s="4">
        <f>$Q$6*'Eurostat Collected Portables'!Q6</f>
        <v>5.0018370807982127</v>
      </c>
      <c r="R13" s="4">
        <f>$R$6*'Eurostat Collected Portables'!R6</f>
        <v>15.973335168782187</v>
      </c>
      <c r="S13" s="4">
        <f>$S$6*'Eurostat Collected Portables'!S6</f>
        <v>19.463636057220903</v>
      </c>
      <c r="T13" s="4">
        <f>$T$6*'Eurostat Collected Portables'!T6</f>
        <v>21.46844633176012</v>
      </c>
      <c r="U13" s="4">
        <f>$U$6*'Eurostat Collected Portables'!U6</f>
        <v>34.841077784262318</v>
      </c>
      <c r="V13" s="4">
        <f>$V$6*'Eurostat Collected Portables'!V6</f>
        <v>35.334663120567377</v>
      </c>
      <c r="W13" s="4">
        <f>$W$6*'Eurostat Collected Portables'!W6</f>
        <v>44.057097291916392</v>
      </c>
      <c r="X13" s="48">
        <f>X$6*'Eurostat Collected Portables'!X6</f>
        <v>37.261846816866658</v>
      </c>
      <c r="Y13" s="48">
        <f>Y$6*'Eurostat Collected Portables'!Y6</f>
        <v>37.47462666290965</v>
      </c>
      <c r="Z13" s="48">
        <f>Z$6*'Eurostat Collected Portables'!Z6</f>
        <v>37.858469511449961</v>
      </c>
      <c r="AA13" s="48">
        <f>AA$6*'Eurostat Collected Portables'!AA6</f>
        <v>37.919339577818228</v>
      </c>
      <c r="AB13" s="48">
        <f>AB$6*'Eurostat Collected Portables'!AB6</f>
        <v>37.498819440560304</v>
      </c>
      <c r="AC13" s="48">
        <f>AC$6*'Eurostat Collected Portables'!AC6</f>
        <v>36.657866095983387</v>
      </c>
      <c r="AD13" s="48">
        <f>AD$6*'Eurostat Collected Portables'!AD6</f>
        <v>35.494512950188437</v>
      </c>
      <c r="AE13" s="48">
        <f>AE$6*'Eurostat Collected Portables'!AE6</f>
        <v>34.196218753185384</v>
      </c>
      <c r="AF13" s="48">
        <f>AF$6*'Eurostat Collected Portables'!AF6</f>
        <v>32.725375733786208</v>
      </c>
      <c r="AG13" s="48">
        <f>AG$6*'Eurostat Collected Portables'!AG6</f>
        <v>30.860917982470838</v>
      </c>
      <c r="AH13" s="48">
        <f>AH$6*'Eurostat Collected Portables'!AH6</f>
        <v>28.968083196094476</v>
      </c>
      <c r="AI13" s="48">
        <f>AI$6*'Eurostat Collected Portables'!AI6</f>
        <v>27.066443307317201</v>
      </c>
      <c r="AJ13" s="48">
        <f>AJ$6*'Eurostat Collected Portables'!AJ6</f>
        <v>25.299609756968561</v>
      </c>
      <c r="AK13" s="48">
        <f>AK$6*'Eurostat Collected Portables'!AK6</f>
        <v>23.657722909862255</v>
      </c>
      <c r="AL13" s="48">
        <f>AL$6*'Eurostat Collected Portables'!AL6</f>
        <v>22.131335713947923</v>
      </c>
      <c r="AM13" s="48">
        <f>AM$6*'Eurostat Collected Portables'!AM6</f>
        <v>20.711753764667545</v>
      </c>
      <c r="AN13" s="48">
        <f>AN$6*'Eurostat Collected Portables'!AN6</f>
        <v>19.390972821362833</v>
      </c>
      <c r="AO13" s="48">
        <f>AO$6*'Eurostat Collected Portables'!AO6</f>
        <v>18.157973376356153</v>
      </c>
      <c r="AP13" s="48">
        <f>AP$6*'Eurostat Collected Portables'!AP6</f>
        <v>16.982818773368937</v>
      </c>
      <c r="AQ13" s="48">
        <f>AQ$6*'Eurostat Collected Portables'!AQ6</f>
        <v>15.753844397579339</v>
      </c>
      <c r="AR13" s="48">
        <f>AR$6*'Eurostat Collected Portables'!AR6</f>
        <v>14.499029621563338</v>
      </c>
      <c r="AS13" s="48">
        <f>AS$6*'Eurostat Collected Portables'!AS6</f>
        <v>13.256564064245143</v>
      </c>
      <c r="AT13" s="48">
        <f>AT$6*'Eurostat Collected Portables'!AT6</f>
        <v>12.120606329745904</v>
      </c>
      <c r="AU13" s="48">
        <f>AU$6*'Eurostat Collected Portables'!AU6</f>
        <v>0</v>
      </c>
      <c r="AV13" s="48">
        <f>AV$6*'Eurostat Collected Portables'!AV6</f>
        <v>0</v>
      </c>
      <c r="AW13" s="48">
        <f>AW$6*'Eurostat Collected Portables'!AW6</f>
        <v>0</v>
      </c>
      <c r="AX13" s="48">
        <f>AX$6*'Eurostat Collected Portables'!AX6</f>
        <v>0</v>
      </c>
      <c r="AY13" s="48">
        <f>AY$6*'Eurostat Collected Portables'!AY6</f>
        <v>0</v>
      </c>
      <c r="AZ13" s="48">
        <f>AZ$6*'Eurostat Collected Portables'!AZ6</f>
        <v>0</v>
      </c>
    </row>
    <row r="14" spans="1:52" x14ac:dyDescent="0.35">
      <c r="A14" s="1" t="s">
        <v>4</v>
      </c>
      <c r="B14" s="23">
        <f t="shared" si="1"/>
        <v>1.8476279559191808</v>
      </c>
      <c r="C14" s="23">
        <f t="shared" si="2"/>
        <v>1.8845805150375645</v>
      </c>
      <c r="D14" s="23">
        <f t="shared" si="3"/>
        <v>1.9222721253383159</v>
      </c>
      <c r="E14" s="23">
        <f t="shared" si="4"/>
        <v>1.9607175678450823</v>
      </c>
      <c r="F14" s="23">
        <f t="shared" si="5"/>
        <v>1.999931919201984</v>
      </c>
      <c r="G14" s="23">
        <f t="shared" si="6"/>
        <v>2.0399305575860236</v>
      </c>
      <c r="H14" s="23">
        <f t="shared" si="7"/>
        <v>2.0807291687377441</v>
      </c>
      <c r="I14" s="23">
        <f t="shared" si="8"/>
        <v>2.1223437521124988</v>
      </c>
      <c r="J14" s="23">
        <f t="shared" si="9"/>
        <v>2.164790627154749</v>
      </c>
      <c r="K14" s="23">
        <f t="shared" si="10"/>
        <v>2.2080864396978441</v>
      </c>
      <c r="L14" s="23">
        <f t="shared" si="11"/>
        <v>2.2522481684918012</v>
      </c>
      <c r="M14" s="4">
        <f>$M$6*'Eurostat Collected Portables'!M7</f>
        <v>2.2972931318616374</v>
      </c>
      <c r="N14" s="4">
        <f>$N$6*'Eurostat Collected Portables'!N7</f>
        <v>2.0421402391317818</v>
      </c>
      <c r="O14" s="4">
        <f>$O$6*'Eurostat Collected Portables'!O7</f>
        <v>2.3724916507832403</v>
      </c>
      <c r="P14" s="4">
        <f>$P$6*'Eurostat Collected Portables'!P7</f>
        <v>2.2010492204941228</v>
      </c>
      <c r="Q14" s="4">
        <f>$Q$6*'Eurostat Collected Portables'!Q7</f>
        <v>2.8071534637132824</v>
      </c>
      <c r="R14" s="4">
        <f>$R$6*'Eurostat Collected Portables'!R7</f>
        <v>2.7017213786960967</v>
      </c>
      <c r="S14" s="4">
        <f>$S$6*'Eurostat Collected Portables'!S7</f>
        <v>2.6169594698784406</v>
      </c>
      <c r="T14" s="4">
        <f>$T$6*'Eurostat Collected Portables'!T7</f>
        <v>3.1487054619914843</v>
      </c>
      <c r="U14" s="4">
        <f>$U$6*'Eurostat Collected Portables'!U7</f>
        <v>4.4956229399048153</v>
      </c>
      <c r="V14" s="4">
        <f>$V$6*'Eurostat Collected Portables'!V7</f>
        <v>4.7429078014184398</v>
      </c>
      <c r="W14" s="4">
        <f>$W$6*'Eurostat Collected Portables'!W7</f>
        <v>5.3203278954960096</v>
      </c>
      <c r="X14" s="48">
        <f>X$6*'Eurostat Collected Portables'!X7</f>
        <v>4.5041975856393002</v>
      </c>
      <c r="Y14" s="48">
        <f>Y$6*'Eurostat Collected Portables'!Y7</f>
        <v>4.5339738362194995</v>
      </c>
      <c r="Z14" s="48">
        <f>Z$6*'Eurostat Collected Portables'!Z7</f>
        <v>4.6256442178745862</v>
      </c>
      <c r="AA14" s="48">
        <f>AA$6*'Eurostat Collected Portables'!AA7</f>
        <v>4.678384267526968</v>
      </c>
      <c r="AB14" s="48">
        <f>AB$6*'Eurostat Collected Portables'!AB7</f>
        <v>4.671302033034868</v>
      </c>
      <c r="AC14" s="48">
        <f>AC$6*'Eurostat Collected Portables'!AC7</f>
        <v>4.6103385023273944</v>
      </c>
      <c r="AD14" s="48">
        <f>AD$6*'Eurostat Collected Portables'!AD7</f>
        <v>4.5064332412833705</v>
      </c>
      <c r="AE14" s="48">
        <f>AE$6*'Eurostat Collected Portables'!AE7</f>
        <v>4.3824547086522534</v>
      </c>
      <c r="AF14" s="48">
        <f>AF$6*'Eurostat Collected Portables'!AF7</f>
        <v>4.2330546597020406</v>
      </c>
      <c r="AG14" s="48">
        <f>AG$6*'Eurostat Collected Portables'!AG7</f>
        <v>4.0287554840749333</v>
      </c>
      <c r="AH14" s="48">
        <f>AH$6*'Eurostat Collected Portables'!AH7</f>
        <v>3.8162629204424423</v>
      </c>
      <c r="AI14" s="48">
        <f>AI$6*'Eurostat Collected Portables'!AI7</f>
        <v>3.5980770558723618</v>
      </c>
      <c r="AJ14" s="48">
        <f>AJ$6*'Eurostat Collected Portables'!AJ7</f>
        <v>3.3934288900824008</v>
      </c>
      <c r="AK14" s="48">
        <f>AK$6*'Eurostat Collected Portables'!AK7</f>
        <v>3.2014673390974093</v>
      </c>
      <c r="AL14" s="48">
        <f>AL$6*'Eurostat Collected Portables'!AL7</f>
        <v>3.0213505266280292</v>
      </c>
      <c r="AM14" s="48">
        <f>AM$6*'Eurostat Collected Portables'!AM7</f>
        <v>2.852295080233564</v>
      </c>
      <c r="AN14" s="48">
        <f>AN$6*'Eurostat Collected Portables'!AN7</f>
        <v>2.6935719478115066</v>
      </c>
      <c r="AO14" s="48">
        <f>AO$6*'Eurostat Collected Portables'!AO7</f>
        <v>2.5439913773677003</v>
      </c>
      <c r="AP14" s="48">
        <f>AP$6*'Eurostat Collected Portables'!AP7</f>
        <v>2.3996380013394161</v>
      </c>
      <c r="AQ14" s="48">
        <f>AQ$6*'Eurostat Collected Portables'!AQ7</f>
        <v>2.24480775201148</v>
      </c>
      <c r="AR14" s="48">
        <f>AR$6*'Eurostat Collected Portables'!AR7</f>
        <v>2.083328015154712</v>
      </c>
      <c r="AS14" s="48">
        <f>AS$6*'Eurostat Collected Portables'!AS7</f>
        <v>1.9206391681883679</v>
      </c>
      <c r="AT14" s="48">
        <f>AT$6*'Eurostat Collected Portables'!AT7</f>
        <v>1.7705398637779428</v>
      </c>
      <c r="AU14" s="48">
        <f>AU$6*'Eurostat Collected Portables'!AU7</f>
        <v>0</v>
      </c>
      <c r="AV14" s="48">
        <f>AV$6*'Eurostat Collected Portables'!AV7</f>
        <v>0</v>
      </c>
      <c r="AW14" s="48">
        <f>AW$6*'Eurostat Collected Portables'!AW7</f>
        <v>0</v>
      </c>
      <c r="AX14" s="48">
        <f>AX$6*'Eurostat Collected Portables'!AX7</f>
        <v>0</v>
      </c>
      <c r="AY14" s="48">
        <f>AY$6*'Eurostat Collected Portables'!AY7</f>
        <v>0</v>
      </c>
      <c r="AZ14" s="48">
        <f>AZ$6*'Eurostat Collected Portables'!AZ7</f>
        <v>0</v>
      </c>
    </row>
    <row r="15" spans="1:52" x14ac:dyDescent="0.35">
      <c r="A15" s="1" t="s">
        <v>5</v>
      </c>
      <c r="B15" s="23">
        <f t="shared" si="1"/>
        <v>47.870360676087884</v>
      </c>
      <c r="C15" s="23">
        <f t="shared" si="2"/>
        <v>48.827767889609646</v>
      </c>
      <c r="D15" s="23">
        <f t="shared" si="3"/>
        <v>49.80432324740184</v>
      </c>
      <c r="E15" s="23">
        <f t="shared" si="4"/>
        <v>50.800409712349875</v>
      </c>
      <c r="F15" s="23">
        <f t="shared" si="5"/>
        <v>51.816417906596875</v>
      </c>
      <c r="G15" s="23">
        <f t="shared" si="6"/>
        <v>52.852746264728815</v>
      </c>
      <c r="H15" s="23">
        <f t="shared" si="7"/>
        <v>53.909801190023394</v>
      </c>
      <c r="I15" s="23">
        <f t="shared" si="8"/>
        <v>54.98799721382386</v>
      </c>
      <c r="J15" s="23">
        <f t="shared" si="9"/>
        <v>56.087757158100338</v>
      </c>
      <c r="K15" s="23">
        <f t="shared" si="10"/>
        <v>57.209512301262343</v>
      </c>
      <c r="L15" s="23">
        <f t="shared" si="11"/>
        <v>58.35370254728759</v>
      </c>
      <c r="M15" s="4">
        <f>$M$6*'Eurostat Collected Portables'!M8</f>
        <v>59.52077659823334</v>
      </c>
      <c r="N15" s="4">
        <f>$N$6*'Eurostat Collected Portables'!N8</f>
        <v>66.534246500745141</v>
      </c>
      <c r="O15" s="4">
        <f>$O$6*'Eurostat Collected Portables'!O8</f>
        <v>67.768094845449482</v>
      </c>
      <c r="P15" s="4">
        <f>$P$6*'Eurostat Collected Portables'!P8</f>
        <v>64.152532158304311</v>
      </c>
      <c r="Q15" s="4">
        <f>$Q$6*'Eurostat Collected Portables'!Q8</f>
        <v>71.812089517174343</v>
      </c>
      <c r="R15" s="4">
        <f>$R$6*'Eurostat Collected Portables'!R8</f>
        <v>98.683928253425861</v>
      </c>
      <c r="S15" s="4">
        <f>$S$6*'Eurostat Collected Portables'!S8</f>
        <v>77.282084344847704</v>
      </c>
      <c r="T15" s="4">
        <f>$T$6*'Eurostat Collected Portables'!T8</f>
        <v>78.554067434878462</v>
      </c>
      <c r="U15" s="4">
        <f>$U$6*'Eurostat Collected Portables'!U8</f>
        <v>109.28645289625753</v>
      </c>
      <c r="V15" s="4">
        <f>$V$6*'Eurostat Collected Portables'!V8</f>
        <v>127.7027925531915</v>
      </c>
      <c r="W15" s="4">
        <f>$W$6*'Eurostat Collected Portables'!W8</f>
        <v>145.44222213193024</v>
      </c>
      <c r="X15" s="48">
        <f>X$6*'Eurostat Collected Portables'!X8</f>
        <v>125.67898612365967</v>
      </c>
      <c r="Y15" s="48">
        <f>Y$6*'Eurostat Collected Portables'!Y8</f>
        <v>129.31967383896949</v>
      </c>
      <c r="Z15" s="48">
        <f>Z$6*'Eurostat Collected Portables'!Z8</f>
        <v>131.48395802970612</v>
      </c>
      <c r="AA15" s="48">
        <f>AA$6*'Eurostat Collected Portables'!AA8</f>
        <v>132.53640868797453</v>
      </c>
      <c r="AB15" s="48">
        <f>AB$6*'Eurostat Collected Portables'!AB8</f>
        <v>131.89831800456281</v>
      </c>
      <c r="AC15" s="48">
        <f>AC$6*'Eurostat Collected Portables'!AC8</f>
        <v>129.75341655415073</v>
      </c>
      <c r="AD15" s="48">
        <f>AD$6*'Eurostat Collected Portables'!AD8</f>
        <v>126.42290022312146</v>
      </c>
      <c r="AE15" s="48">
        <f>AE$6*'Eurostat Collected Portables'!AE8</f>
        <v>122.5571573411121</v>
      </c>
      <c r="AF15" s="48">
        <f>AF$6*'Eurostat Collected Portables'!AF8</f>
        <v>118.01159088926535</v>
      </c>
      <c r="AG15" s="48">
        <f>AG$6*'Eurostat Collected Portables'!AG8</f>
        <v>111.97262639314333</v>
      </c>
      <c r="AH15" s="48">
        <f>AH$6*'Eurostat Collected Portables'!AH8</f>
        <v>105.74736523061073</v>
      </c>
      <c r="AI15" s="48">
        <f>AI$6*'Eurostat Collected Portables'!AI8</f>
        <v>99.405800226495842</v>
      </c>
      <c r="AJ15" s="48">
        <f>AJ$6*'Eurostat Collected Portables'!AJ8</f>
        <v>93.477966541068113</v>
      </c>
      <c r="AK15" s="48">
        <f>AK$6*'Eurostat Collected Portables'!AK8</f>
        <v>87.93618569773804</v>
      </c>
      <c r="AL15" s="48">
        <f>AL$6*'Eurostat Collected Portables'!AL8</f>
        <v>82.753447207750142</v>
      </c>
      <c r="AM15" s="48">
        <f>AM$6*'Eurostat Collected Portables'!AM8</f>
        <v>77.904733435975217</v>
      </c>
      <c r="AN15" s="48">
        <f>AN$6*'Eurostat Collected Portables'!AN8</f>
        <v>73.366866658792304</v>
      </c>
      <c r="AO15" s="48">
        <f>AO$6*'Eurostat Collected Portables'!AO8</f>
        <v>69.104483704744652</v>
      </c>
      <c r="AP15" s="48">
        <f>AP$6*'Eurostat Collected Portables'!AP8</f>
        <v>65.008830471194003</v>
      </c>
      <c r="AQ15" s="48">
        <f>AQ$6*'Eurostat Collected Portables'!AQ8</f>
        <v>60.65383628385041</v>
      </c>
      <c r="AR15" s="48">
        <f>AR$6*'Eurostat Collected Portables'!AR8</f>
        <v>56.144263884385687</v>
      </c>
      <c r="AS15" s="48">
        <f>AS$6*'Eurostat Collected Portables'!AS8</f>
        <v>51.627121698976218</v>
      </c>
      <c r="AT15" s="48">
        <f>AT$6*'Eurostat Collected Portables'!AT8</f>
        <v>47.472016523244768</v>
      </c>
      <c r="AU15" s="48">
        <f>AU$6*'Eurostat Collected Portables'!AU8</f>
        <v>0</v>
      </c>
      <c r="AV15" s="48">
        <f>AV$6*'Eurostat Collected Portables'!AV8</f>
        <v>0</v>
      </c>
      <c r="AW15" s="48">
        <f>AW$6*'Eurostat Collected Portables'!AW8</f>
        <v>0</v>
      </c>
      <c r="AX15" s="48">
        <f>AX$6*'Eurostat Collected Portables'!AX8</f>
        <v>0</v>
      </c>
      <c r="AY15" s="48">
        <f>AY$6*'Eurostat Collected Portables'!AY8</f>
        <v>0</v>
      </c>
      <c r="AZ15" s="48">
        <f>AZ$6*'Eurostat Collected Portables'!AZ8</f>
        <v>0</v>
      </c>
    </row>
    <row r="16" spans="1:52" x14ac:dyDescent="0.35">
      <c r="A16" s="1" t="s">
        <v>6</v>
      </c>
      <c r="B16" s="23">
        <f t="shared" si="1"/>
        <v>88.966085513805439</v>
      </c>
      <c r="C16" s="23">
        <f t="shared" si="2"/>
        <v>90.745407224081546</v>
      </c>
      <c r="D16" s="23">
        <f t="shared" si="3"/>
        <v>92.560315368563181</v>
      </c>
      <c r="E16" s="23">
        <f t="shared" si="4"/>
        <v>94.411521675934452</v>
      </c>
      <c r="F16" s="23">
        <f t="shared" si="5"/>
        <v>96.299752109453138</v>
      </c>
      <c r="G16" s="23">
        <f t="shared" si="6"/>
        <v>98.225747151642196</v>
      </c>
      <c r="H16" s="23">
        <f t="shared" si="7"/>
        <v>100.19026209467503</v>
      </c>
      <c r="I16" s="23">
        <f t="shared" si="8"/>
        <v>102.19406733656854</v>
      </c>
      <c r="J16" s="23">
        <f t="shared" si="9"/>
        <v>104.2379486832999</v>
      </c>
      <c r="K16" s="23">
        <f t="shared" si="10"/>
        <v>106.3227076569659</v>
      </c>
      <c r="L16" s="23">
        <f t="shared" si="11"/>
        <v>108.44916181010522</v>
      </c>
      <c r="M16" s="4">
        <f>$M$6*'Eurostat Collected Portables'!M9</f>
        <v>110.61814504630733</v>
      </c>
      <c r="N16" s="4">
        <f>$N$6*'Eurostat Collected Portables'!N9</f>
        <v>99.537867784778129</v>
      </c>
      <c r="O16" s="4">
        <f>$O$6*'Eurostat Collected Portables'!O9</f>
        <v>85.348866308945802</v>
      </c>
      <c r="P16" s="4">
        <f>$P$6*'Eurostat Collected Portables'!P9</f>
        <v>82.888292596168924</v>
      </c>
      <c r="Q16" s="4">
        <f>$Q$6*'Eurostat Collected Portables'!Q9</f>
        <v>81.203293832142407</v>
      </c>
      <c r="R16" s="4">
        <f>$R$6*'Eurostat Collected Portables'!R9</f>
        <v>79.771878602553173</v>
      </c>
      <c r="S16" s="4">
        <f>$S$6*'Eurostat Collected Portables'!S9</f>
        <v>81.166633557948515</v>
      </c>
      <c r="T16" s="4">
        <f>$T$6*'Eurostat Collected Portables'!T9</f>
        <v>80.92581960105386</v>
      </c>
      <c r="U16" s="4">
        <f>$U$6*'Eurostat Collected Portables'!U9</f>
        <v>120.3649522838801</v>
      </c>
      <c r="V16" s="4">
        <f>$V$6*'Eurostat Collected Portables'!V9</f>
        <v>157.40525265957447</v>
      </c>
      <c r="W16" s="4">
        <f>$W$6*'Eurostat Collected Portables'!W9</f>
        <v>156.56110964386571</v>
      </c>
      <c r="X16" s="48">
        <f>X$6*'Eurostat Collected Portables'!X9</f>
        <v>136.47422837944237</v>
      </c>
      <c r="Y16" s="48">
        <f>Y$6*'Eurostat Collected Portables'!Y9</f>
        <v>139.36972316734108</v>
      </c>
      <c r="Z16" s="48">
        <f>Z$6*'Eurostat Collected Portables'!Z9</f>
        <v>141.16056302206934</v>
      </c>
      <c r="AA16" s="48">
        <f>AA$6*'Eurostat Collected Portables'!AA9</f>
        <v>141.75142171544132</v>
      </c>
      <c r="AB16" s="48">
        <f>AB$6*'Eurostat Collected Portables'!AB9</f>
        <v>140.53927904282742</v>
      </c>
      <c r="AC16" s="48">
        <f>AC$6*'Eurostat Collected Portables'!AC9</f>
        <v>137.73931746334264</v>
      </c>
      <c r="AD16" s="48">
        <f>AD$6*'Eurostat Collected Portables'!AD9</f>
        <v>133.70872712477967</v>
      </c>
      <c r="AE16" s="48">
        <f>AE$6*'Eurostat Collected Portables'!AE9</f>
        <v>129.14618702689322</v>
      </c>
      <c r="AF16" s="48">
        <f>AF$6*'Eurostat Collected Portables'!AF9</f>
        <v>123.90542101286164</v>
      </c>
      <c r="AG16" s="48">
        <f>AG$6*'Eurostat Collected Portables'!AG9</f>
        <v>117.14233614323506</v>
      </c>
      <c r="AH16" s="48">
        <f>AH$6*'Eurostat Collected Portables'!AH9</f>
        <v>110.23548011747573</v>
      </c>
      <c r="AI16" s="48">
        <f>AI$6*'Eurostat Collected Portables'!AI9</f>
        <v>103.25870305113874</v>
      </c>
      <c r="AJ16" s="48">
        <f>AJ$6*'Eurostat Collected Portables'!AJ9</f>
        <v>96.761008450761352</v>
      </c>
      <c r="AK16" s="48">
        <f>AK$6*'Eurostat Collected Portables'!AK9</f>
        <v>90.708473531397189</v>
      </c>
      <c r="AL16" s="48">
        <f>AL$6*'Eurostat Collected Portables'!AL9</f>
        <v>85.068382918974336</v>
      </c>
      <c r="AM16" s="48">
        <f>AM$6*'Eurostat Collected Portables'!AM9</f>
        <v>79.81055884937652</v>
      </c>
      <c r="AN16" s="48">
        <f>AN$6*'Eurostat Collected Portables'!AN9</f>
        <v>74.907155909110472</v>
      </c>
      <c r="AO16" s="48">
        <f>AO$6*'Eurostat Collected Portables'!AO9</f>
        <v>70.31834454515203</v>
      </c>
      <c r="AP16" s="48">
        <f>AP$6*'Eurostat Collected Portables'!AP9</f>
        <v>65.93043234864551</v>
      </c>
      <c r="AQ16" s="48">
        <f>AQ$6*'Eurostat Collected Portables'!AQ9</f>
        <v>61.310510445388502</v>
      </c>
      <c r="AR16" s="48">
        <f>AR$6*'Eurostat Collected Portables'!AR9</f>
        <v>56.566187470915359</v>
      </c>
      <c r="AS16" s="48">
        <f>AS$6*'Eurostat Collected Portables'!AS9</f>
        <v>51.846078095104069</v>
      </c>
      <c r="AT16" s="48">
        <f>AT$6*'Eurostat Collected Portables'!AT9</f>
        <v>47.519693307725092</v>
      </c>
      <c r="AU16" s="48">
        <f>AU$6*'Eurostat Collected Portables'!AU9</f>
        <v>0</v>
      </c>
      <c r="AV16" s="48">
        <f>AV$6*'Eurostat Collected Portables'!AV9</f>
        <v>0</v>
      </c>
      <c r="AW16" s="48">
        <f>AW$6*'Eurostat Collected Portables'!AW9</f>
        <v>0</v>
      </c>
      <c r="AX16" s="48">
        <f>AX$6*'Eurostat Collected Portables'!AX9</f>
        <v>0</v>
      </c>
      <c r="AY16" s="48">
        <f>AY$6*'Eurostat Collected Portables'!AY9</f>
        <v>0</v>
      </c>
      <c r="AZ16" s="48">
        <f>AZ$6*'Eurostat Collected Portables'!AZ9</f>
        <v>0</v>
      </c>
    </row>
    <row r="17" spans="1:52" x14ac:dyDescent="0.35">
      <c r="A17" s="1" t="s">
        <v>7</v>
      </c>
      <c r="B17" s="23">
        <f t="shared" si="1"/>
        <v>4.0311882674600312</v>
      </c>
      <c r="C17" s="23">
        <f t="shared" si="2"/>
        <v>4.1118120328092322</v>
      </c>
      <c r="D17" s="23">
        <f t="shared" si="3"/>
        <v>4.194048273465417</v>
      </c>
      <c r="E17" s="23">
        <f t="shared" si="4"/>
        <v>4.2779292389347257</v>
      </c>
      <c r="F17" s="23">
        <f t="shared" si="5"/>
        <v>4.3634878237134203</v>
      </c>
      <c r="G17" s="23">
        <f t="shared" si="6"/>
        <v>4.4507575801876884</v>
      </c>
      <c r="H17" s="23">
        <f t="shared" si="7"/>
        <v>4.5397727317914427</v>
      </c>
      <c r="I17" s="23">
        <f t="shared" si="8"/>
        <v>4.6305681864272712</v>
      </c>
      <c r="J17" s="23">
        <f t="shared" si="9"/>
        <v>4.7231795501558169</v>
      </c>
      <c r="K17" s="23">
        <f t="shared" si="10"/>
        <v>4.8176431411589338</v>
      </c>
      <c r="L17" s="23">
        <f t="shared" si="11"/>
        <v>4.9139960039821124</v>
      </c>
      <c r="M17" s="4">
        <f>$M$6*'Eurostat Collected Portables'!M10</f>
        <v>5.0122759240617549</v>
      </c>
      <c r="N17" s="4">
        <f>$N$6*'Eurostat Collected Portables'!N10</f>
        <v>8.1026854649422297</v>
      </c>
      <c r="O17" s="4">
        <f>$O$6*'Eurostat Collected Portables'!O10</f>
        <v>17.824103940499729</v>
      </c>
      <c r="P17" s="4">
        <f>$P$6*'Eurostat Collected Portables'!P10</f>
        <v>5.7442016242163696</v>
      </c>
      <c r="Q17" s="4">
        <f>$Q$6*'Eurostat Collected Portables'!Q10</f>
        <v>8.8297736222254155</v>
      </c>
      <c r="R17" s="4">
        <f>$R$6*'Eurostat Collected Portables'!R10</f>
        <v>6.0196248262176191</v>
      </c>
      <c r="S17" s="4">
        <f>$S$6*'Eurostat Collected Portables'!S10</f>
        <v>6.3788387078286988</v>
      </c>
      <c r="T17" s="4">
        <f>$T$6*'Eurostat Collected Portables'!T10</f>
        <v>6.6654414325274276</v>
      </c>
      <c r="U17" s="4">
        <f>$U$6*'Eurostat Collected Portables'!U10</f>
        <v>7.4927048998413586</v>
      </c>
      <c r="V17" s="4">
        <f>$V$6*'Eurostat Collected Portables'!V10</f>
        <v>11.620124113475178</v>
      </c>
      <c r="W17" s="4">
        <f>$W$6*'Eurostat Collected Portables'!W10</f>
        <v>13.689383012006585</v>
      </c>
      <c r="X17" s="48">
        <f>X$6*'Eurostat Collected Portables'!X10</f>
        <v>11.508296543677895</v>
      </c>
      <c r="Y17" s="48">
        <f>Y$6*'Eurostat Collected Portables'!Y10</f>
        <v>11.559196009802987</v>
      </c>
      <c r="Z17" s="48">
        <f>Z$6*'Eurostat Collected Portables'!Z10</f>
        <v>11.812273206985335</v>
      </c>
      <c r="AA17" s="48">
        <f>AA$6*'Eurostat Collected Portables'!AA10</f>
        <v>11.966161262639778</v>
      </c>
      <c r="AB17" s="48">
        <f>AB$6*'Eurostat Collected Portables'!AB10</f>
        <v>11.966858144808874</v>
      </c>
      <c r="AC17" s="48">
        <f>AC$6*'Eurostat Collected Portables'!AC10</f>
        <v>11.828896127901348</v>
      </c>
      <c r="AD17" s="48">
        <f>AD$6*'Eurostat Collected Portables'!AD10</f>
        <v>11.57977074115794</v>
      </c>
      <c r="AE17" s="48">
        <f>AE$6*'Eurostat Collected Portables'!AE10</f>
        <v>11.277864859649243</v>
      </c>
      <c r="AF17" s="48">
        <f>AF$6*'Eurostat Collected Portables'!AF10</f>
        <v>10.909201570368406</v>
      </c>
      <c r="AG17" s="48">
        <f>AG$6*'Eurostat Collected Portables'!AG10</f>
        <v>10.397459290326472</v>
      </c>
      <c r="AH17" s="48">
        <f>AH$6*'Eurostat Collected Portables'!AH10</f>
        <v>9.8627900492817897</v>
      </c>
      <c r="AI17" s="48">
        <f>AI$6*'Eurostat Collected Portables'!AI10</f>
        <v>9.311624298187251</v>
      </c>
      <c r="AJ17" s="48">
        <f>AJ$6*'Eurostat Collected Portables'!AJ10</f>
        <v>8.7937853651555962</v>
      </c>
      <c r="AK17" s="48">
        <f>AK$6*'Eurostat Collected Portables'!AK10</f>
        <v>8.3072498035413851</v>
      </c>
      <c r="AL17" s="48">
        <f>AL$6*'Eurostat Collected Portables'!AL10</f>
        <v>7.8500002098506645</v>
      </c>
      <c r="AM17" s="48">
        <f>AM$6*'Eurostat Collected Portables'!AM10</f>
        <v>7.4201543932706793</v>
      </c>
      <c r="AN17" s="48">
        <f>AN$6*'Eurostat Collected Portables'!AN10</f>
        <v>7.0159561556363865</v>
      </c>
      <c r="AO17" s="48">
        <f>AO$6*'Eurostat Collected Portables'!AO10</f>
        <v>6.6344337030128235</v>
      </c>
      <c r="AP17" s="48">
        <f>AP$6*'Eurostat Collected Portables'!AP10</f>
        <v>6.2654793238301831</v>
      </c>
      <c r="AQ17" s="48">
        <f>AQ$6*'Eurostat Collected Portables'!AQ10</f>
        <v>5.8681166378862857</v>
      </c>
      <c r="AR17" s="48">
        <f>AR$6*'Eurostat Collected Portables'!AR10</f>
        <v>5.4522927759626443</v>
      </c>
      <c r="AS17" s="48">
        <f>AS$6*'Eurostat Collected Portables'!AS10</f>
        <v>5.0322288470825347</v>
      </c>
      <c r="AT17" s="48">
        <f>AT$6*'Eurostat Collected Portables'!AT10</f>
        <v>4.6441344799227684</v>
      </c>
      <c r="AU17" s="48">
        <f>AU$6*'Eurostat Collected Portables'!AU10</f>
        <v>0</v>
      </c>
      <c r="AV17" s="48">
        <f>AV$6*'Eurostat Collected Portables'!AV10</f>
        <v>0</v>
      </c>
      <c r="AW17" s="48">
        <f>AW$6*'Eurostat Collected Portables'!AW10</f>
        <v>0</v>
      </c>
      <c r="AX17" s="48">
        <f>AX$6*'Eurostat Collected Portables'!AX10</f>
        <v>0</v>
      </c>
      <c r="AY17" s="48">
        <f>AY$6*'Eurostat Collected Portables'!AY10</f>
        <v>0</v>
      </c>
      <c r="AZ17" s="48">
        <f>AZ$6*'Eurostat Collected Portables'!AZ10</f>
        <v>0</v>
      </c>
    </row>
    <row r="18" spans="1:52" x14ac:dyDescent="0.35">
      <c r="A18" s="1" t="s">
        <v>8</v>
      </c>
      <c r="B18" s="23">
        <f t="shared" si="1"/>
        <v>54.197086706962658</v>
      </c>
      <c r="C18" s="23">
        <f t="shared" si="2"/>
        <v>55.28102844110191</v>
      </c>
      <c r="D18" s="23">
        <f t="shared" si="3"/>
        <v>56.38664900992395</v>
      </c>
      <c r="E18" s="23">
        <f t="shared" si="4"/>
        <v>57.51438199012243</v>
      </c>
      <c r="F18" s="23">
        <f t="shared" si="5"/>
        <v>58.66466962992488</v>
      </c>
      <c r="G18" s="23">
        <f t="shared" si="6"/>
        <v>59.837963022523375</v>
      </c>
      <c r="H18" s="23">
        <f t="shared" si="7"/>
        <v>61.034722282973846</v>
      </c>
      <c r="I18" s="23">
        <f t="shared" si="8"/>
        <v>62.255416728633321</v>
      </c>
      <c r="J18" s="23">
        <f t="shared" si="9"/>
        <v>63.500525063205991</v>
      </c>
      <c r="K18" s="23">
        <f t="shared" si="10"/>
        <v>64.770535564470109</v>
      </c>
      <c r="L18" s="23">
        <f t="shared" si="11"/>
        <v>66.065946275759515</v>
      </c>
      <c r="M18" s="4">
        <f>$M$6*'Eurostat Collected Portables'!M11</f>
        <v>67.387265201274701</v>
      </c>
      <c r="N18" s="4">
        <f>$N$6*'Eurostat Collected Portables'!N11</f>
        <v>60.605452258104485</v>
      </c>
      <c r="O18" s="4">
        <f>$O$6*'Eurostat Collected Portables'!O11</f>
        <v>68.55892539571056</v>
      </c>
      <c r="P18" s="4">
        <f>$P$6*'Eurostat Collected Portables'!P11</f>
        <v>67.212527416064432</v>
      </c>
      <c r="Q18" s="4">
        <f>$Q$6*'Eurostat Collected Portables'!Q11</f>
        <v>65.993625974204988</v>
      </c>
      <c r="R18" s="4">
        <f>$R$6*'Eurostat Collected Portables'!R11</f>
        <v>61.902598606615832</v>
      </c>
      <c r="S18" s="4">
        <f>$S$6*'Eurostat Collected Portables'!S11</f>
        <v>56.019288652085372</v>
      </c>
      <c r="T18" s="4">
        <f>$T$6*'Eurostat Collected Portables'!T11</f>
        <v>59.948080614019688</v>
      </c>
      <c r="U18" s="4">
        <f>$U$6*'Eurostat Collected Portables'!U11</f>
        <v>89.858939477383146</v>
      </c>
      <c r="V18" s="4">
        <f>$V$6*'Eurostat Collected Portables'!V11</f>
        <v>103.63253546099291</v>
      </c>
      <c r="W18" s="4">
        <f>$W$6*'Eurostat Collected Portables'!W11</f>
        <v>125.17715295695105</v>
      </c>
      <c r="X18" s="48">
        <f>X$6*'Eurostat Collected Portables'!X11</f>
        <v>105.4289047253779</v>
      </c>
      <c r="Y18" s="48">
        <f>Y$6*'Eurostat Collected Portables'!Y11</f>
        <v>110.3511030229002</v>
      </c>
      <c r="Z18" s="48">
        <f>Z$6*'Eurostat Collected Portables'!Z11</f>
        <v>111.78739337470726</v>
      </c>
      <c r="AA18" s="48">
        <f>AA$6*'Eurostat Collected Portables'!AA11</f>
        <v>112.27361345164196</v>
      </c>
      <c r="AB18" s="48">
        <f>AB$6*'Eurostat Collected Portables'!AB11</f>
        <v>111.33160071939244</v>
      </c>
      <c r="AC18" s="48">
        <f>AC$6*'Eurostat Collected Portables'!AC11</f>
        <v>109.13115272404224</v>
      </c>
      <c r="AD18" s="48">
        <f>AD$6*'Eurostat Collected Portables'!AD11</f>
        <v>105.9547145987642</v>
      </c>
      <c r="AE18" s="48">
        <f>AE$6*'Eurostat Collected Portables'!AE11</f>
        <v>102.35556740290565</v>
      </c>
      <c r="AF18" s="48">
        <f>AF$6*'Eurostat Collected Portables'!AF11</f>
        <v>98.217568198509881</v>
      </c>
      <c r="AG18" s="48">
        <f>AG$6*'Eurostat Collected Portables'!AG11</f>
        <v>92.871268640674884</v>
      </c>
      <c r="AH18" s="48">
        <f>AH$6*'Eurostat Collected Portables'!AH11</f>
        <v>87.409204204622597</v>
      </c>
      <c r="AI18" s="48">
        <f>AI$6*'Eurostat Collected Portables'!AI11</f>
        <v>81.889901969916508</v>
      </c>
      <c r="AJ18" s="48">
        <f>AJ$6*'Eurostat Collected Portables'!AJ11</f>
        <v>76.748807597882021</v>
      </c>
      <c r="AK18" s="48">
        <f>AK$6*'Eurostat Collected Portables'!AK11</f>
        <v>71.959199977027751</v>
      </c>
      <c r="AL18" s="48">
        <f>AL$6*'Eurostat Collected Portables'!AL11</f>
        <v>67.495297512345928</v>
      </c>
      <c r="AM18" s="48">
        <f>AM$6*'Eurostat Collected Portables'!AM11</f>
        <v>63.333314662713761</v>
      </c>
      <c r="AN18" s="48">
        <f>AN$6*'Eurostat Collected Portables'!AN11</f>
        <v>59.451300787310139</v>
      </c>
      <c r="AO18" s="48">
        <f>AO$6*'Eurostat Collected Portables'!AO11</f>
        <v>55.817777508218292</v>
      </c>
      <c r="AP18" s="48">
        <f>AP$6*'Eurostat Collected Portables'!AP11</f>
        <v>52.342605797108043</v>
      </c>
      <c r="AQ18" s="48">
        <f>AQ$6*'Eurostat Collected Portables'!AQ11</f>
        <v>48.682125131032002</v>
      </c>
      <c r="AR18" s="48">
        <f>AR$6*'Eurostat Collected Portables'!AR11</f>
        <v>44.921717790689449</v>
      </c>
      <c r="AS18" s="48">
        <f>AS$6*'Eurostat Collected Portables'!AS11</f>
        <v>41.179387125157653</v>
      </c>
      <c r="AT18" s="48">
        <f>AT$6*'Eurostat Collected Portables'!AT11</f>
        <v>37.748682195586376</v>
      </c>
      <c r="AU18" s="48">
        <f>AU$6*'Eurostat Collected Portables'!AU11</f>
        <v>0</v>
      </c>
      <c r="AV18" s="48">
        <f>AV$6*'Eurostat Collected Portables'!AV11</f>
        <v>0</v>
      </c>
      <c r="AW18" s="48">
        <f>AW$6*'Eurostat Collected Portables'!AW11</f>
        <v>0</v>
      </c>
      <c r="AX18" s="48">
        <f>AX$6*'Eurostat Collected Portables'!AX11</f>
        <v>0</v>
      </c>
      <c r="AY18" s="48">
        <f>AY$6*'Eurostat Collected Portables'!AY11</f>
        <v>0</v>
      </c>
      <c r="AZ18" s="48">
        <f>AZ$6*'Eurostat Collected Portables'!AZ11</f>
        <v>0</v>
      </c>
    </row>
    <row r="19" spans="1:52" x14ac:dyDescent="0.35">
      <c r="A19" s="1" t="s">
        <v>9</v>
      </c>
      <c r="B19" s="23">
        <f t="shared" si="1"/>
        <v>650.64498411323632</v>
      </c>
      <c r="C19" s="23">
        <f t="shared" si="2"/>
        <v>663.65788379550111</v>
      </c>
      <c r="D19" s="23">
        <f t="shared" si="3"/>
        <v>676.93104147141116</v>
      </c>
      <c r="E19" s="23">
        <f t="shared" si="4"/>
        <v>690.46966230083945</v>
      </c>
      <c r="F19" s="23">
        <f t="shared" si="5"/>
        <v>704.27905554685628</v>
      </c>
      <c r="G19" s="23">
        <f t="shared" si="6"/>
        <v>718.36463665779343</v>
      </c>
      <c r="H19" s="23">
        <f t="shared" si="7"/>
        <v>732.73192939094929</v>
      </c>
      <c r="I19" s="23">
        <f t="shared" si="8"/>
        <v>747.38656797876831</v>
      </c>
      <c r="J19" s="23">
        <f t="shared" si="9"/>
        <v>762.33429933834373</v>
      </c>
      <c r="K19" s="23">
        <f t="shared" si="10"/>
        <v>777.58098532511065</v>
      </c>
      <c r="L19" s="23">
        <f t="shared" si="11"/>
        <v>793.13260503161291</v>
      </c>
      <c r="M19" s="4">
        <f>$M$6*'Eurostat Collected Portables'!M12</f>
        <v>808.99525713224523</v>
      </c>
      <c r="N19" s="4">
        <f>$N$6*'Eurostat Collected Portables'!N12</f>
        <v>775.74978890373745</v>
      </c>
      <c r="O19" s="4">
        <f>$O$6*'Eurostat Collected Portables'!O12</f>
        <v>691.42923340518746</v>
      </c>
      <c r="P19" s="4">
        <f>$P$6*'Eurostat Collected Portables'!P12</f>
        <v>643.61900254887905</v>
      </c>
      <c r="Q19" s="4">
        <f>$Q$6*'Eurostat Collected Portables'!Q12</f>
        <v>627.57743617851861</v>
      </c>
      <c r="R19" s="4">
        <f>$R$6*'Eurostat Collected Portables'!R12</f>
        <v>648.31833364570548</v>
      </c>
      <c r="S19" s="4">
        <f>$S$6*'Eurostat Collected Portables'!S12</f>
        <v>571.68297419328871</v>
      </c>
      <c r="T19" s="4">
        <f>$T$6*'Eurostat Collected Portables'!T12</f>
        <v>588.84881367113474</v>
      </c>
      <c r="U19" s="4">
        <f>$U$6*'Eurostat Collected Portables'!U12</f>
        <v>830.83393475098035</v>
      </c>
      <c r="V19" s="4">
        <f>$V$6*'Eurostat Collected Portables'!V12</f>
        <v>896.64671985815608</v>
      </c>
      <c r="W19" s="4">
        <f>$W$6*'Eurostat Collected Portables'!W12</f>
        <v>1199.1660402657296</v>
      </c>
      <c r="X19" s="48">
        <f>X$6*'Eurostat Collected Portables'!X12</f>
        <v>1011.8845673986378</v>
      </c>
      <c r="Y19" s="48">
        <f>Y$6*'Eurostat Collected Portables'!Y12</f>
        <v>1042.0489908080351</v>
      </c>
      <c r="Z19" s="48">
        <f>Z$6*'Eurostat Collected Portables'!Z12</f>
        <v>1054.6799031073424</v>
      </c>
      <c r="AA19" s="48">
        <f>AA$6*'Eurostat Collected Portables'!AA12</f>
        <v>1059.8130163468247</v>
      </c>
      <c r="AB19" s="48">
        <f>AB$6*'Eurostat Collected Portables'!AB12</f>
        <v>1050.7358018279594</v>
      </c>
      <c r="AC19" s="48">
        <f>AC$6*'Eurostat Collected Portables'!AC12</f>
        <v>1029.3046327483089</v>
      </c>
      <c r="AD19" s="48">
        <f>AD$6*'Eurostat Collected Portables'!AD12</f>
        <v>998.55784700670654</v>
      </c>
      <c r="AE19" s="48">
        <f>AE$6*'Eurostat Collected Portables'!AE12</f>
        <v>963.8817367676379</v>
      </c>
      <c r="AF19" s="48">
        <f>AF$6*'Eurostat Collected Portables'!AF12</f>
        <v>924.19234417373366</v>
      </c>
      <c r="AG19" s="48">
        <f>AG$6*'Eurostat Collected Portables'!AG12</f>
        <v>873.20664984046891</v>
      </c>
      <c r="AH19" s="48">
        <f>AH$6*'Eurostat Collected Portables'!AH12</f>
        <v>821.21493137457719</v>
      </c>
      <c r="AI19" s="48">
        <f>AI$6*'Eurostat Collected Portables'!AI12</f>
        <v>768.76848887362462</v>
      </c>
      <c r="AJ19" s="48">
        <f>AJ$6*'Eurostat Collected Portables'!AJ12</f>
        <v>719.95265466390356</v>
      </c>
      <c r="AK19" s="48">
        <f>AK$6*'Eurostat Collected Portables'!AK12</f>
        <v>674.50818018447762</v>
      </c>
      <c r="AL19" s="48">
        <f>AL$6*'Eurostat Collected Portables'!AL12</f>
        <v>632.18547055171882</v>
      </c>
      <c r="AM19" s="48">
        <f>AM$6*'Eurostat Collected Portables'!AM12</f>
        <v>592.75442844902011</v>
      </c>
      <c r="AN19" s="48">
        <f>AN$6*'Eurostat Collected Portables'!AN12</f>
        <v>556.00286593707415</v>
      </c>
      <c r="AO19" s="48">
        <f>AO$6*'Eurostat Collected Portables'!AO12</f>
        <v>521.63024381880257</v>
      </c>
      <c r="AP19" s="48">
        <f>AP$6*'Eurostat Collected Portables'!AP12</f>
        <v>488.78917839459183</v>
      </c>
      <c r="AQ19" s="48">
        <f>AQ$6*'Eurostat Collected Portables'!AQ12</f>
        <v>454.26915086996109</v>
      </c>
      <c r="AR19" s="48">
        <f>AR$6*'Eurostat Collected Portables'!AR12</f>
        <v>418.86974377343302</v>
      </c>
      <c r="AS19" s="48">
        <f>AS$6*'Eurostat Collected Portables'!AS12</f>
        <v>383.69211012298604</v>
      </c>
      <c r="AT19" s="48">
        <f>AT$6*'Eurostat Collected Portables'!AT12</f>
        <v>351.46862708439045</v>
      </c>
      <c r="AU19" s="48">
        <f>AU$6*'Eurostat Collected Portables'!AU12</f>
        <v>0</v>
      </c>
      <c r="AV19" s="48">
        <f>AV$6*'Eurostat Collected Portables'!AV12</f>
        <v>0</v>
      </c>
      <c r="AW19" s="48">
        <f>AW$6*'Eurostat Collected Portables'!AW12</f>
        <v>0</v>
      </c>
      <c r="AX19" s="48">
        <f>AX$6*'Eurostat Collected Portables'!AX12</f>
        <v>0</v>
      </c>
      <c r="AY19" s="48">
        <f>AY$6*'Eurostat Collected Portables'!AY12</f>
        <v>0</v>
      </c>
      <c r="AZ19" s="48">
        <f>AZ$6*'Eurostat Collected Portables'!AZ12</f>
        <v>0</v>
      </c>
    </row>
    <row r="20" spans="1:52" x14ac:dyDescent="0.35">
      <c r="A20" s="1" t="s">
        <v>10</v>
      </c>
      <c r="B20" s="23">
        <f t="shared" si="1"/>
        <v>916.7777345004348</v>
      </c>
      <c r="C20" s="23">
        <f t="shared" si="2"/>
        <v>935.11328919044354</v>
      </c>
      <c r="D20" s="23">
        <f t="shared" si="3"/>
        <v>953.81555497425245</v>
      </c>
      <c r="E20" s="23">
        <f t="shared" si="4"/>
        <v>972.89186607373756</v>
      </c>
      <c r="F20" s="23">
        <f t="shared" si="5"/>
        <v>992.34970339521237</v>
      </c>
      <c r="G20" s="23">
        <f t="shared" si="6"/>
        <v>1012.1966974631166</v>
      </c>
      <c r="H20" s="23">
        <f t="shared" si="7"/>
        <v>1032.4406314123789</v>
      </c>
      <c r="I20" s="23">
        <f t="shared" si="8"/>
        <v>1053.0894440406266</v>
      </c>
      <c r="J20" s="23">
        <f t="shared" si="9"/>
        <v>1074.1512329214393</v>
      </c>
      <c r="K20" s="23">
        <f t="shared" si="10"/>
        <v>1095.6342575798681</v>
      </c>
      <c r="L20" s="23">
        <f t="shared" si="11"/>
        <v>1117.5469427314654</v>
      </c>
      <c r="M20" s="4">
        <f>M4*'Eurostat Collected Portables'!M13</f>
        <v>1139.8978815860946</v>
      </c>
      <c r="N20" s="4">
        <f>N4*'Eurostat Collected Portables'!N13</f>
        <v>1074.8303356074703</v>
      </c>
      <c r="O20" s="4">
        <f>O4*'Eurostat Collected Portables'!O13</f>
        <v>991.51157298063299</v>
      </c>
      <c r="P20" s="4">
        <f>P4*'Eurostat Collected Portables'!P13</f>
        <v>899.93021242591726</v>
      </c>
      <c r="Q20" s="4">
        <f>Q4*'Eurostat Collected Portables'!Q13</f>
        <v>877.47711908476344</v>
      </c>
      <c r="R20" s="4">
        <f>R4*'Eurostat Collected Portables'!R13</f>
        <v>840.81032322726139</v>
      </c>
      <c r="S20" s="4">
        <f>S4*'Eurostat Collected Portables'!S13</f>
        <v>611.55510379404495</v>
      </c>
      <c r="T20" s="4">
        <f>T4*'Eurostat Collected Portables'!T13</f>
        <v>753.21877482808691</v>
      </c>
      <c r="U20" s="4">
        <f>U4*'Eurostat Collected Portables'!U13</f>
        <v>1478.4712347008392</v>
      </c>
      <c r="V20" s="4">
        <f>$V$6*'Eurostat Collected Portables'!V13</f>
        <v>1561.7802526595747</v>
      </c>
      <c r="W20" s="4">
        <f>$W$6*'Eurostat Collected Portables'!W13</f>
        <v>1770.892062653638</v>
      </c>
      <c r="X20" s="48">
        <f>X$6*'Eurostat Collected Portables'!X13</f>
        <v>1499.0929642932001</v>
      </c>
      <c r="Y20" s="48">
        <f>Y$6*'Eurostat Collected Portables'!Y13</f>
        <v>1505.3137706484081</v>
      </c>
      <c r="Z20" s="48">
        <f>Z$6*'Eurostat Collected Portables'!Z13</f>
        <v>1533.7710275007087</v>
      </c>
      <c r="AA20" s="48">
        <f>AA$6*'Eurostat Collected Portables'!AA13</f>
        <v>1548.5325021722631</v>
      </c>
      <c r="AB20" s="48">
        <f>AB$6*'Eurostat Collected Portables'!AB13</f>
        <v>1540.2176466290134</v>
      </c>
      <c r="AC20" s="48">
        <f>AC$6*'Eurostat Collected Portables'!AC13</f>
        <v>1512.1112045047696</v>
      </c>
      <c r="AD20" s="48">
        <f>AD$6*'Eurostat Collected Portables'!AD13</f>
        <v>1469.811302663247</v>
      </c>
      <c r="AE20" s="48">
        <f>AE$6*'Eurostat Collected Portables'!AE13</f>
        <v>1423.9373804607199</v>
      </c>
      <c r="AF20" s="48">
        <f>AF$6*'Eurostat Collected Portables'!AF13</f>
        <v>1371.8263998000182</v>
      </c>
      <c r="AG20" s="48">
        <f>AG$6*'Eurostat Collected Portables'!AG13</f>
        <v>1302.9167471476769</v>
      </c>
      <c r="AH20" s="48">
        <f>AH$6*'Eurostat Collected Portables'!AH13</f>
        <v>1231.8246536911799</v>
      </c>
      <c r="AI20" s="48">
        <f>AI$6*'Eurostat Collected Portables'!AI13</f>
        <v>1159.3525516674356</v>
      </c>
      <c r="AJ20" s="48">
        <f>AJ$6*'Eurostat Collected Portables'!AJ13</f>
        <v>1091.518247437516</v>
      </c>
      <c r="AK20" s="48">
        <f>AK$6*'Eurostat Collected Portables'!AK13</f>
        <v>1028.0099042423881</v>
      </c>
      <c r="AL20" s="48">
        <f>AL$6*'Eurostat Collected Portables'!AL13</f>
        <v>968.53213856902562</v>
      </c>
      <c r="AM20" s="48">
        <f>AM$6*'Eurostat Collected Portables'!AM13</f>
        <v>912.81073456186186</v>
      </c>
      <c r="AN20" s="48">
        <f>AN$6*'Eurostat Collected Portables'!AN13</f>
        <v>860.59107544235894</v>
      </c>
      <c r="AO20" s="48">
        <f>AO$6*'Eurostat Collected Portables'!AO13</f>
        <v>811.45556895633683</v>
      </c>
      <c r="AP20" s="48">
        <f>AP$6*'Eurostat Collected Portables'!AP13</f>
        <v>764.11447778402771</v>
      </c>
      <c r="AQ20" s="48">
        <f>AQ$6*'Eurostat Collected Portables'!AQ13</f>
        <v>713.68332900202722</v>
      </c>
      <c r="AR20" s="48">
        <f>AR$6*'Eurostat Collected Portables'!AR13</f>
        <v>661.39668022463525</v>
      </c>
      <c r="AS20" s="48">
        <f>AS$6*'Eurostat Collected Portables'!AS13</f>
        <v>608.98457093442937</v>
      </c>
      <c r="AT20" s="48">
        <f>AT$6*'Eurostat Collected Portables'!AT13</f>
        <v>560.71074686518205</v>
      </c>
      <c r="AU20" s="48">
        <f>AU$6*'Eurostat Collected Portables'!AU13</f>
        <v>0</v>
      </c>
      <c r="AV20" s="48">
        <f>AV$6*'Eurostat Collected Portables'!AV13</f>
        <v>0</v>
      </c>
      <c r="AW20" s="48">
        <f>AW$6*'Eurostat Collected Portables'!AW13</f>
        <v>0</v>
      </c>
      <c r="AX20" s="48">
        <f>AX$6*'Eurostat Collected Portables'!AX13</f>
        <v>0</v>
      </c>
      <c r="AY20" s="48">
        <f>AY$6*'Eurostat Collected Portables'!AY13</f>
        <v>0</v>
      </c>
      <c r="AZ20" s="48">
        <f>AZ$6*'Eurostat Collected Portables'!AZ13</f>
        <v>0</v>
      </c>
    </row>
    <row r="21" spans="1:52" x14ac:dyDescent="0.35">
      <c r="A21" s="1" t="s">
        <v>11</v>
      </c>
      <c r="B21" s="23">
        <f t="shared" si="1"/>
        <v>24.173356521594165</v>
      </c>
      <c r="C21" s="23">
        <f t="shared" si="2"/>
        <v>24.656823652026048</v>
      </c>
      <c r="D21" s="23">
        <f t="shared" si="3"/>
        <v>25.149960125066571</v>
      </c>
      <c r="E21" s="23">
        <f t="shared" si="4"/>
        <v>25.652959327567903</v>
      </c>
      <c r="F21" s="23">
        <f t="shared" si="5"/>
        <v>26.166018514119262</v>
      </c>
      <c r="G21" s="23">
        <f t="shared" si="6"/>
        <v>26.689338884401646</v>
      </c>
      <c r="H21" s="23">
        <f t="shared" si="7"/>
        <v>27.223125662089679</v>
      </c>
      <c r="I21" s="23">
        <f t="shared" si="8"/>
        <v>27.767588175331472</v>
      </c>
      <c r="J21" s="23">
        <f t="shared" si="9"/>
        <v>28.3229399388381</v>
      </c>
      <c r="K21" s="23">
        <f t="shared" si="10"/>
        <v>28.889398737614862</v>
      </c>
      <c r="L21" s="23">
        <f t="shared" si="11"/>
        <v>29.467186712367159</v>
      </c>
      <c r="M21" s="4">
        <f>$M$6*'Eurostat Collected Portables'!M14</f>
        <v>30.056530446614502</v>
      </c>
      <c r="N21" s="4">
        <f>$N$6*'Eurostat Collected Portables'!N14</f>
        <v>30.447168667439716</v>
      </c>
      <c r="O21" s="4">
        <f>$O$6*'Eurostat Collected Portables'!O14</f>
        <v>30.098842980638686</v>
      </c>
      <c r="P21" s="4">
        <f>$P$6*'Eurostat Collected Portables'!P14</f>
        <v>28.43428322803722</v>
      </c>
      <c r="Q21" s="4">
        <f>$Q$6*'Eurostat Collected Portables'!Q14</f>
        <v>28.939200253189661</v>
      </c>
      <c r="R21" s="4">
        <f>$R$6*'Eurostat Collected Portables'!R14</f>
        <v>29.955928269051462</v>
      </c>
      <c r="S21" s="4">
        <f>$S$6*'Eurostat Collected Portables'!S14</f>
        <v>23.348185270321714</v>
      </c>
      <c r="T21" s="4">
        <f>$T$6*'Eurostat Collected Portables'!T14</f>
        <v>22.613430136120659</v>
      </c>
      <c r="U21" s="4">
        <f>$U$6*'Eurostat Collected Portables'!U14</f>
        <v>32.646785635023065</v>
      </c>
      <c r="V21" s="4">
        <f>$V$6*'Eurostat Collected Portables'!V14</f>
        <v>35.631094858156033</v>
      </c>
      <c r="W21" s="4">
        <f>$W$6*'Eurostat Collected Portables'!W14</f>
        <v>38.019421815005188</v>
      </c>
      <c r="X21" s="48">
        <f>X$6*'Eurostat Collected Portables'!X14</f>
        <v>37.112701282290672</v>
      </c>
      <c r="Y21" s="48">
        <f>Y$6*'Eurostat Collected Portables'!Y14</f>
        <v>43.791810038772873</v>
      </c>
      <c r="Z21" s="48">
        <f>Z$6*'Eurostat Collected Portables'!Z14</f>
        <v>45.734420804117974</v>
      </c>
      <c r="AA21" s="48">
        <f>AA$6*'Eurostat Collected Portables'!AA14</f>
        <v>47.304418932095956</v>
      </c>
      <c r="AB21" s="48">
        <f>AB$6*'Eurostat Collected Portables'!AB14</f>
        <v>48.259688855091596</v>
      </c>
      <c r="AC21" s="48">
        <f>AC$6*'Eurostat Collected Portables'!AC14</f>
        <v>48.624092400438471</v>
      </c>
      <c r="AD21" s="48">
        <f>AD$6*'Eurostat Collected Portables'!AD14</f>
        <v>48.481756386619097</v>
      </c>
      <c r="AE21" s="48">
        <f>AE$6*'Eurostat Collected Portables'!AE14</f>
        <v>48.057957655151611</v>
      </c>
      <c r="AF21" s="48">
        <f>AF$6*'Eurostat Collected Portables'!AF14</f>
        <v>47.282383511950179</v>
      </c>
      <c r="AG21" s="48">
        <f>AG$6*'Eurostat Collected Portables'!AG14</f>
        <v>45.806479934955945</v>
      </c>
      <c r="AH21" s="48">
        <f>AH$6*'Eurostat Collected Portables'!AH14</f>
        <v>44.140177293113837</v>
      </c>
      <c r="AI21" s="48">
        <f>AI$6*'Eurostat Collected Portables'!AI14</f>
        <v>42.310711104796319</v>
      </c>
      <c r="AJ21" s="48">
        <f>AJ$6*'Eurostat Collected Portables'!AJ14</f>
        <v>40.547202223431107</v>
      </c>
      <c r="AK21" s="48">
        <f>AK$6*'Eurostat Collected Portables'!AK14</f>
        <v>38.849419857916651</v>
      </c>
      <c r="AL21" s="48">
        <f>AL$6*'Eurostat Collected Portables'!AL14</f>
        <v>37.216270601737342</v>
      </c>
      <c r="AM21" s="48">
        <f>AM$6*'Eurostat Collected Portables'!AM14</f>
        <v>35.646465120731818</v>
      </c>
      <c r="AN21" s="48">
        <f>AN$6*'Eurostat Collected Portables'!AN14</f>
        <v>34.138556662309327</v>
      </c>
      <c r="AO21" s="48">
        <f>AO$6*'Eurostat Collected Portables'!AO14</f>
        <v>32.684407453095211</v>
      </c>
      <c r="AP21" s="48">
        <f>AP$6*'Eurostat Collected Portables'!AP14</f>
        <v>31.239342726144642</v>
      </c>
      <c r="AQ21" s="48">
        <f>AQ$6*'Eurostat Collected Portables'!AQ14</f>
        <v>29.600400714998251</v>
      </c>
      <c r="AR21" s="48">
        <f>AR$6*'Eurostat Collected Portables'!AR14</f>
        <v>27.81488504617241</v>
      </c>
      <c r="AS21" s="48">
        <f>AS$6*'Eurostat Collected Portables'!AS14</f>
        <v>25.954506345835831</v>
      </c>
      <c r="AT21" s="48">
        <f>AT$6*'Eurostat Collected Portables'!AT14</f>
        <v>24.208792027793734</v>
      </c>
      <c r="AU21" s="48">
        <f>AU$6*'Eurostat Collected Portables'!AU14</f>
        <v>0</v>
      </c>
      <c r="AV21" s="48">
        <f>AV$6*'Eurostat Collected Portables'!AV14</f>
        <v>0</v>
      </c>
      <c r="AW21" s="48">
        <f>AW$6*'Eurostat Collected Portables'!AW14</f>
        <v>0</v>
      </c>
      <c r="AX21" s="48">
        <f>AX$6*'Eurostat Collected Portables'!AX14</f>
        <v>0</v>
      </c>
      <c r="AY21" s="48">
        <f>AY$6*'Eurostat Collected Portables'!AY14</f>
        <v>0</v>
      </c>
      <c r="AZ21" s="48">
        <f>AZ$6*'Eurostat Collected Portables'!AZ14</f>
        <v>0</v>
      </c>
    </row>
    <row r="22" spans="1:52" x14ac:dyDescent="0.35">
      <c r="A22" s="1" t="s">
        <v>12</v>
      </c>
      <c r="B22" s="23">
        <f t="shared" si="1"/>
        <v>25.250915397562142</v>
      </c>
      <c r="C22" s="23">
        <f t="shared" si="2"/>
        <v>25.755933705513385</v>
      </c>
      <c r="D22" s="23">
        <f t="shared" si="3"/>
        <v>26.271052379623654</v>
      </c>
      <c r="E22" s="23">
        <f t="shared" si="4"/>
        <v>26.796473427216128</v>
      </c>
      <c r="F22" s="23">
        <f t="shared" si="5"/>
        <v>27.332402895760453</v>
      </c>
      <c r="G22" s="23">
        <f t="shared" si="6"/>
        <v>27.879050953675662</v>
      </c>
      <c r="H22" s="23">
        <f t="shared" si="7"/>
        <v>28.436631972749176</v>
      </c>
      <c r="I22" s="23">
        <f t="shared" si="8"/>
        <v>29.005364612204161</v>
      </c>
      <c r="J22" s="23">
        <f t="shared" si="9"/>
        <v>29.585471904448244</v>
      </c>
      <c r="K22" s="23">
        <f t="shared" si="10"/>
        <v>30.17718134253721</v>
      </c>
      <c r="L22" s="23">
        <f t="shared" si="11"/>
        <v>30.780724969387954</v>
      </c>
      <c r="M22" s="4">
        <f>$M$6*'Eurostat Collected Portables'!M15</f>
        <v>31.396339468775714</v>
      </c>
      <c r="N22" s="4">
        <f>$N$6*'Eurostat Collected Portables'!N15</f>
        <v>34.716384065240291</v>
      </c>
      <c r="O22" s="4">
        <f>$O$6*'Eurostat Collected Portables'!O15</f>
        <v>31.633222010443205</v>
      </c>
      <c r="P22" s="4">
        <f>$P$6*'Eurostat Collected Portables'!P15</f>
        <v>32.58626528877884</v>
      </c>
      <c r="Q22" s="4">
        <f>$Q$6*'Eurostat Collected Portables'!Q15</f>
        <v>38.07520879872925</v>
      </c>
      <c r="R22" s="4">
        <f>$R$6*'Eurostat Collected Portables'!R15</f>
        <v>43.701528265926342</v>
      </c>
      <c r="S22" s="4">
        <f>$S$6*'Eurostat Collected Portables'!S15</f>
        <v>40.481091799682126</v>
      </c>
      <c r="T22" s="4">
        <f>$T$6*'Eurostat Collected Portables'!T15</f>
        <v>43.713845959336318</v>
      </c>
      <c r="U22" s="4">
        <f>$U$6*'Eurostat Collected Portables'!U15</f>
        <v>78.084688920489583</v>
      </c>
      <c r="V22" s="4">
        <f>$V$6*'Eurostat Collected Portables'!V15</f>
        <v>75.293661347517741</v>
      </c>
      <c r="W22" s="4">
        <f>$W$6*'Eurostat Collected Portables'!W15</f>
        <v>79.565802571968405</v>
      </c>
      <c r="X22" s="48">
        <f>X$6*'Eurostat Collected Portables'!X15</f>
        <v>66.86189004401821</v>
      </c>
      <c r="Y22" s="48">
        <f>Y$6*'Eurostat Collected Portables'!Y15</f>
        <v>73.020367704896699</v>
      </c>
      <c r="Z22" s="48">
        <f>Z$6*'Eurostat Collected Portables'!Z15</f>
        <v>74.497043243529959</v>
      </c>
      <c r="AA22" s="48">
        <f>AA$6*'Eurostat Collected Portables'!AA15</f>
        <v>75.346740606302845</v>
      </c>
      <c r="AB22" s="48">
        <f>AB$6*'Eurostat Collected Portables'!AB15</f>
        <v>75.232979784085956</v>
      </c>
      <c r="AC22" s="48">
        <f>AC$6*'Eurostat Collected Portables'!AC15</f>
        <v>74.25143151656431</v>
      </c>
      <c r="AD22" s="48">
        <f>AD$6*'Eurostat Collected Portables'!AD15</f>
        <v>72.578272942971296</v>
      </c>
      <c r="AE22" s="48">
        <f>AE$6*'Eurostat Collected Portables'!AE15</f>
        <v>70.581805506365583</v>
      </c>
      <c r="AF22" s="48">
        <f>AF$6*'Eurostat Collected Portables'!AF15</f>
        <v>68.175889415406189</v>
      </c>
      <c r="AG22" s="48">
        <f>AG$6*'Eurostat Collected Portables'!AG15</f>
        <v>64.885764390130092</v>
      </c>
      <c r="AH22" s="48">
        <f>AH$6*'Eurostat Collected Portables'!AH15</f>
        <v>61.463650978756334</v>
      </c>
      <c r="AI22" s="48">
        <f>AI$6*'Eurostat Collected Portables'!AI15</f>
        <v>57.949814384106233</v>
      </c>
      <c r="AJ22" s="48">
        <f>AJ$6*'Eurostat Collected Portables'!AJ15</f>
        <v>54.653985605347394</v>
      </c>
      <c r="AK22" s="48">
        <f>AK$6*'Eurostat Collected Portables'!AK15</f>
        <v>51.562460139055567</v>
      </c>
      <c r="AL22" s="48">
        <f>AL$6*'Eurostat Collected Portables'!AL15</f>
        <v>48.661681494474145</v>
      </c>
      <c r="AM22" s="48">
        <f>AM$6*'Eurostat Collected Portables'!AM15</f>
        <v>45.939035171822162</v>
      </c>
      <c r="AN22" s="48">
        <f>AN$6*'Eurostat Collected Portables'!AN15</f>
        <v>43.382781309297734</v>
      </c>
      <c r="AO22" s="48">
        <f>AO$6*'Eurostat Collected Portables'!AO15</f>
        <v>40.973759744120784</v>
      </c>
      <c r="AP22" s="48">
        <f>AP$6*'Eurostat Collected Portables'!AP15</f>
        <v>38.648910853056172</v>
      </c>
      <c r="AQ22" s="48">
        <f>AQ$6*'Eurostat Collected Portables'!AQ15</f>
        <v>36.1553031216283</v>
      </c>
      <c r="AR22" s="48">
        <f>AR$6*'Eurostat Collected Portables'!AR15</f>
        <v>33.554580230755008</v>
      </c>
      <c r="AS22" s="48">
        <f>AS$6*'Eurostat Collected Portables'!AS15</f>
        <v>30.934365932055375</v>
      </c>
      <c r="AT22" s="48">
        <f>AT$6*'Eurostat Collected Portables'!AT15</f>
        <v>28.516906183226631</v>
      </c>
      <c r="AU22" s="48">
        <f>AU$6*'Eurostat Collected Portables'!AU15</f>
        <v>0</v>
      </c>
      <c r="AV22" s="48">
        <f>AV$6*'Eurostat Collected Portables'!AV15</f>
        <v>0</v>
      </c>
      <c r="AW22" s="48">
        <f>AW$6*'Eurostat Collected Portables'!AW15</f>
        <v>0</v>
      </c>
      <c r="AX22" s="48">
        <f>AX$6*'Eurostat Collected Portables'!AX15</f>
        <v>0</v>
      </c>
      <c r="AY22" s="48">
        <f>AY$6*'Eurostat Collected Portables'!AY15</f>
        <v>0</v>
      </c>
      <c r="AZ22" s="48">
        <f>AZ$6*'Eurostat Collected Portables'!AZ15</f>
        <v>0</v>
      </c>
    </row>
    <row r="23" spans="1:52" x14ac:dyDescent="0.35">
      <c r="A23" s="1" t="s">
        <v>13</v>
      </c>
      <c r="B23" s="23">
        <f t="shared" si="1"/>
        <v>2.054786241885878</v>
      </c>
      <c r="C23" s="23">
        <f t="shared" si="2"/>
        <v>2.0958819667235957</v>
      </c>
      <c r="D23" s="23">
        <f t="shared" si="3"/>
        <v>2.1377996060580675</v>
      </c>
      <c r="E23" s="23">
        <f t="shared" si="4"/>
        <v>2.1805555981792288</v>
      </c>
      <c r="F23" s="23">
        <f t="shared" si="5"/>
        <v>2.2241667101428133</v>
      </c>
      <c r="G23" s="23">
        <f t="shared" si="6"/>
        <v>2.2686500443456694</v>
      </c>
      <c r="H23" s="23">
        <f t="shared" si="7"/>
        <v>2.3140230452325827</v>
      </c>
      <c r="I23" s="23">
        <f t="shared" si="8"/>
        <v>2.3603035061372344</v>
      </c>
      <c r="J23" s="23">
        <f t="shared" si="9"/>
        <v>2.407509576259979</v>
      </c>
      <c r="K23" s="23">
        <f t="shared" si="10"/>
        <v>2.4556597677851788</v>
      </c>
      <c r="L23" s="23">
        <f t="shared" si="11"/>
        <v>2.5047729631408826</v>
      </c>
      <c r="M23" s="4">
        <f>$M$6*'Eurostat Collected Portables'!M16</f>
        <v>2.5548684224037004</v>
      </c>
      <c r="N23" s="4">
        <f>$N$6*'Eurostat Collected Portables'!N16</f>
        <v>3.6560897829617383</v>
      </c>
      <c r="O23" s="4">
        <f>$O$6*'Eurostat Collected Portables'!O16</f>
        <v>3.9419861274552299</v>
      </c>
      <c r="P23" s="4">
        <f>$P$6*'Eurostat Collected Portables'!P16</f>
        <v>3.3498895453373967</v>
      </c>
      <c r="Q23" s="4">
        <f>$Q$6*'Eurostat Collected Portables'!Q16</f>
        <v>3.1287001331931674</v>
      </c>
      <c r="R23" s="4">
        <f>$R$6*'Eurostat Collected Portables'!R16</f>
        <v>2.8059983441896308</v>
      </c>
      <c r="S23" s="4">
        <f>$S$6*'Eurostat Collected Portables'!S16</f>
        <v>4.1953131501488752</v>
      </c>
      <c r="T23" s="4">
        <f>$T$6*'Eurostat Collected Portables'!T16</f>
        <v>3.3449883998818626</v>
      </c>
      <c r="U23" s="4">
        <f>$U$6*'Eurostat Collected Portables'!U16</f>
        <v>4.5009748719761298</v>
      </c>
      <c r="V23" s="4">
        <f>$V$6*'Eurostat Collected Portables'!V16</f>
        <v>5.8219193262411357</v>
      </c>
      <c r="W23" s="4">
        <f>$W$6*'Eurostat Collected Portables'!W16</f>
        <v>5.8224712024866445</v>
      </c>
      <c r="X23" s="48">
        <f>X$6*'Eurostat Collected Portables'!X16</f>
        <v>5.816207580389972</v>
      </c>
      <c r="Y23" s="48">
        <f>Y$6*'Eurostat Collected Portables'!Y16</f>
        <v>6.1575282834201683</v>
      </c>
      <c r="Z23" s="48">
        <f>Z$6*'Eurostat Collected Portables'!Z16</f>
        <v>6.3609469581575437</v>
      </c>
      <c r="AA23" s="48">
        <f>AA$6*'Eurostat Collected Portables'!AA16</f>
        <v>6.5117486656509449</v>
      </c>
      <c r="AB23" s="48">
        <f>AB$6*'Eurostat Collected Portables'!AB16</f>
        <v>6.5785497118857172</v>
      </c>
      <c r="AC23" s="48">
        <f>AC$6*'Eurostat Collected Portables'!AC16</f>
        <v>6.5669161549153401</v>
      </c>
      <c r="AD23" s="48">
        <f>AD$6*'Eurostat Collected Portables'!AD16</f>
        <v>6.490097314428767</v>
      </c>
      <c r="AE23" s="48">
        <f>AE$6*'Eurostat Collected Portables'!AE16</f>
        <v>6.3794789796809699</v>
      </c>
      <c r="AF23" s="48">
        <f>AF$6*'Eurostat Collected Portables'!AF16</f>
        <v>6.2264050516399401</v>
      </c>
      <c r="AG23" s="48">
        <f>AG$6*'Eurostat Collected Portables'!AG16</f>
        <v>5.9860764727279649</v>
      </c>
      <c r="AH23" s="48">
        <f>AH$6*'Eurostat Collected Portables'!AH16</f>
        <v>5.7263146001150078</v>
      </c>
      <c r="AI23" s="48">
        <f>AI$6*'Eurostat Collected Portables'!AI16</f>
        <v>5.4507453079174422</v>
      </c>
      <c r="AJ23" s="48">
        <f>AJ$6*'Eurostat Collected Portables'!AJ16</f>
        <v>5.1887240938445656</v>
      </c>
      <c r="AK23" s="48">
        <f>AK$6*'Eurostat Collected Portables'!AK16</f>
        <v>4.9396915431595652</v>
      </c>
      <c r="AL23" s="48">
        <f>AL$6*'Eurostat Collected Portables'!AL16</f>
        <v>4.7030297109488064</v>
      </c>
      <c r="AM23" s="48">
        <f>AM$6*'Eurostat Collected Portables'!AM16</f>
        <v>4.4781432959695451</v>
      </c>
      <c r="AN23" s="48">
        <f>AN$6*'Eurostat Collected Portables'!AN16</f>
        <v>4.2644598503212734</v>
      </c>
      <c r="AO23" s="48">
        <f>AO$6*'Eurostat Collected Portables'!AO16</f>
        <v>4.0606139377366635</v>
      </c>
      <c r="AP23" s="48">
        <f>AP$6*'Eurostat Collected Portables'!AP16</f>
        <v>3.8607762005075705</v>
      </c>
      <c r="AQ23" s="48">
        <f>AQ$6*'Eurostat Collected Portables'!AQ16</f>
        <v>3.6397908120808609</v>
      </c>
      <c r="AR23" s="48">
        <f>AR$6*'Eurostat Collected Portables'!AR16</f>
        <v>3.4036273307005374</v>
      </c>
      <c r="AS23" s="48">
        <f>AS$6*'Eurostat Collected Portables'!AS16</f>
        <v>3.1611049072360444</v>
      </c>
      <c r="AT23" s="48">
        <f>AT$6*'Eurostat Collected Portables'!AT16</f>
        <v>2.9351626163625784</v>
      </c>
      <c r="AU23" s="48">
        <f>AU$6*'Eurostat Collected Portables'!AU16</f>
        <v>0</v>
      </c>
      <c r="AV23" s="48">
        <f>AV$6*'Eurostat Collected Portables'!AV16</f>
        <v>0</v>
      </c>
      <c r="AW23" s="48">
        <f>AW$6*'Eurostat Collected Portables'!AW16</f>
        <v>0</v>
      </c>
      <c r="AX23" s="48">
        <f>AX$6*'Eurostat Collected Portables'!AX16</f>
        <v>0</v>
      </c>
      <c r="AY23" s="48">
        <f>AY$6*'Eurostat Collected Portables'!AY16</f>
        <v>0</v>
      </c>
      <c r="AZ23" s="48">
        <f>AZ$6*'Eurostat Collected Portables'!AZ16</f>
        <v>0</v>
      </c>
    </row>
    <row r="24" spans="1:52" x14ac:dyDescent="0.35">
      <c r="A24" s="1" t="s">
        <v>14</v>
      </c>
      <c r="B24" s="23">
        <f t="shared" si="1"/>
        <v>34.321088999347225</v>
      </c>
      <c r="C24" s="23">
        <f t="shared" si="2"/>
        <v>35.007510779334169</v>
      </c>
      <c r="D24" s="23">
        <f t="shared" si="3"/>
        <v>35.70766099492085</v>
      </c>
      <c r="E24" s="23">
        <f t="shared" si="4"/>
        <v>36.421814214819271</v>
      </c>
      <c r="F24" s="23">
        <f t="shared" si="5"/>
        <v>37.150250499115657</v>
      </c>
      <c r="G24" s="23">
        <f t="shared" si="6"/>
        <v>37.893255509097969</v>
      </c>
      <c r="H24" s="23">
        <f t="shared" si="7"/>
        <v>38.651120619279929</v>
      </c>
      <c r="I24" s="23">
        <f t="shared" si="8"/>
        <v>39.42414303166553</v>
      </c>
      <c r="J24" s="23">
        <f t="shared" si="9"/>
        <v>40.212625892298838</v>
      </c>
      <c r="K24" s="23">
        <f t="shared" si="10"/>
        <v>41.016878410144813</v>
      </c>
      <c r="L24" s="23">
        <f t="shared" si="11"/>
        <v>41.837215978347707</v>
      </c>
      <c r="M24" s="4">
        <f>$M$6*'Eurostat Collected Portables'!M17</f>
        <v>42.673960297914661</v>
      </c>
      <c r="N24" s="4">
        <f>$N$6*'Eurostat Collected Portables'!N17</f>
        <v>37.81253216973041</v>
      </c>
      <c r="O24" s="4">
        <f>$O$6*'Eurostat Collected Portables'!O17</f>
        <v>37.473201458525025</v>
      </c>
      <c r="P24" s="4">
        <f>$P$6*'Eurostat Collected Portables'!P17</f>
        <v>36.397838329146715</v>
      </c>
      <c r="Q24" s="4">
        <f>$Q$6*'Eurostat Collected Portables'!Q17</f>
        <v>39.453265953643047</v>
      </c>
      <c r="R24" s="4">
        <f>$R$6*'Eurostat Collected Portables'!R17</f>
        <v>53.513042746454268</v>
      </c>
      <c r="S24" s="4">
        <f>$S$6*'Eurostat Collected Portables'!S17</f>
        <v>54.301908999977641</v>
      </c>
      <c r="T24" s="4">
        <f>$T$6*'Eurostat Collected Portables'!T17</f>
        <v>50.174825998227938</v>
      </c>
      <c r="U24" s="4">
        <f>$U$6*'Eurostat Collected Portables'!U17</f>
        <v>67.380824777859075</v>
      </c>
      <c r="V24" s="4">
        <f>$V$6*'Eurostat Collected Portables'!V17</f>
        <v>86.617353723404264</v>
      </c>
      <c r="W24" s="4">
        <f>$W$6*'Eurostat Collected Portables'!W17</f>
        <v>95.168112467748841</v>
      </c>
      <c r="X24" s="48">
        <f>X$6*'Eurostat Collected Portables'!X17</f>
        <v>85.527208711236398</v>
      </c>
      <c r="Y24" s="48">
        <f>Y$6*'Eurostat Collected Portables'!Y17</f>
        <v>87.982478812910344</v>
      </c>
      <c r="Z24" s="48">
        <f>Z$6*'Eurostat Collected Portables'!Z17</f>
        <v>89.61867116139257</v>
      </c>
      <c r="AA24" s="48">
        <f>AA$6*'Eurostat Collected Portables'!AA17</f>
        <v>90.498955435102573</v>
      </c>
      <c r="AB24" s="48">
        <f>AB$6*'Eurostat Collected Portables'!AB17</f>
        <v>90.223362978007401</v>
      </c>
      <c r="AC24" s="48">
        <f>AC$6*'Eurostat Collected Portables'!AC17</f>
        <v>88.911703606226084</v>
      </c>
      <c r="AD24" s="48">
        <f>AD$6*'Eurostat Collected Portables'!AD17</f>
        <v>86.77916766866737</v>
      </c>
      <c r="AE24" s="48">
        <f>AE$6*'Eurostat Collected Portables'!AE17</f>
        <v>84.268927414874199</v>
      </c>
      <c r="AF24" s="48">
        <f>AF$6*'Eurostat Collected Portables'!AF17</f>
        <v>81.279717247671016</v>
      </c>
      <c r="AG24" s="48">
        <f>AG$6*'Eurostat Collected Portables'!AG17</f>
        <v>77.248135906785706</v>
      </c>
      <c r="AH24" s="48">
        <f>AH$6*'Eurostat Collected Portables'!AH17</f>
        <v>73.072577155022302</v>
      </c>
      <c r="AI24" s="48">
        <f>AI$6*'Eurostat Collected Portables'!AI17</f>
        <v>68.801138777842979</v>
      </c>
      <c r="AJ24" s="48">
        <f>AJ$6*'Eurostat Collected Portables'!AJ17</f>
        <v>64.801147046322328</v>
      </c>
      <c r="AK24" s="48">
        <f>AK$6*'Eurostat Collected Portables'!AK17</f>
        <v>61.055008237964969</v>
      </c>
      <c r="AL24" s="48">
        <f>AL$6*'Eurostat Collected Portables'!AL17</f>
        <v>57.545435732988096</v>
      </c>
      <c r="AM24" s="48">
        <f>AM$6*'Eurostat Collected Portables'!AM17</f>
        <v>54.25638089566997</v>
      </c>
      <c r="AN24" s="48">
        <f>AN$6*'Eurostat Collected Portables'!AN17</f>
        <v>51.172941241735707</v>
      </c>
      <c r="AO24" s="48">
        <f>AO$6*'Eurostat Collected Portables'!AO17</f>
        <v>48.271576831625964</v>
      </c>
      <c r="AP24" s="48">
        <f>AP$6*'Eurostat Collected Portables'!AP17</f>
        <v>45.477234907636813</v>
      </c>
      <c r="AQ24" s="48">
        <f>AQ$6*'Eurostat Collected Portables'!AQ17</f>
        <v>42.492096923294994</v>
      </c>
      <c r="AR24" s="48">
        <f>AR$6*'Eurostat Collected Portables'!AR17</f>
        <v>39.389038839834953</v>
      </c>
      <c r="AS24" s="48">
        <f>AS$6*'Eurostat Collected Portables'!AS17</f>
        <v>36.271045533299066</v>
      </c>
      <c r="AT24" s="48">
        <f>AT$6*'Eurostat Collected Portables'!AT17</f>
        <v>33.398289989781311</v>
      </c>
      <c r="AU24" s="48">
        <f>AU$6*'Eurostat Collected Portables'!AU17</f>
        <v>0</v>
      </c>
      <c r="AV24" s="48">
        <f>AV$6*'Eurostat Collected Portables'!AV17</f>
        <v>0</v>
      </c>
      <c r="AW24" s="48">
        <f>AW$6*'Eurostat Collected Portables'!AW17</f>
        <v>0</v>
      </c>
      <c r="AX24" s="48">
        <f>AX$6*'Eurostat Collected Portables'!AX17</f>
        <v>0</v>
      </c>
      <c r="AY24" s="48">
        <f>AY$6*'Eurostat Collected Portables'!AY17</f>
        <v>0</v>
      </c>
      <c r="AZ24" s="48">
        <f>AZ$6*'Eurostat Collected Portables'!AZ17</f>
        <v>0</v>
      </c>
    </row>
    <row r="25" spans="1:52" x14ac:dyDescent="0.35">
      <c r="A25" s="1" t="s">
        <v>15</v>
      </c>
      <c r="B25" s="23">
        <f t="shared" si="1"/>
        <v>416.89205332649169</v>
      </c>
      <c r="C25" s="23">
        <f t="shared" si="2"/>
        <v>425.22989439302154</v>
      </c>
      <c r="D25" s="23">
        <f t="shared" si="3"/>
        <v>433.73449228088197</v>
      </c>
      <c r="E25" s="23">
        <f t="shared" si="4"/>
        <v>442.40918212649962</v>
      </c>
      <c r="F25" s="23">
        <f t="shared" si="5"/>
        <v>451.2573657690296</v>
      </c>
      <c r="G25" s="23">
        <f t="shared" si="6"/>
        <v>460.2825130844102</v>
      </c>
      <c r="H25" s="23">
        <f t="shared" si="7"/>
        <v>469.48816334609842</v>
      </c>
      <c r="I25" s="23">
        <f t="shared" si="8"/>
        <v>478.87792661302041</v>
      </c>
      <c r="J25" s="23">
        <f t="shared" si="9"/>
        <v>488.45548514528082</v>
      </c>
      <c r="K25" s="23">
        <f t="shared" si="10"/>
        <v>498.22459484818643</v>
      </c>
      <c r="L25" s="23">
        <f t="shared" si="11"/>
        <v>508.18908674515018</v>
      </c>
      <c r="M25" s="4">
        <f>$M$6*'Eurostat Collected Portables'!M18</f>
        <v>518.35286848005319</v>
      </c>
      <c r="N25" s="4">
        <f>$N$6*'Eurostat Collected Portables'!N18</f>
        <v>530.29770725841422</v>
      </c>
      <c r="O25" s="4">
        <f>$O$6*'Eurostat Collected Portables'!O18</f>
        <v>512.76236216543418</v>
      </c>
      <c r="P25" s="4">
        <f>$P$6*'Eurostat Collected Portables'!P18</f>
        <v>514.56236044966261</v>
      </c>
      <c r="Q25" s="4">
        <f>$Q$6*'Eurostat Collected Portables'!Q18</f>
        <v>515.75065001495852</v>
      </c>
      <c r="R25" s="4">
        <f>$R$6*'Eurostat Collected Portables'!R18</f>
        <v>450.0499033459551</v>
      </c>
      <c r="S25" s="4">
        <f>$S$6*'Eurostat Collected Portables'!S18</f>
        <v>387.9642414094788</v>
      </c>
      <c r="T25" s="4">
        <f>$T$6*'Eurostat Collected Portables'!T18</f>
        <v>426.58825168175537</v>
      </c>
      <c r="U25" s="4">
        <f>$U$6*'Eurostat Collected Portables'!U18</f>
        <v>586.99990958185731</v>
      </c>
      <c r="V25" s="4">
        <f>$V$6*'Eurostat Collected Portables'!V18</f>
        <v>621.08377659574467</v>
      </c>
      <c r="W25" s="4">
        <f>$W$6*'Eurostat Collected Portables'!W18</f>
        <v>627.61935477317525</v>
      </c>
      <c r="X25" s="48">
        <f>X$6*'Eurostat Collected Portables'!X18</f>
        <v>557.98485211304887</v>
      </c>
      <c r="Y25" s="48">
        <f>Y$6*'Eurostat Collected Portables'!Y18</f>
        <v>599.4341280680776</v>
      </c>
      <c r="Z25" s="48">
        <f>Z$6*'Eurostat Collected Portables'!Z18</f>
        <v>618.43717133242637</v>
      </c>
      <c r="AA25" s="48">
        <f>AA$6*'Eurostat Collected Portables'!AA18</f>
        <v>632.3153918776427</v>
      </c>
      <c r="AB25" s="48">
        <f>AB$6*'Eurostat Collected Portables'!AB18</f>
        <v>638.04410016622126</v>
      </c>
      <c r="AC25" s="48">
        <f>AC$6*'Eurostat Collected Portables'!AC18</f>
        <v>636.19050689213771</v>
      </c>
      <c r="AD25" s="48">
        <f>AD$6*'Eurostat Collected Portables'!AD18</f>
        <v>628.06072006414831</v>
      </c>
      <c r="AE25" s="48">
        <f>AE$6*'Eurostat Collected Portables'!AE18</f>
        <v>616.70681173694106</v>
      </c>
      <c r="AF25" s="48">
        <f>AF$6*'Eurostat Collected Portables'!AF18</f>
        <v>601.30022491714692</v>
      </c>
      <c r="AG25" s="48">
        <f>AG$6*'Eurostat Collected Portables'!AG18</f>
        <v>577.52807364723492</v>
      </c>
      <c r="AH25" s="48">
        <f>AH$6*'Eurostat Collected Portables'!AH18</f>
        <v>551.94825983745159</v>
      </c>
      <c r="AI25" s="48">
        <f>AI$6*'Eurostat Collected Portables'!AI18</f>
        <v>524.91142552795043</v>
      </c>
      <c r="AJ25" s="48">
        <f>AJ$6*'Eurostat Collected Portables'!AJ18</f>
        <v>499.24251028265667</v>
      </c>
      <c r="AK25" s="48">
        <f>AK$6*'Eurostat Collected Portables'!AK18</f>
        <v>474.88101153410105</v>
      </c>
      <c r="AL25" s="48">
        <f>AL$6*'Eurostat Collected Portables'!AL18</f>
        <v>451.76144861443555</v>
      </c>
      <c r="AM25" s="48">
        <f>AM$6*'Eurostat Collected Portables'!AM18</f>
        <v>429.82112086652273</v>
      </c>
      <c r="AN25" s="48">
        <f>AN$6*'Eurostat Collected Portables'!AN18</f>
        <v>409.00006835923961</v>
      </c>
      <c r="AO25" s="48">
        <f>AO$6*'Eurostat Collected Portables'!AO18</f>
        <v>389.16282934564549</v>
      </c>
      <c r="AP25" s="48">
        <f>AP$6*'Eurostat Collected Portables'!AP18</f>
        <v>369.74710464736586</v>
      </c>
      <c r="AQ25" s="48">
        <f>AQ$6*'Eurostat Collected Portables'!AQ18</f>
        <v>348.34277242763727</v>
      </c>
      <c r="AR25" s="48">
        <f>AR$6*'Eurostat Collected Portables'!AR18</f>
        <v>325.52314893612817</v>
      </c>
      <c r="AS25" s="48">
        <f>AS$6*'Eurostat Collected Portables'!AS18</f>
        <v>302.13227990678911</v>
      </c>
      <c r="AT25" s="48">
        <f>AT$6*'Eurostat Collected Portables'!AT18</f>
        <v>280.36072781437633</v>
      </c>
      <c r="AU25" s="48">
        <f>AU$6*'Eurostat Collected Portables'!AU18</f>
        <v>0</v>
      </c>
      <c r="AV25" s="48">
        <f>AV$6*'Eurostat Collected Portables'!AV18</f>
        <v>0</v>
      </c>
      <c r="AW25" s="48">
        <f>AW$6*'Eurostat Collected Portables'!AW18</f>
        <v>0</v>
      </c>
      <c r="AX25" s="48">
        <f>AX$6*'Eurostat Collected Portables'!AX18</f>
        <v>0</v>
      </c>
      <c r="AY25" s="48">
        <f>AY$6*'Eurostat Collected Portables'!AY18</f>
        <v>0</v>
      </c>
      <c r="AZ25" s="48">
        <f>AZ$6*'Eurostat Collected Portables'!AZ18</f>
        <v>0</v>
      </c>
    </row>
    <row r="26" spans="1:52" x14ac:dyDescent="0.35">
      <c r="A26" s="1" t="s">
        <v>16</v>
      </c>
      <c r="B26" s="23">
        <f t="shared" si="1"/>
        <v>7.1105681939920009</v>
      </c>
      <c r="C26" s="23">
        <f t="shared" si="2"/>
        <v>7.2527795578718415</v>
      </c>
      <c r="D26" s="23">
        <f t="shared" si="3"/>
        <v>7.3978351490292784</v>
      </c>
      <c r="E26" s="23">
        <f t="shared" si="4"/>
        <v>7.5457918520098639</v>
      </c>
      <c r="F26" s="23">
        <f t="shared" si="5"/>
        <v>7.6967076890500614</v>
      </c>
      <c r="G26" s="23">
        <f t="shared" si="6"/>
        <v>7.8506418428310631</v>
      </c>
      <c r="H26" s="23">
        <f t="shared" si="7"/>
        <v>8.0076546796876844</v>
      </c>
      <c r="I26" s="23">
        <f t="shared" si="8"/>
        <v>8.1678077732814387</v>
      </c>
      <c r="J26" s="23">
        <f t="shared" si="9"/>
        <v>8.3311639287470669</v>
      </c>
      <c r="K26" s="23">
        <f t="shared" si="10"/>
        <v>8.4977872073220091</v>
      </c>
      <c r="L26" s="23">
        <f t="shared" si="11"/>
        <v>8.6677429514684494</v>
      </c>
      <c r="M26" s="4">
        <f>$M$6*'Eurostat Collected Portables'!M19</f>
        <v>8.8410978104978177</v>
      </c>
      <c r="N26" s="4">
        <f>$N$6*'Eurostat Collected Portables'!N19</f>
        <v>8.4979384144516068</v>
      </c>
      <c r="O26" s="4">
        <f>$O$6*'Eurostat Collected Portables'!O19</f>
        <v>8.0908048603633578</v>
      </c>
      <c r="P26" s="4">
        <f>$P$6*'Eurostat Collected Portables'!P19</f>
        <v>7.8915667173813677</v>
      </c>
      <c r="Q26" s="4">
        <f>$Q$6*'Eurostat Collected Portables'!Q19</f>
        <v>6.6350900051404862</v>
      </c>
      <c r="R26" s="4">
        <f>$R$6*'Eurostat Collected Portables'!R19</f>
        <v>8.0103668947305326</v>
      </c>
      <c r="S26" s="4">
        <f>$S$6*'Eurostat Collected Portables'!S19</f>
        <v>9.2002481362913926</v>
      </c>
      <c r="T26" s="4">
        <f>$T$6*'Eurostat Collected Portables'!T19</f>
        <v>9.4870086647016141</v>
      </c>
      <c r="U26" s="4">
        <f>$U$6*'Eurostat Collected Portables'!U19</f>
        <v>14.236139309698581</v>
      </c>
      <c r="V26" s="4">
        <f>$V$6*'Eurostat Collected Portables'!V19</f>
        <v>18.378767730496456</v>
      </c>
      <c r="W26" s="4">
        <f>$W$6*'Eurostat Collected Portables'!W19</f>
        <v>18.949931942384662</v>
      </c>
      <c r="X26" s="48">
        <f>X$6*'Eurostat Collected Portables'!X19</f>
        <v>16.375360755854711</v>
      </c>
      <c r="Y26" s="48">
        <f>Y$6*'Eurostat Collected Portables'!Y19</f>
        <v>16.750404065540422</v>
      </c>
      <c r="Z26" s="48">
        <f>Z$6*'Eurostat Collected Portables'!Z19</f>
        <v>17.042388627302234</v>
      </c>
      <c r="AA26" s="48">
        <f>AA$6*'Eurostat Collected Portables'!AA19</f>
        <v>17.190398066915186</v>
      </c>
      <c r="AB26" s="48">
        <f>AB$6*'Eurostat Collected Portables'!AB19</f>
        <v>17.119029583705963</v>
      </c>
      <c r="AC26" s="48">
        <f>AC$6*'Eurostat Collected Portables'!AC19</f>
        <v>16.851711858979904</v>
      </c>
      <c r="AD26" s="48">
        <f>AD$6*'Eurostat Collected Portables'!AD19</f>
        <v>16.429811149973187</v>
      </c>
      <c r="AE26" s="48">
        <f>AE$6*'Eurostat Collected Portables'!AE19</f>
        <v>15.93761886717213</v>
      </c>
      <c r="AF26" s="48">
        <f>AF$6*'Eurostat Collected Portables'!AF19</f>
        <v>15.356200172881188</v>
      </c>
      <c r="AG26" s="48">
        <f>AG$6*'Eurostat Collected Portables'!AG19</f>
        <v>14.579471535792305</v>
      </c>
      <c r="AH26" s="48">
        <f>AH$6*'Eurostat Collected Portables'!AH19</f>
        <v>13.777386244131865</v>
      </c>
      <c r="AI26" s="48">
        <f>AI$6*'Eurostat Collected Portables'!AI19</f>
        <v>12.959044300378686</v>
      </c>
      <c r="AJ26" s="48">
        <f>AJ$6*'Eurostat Collected Portables'!AJ19</f>
        <v>12.193577665683879</v>
      </c>
      <c r="AK26" s="48">
        <f>AK$6*'Eurostat Collected Portables'!AK19</f>
        <v>11.47748927620062</v>
      </c>
      <c r="AL26" s="48">
        <f>AL$6*'Eurostat Collected Portables'!AL19</f>
        <v>10.807358103928632</v>
      </c>
      <c r="AM26" s="48">
        <f>AM$6*'Eurostat Collected Portables'!AM19</f>
        <v>10.180012862809711</v>
      </c>
      <c r="AN26" s="48">
        <f>AN$6*'Eurostat Collected Portables'!AN19</f>
        <v>9.5925130682830737</v>
      </c>
      <c r="AO26" s="48">
        <f>AO$6*'Eurostat Collected Portables'!AO19</f>
        <v>9.0403151892247671</v>
      </c>
      <c r="AP26" s="48">
        <f>AP$6*'Eurostat Collected Portables'!AP19</f>
        <v>8.5092570429420835</v>
      </c>
      <c r="AQ26" s="48">
        <f>AQ$6*'Eurostat Collected Portables'!AQ19</f>
        <v>7.9435857574897915</v>
      </c>
      <c r="AR26" s="48">
        <f>AR$6*'Eurostat Collected Portables'!AR19</f>
        <v>7.3569848629841248</v>
      </c>
      <c r="AS26" s="48">
        <f>AS$6*'Eurostat Collected Portables'!AS19</f>
        <v>6.7687071389027356</v>
      </c>
      <c r="AT26" s="48">
        <f>AT$6*'Eurostat Collected Portables'!AT19</f>
        <v>6.2272466186531625</v>
      </c>
      <c r="AU26" s="48">
        <f>AU$6*'Eurostat Collected Portables'!AU19</f>
        <v>0</v>
      </c>
      <c r="AV26" s="48">
        <f>AV$6*'Eurostat Collected Portables'!AV19</f>
        <v>0</v>
      </c>
      <c r="AW26" s="48">
        <f>AW$6*'Eurostat Collected Portables'!AW19</f>
        <v>0</v>
      </c>
      <c r="AX26" s="48">
        <f>AX$6*'Eurostat Collected Portables'!AX19</f>
        <v>0</v>
      </c>
      <c r="AY26" s="48">
        <f>AY$6*'Eurostat Collected Portables'!AY19</f>
        <v>0</v>
      </c>
      <c r="AZ26" s="48">
        <f>AZ$6*'Eurostat Collected Portables'!AZ19</f>
        <v>0</v>
      </c>
    </row>
    <row r="27" spans="1:52" x14ac:dyDescent="0.35">
      <c r="A27" s="1" t="s">
        <v>17</v>
      </c>
      <c r="B27" s="23">
        <f t="shared" si="1"/>
        <v>11.925598624569261</v>
      </c>
      <c r="C27" s="23">
        <f t="shared" si="2"/>
        <v>12.164110597060647</v>
      </c>
      <c r="D27" s="23">
        <f t="shared" si="3"/>
        <v>12.407392809001861</v>
      </c>
      <c r="E27" s="23">
        <f t="shared" si="4"/>
        <v>12.655540665181897</v>
      </c>
      <c r="F27" s="23">
        <f t="shared" si="5"/>
        <v>12.908651478485536</v>
      </c>
      <c r="G27" s="23">
        <f t="shared" si="6"/>
        <v>13.166824508055248</v>
      </c>
      <c r="H27" s="23">
        <f t="shared" si="7"/>
        <v>13.430160998216353</v>
      </c>
      <c r="I27" s="23">
        <f t="shared" si="8"/>
        <v>13.698764218180679</v>
      </c>
      <c r="J27" s="23">
        <f t="shared" si="9"/>
        <v>13.972739502544293</v>
      </c>
      <c r="K27" s="23">
        <f t="shared" si="10"/>
        <v>14.252194292595179</v>
      </c>
      <c r="L27" s="23">
        <f t="shared" si="11"/>
        <v>14.537238178447083</v>
      </c>
      <c r="M27" s="4">
        <f>$M$6*'Eurostat Collected Portables'!M20</f>
        <v>14.827982942016025</v>
      </c>
      <c r="N27" s="4">
        <f>$N$6*'Eurostat Collected Portables'!N20</f>
        <v>16.666499370978734</v>
      </c>
      <c r="O27" s="4">
        <f>$O$6*'Eurostat Collected Portables'!O20</f>
        <v>16.789940913235238</v>
      </c>
      <c r="P27" s="4">
        <f>$P$6*'Eurostat Collected Portables'!P20</f>
        <v>13.313663577622988</v>
      </c>
      <c r="Q27" s="4">
        <f>$Q$6*'Eurostat Collected Portables'!Q20</f>
        <v>15.77109855068008</v>
      </c>
      <c r="R27" s="4">
        <f>$R$6*'Eurostat Collected Portables'!R20</f>
        <v>17.774482754579584</v>
      </c>
      <c r="S27" s="4">
        <f>$S$6*'Eurostat Collected Portables'!S20</f>
        <v>14.188827125747171</v>
      </c>
      <c r="T27" s="4">
        <f>$T$6*'Eurostat Collected Portables'!T20</f>
        <v>14.843897177959855</v>
      </c>
      <c r="U27" s="4">
        <f>$U$6*'Eurostat Collected Portables'!U20</f>
        <v>18.945839532456006</v>
      </c>
      <c r="V27" s="4">
        <f>$V$6*'Eurostat Collected Portables'!V20</f>
        <v>20.987367021276597</v>
      </c>
      <c r="W27" s="4">
        <f>$W$6*'Eurostat Collected Portables'!W20</f>
        <v>23.672470186701343</v>
      </c>
      <c r="X27" s="48">
        <f>X$6*'Eurostat Collected Portables'!X20</f>
        <v>20.678590495246571</v>
      </c>
      <c r="Y27" s="48">
        <f>Y$6*'Eurostat Collected Portables'!Y20</f>
        <v>21.868947717431677</v>
      </c>
      <c r="Z27" s="48">
        <f>Z$6*'Eurostat Collected Portables'!Z20</f>
        <v>22.287982363116573</v>
      </c>
      <c r="AA27" s="48">
        <f>AA$6*'Eurostat Collected Portables'!AA20</f>
        <v>22.519167990528135</v>
      </c>
      <c r="AB27" s="48">
        <f>AB$6*'Eurostat Collected Portables'!AB20</f>
        <v>22.462617472421968</v>
      </c>
      <c r="AC27" s="48">
        <f>AC$6*'Eurostat Collected Portables'!AC20</f>
        <v>22.147719443632106</v>
      </c>
      <c r="AD27" s="48">
        <f>AD$6*'Eurostat Collected Portables'!AD20</f>
        <v>21.627710275823819</v>
      </c>
      <c r="AE27" s="48">
        <f>AE$6*'Eurostat Collected Portables'!AE20</f>
        <v>21.01279634204186</v>
      </c>
      <c r="AF27" s="48">
        <f>AF$6*'Eurostat Collected Portables'!AF20</f>
        <v>20.277589239050869</v>
      </c>
      <c r="AG27" s="48">
        <f>AG$6*'Eurostat Collected Portables'!AG20</f>
        <v>19.281304487462208</v>
      </c>
      <c r="AH27" s="48">
        <f>AH$6*'Eurostat Collected Portables'!AH20</f>
        <v>18.247933747540248</v>
      </c>
      <c r="AI27" s="48">
        <f>AI$6*'Eurostat Collected Portables'!AI20</f>
        <v>17.189468270196429</v>
      </c>
      <c r="AJ27" s="48">
        <f>AJ$6*'Eurostat Collected Portables'!AJ20</f>
        <v>16.197717163761034</v>
      </c>
      <c r="AK27" s="48">
        <f>AK$6*'Eurostat Collected Portables'!AK20</f>
        <v>15.268400600673942</v>
      </c>
      <c r="AL27" s="48">
        <f>AL$6*'Eurostat Collected Portables'!AL20</f>
        <v>14.397303978116105</v>
      </c>
      <c r="AM27" s="48">
        <f>AM$6*'Eurostat Collected Portables'!AM20</f>
        <v>13.580511522753259</v>
      </c>
      <c r="AN27" s="48">
        <f>AN$6*'Eurostat Collected Portables'!AN20</f>
        <v>12.814384386097403</v>
      </c>
      <c r="AO27" s="48">
        <f>AO$6*'Eurostat Collected Portables'!AO20</f>
        <v>12.093110625547224</v>
      </c>
      <c r="AP27" s="48">
        <f>AP$6*'Eurostat Collected Portables'!AP20</f>
        <v>11.397955047033719</v>
      </c>
      <c r="AQ27" s="48">
        <f>AQ$6*'Eurostat Collected Portables'!AQ20</f>
        <v>10.654293100863029</v>
      </c>
      <c r="AR27" s="48">
        <f>AR$6*'Eurostat Collected Portables'!AR20</f>
        <v>9.880359527148018</v>
      </c>
      <c r="AS27" s="48">
        <f>AS$6*'Eurostat Collected Portables'!AS20</f>
        <v>9.1019760048342242</v>
      </c>
      <c r="AT27" s="48">
        <f>AT$6*'Eurostat Collected Portables'!AT20</f>
        <v>8.3844679068512917</v>
      </c>
      <c r="AU27" s="48">
        <f>AU$6*'Eurostat Collected Portables'!AU20</f>
        <v>0</v>
      </c>
      <c r="AV27" s="48">
        <f>AV$6*'Eurostat Collected Portables'!AV20</f>
        <v>0</v>
      </c>
      <c r="AW27" s="48">
        <f>AW$6*'Eurostat Collected Portables'!AW20</f>
        <v>0</v>
      </c>
      <c r="AX27" s="48">
        <f>AX$6*'Eurostat Collected Portables'!AX20</f>
        <v>0</v>
      </c>
      <c r="AY27" s="48">
        <f>AY$6*'Eurostat Collected Portables'!AY20</f>
        <v>0</v>
      </c>
      <c r="AZ27" s="48">
        <f>AZ$6*'Eurostat Collected Portables'!AZ20</f>
        <v>0</v>
      </c>
    </row>
    <row r="28" spans="1:52" x14ac:dyDescent="0.35">
      <c r="A28" s="1" t="s">
        <v>18</v>
      </c>
      <c r="B28" s="23">
        <f t="shared" si="1"/>
        <v>7.4465005496136722</v>
      </c>
      <c r="C28" s="23">
        <f t="shared" si="2"/>
        <v>7.595430560605946</v>
      </c>
      <c r="D28" s="23">
        <f t="shared" si="3"/>
        <v>7.7473391718180649</v>
      </c>
      <c r="E28" s="23">
        <f t="shared" si="4"/>
        <v>7.9022859552544267</v>
      </c>
      <c r="F28" s="23">
        <f t="shared" si="5"/>
        <v>8.0603316743595155</v>
      </c>
      <c r="G28" s="23">
        <f t="shared" si="6"/>
        <v>8.2215383078467053</v>
      </c>
      <c r="H28" s="23">
        <f t="shared" si="7"/>
        <v>8.3859690740036399</v>
      </c>
      <c r="I28" s="23">
        <f t="shared" si="8"/>
        <v>8.5536884554837123</v>
      </c>
      <c r="J28" s="23">
        <f t="shared" si="9"/>
        <v>8.7247622245933858</v>
      </c>
      <c r="K28" s="23">
        <f t="shared" si="10"/>
        <v>8.8992574690852528</v>
      </c>
      <c r="L28" s="23">
        <f t="shared" si="11"/>
        <v>9.0772426184669577</v>
      </c>
      <c r="M28" s="4">
        <f>$M$6*'Eurostat Collected Portables'!M21</f>
        <v>9.2587874708362978</v>
      </c>
      <c r="N28" s="4">
        <f>$N$6*'Eurostat Collected Portables'!N21</f>
        <v>8.4320629228667112</v>
      </c>
      <c r="O28" s="4">
        <f>$O$6*'Eurostat Collected Portables'!O21</f>
        <v>7.1174749523497214</v>
      </c>
      <c r="P28" s="4">
        <f>$P$6*'Eurostat Collected Portables'!P21</f>
        <v>6.495779406824119</v>
      </c>
      <c r="Q28" s="4">
        <f>$Q$6*'Eurostat Collected Portables'!Q21</f>
        <v>5.4101503118837808</v>
      </c>
      <c r="R28" s="4">
        <f>$R$6*'Eurostat Collected Portables'!R21</f>
        <v>5.4034427573921935</v>
      </c>
      <c r="S28" s="4">
        <f>$S$6*'Eurostat Collected Portables'!S21</f>
        <v>4.4570090971367193</v>
      </c>
      <c r="T28" s="4">
        <f>$T$6*'Eurostat Collected Portables'!T21</f>
        <v>5.7249190218026991</v>
      </c>
      <c r="U28" s="4">
        <f>$U$6*'Eurostat Collected Portables'!U21</f>
        <v>8.3490140312517998</v>
      </c>
      <c r="V28" s="4">
        <f>$V$6*'Eurostat Collected Portables'!V21</f>
        <v>9.6636746453900724</v>
      </c>
      <c r="W28" s="4">
        <f>$W$6*'Eurostat Collected Portables'!W21</f>
        <v>9.8635292444588938</v>
      </c>
      <c r="X28" s="48">
        <f>X$6*'Eurostat Collected Portables'!X21</f>
        <v>8.401338620888815</v>
      </c>
      <c r="Y28" s="48">
        <f>Y$6*'Eurostat Collected Portables'!Y21</f>
        <v>8.6982193157074637</v>
      </c>
      <c r="Z28" s="48">
        <f>Z$6*'Eurostat Collected Portables'!Z21</f>
        <v>8.7873129125403846</v>
      </c>
      <c r="AA28" s="48">
        <f>AA$6*'Eurostat Collected Portables'!AA21</f>
        <v>8.8014414372030991</v>
      </c>
      <c r="AB28" s="48">
        <f>AB$6*'Eurostat Collected Portables'!AB21</f>
        <v>8.7038346908185904</v>
      </c>
      <c r="AC28" s="48">
        <f>AC$6*'Eurostat Collected Portables'!AC21</f>
        <v>8.5086413753199306</v>
      </c>
      <c r="AD28" s="48">
        <f>AD$6*'Eurostat Collected Portables'!AD21</f>
        <v>8.238615982011396</v>
      </c>
      <c r="AE28" s="48">
        <f>AE$6*'Eurostat Collected Portables'!AE21</f>
        <v>7.9372694799254928</v>
      </c>
      <c r="AF28" s="48">
        <f>AF$6*'Eurostat Collected Portables'!AF21</f>
        <v>7.5958727456286335</v>
      </c>
      <c r="AG28" s="48">
        <f>AG$6*'Eurostat Collected Portables'!AG21</f>
        <v>7.1631142668933938</v>
      </c>
      <c r="AH28" s="48">
        <f>AH$6*'Eurostat Collected Portables'!AH21</f>
        <v>6.7237692068771633</v>
      </c>
      <c r="AI28" s="48">
        <f>AI$6*'Eurostat Collected Portables'!AI21</f>
        <v>6.2823803983676028</v>
      </c>
      <c r="AJ28" s="48">
        <f>AJ$6*'Eurostat Collected Portables'!AJ21</f>
        <v>5.8722814305106841</v>
      </c>
      <c r="AK28" s="48">
        <f>AK$6*'Eurostat Collected Portables'!AK21</f>
        <v>5.4911837876663565</v>
      </c>
      <c r="AL28" s="48">
        <f>AL$6*'Eurostat Collected Portables'!AL21</f>
        <v>5.1368947186870191</v>
      </c>
      <c r="AM28" s="48">
        <f>AM$6*'Eurostat Collected Portables'!AM21</f>
        <v>4.807396169107566</v>
      </c>
      <c r="AN28" s="48">
        <f>AN$6*'Eurostat Collected Portables'!AN21</f>
        <v>4.5008302781058527</v>
      </c>
      <c r="AO28" s="48">
        <f>AO$6*'Eurostat Collected Portables'!AO21</f>
        <v>4.2146393125417161</v>
      </c>
      <c r="AP28" s="48">
        <f>AP$6*'Eurostat Collected Portables'!AP21</f>
        <v>3.9418746881308504</v>
      </c>
      <c r="AQ28" s="48">
        <f>AQ$6*'Eurostat Collected Portables'!AQ21</f>
        <v>3.6566179796341949</v>
      </c>
      <c r="AR28" s="48">
        <f>AR$6*'Eurostat Collected Portables'!AR21</f>
        <v>3.3653634670660888</v>
      </c>
      <c r="AS28" s="48">
        <f>AS$6*'Eurostat Collected Portables'!AS21</f>
        <v>3.0769753262854143</v>
      </c>
      <c r="AT28" s="48">
        <f>AT$6*'Eurostat Collected Portables'!AT21</f>
        <v>2.8133086699921299</v>
      </c>
      <c r="AU28" s="48">
        <f>AU$6*'Eurostat Collected Portables'!AU21</f>
        <v>0</v>
      </c>
      <c r="AV28" s="48">
        <f>AV$6*'Eurostat Collected Portables'!AV21</f>
        <v>0</v>
      </c>
      <c r="AW28" s="48">
        <f>AW$6*'Eurostat Collected Portables'!AW21</f>
        <v>0</v>
      </c>
      <c r="AX28" s="48">
        <f>AX$6*'Eurostat Collected Portables'!AX21</f>
        <v>0</v>
      </c>
      <c r="AY28" s="48">
        <f>AY$6*'Eurostat Collected Portables'!AY21</f>
        <v>0</v>
      </c>
      <c r="AZ28" s="48">
        <f>AZ$6*'Eurostat Collected Portables'!AZ21</f>
        <v>0</v>
      </c>
    </row>
    <row r="29" spans="1:52" x14ac:dyDescent="0.35">
      <c r="A29" s="1" t="s">
        <v>19</v>
      </c>
      <c r="B29" s="23">
        <f t="shared" si="1"/>
        <v>1.0077970668650078</v>
      </c>
      <c r="C29" s="23">
        <f t="shared" si="2"/>
        <v>1.0279530082023081</v>
      </c>
      <c r="D29" s="23">
        <f t="shared" si="3"/>
        <v>1.0485120683663542</v>
      </c>
      <c r="E29" s="23">
        <f t="shared" si="4"/>
        <v>1.0694823097336814</v>
      </c>
      <c r="F29" s="23">
        <f t="shared" si="5"/>
        <v>1.0908719559283551</v>
      </c>
      <c r="G29" s="23">
        <f t="shared" si="6"/>
        <v>1.1126893950469221</v>
      </c>
      <c r="H29" s="23">
        <f t="shared" si="7"/>
        <v>1.1349431829478607</v>
      </c>
      <c r="I29" s="23">
        <f t="shared" si="8"/>
        <v>1.1576420466068178</v>
      </c>
      <c r="J29" s="23">
        <f t="shared" si="9"/>
        <v>1.1807948875389542</v>
      </c>
      <c r="K29" s="23">
        <f t="shared" si="10"/>
        <v>1.2044107852897334</v>
      </c>
      <c r="L29" s="23">
        <f t="shared" si="11"/>
        <v>1.2284990009955281</v>
      </c>
      <c r="M29" s="4">
        <f>$M$6*'Eurostat Collected Portables'!M22</f>
        <v>1.2530689810154387</v>
      </c>
      <c r="N29" s="4">
        <f>$N$6*'Eurostat Collected Portables'!N22</f>
        <v>1.3175098316979237</v>
      </c>
      <c r="O29" s="4">
        <f>$O$6*'Eurostat Collected Portables'!O22</f>
        <v>2.3724916507832403</v>
      </c>
      <c r="P29" s="4">
        <f>$P$6*'Eurostat Collected Portables'!P22</f>
        <v>1.1273666739116239</v>
      </c>
      <c r="Q29" s="4">
        <f>$Q$6*'Eurostat Collected Portables'!Q22</f>
        <v>1.7863703859993616</v>
      </c>
      <c r="R29" s="4">
        <f>$R$6*'Eurostat Collected Portables'!R22</f>
        <v>1.0901682756142146</v>
      </c>
      <c r="S29" s="4">
        <f>$S$6*'Eurostat Collected Portables'!S22</f>
        <v>0.94046980948756465</v>
      </c>
      <c r="T29" s="4">
        <f>$T$6*'Eurostat Collected Portables'!T22</f>
        <v>1.0631992469062155</v>
      </c>
      <c r="U29" s="4">
        <f>$U$6*'Eurostat Collected Portables'!U22</f>
        <v>1.6055796213945768</v>
      </c>
      <c r="V29" s="4">
        <f>$V$6*'Eurostat Collected Portables'!V22</f>
        <v>2.0750221631205674</v>
      </c>
      <c r="W29" s="4">
        <f>$W$6*'Eurostat Collected Portables'!W22</f>
        <v>2.0922637791276442</v>
      </c>
      <c r="X29" s="48">
        <f>X$6*'Eurostat Collected Portables'!X22</f>
        <v>1.7629375438940342</v>
      </c>
      <c r="Y29" s="48">
        <f>Y$6*'Eurostat Collected Portables'!Y22</f>
        <v>1.9569151117203645</v>
      </c>
      <c r="Z29" s="48">
        <f>Z$6*'Eurostat Collected Portables'!Z22</f>
        <v>2.0826193104348558</v>
      </c>
      <c r="AA29" s="48">
        <f>AA$6*'Eurostat Collected Portables'!AA22</f>
        <v>2.1917977229091803</v>
      </c>
      <c r="AB29" s="48">
        <f>AB$6*'Eurostat Collected Portables'!AB22</f>
        <v>2.2721472660262378</v>
      </c>
      <c r="AC29" s="48">
        <f>AC$6*'Eurostat Collected Portables'!AC22</f>
        <v>2.3235010356841106</v>
      </c>
      <c r="AD29" s="48">
        <f>AD$6*'Eurostat Collected Portables'!AD22</f>
        <v>2.3488261397383581</v>
      </c>
      <c r="AE29" s="48">
        <f>AE$6*'Eurostat Collected Portables'!AE22</f>
        <v>2.3583513429944718</v>
      </c>
      <c r="AF29" s="48">
        <f>AF$6*'Eurostat Collected Portables'!AF22</f>
        <v>2.348248225389383</v>
      </c>
      <c r="AG29" s="48">
        <f>AG$6*'Eurostat Collected Portables'!AG22</f>
        <v>2.3005922514299235</v>
      </c>
      <c r="AH29" s="48">
        <f>AH$6*'Eurostat Collected Portables'!AH22</f>
        <v>2.2403345419975502</v>
      </c>
      <c r="AI29" s="48">
        <f>AI$6*'Eurostat Collected Portables'!AI22</f>
        <v>2.1688057813230781</v>
      </c>
      <c r="AJ29" s="48">
        <f>AJ$6*'Eurostat Collected Portables'!AJ22</f>
        <v>2.0978404891327096</v>
      </c>
      <c r="AK29" s="48">
        <f>AK$6*'Eurostat Collected Portables'!AK22</f>
        <v>2.0277222900660474</v>
      </c>
      <c r="AL29" s="48">
        <f>AL$6*'Eurostat Collected Portables'!AL22</f>
        <v>1.958661253197745</v>
      </c>
      <c r="AM29" s="48">
        <f>AM$6*'Eurostat Collected Portables'!AM22</f>
        <v>1.8908306948468832</v>
      </c>
      <c r="AN29" s="48">
        <f>AN$6*'Eurostat Collected Portables'!AN22</f>
        <v>1.8243718027993092</v>
      </c>
      <c r="AO29" s="48">
        <f>AO$6*'Eurostat Collected Portables'!AO22</f>
        <v>1.7590443055657345</v>
      </c>
      <c r="AP29" s="48">
        <f>AP$6*'Eurostat Collected Portables'!AP22</f>
        <v>1.6925995280260435</v>
      </c>
      <c r="AQ29" s="48">
        <f>AQ$6*'Eurostat Collected Portables'!AQ22</f>
        <v>1.6140810450902621</v>
      </c>
      <c r="AR29" s="48">
        <f>AR$6*'Eurostat Collected Portables'!AR22</f>
        <v>1.525982988439768</v>
      </c>
      <c r="AS29" s="48">
        <f>AS$6*'Eurostat Collected Portables'!AS22</f>
        <v>1.4322149390591989</v>
      </c>
      <c r="AT29" s="48">
        <f>AT$6*'Eurostat Collected Portables'!AT22</f>
        <v>1.3433158067559443</v>
      </c>
      <c r="AU29" s="48">
        <f>AU$6*'Eurostat Collected Portables'!AU22</f>
        <v>0</v>
      </c>
      <c r="AV29" s="48">
        <f>AV$6*'Eurostat Collected Portables'!AV22</f>
        <v>0</v>
      </c>
      <c r="AW29" s="48">
        <f>AW$6*'Eurostat Collected Portables'!AW22</f>
        <v>0</v>
      </c>
      <c r="AX29" s="48">
        <f>AX$6*'Eurostat Collected Portables'!AX22</f>
        <v>0</v>
      </c>
      <c r="AY29" s="48">
        <f>AY$6*'Eurostat Collected Portables'!AY22</f>
        <v>0</v>
      </c>
      <c r="AZ29" s="48">
        <f>AZ$6*'Eurostat Collected Portables'!AZ22</f>
        <v>0</v>
      </c>
    </row>
    <row r="30" spans="1:52" x14ac:dyDescent="0.35">
      <c r="A30" s="1" t="s">
        <v>20</v>
      </c>
      <c r="B30" s="23">
        <f t="shared" si="1"/>
        <v>185.93855883659398</v>
      </c>
      <c r="C30" s="23">
        <f t="shared" si="2"/>
        <v>189.65733001332586</v>
      </c>
      <c r="D30" s="23">
        <f t="shared" si="3"/>
        <v>193.45047661359237</v>
      </c>
      <c r="E30" s="23">
        <f t="shared" si="4"/>
        <v>197.31948614586423</v>
      </c>
      <c r="F30" s="23">
        <f t="shared" si="5"/>
        <v>201.26587586878151</v>
      </c>
      <c r="G30" s="23">
        <f t="shared" si="6"/>
        <v>205.29119338615715</v>
      </c>
      <c r="H30" s="23">
        <f t="shared" si="7"/>
        <v>209.39701725388031</v>
      </c>
      <c r="I30" s="23">
        <f t="shared" si="8"/>
        <v>213.58495759895791</v>
      </c>
      <c r="J30" s="23">
        <f t="shared" si="9"/>
        <v>217.85665675093708</v>
      </c>
      <c r="K30" s="23">
        <f t="shared" si="10"/>
        <v>222.21378988595583</v>
      </c>
      <c r="L30" s="23">
        <f t="shared" si="11"/>
        <v>226.65806568367495</v>
      </c>
      <c r="M30" s="4">
        <f>$M$6*'Eurostat Collected Portables'!M23</f>
        <v>231.19122699734845</v>
      </c>
      <c r="N30" s="4">
        <f>$N$6*'Eurostat Collected Portables'!N23</f>
        <v>217.25737124698762</v>
      </c>
      <c r="O30" s="4">
        <f>$O$6*'Eurostat Collected Portables'!O23</f>
        <v>192.05015747494076</v>
      </c>
      <c r="P30" s="4">
        <f>$P$6*'Eurostat Collected Portables'!P23</f>
        <v>175.06393922027647</v>
      </c>
      <c r="Q30" s="4">
        <f>$Q$6*'Eurostat Collected Portables'!Q23</f>
        <v>175.06429782793745</v>
      </c>
      <c r="R30" s="4">
        <f>$R$6*'Eurostat Collected Portables'!R23</f>
        <v>186.94015995749837</v>
      </c>
      <c r="S30" s="4">
        <f>$S$6*'Eurostat Collected Portables'!S23</f>
        <v>163.55996686740255</v>
      </c>
      <c r="T30" s="4">
        <f>$T$6*'Eurostat Collected Portables'!T23</f>
        <v>176.20482903534165</v>
      </c>
      <c r="U30" s="4">
        <f>$U$6*'Eurostat Collected Portables'!U23</f>
        <v>245.92127867693603</v>
      </c>
      <c r="V30" s="4">
        <f>$V$6*'Eurostat Collected Portables'!V23</f>
        <v>277.63796542553195</v>
      </c>
      <c r="W30" s="4">
        <f>$W$6*'Eurostat Collected Portables'!W23</f>
        <v>271.87473335635786</v>
      </c>
      <c r="X30" s="48">
        <f>X$6*'Eurostat Collected Portables'!X23</f>
        <v>244.47208838575142</v>
      </c>
      <c r="Y30" s="48">
        <f>Y$6*'Eurostat Collected Portables'!Y23</f>
        <v>256.30074240589965</v>
      </c>
      <c r="Z30" s="48">
        <f>Z$6*'Eurostat Collected Portables'!Z23</f>
        <v>262.284243397848</v>
      </c>
      <c r="AA30" s="48">
        <f>AA$6*'Eurostat Collected Portables'!AA23</f>
        <v>266.06963118665698</v>
      </c>
      <c r="AB30" s="48">
        <f>AB$6*'Eurostat Collected Portables'!AB23</f>
        <v>266.44533244950856</v>
      </c>
      <c r="AC30" s="48">
        <f>AC$6*'Eurostat Collected Portables'!AC23</f>
        <v>263.72177345399655</v>
      </c>
      <c r="AD30" s="48">
        <f>AD$6*'Eurostat Collected Portables'!AD23</f>
        <v>258.50103125081625</v>
      </c>
      <c r="AE30" s="48">
        <f>AE$6*'Eurostat Collected Portables'!AE23</f>
        <v>252.07917104053638</v>
      </c>
      <c r="AF30" s="48">
        <f>AF$6*'Eurostat Collected Portables'!AF23</f>
        <v>244.13971887401775</v>
      </c>
      <c r="AG30" s="48">
        <f>AG$6*'Eurostat Collected Portables'!AG23</f>
        <v>232.96793788221876</v>
      </c>
      <c r="AH30" s="48">
        <f>AH$6*'Eurostat Collected Portables'!AH23</f>
        <v>221.24864472707182</v>
      </c>
      <c r="AI30" s="48">
        <f>AI$6*'Eurostat Collected Portables'!AI23</f>
        <v>209.12550785920334</v>
      </c>
      <c r="AJ30" s="48">
        <f>AJ$6*'Eurostat Collected Portables'!AJ23</f>
        <v>197.71851923284561</v>
      </c>
      <c r="AK30" s="48">
        <f>AK$6*'Eurostat Collected Portables'!AK23</f>
        <v>186.98562483742424</v>
      </c>
      <c r="AL30" s="48">
        <f>AL$6*'Eurostat Collected Portables'!AL23</f>
        <v>176.88456978941065</v>
      </c>
      <c r="AM30" s="48">
        <f>AM$6*'Eurostat Collected Portables'!AM23</f>
        <v>167.37582945379407</v>
      </c>
      <c r="AN30" s="48">
        <f>AN$6*'Eurostat Collected Portables'!AN23</f>
        <v>158.42243278129689</v>
      </c>
      <c r="AO30" s="48">
        <f>AO$6*'Eurostat Collected Portables'!AO23</f>
        <v>149.95966669902791</v>
      </c>
      <c r="AP30" s="48">
        <f>AP$6*'Eurostat Collected Portables'!AP23</f>
        <v>141.76100067335273</v>
      </c>
      <c r="AQ30" s="48">
        <f>AQ$6*'Eurostat Collected Portables'!AQ23</f>
        <v>132.89982281899367</v>
      </c>
      <c r="AR30" s="48">
        <f>AR$6*'Eurostat Collected Portables'!AR23</f>
        <v>123.60032732579481</v>
      </c>
      <c r="AS30" s="48">
        <f>AS$6*'Eurostat Collected Portables'!AS23</f>
        <v>114.18458146887821</v>
      </c>
      <c r="AT30" s="48">
        <f>AT$6*'Eurostat Collected Portables'!AT23</f>
        <v>105.47525327010385</v>
      </c>
      <c r="AU30" s="48">
        <f>AU$6*'Eurostat Collected Portables'!AU23</f>
        <v>0</v>
      </c>
      <c r="AV30" s="48">
        <f>AV$6*'Eurostat Collected Portables'!AV23</f>
        <v>0</v>
      </c>
      <c r="AW30" s="48">
        <f>AW$6*'Eurostat Collected Portables'!AW23</f>
        <v>0</v>
      </c>
      <c r="AX30" s="48">
        <f>AX$6*'Eurostat Collected Portables'!AX23</f>
        <v>0</v>
      </c>
      <c r="AY30" s="48">
        <f>AY$6*'Eurostat Collected Portables'!AY23</f>
        <v>0</v>
      </c>
      <c r="AZ30" s="48">
        <f>AZ$6*'Eurostat Collected Portables'!AZ23</f>
        <v>0</v>
      </c>
    </row>
    <row r="31" spans="1:52" x14ac:dyDescent="0.35">
      <c r="A31" s="1" t="s">
        <v>21</v>
      </c>
      <c r="B31" s="23">
        <f t="shared" si="1"/>
        <v>25.418881575372978</v>
      </c>
      <c r="C31" s="23">
        <f t="shared" si="2"/>
        <v>25.927259206880439</v>
      </c>
      <c r="D31" s="23">
        <f t="shared" si="3"/>
        <v>26.445804391018047</v>
      </c>
      <c r="E31" s="23">
        <f t="shared" si="4"/>
        <v>26.97472047883841</v>
      </c>
      <c r="F31" s="23">
        <f t="shared" si="5"/>
        <v>27.514214888415179</v>
      </c>
      <c r="G31" s="23">
        <f t="shared" si="6"/>
        <v>28.064499186183482</v>
      </c>
      <c r="H31" s="23">
        <f t="shared" si="7"/>
        <v>28.625789169907154</v>
      </c>
      <c r="I31" s="23">
        <f t="shared" si="8"/>
        <v>29.198304953305296</v>
      </c>
      <c r="J31" s="23">
        <f t="shared" si="9"/>
        <v>29.782271052371403</v>
      </c>
      <c r="K31" s="23">
        <f t="shared" si="10"/>
        <v>30.377916473418832</v>
      </c>
      <c r="L31" s="23">
        <f t="shared" si="11"/>
        <v>30.985474802887211</v>
      </c>
      <c r="M31" s="4">
        <f>$M$6*'Eurostat Collected Portables'!M24</f>
        <v>31.605184298944955</v>
      </c>
      <c r="N31" s="4">
        <f>$N$6*'Eurostat Collected Portables'!N24</f>
        <v>43.741326412371066</v>
      </c>
      <c r="O31" s="4">
        <f>$O$6*'Eurostat Collected Portables'!O24</f>
        <v>49.578992189444641</v>
      </c>
      <c r="P31" s="4">
        <f>$P$6*'Eurostat Collected Portables'!P24</f>
        <v>47.188347922300828</v>
      </c>
      <c r="Q31" s="4">
        <f>$Q$6*'Eurostat Collected Portables'!Q24</f>
        <v>33.175450025702432</v>
      </c>
      <c r="R31" s="4">
        <f>$R$6*'Eurostat Collected Portables'!R24</f>
        <v>84.227348946367798</v>
      </c>
      <c r="S31" s="4">
        <f>$S$6*'Eurostat Collected Portables'!S24</f>
        <v>43.30250122814482</v>
      </c>
      <c r="T31" s="4">
        <f>$T$6*'Eurostat Collected Portables'!T24</f>
        <v>47.843966110779697</v>
      </c>
      <c r="U31" s="4">
        <f>$U$6*'Eurostat Collected Portables'!U24</f>
        <v>103.88100150422912</v>
      </c>
      <c r="V31" s="4">
        <f>$V$6*'Eurostat Collected Portables'!V24</f>
        <v>137.60361258865248</v>
      </c>
      <c r="W31" s="4">
        <f>$W$6*'Eurostat Collected Portables'!W24</f>
        <v>138.86653596895763</v>
      </c>
      <c r="X31" s="48">
        <f>X$6*'Eurostat Collected Portables'!X24</f>
        <v>103.90304272863395</v>
      </c>
      <c r="Y31" s="48">
        <f>Y$6*'Eurostat Collected Portables'!Y24</f>
        <v>104.63368132645128</v>
      </c>
      <c r="Z31" s="48">
        <f>Z$6*'Eurostat Collected Portables'!Z24</f>
        <v>105.70541689448979</v>
      </c>
      <c r="AA31" s="48">
        <f>AA$6*'Eurostat Collected Portables'!AA24</f>
        <v>105.87537346761297</v>
      </c>
      <c r="AB31" s="48">
        <f>AB$6*'Eurostat Collected Portables'!AB24</f>
        <v>104.70123048204054</v>
      </c>
      <c r="AC31" s="48">
        <f>AC$6*'Eurostat Collected Portables'!AC24</f>
        <v>102.35318722977873</v>
      </c>
      <c r="AD31" s="48">
        <f>AD$6*'Eurostat Collected Portables'!AD24</f>
        <v>99.104964814591568</v>
      </c>
      <c r="AE31" s="48">
        <f>AE$6*'Eurostat Collected Portables'!AE24</f>
        <v>95.479970695259865</v>
      </c>
      <c r="AF31" s="48">
        <f>AF$6*'Eurostat Collected Portables'!AF24</f>
        <v>91.37319943487077</v>
      </c>
      <c r="AG31" s="48">
        <f>AG$6*'Eurostat Collected Portables'!AG24</f>
        <v>86.167408328462002</v>
      </c>
      <c r="AH31" s="48">
        <f>AH$6*'Eurostat Collected Portables'!AH24</f>
        <v>80.882385114679082</v>
      </c>
      <c r="AI31" s="48">
        <f>AI$6*'Eurostat Collected Portables'!AI24</f>
        <v>75.572776992100358</v>
      </c>
      <c r="AJ31" s="48">
        <f>AJ$6*'Eurostat Collected Portables'!AJ24</f>
        <v>70.639564439324303</v>
      </c>
      <c r="AK31" s="48">
        <f>AK$6*'Eurostat Collected Portables'!AK24</f>
        <v>66.05521816472222</v>
      </c>
      <c r="AL31" s="48">
        <f>AL$6*'Eurostat Collected Portables'!AL24</f>
        <v>61.793360858585309</v>
      </c>
      <c r="AM31" s="48">
        <f>AM$6*'Eurostat Collected Portables'!AM24</f>
        <v>57.829716693857755</v>
      </c>
      <c r="AN31" s="48">
        <f>AN$6*'Eurostat Collected Portables'!AN24</f>
        <v>54.141936864403803</v>
      </c>
      <c r="AO31" s="48">
        <f>AO$6*'Eurostat Collected Portables'!AO24</f>
        <v>50.699253574587047</v>
      </c>
      <c r="AP31" s="48">
        <f>AP$6*'Eurostat Collected Portables'!AP24</f>
        <v>47.418080066326937</v>
      </c>
      <c r="AQ31" s="48">
        <f>AQ$6*'Eurostat Collected Portables'!AQ24</f>
        <v>43.986635255643435</v>
      </c>
      <c r="AR31" s="48">
        <f>AR$6*'Eurostat Collected Portables'!AR24</f>
        <v>40.483040928249366</v>
      </c>
      <c r="AS31" s="48">
        <f>AS$6*'Eurostat Collected Portables'!AS24</f>
        <v>37.013927110173768</v>
      </c>
      <c r="AT31" s="48">
        <f>AT$6*'Eurostat Collected Portables'!AT24</f>
        <v>33.842195990313094</v>
      </c>
      <c r="AU31" s="48">
        <f>AU$6*'Eurostat Collected Portables'!AU24</f>
        <v>0</v>
      </c>
      <c r="AV31" s="48">
        <f>AV$6*'Eurostat Collected Portables'!AV24</f>
        <v>0</v>
      </c>
      <c r="AW31" s="48">
        <f>AW$6*'Eurostat Collected Portables'!AW24</f>
        <v>0</v>
      </c>
      <c r="AX31" s="48">
        <f>AX$6*'Eurostat Collected Portables'!AX24</f>
        <v>0</v>
      </c>
      <c r="AY31" s="48">
        <f>AY$6*'Eurostat Collected Portables'!AY24</f>
        <v>0</v>
      </c>
      <c r="AZ31" s="48">
        <f>AZ$6*'Eurostat Collected Portables'!AZ24</f>
        <v>0</v>
      </c>
    </row>
    <row r="32" spans="1:52" x14ac:dyDescent="0.35">
      <c r="A32" s="1" t="s">
        <v>22</v>
      </c>
      <c r="B32" s="23">
        <f t="shared" si="1"/>
        <v>124.85485883938712</v>
      </c>
      <c r="C32" s="23">
        <f t="shared" si="2"/>
        <v>127.35195601617487</v>
      </c>
      <c r="D32" s="23">
        <f t="shared" si="3"/>
        <v>129.89899513649837</v>
      </c>
      <c r="E32" s="23">
        <f t="shared" si="4"/>
        <v>132.49697503922835</v>
      </c>
      <c r="F32" s="23">
        <f t="shared" si="5"/>
        <v>135.14691454001292</v>
      </c>
      <c r="G32" s="23">
        <f t="shared" si="6"/>
        <v>137.84985283081318</v>
      </c>
      <c r="H32" s="23">
        <f t="shared" si="7"/>
        <v>140.60684988742943</v>
      </c>
      <c r="I32" s="23">
        <f t="shared" si="8"/>
        <v>143.41898688517801</v>
      </c>
      <c r="J32" s="23">
        <f t="shared" si="9"/>
        <v>146.28736662288156</v>
      </c>
      <c r="K32" s="23">
        <f t="shared" si="10"/>
        <v>149.2131139553392</v>
      </c>
      <c r="L32" s="23">
        <f t="shared" si="11"/>
        <v>152.19737623444598</v>
      </c>
      <c r="M32" s="4">
        <f>$M$6*'Eurostat Collected Portables'!M25</f>
        <v>155.2413237591349</v>
      </c>
      <c r="N32" s="4">
        <f>$N$6*'Eurostat Collected Portables'!N25</f>
        <v>193.2128168185005</v>
      </c>
      <c r="O32" s="4">
        <f>$O$6*'Eurostat Collected Portables'!O25</f>
        <v>192.84098802520185</v>
      </c>
      <c r="P32" s="4">
        <f>$P$6*'Eurostat Collected Portables'!P25</f>
        <v>199.16811239105357</v>
      </c>
      <c r="Q32" s="4">
        <f>$Q$6*'Eurostat Collected Portables'!Q25</f>
        <v>330.42748225599621</v>
      </c>
      <c r="R32" s="4">
        <f>$R$6*'Eurostat Collected Portables'!R25</f>
        <v>455.73773782742057</v>
      </c>
      <c r="S32" s="4">
        <f>$S$6*'Eurostat Collected Portables'!S25</f>
        <v>339.8367211587456</v>
      </c>
      <c r="T32" s="4">
        <f>$T$6*'Eurostat Collected Portables'!T25</f>
        <v>437.79273605299778</v>
      </c>
      <c r="U32" s="4">
        <f>$U$6*'Eurostat Collected Portables'!U25</f>
        <v>598.2389669316193</v>
      </c>
      <c r="V32" s="4">
        <f>$V$6*'Eurostat Collected Portables'!V25</f>
        <v>650.60837765957456</v>
      </c>
      <c r="W32" s="4">
        <f>$W$6*'Eurostat Collected Portables'!W25</f>
        <v>542.9125612010647</v>
      </c>
      <c r="X32" s="48">
        <f>X$6*'Eurostat Collected Portables'!X25</f>
        <v>453.96619852001521</v>
      </c>
      <c r="Y32" s="48">
        <f>Y$6*'Eurostat Collected Portables'!Y25</f>
        <v>471.51990853260719</v>
      </c>
      <c r="Z32" s="48">
        <f>Z$6*'Eurostat Collected Portables'!Z25</f>
        <v>481.44447511648133</v>
      </c>
      <c r="AA32" s="48">
        <f>AA$6*'Eurostat Collected Portables'!AA25</f>
        <v>487.32165967716674</v>
      </c>
      <c r="AB32" s="48">
        <f>AB$6*'Eurostat Collected Portables'!AB25</f>
        <v>486.96384102211664</v>
      </c>
      <c r="AC32" s="48">
        <f>AC$6*'Eurostat Collected Portables'!AC25</f>
        <v>480.97646359308777</v>
      </c>
      <c r="AD32" s="48">
        <f>AD$6*'Eurostat Collected Portables'!AD25</f>
        <v>470.48924338252277</v>
      </c>
      <c r="AE32" s="48">
        <f>AE$6*'Eurostat Collected Portables'!AE25</f>
        <v>457.88206034932199</v>
      </c>
      <c r="AF32" s="48">
        <f>AF$6*'Eurostat Collected Portables'!AF25</f>
        <v>442.59181087959405</v>
      </c>
      <c r="AG32" s="48">
        <f>AG$6*'Eurostat Collected Portables'!AG25</f>
        <v>421.52929188002872</v>
      </c>
      <c r="AH32" s="48">
        <f>AH$6*'Eurostat Collected Portables'!AH25</f>
        <v>399.57352265073814</v>
      </c>
      <c r="AI32" s="48">
        <f>AI$6*'Eurostat Collected Portables'!AI25</f>
        <v>376.98564736508553</v>
      </c>
      <c r="AJ32" s="48">
        <f>AJ$6*'Eurostat Collected Portables'!AJ25</f>
        <v>355.78168059015877</v>
      </c>
      <c r="AK32" s="48">
        <f>AK$6*'Eurostat Collected Portables'!AK25</f>
        <v>335.87606784687847</v>
      </c>
      <c r="AL32" s="48">
        <f>AL$6*'Eurostat Collected Portables'!AL25</f>
        <v>317.18386019868655</v>
      </c>
      <c r="AM32" s="48">
        <f>AM$6*'Eurostat Collected Portables'!AM25</f>
        <v>299.62591140421034</v>
      </c>
      <c r="AN32" s="48">
        <f>AN$6*'Eurostat Collected Portables'!AN25</f>
        <v>283.12847203984956</v>
      </c>
      <c r="AO32" s="48">
        <f>AO$6*'Eurostat Collected Portables'!AO25</f>
        <v>267.56905207011971</v>
      </c>
      <c r="AP32" s="48">
        <f>AP$6*'Eurostat Collected Portables'!AP25</f>
        <v>252.53792773262731</v>
      </c>
      <c r="AQ32" s="48">
        <f>AQ$6*'Eurostat Collected Portables'!AQ25</f>
        <v>236.38295008550281</v>
      </c>
      <c r="AR32" s="48">
        <f>AR$6*'Eurostat Collected Portables'!AR25</f>
        <v>219.5059799824449</v>
      </c>
      <c r="AS32" s="48">
        <f>AS$6*'Eurostat Collected Portables'!AS25</f>
        <v>202.47989052413413</v>
      </c>
      <c r="AT32" s="48">
        <f>AT$6*'Eurostat Collected Portables'!AT25</f>
        <v>186.76051151209748</v>
      </c>
      <c r="AU32" s="48">
        <f>AU$6*'Eurostat Collected Portables'!AU25</f>
        <v>0</v>
      </c>
      <c r="AV32" s="48">
        <f>AV$6*'Eurostat Collected Portables'!AV25</f>
        <v>0</v>
      </c>
      <c r="AW32" s="48">
        <f>AW$6*'Eurostat Collected Portables'!AW25</f>
        <v>0</v>
      </c>
      <c r="AX32" s="48">
        <f>AX$6*'Eurostat Collected Portables'!AX25</f>
        <v>0</v>
      </c>
      <c r="AY32" s="48">
        <f>AY$6*'Eurostat Collected Portables'!AY25</f>
        <v>0</v>
      </c>
      <c r="AZ32" s="48">
        <f>AZ$6*'Eurostat Collected Portables'!AZ25</f>
        <v>0</v>
      </c>
    </row>
    <row r="33" spans="1:52" x14ac:dyDescent="0.35">
      <c r="A33" s="1" t="s">
        <v>23</v>
      </c>
      <c r="B33" s="23">
        <f t="shared" si="1"/>
        <v>23.011366360084352</v>
      </c>
      <c r="C33" s="23">
        <f t="shared" si="2"/>
        <v>23.471593687286038</v>
      </c>
      <c r="D33" s="23">
        <f t="shared" si="3"/>
        <v>23.941025561031758</v>
      </c>
      <c r="E33" s="23">
        <f t="shared" si="4"/>
        <v>24.419846072252394</v>
      </c>
      <c r="F33" s="23">
        <f t="shared" si="5"/>
        <v>24.908242993697442</v>
      </c>
      <c r="G33" s="23">
        <f t="shared" si="6"/>
        <v>25.406407853571391</v>
      </c>
      <c r="H33" s="23">
        <f t="shared" si="7"/>
        <v>25.91453601064282</v>
      </c>
      <c r="I33" s="23">
        <f t="shared" si="8"/>
        <v>26.432826730855677</v>
      </c>
      <c r="J33" s="23">
        <f t="shared" si="9"/>
        <v>26.96148326547279</v>
      </c>
      <c r="K33" s="23">
        <f t="shared" si="10"/>
        <v>27.500712930782246</v>
      </c>
      <c r="L33" s="23">
        <f t="shared" si="11"/>
        <v>28.050727189397893</v>
      </c>
      <c r="M33" s="4">
        <f>$M$6*'Eurostat Collected Portables'!M26</f>
        <v>28.611741733185852</v>
      </c>
      <c r="N33" s="4">
        <f>$N$6*'Eurostat Collected Portables'!N26</f>
        <v>29.512220230033488</v>
      </c>
      <c r="O33" s="4">
        <f>$O$6*'Eurostat Collected Portables'!O26</f>
        <v>29.564895955914224</v>
      </c>
      <c r="P33" s="4">
        <f>$P$6*'Eurostat Collected Portables'!P26</f>
        <v>26.251538263942098</v>
      </c>
      <c r="Q33" s="4">
        <f>$Q$6*'Eurostat Collected Portables'!Q26</f>
        <v>26.897634097761816</v>
      </c>
      <c r="R33" s="4">
        <f>$R$6*'Eurostat Collected Portables'!R26</f>
        <v>33.700419302682896</v>
      </c>
      <c r="S33" s="4">
        <f>$S$6*'Eurostat Collected Portables'!S26</f>
        <v>29.931473936734665</v>
      </c>
      <c r="T33" s="4">
        <f>$T$6*'Eurostat Collected Portables'!T26</f>
        <v>27.356934468471469</v>
      </c>
      <c r="U33" s="4">
        <f>$U$6*'Eurostat Collected Portables'!U26</f>
        <v>40.300048497003878</v>
      </c>
      <c r="V33" s="4">
        <f>$V$6*'Eurostat Collected Portables'!V26</f>
        <v>23.003102836879435</v>
      </c>
      <c r="W33" s="4">
        <f>$W$6*'Eurostat Collected Portables'!W26</f>
        <v>25.525618105357257</v>
      </c>
      <c r="X33" s="48">
        <f>X$6*'Eurostat Collected Portables'!X26</f>
        <v>23.351098095018497</v>
      </c>
      <c r="Y33" s="48">
        <f>Y$6*'Eurostat Collected Portables'!Y26</f>
        <v>26.853138689749606</v>
      </c>
      <c r="Z33" s="48">
        <f>Z$6*'Eurostat Collected Portables'!Z26</f>
        <v>29.253853644997704</v>
      </c>
      <c r="AA33" s="48">
        <f>AA$6*'Eurostat Collected Portables'!AA26</f>
        <v>31.429971889814155</v>
      </c>
      <c r="AB33" s="48">
        <f>AB$6*'Eurostat Collected Portables'!AB26</f>
        <v>33.186889653257062</v>
      </c>
      <c r="AC33" s="48">
        <f>AC$6*'Eurostat Collected Portables'!AC26</f>
        <v>34.500890347426747</v>
      </c>
      <c r="AD33" s="48">
        <f>AD$6*'Eurostat Collected Portables'!AD26</f>
        <v>35.398924321225223</v>
      </c>
      <c r="AE33" s="48">
        <f>AE$6*'Eurostat Collected Portables'!AE26</f>
        <v>36.024164859223944</v>
      </c>
      <c r="AF33" s="48">
        <f>AF$6*'Eurostat Collected Portables'!AF26</f>
        <v>36.312152410732956</v>
      </c>
      <c r="AG33" s="48">
        <f>AG$6*'Eurostat Collected Portables'!AG26</f>
        <v>35.97611474617316</v>
      </c>
      <c r="AH33" s="48">
        <f>AH$6*'Eurostat Collected Portables'!AH26</f>
        <v>35.396033293041015</v>
      </c>
      <c r="AI33" s="48">
        <f>AI$6*'Eurostat Collected Portables'!AI26</f>
        <v>34.592141954743433</v>
      </c>
      <c r="AJ33" s="48">
        <f>AJ$6*'Eurostat Collected Portables'!AJ26</f>
        <v>33.754562956193176</v>
      </c>
      <c r="AK33" s="48">
        <f>AK$6*'Eurostat Collected Portables'!AK26</f>
        <v>32.892295234808032</v>
      </c>
      <c r="AL33" s="48">
        <f>AL$6*'Eurostat Collected Portables'!AL26</f>
        <v>32.012720142142932</v>
      </c>
      <c r="AM33" s="48">
        <f>AM$6*'Eurostat Collected Portables'!AM26</f>
        <v>31.122228264787953</v>
      </c>
      <c r="AN33" s="48">
        <f>AN$6*'Eurostat Collected Portables'!AN26</f>
        <v>30.226333323013513</v>
      </c>
      <c r="AO33" s="48">
        <f>AO$6*'Eurostat Collected Portables'!AO26</f>
        <v>29.323881909427829</v>
      </c>
      <c r="AP33" s="48">
        <f>AP$6*'Eurostat Collected Portables'!AP26</f>
        <v>28.37963368560839</v>
      </c>
      <c r="AQ33" s="48">
        <f>AQ$6*'Eurostat Collected Portables'!AQ26</f>
        <v>27.210462098368634</v>
      </c>
      <c r="AR33" s="48">
        <f>AR$6*'Eurostat Collected Portables'!AR26</f>
        <v>25.85719928027693</v>
      </c>
      <c r="AS33" s="48">
        <f>AS$6*'Eurostat Collected Portables'!AS26</f>
        <v>24.385743245697824</v>
      </c>
      <c r="AT33" s="48">
        <f>AT$6*'Eurostat Collected Portables'!AT26</f>
        <v>22.976667759799092</v>
      </c>
      <c r="AU33" s="48">
        <f>AU$6*'Eurostat Collected Portables'!AU26</f>
        <v>0</v>
      </c>
      <c r="AV33" s="48">
        <f>AV$6*'Eurostat Collected Portables'!AV26</f>
        <v>0</v>
      </c>
      <c r="AW33" s="48">
        <f>AW$6*'Eurostat Collected Portables'!AW26</f>
        <v>0</v>
      </c>
      <c r="AX33" s="48">
        <f>AX$6*'Eurostat Collected Portables'!AX26</f>
        <v>0</v>
      </c>
      <c r="AY33" s="48">
        <f>AY$6*'Eurostat Collected Portables'!AY26</f>
        <v>0</v>
      </c>
      <c r="AZ33" s="48">
        <f>AZ$6*'Eurostat Collected Portables'!AZ26</f>
        <v>0</v>
      </c>
    </row>
    <row r="34" spans="1:52" x14ac:dyDescent="0.35">
      <c r="A34" s="1" t="s">
        <v>24</v>
      </c>
      <c r="B34" s="23">
        <f t="shared" si="1"/>
        <v>8.9022074239742395</v>
      </c>
      <c r="C34" s="23">
        <f t="shared" si="2"/>
        <v>9.0802515724537241</v>
      </c>
      <c r="D34" s="23">
        <f t="shared" si="3"/>
        <v>9.2618566039027979</v>
      </c>
      <c r="E34" s="23">
        <f t="shared" si="4"/>
        <v>9.4470937359808538</v>
      </c>
      <c r="F34" s="23">
        <f t="shared" si="5"/>
        <v>9.6360356107004712</v>
      </c>
      <c r="G34" s="23">
        <f t="shared" si="6"/>
        <v>9.8287563229144812</v>
      </c>
      <c r="H34" s="23">
        <f t="shared" si="7"/>
        <v>10.025331449372771</v>
      </c>
      <c r="I34" s="23">
        <f t="shared" si="8"/>
        <v>10.225838078360226</v>
      </c>
      <c r="J34" s="23">
        <f t="shared" si="9"/>
        <v>10.43035483992743</v>
      </c>
      <c r="K34" s="23">
        <f t="shared" si="10"/>
        <v>10.638961936725979</v>
      </c>
      <c r="L34" s="23">
        <f t="shared" si="11"/>
        <v>10.851741175460498</v>
      </c>
      <c r="M34" s="4">
        <f>$M$6*'Eurostat Collected Portables'!M27</f>
        <v>11.068775998969709</v>
      </c>
      <c r="N34" s="4">
        <f>$N$6*'Eurostat Collected Portables'!N27</f>
        <v>20.553153374487607</v>
      </c>
      <c r="O34" s="4">
        <f>$O$6*'Eurostat Collected Portables'!O27</f>
        <v>28.40906669014803</v>
      </c>
      <c r="P34" s="4">
        <f>$P$6*'Eurostat Collected Portables'!P27</f>
        <v>41.819935189388332</v>
      </c>
      <c r="Q34" s="4">
        <f>$Q$6*'Eurostat Collected Portables'!Q27</f>
        <v>25.825811866162201</v>
      </c>
      <c r="R34" s="4">
        <f>$R$6*'Eurostat Collected Portables'!R27</f>
        <v>36.307343440021235</v>
      </c>
      <c r="S34" s="4">
        <f>$S$6*'Eurostat Collected Portables'!S27</f>
        <v>57.532218345608847</v>
      </c>
      <c r="T34" s="4">
        <f>$T$6*'Eurostat Collected Portables'!T27</f>
        <v>62.974109239829687</v>
      </c>
      <c r="U34" s="4">
        <f>$U$6*'Eurostat Collected Portables'!U27</f>
        <v>100.66984226143997</v>
      </c>
      <c r="V34" s="4">
        <f>$V$6*'Eurostat Collected Portables'!V27</f>
        <v>124.02703900709221</v>
      </c>
      <c r="W34" s="4">
        <f>$W$6*'Eurostat Collected Portables'!W27</f>
        <v>190.51556183085148</v>
      </c>
      <c r="X34" s="48">
        <f>X$6*'Eurostat Collected Portables'!X27</f>
        <v>178.92605251805944</v>
      </c>
      <c r="Y34" s="48">
        <f>Y$6*'Eurostat Collected Portables'!Y27</f>
        <v>198.31351679153985</v>
      </c>
      <c r="Z34" s="48">
        <f>Z$6*'Eurostat Collected Portables'!Z27</f>
        <v>200.4223339105969</v>
      </c>
      <c r="AA34" s="48">
        <f>AA$6*'Eurostat Collected Portables'!AA27</f>
        <v>200.82224744514986</v>
      </c>
      <c r="AB34" s="48">
        <f>AB$6*'Eurostat Collected Portables'!AB27</f>
        <v>198.67196371921676</v>
      </c>
      <c r="AC34" s="48">
        <f>AC$6*'Eurostat Collected Portables'!AC27</f>
        <v>194.29160497213368</v>
      </c>
      <c r="AD34" s="48">
        <f>AD$6*'Eurostat Collected Portables'!AD27</f>
        <v>188.19837874660672</v>
      </c>
      <c r="AE34" s="48">
        <f>AE$6*'Eurostat Collected Portables'!AE27</f>
        <v>181.38462841225527</v>
      </c>
      <c r="AF34" s="48">
        <f>AF$6*'Eurostat Collected Portables'!AF27</f>
        <v>173.64996747359919</v>
      </c>
      <c r="AG34" s="48">
        <f>AG$6*'Eurostat Collected Portables'!AG27</f>
        <v>163.81984551853384</v>
      </c>
      <c r="AH34" s="48">
        <f>AH$6*'Eurostat Collected Portables'!AH27</f>
        <v>153.8313931296839</v>
      </c>
      <c r="AI34" s="48">
        <f>AI$6*'Eurostat Collected Portables'!AI27</f>
        <v>143.7884103334066</v>
      </c>
      <c r="AJ34" s="48">
        <f>AJ$6*'Eurostat Collected Portables'!AJ27</f>
        <v>134.45406197357769</v>
      </c>
      <c r="AK34" s="48">
        <f>AK$6*'Eurostat Collected Portables'!AK27</f>
        <v>125.77675745109204</v>
      </c>
      <c r="AL34" s="48">
        <f>AL$6*'Eurostat Collected Portables'!AL27</f>
        <v>117.70701973867</v>
      </c>
      <c r="AM34" s="48">
        <f>AM$6*'Eurostat Collected Portables'!AM27</f>
        <v>110.19929895824028</v>
      </c>
      <c r="AN34" s="48">
        <f>AN$6*'Eurostat Collected Portables'!AN27</f>
        <v>103.21164750975142</v>
      </c>
      <c r="AO34" s="48">
        <f>AO$6*'Eurostat Collected Portables'!AO27</f>
        <v>96.685996783128431</v>
      </c>
      <c r="AP34" s="48">
        <f>AP$6*'Eurostat Collected Portables'!AP27</f>
        <v>90.463420751844353</v>
      </c>
      <c r="AQ34" s="48">
        <f>AQ$6*'Eurostat Collected Portables'!AQ27</f>
        <v>83.949235398686056</v>
      </c>
      <c r="AR34" s="48">
        <f>AR$6*'Eurostat Collected Portables'!AR27</f>
        <v>77.292264070056135</v>
      </c>
      <c r="AS34" s="48">
        <f>AS$6*'Eurostat Collected Portables'!AS27</f>
        <v>70.696009630361218</v>
      </c>
      <c r="AT34" s="48">
        <f>AT$6*'Eurostat Collected Portables'!AT27</f>
        <v>64.662879803987394</v>
      </c>
      <c r="AU34" s="48">
        <f>AU$6*'Eurostat Collected Portables'!AU27</f>
        <v>0</v>
      </c>
      <c r="AV34" s="48">
        <f>AV$6*'Eurostat Collected Portables'!AV27</f>
        <v>0</v>
      </c>
      <c r="AW34" s="48">
        <f>AW$6*'Eurostat Collected Portables'!AW27</f>
        <v>0</v>
      </c>
      <c r="AX34" s="48">
        <f>AX$6*'Eurostat Collected Portables'!AX27</f>
        <v>0</v>
      </c>
      <c r="AY34" s="48">
        <f>AY$6*'Eurostat Collected Portables'!AY27</f>
        <v>0</v>
      </c>
      <c r="AZ34" s="48">
        <f>AZ$6*'Eurostat Collected Portables'!AZ27</f>
        <v>0</v>
      </c>
    </row>
    <row r="35" spans="1:52" x14ac:dyDescent="0.35">
      <c r="A35" s="1" t="s">
        <v>25</v>
      </c>
      <c r="B35" s="23">
        <f t="shared" si="1"/>
        <v>23.627242345390737</v>
      </c>
      <c r="C35" s="23">
        <f t="shared" si="2"/>
        <v>24.099787192298553</v>
      </c>
      <c r="D35" s="23">
        <f t="shared" si="3"/>
        <v>24.581782936144524</v>
      </c>
      <c r="E35" s="23">
        <f t="shared" si="4"/>
        <v>25.073418594867416</v>
      </c>
      <c r="F35" s="23">
        <f t="shared" si="5"/>
        <v>25.574886966764765</v>
      </c>
      <c r="G35" s="23">
        <f t="shared" si="6"/>
        <v>26.086384706100063</v>
      </c>
      <c r="H35" s="23">
        <f t="shared" si="7"/>
        <v>26.608112400222065</v>
      </c>
      <c r="I35" s="23">
        <f t="shared" si="8"/>
        <v>27.140274648226509</v>
      </c>
      <c r="J35" s="23">
        <f t="shared" si="9"/>
        <v>27.683080141191038</v>
      </c>
      <c r="K35" s="23">
        <f t="shared" si="10"/>
        <v>28.236741744014861</v>
      </c>
      <c r="L35" s="23">
        <f t="shared" si="11"/>
        <v>28.801476578895159</v>
      </c>
      <c r="M35" s="4">
        <f>$M$6*'Eurostat Collected Portables'!M28</f>
        <v>29.377506110473064</v>
      </c>
      <c r="N35" s="4">
        <f>$N$6*'Eurostat Collected Portables'!N28</f>
        <v>38.998291018258541</v>
      </c>
      <c r="O35" s="4">
        <f>$O$6*'Eurostat Collected Portables'!O28</f>
        <v>28.469899809398886</v>
      </c>
      <c r="P35" s="4">
        <f>$P$6*'Eurostat Collected Portables'!P28</f>
        <v>33.123106562070092</v>
      </c>
      <c r="Q35" s="4">
        <f>$Q$6*'Eurostat Collected Portables'!Q28</f>
        <v>24.600872172905497</v>
      </c>
      <c r="R35" s="4">
        <f>$R$6*'Eurostat Collected Portables'!R28</f>
        <v>22.656540684504112</v>
      </c>
      <c r="S35" s="4">
        <f>$S$6*'Eurostat Collected Portables'!S28</f>
        <v>45.142550855403101</v>
      </c>
      <c r="T35" s="4">
        <f>$T$6*'Eurostat Collected Portables'!T28</f>
        <v>33.245422605182817</v>
      </c>
      <c r="U35" s="4">
        <f>$U$6*'Eurostat Collected Portables'!U28</f>
        <v>47.685714755418928</v>
      </c>
      <c r="V35" s="4">
        <f>$V$6*'Eurostat Collected Portables'!V28</f>
        <v>54.662012411347519</v>
      </c>
      <c r="W35" s="4">
        <f>$W$6*'Eurostat Collected Portables'!W28</f>
        <v>57.029132722507782</v>
      </c>
      <c r="X35" s="48">
        <f>X$6*'Eurostat Collected Portables'!X28</f>
        <v>50.504397930049784</v>
      </c>
      <c r="Y35" s="48">
        <f>Y$6*'Eurostat Collected Portables'!Y28</f>
        <v>53.154700855164535</v>
      </c>
      <c r="Z35" s="48">
        <f>Z$6*'Eurostat Collected Portables'!Z28</f>
        <v>54.186264420739896</v>
      </c>
      <c r="AA35" s="48">
        <f>AA$6*'Eurostat Collected Portables'!AA28</f>
        <v>54.761283836441422</v>
      </c>
      <c r="AB35" s="48">
        <f>AB$6*'Eurostat Collected Portables'!AB28</f>
        <v>54.63647519445221</v>
      </c>
      <c r="AC35" s="48">
        <f>AC$6*'Eurostat Collected Portables'!AC28</f>
        <v>53.882856565657306</v>
      </c>
      <c r="AD35" s="48">
        <f>AD$6*'Eurostat Collected Portables'!AD28</f>
        <v>52.629558402985232</v>
      </c>
      <c r="AE35" s="48">
        <f>AE$6*'Eurostat Collected Portables'!AE28</f>
        <v>51.14450284038417</v>
      </c>
      <c r="AF35" s="48">
        <f>AF$6*'Eurostat Collected Portables'!AF28</f>
        <v>49.365750364890793</v>
      </c>
      <c r="AG35" s="48">
        <f>AG$6*'Eurostat Collected Portables'!AG28</f>
        <v>46.950321492264685</v>
      </c>
      <c r="AH35" s="48">
        <f>AH$6*'Eurostat Collected Portables'!AH28</f>
        <v>44.443377180051684</v>
      </c>
      <c r="AI35" s="48">
        <f>AI$6*'Eurostat Collected Portables'!AI28</f>
        <v>41.874101524245809</v>
      </c>
      <c r="AJ35" s="48">
        <f>AJ$6*'Eurostat Collected Portables'!AJ28</f>
        <v>39.46618162838292</v>
      </c>
      <c r="AK35" s="48">
        <f>AK$6*'Eurostat Collected Portables'!AK28</f>
        <v>37.20931361252066</v>
      </c>
      <c r="AL35" s="48">
        <f>AL$6*'Eurostat Collected Portables'!AL28</f>
        <v>35.093340379744959</v>
      </c>
      <c r="AM35" s="48">
        <f>AM$6*'Eurostat Collected Portables'!AM28</f>
        <v>33.108821769761242</v>
      </c>
      <c r="AN35" s="48">
        <f>AN$6*'Eurostat Collected Portables'!AN28</f>
        <v>31.246982292115312</v>
      </c>
      <c r="AO35" s="48">
        <f>AO$6*'Eurostat Collected Portables'!AO28</f>
        <v>29.493736848347424</v>
      </c>
      <c r="AP35" s="48">
        <f>AP$6*'Eurostat Collected Portables'!AP28</f>
        <v>27.803462945220648</v>
      </c>
      <c r="AQ35" s="48">
        <f>AQ$6*'Eurostat Collected Portables'!AQ28</f>
        <v>25.994144649705742</v>
      </c>
      <c r="AR35" s="48">
        <f>AR$6*'Eurostat Collected Portables'!AR28</f>
        <v>24.110231014615842</v>
      </c>
      <c r="AS35" s="48">
        <f>AS$6*'Eurostat Collected Portables'!AS28</f>
        <v>22.214720948498197</v>
      </c>
      <c r="AT35" s="48">
        <f>AT$6*'Eurostat Collected Portables'!AT28</f>
        <v>20.46708916407805</v>
      </c>
      <c r="AU35" s="48">
        <f>AU$6*'Eurostat Collected Portables'!AU28</f>
        <v>0</v>
      </c>
      <c r="AV35" s="48">
        <f>AV$6*'Eurostat Collected Portables'!AV28</f>
        <v>0</v>
      </c>
      <c r="AW35" s="48">
        <f>AW$6*'Eurostat Collected Portables'!AW28</f>
        <v>0</v>
      </c>
      <c r="AX35" s="48">
        <f>AX$6*'Eurostat Collected Portables'!AX28</f>
        <v>0</v>
      </c>
      <c r="AY35" s="48">
        <f>AY$6*'Eurostat Collected Portables'!AY28</f>
        <v>0</v>
      </c>
      <c r="AZ35" s="48">
        <f>AZ$6*'Eurostat Collected Portables'!AZ28</f>
        <v>0</v>
      </c>
    </row>
    <row r="36" spans="1:52" x14ac:dyDescent="0.35">
      <c r="A36" s="1" t="s">
        <v>26</v>
      </c>
      <c r="B36" s="23">
        <f t="shared" si="1"/>
        <v>14.389102565794836</v>
      </c>
      <c r="C36" s="23">
        <f t="shared" si="2"/>
        <v>14.676884617110733</v>
      </c>
      <c r="D36" s="23">
        <f t="shared" si="3"/>
        <v>14.970422309452948</v>
      </c>
      <c r="E36" s="23">
        <f t="shared" si="4"/>
        <v>15.269830755642007</v>
      </c>
      <c r="F36" s="23">
        <f t="shared" si="5"/>
        <v>15.575227370754847</v>
      </c>
      <c r="G36" s="23">
        <f t="shared" si="6"/>
        <v>15.886731918169945</v>
      </c>
      <c r="H36" s="23">
        <f t="shared" si="7"/>
        <v>16.204466556533344</v>
      </c>
      <c r="I36" s="23">
        <f t="shared" si="8"/>
        <v>16.528555887664012</v>
      </c>
      <c r="J36" s="23">
        <f t="shared" si="9"/>
        <v>16.859127005417292</v>
      </c>
      <c r="K36" s="23">
        <f t="shared" si="10"/>
        <v>17.19630954552564</v>
      </c>
      <c r="L36" s="23">
        <f t="shared" si="11"/>
        <v>17.540235736436152</v>
      </c>
      <c r="M36" s="4">
        <f>$M$6*'Eurostat Collected Portables'!M29</f>
        <v>17.891040451164876</v>
      </c>
      <c r="N36" s="4">
        <f>$N$6*'Eurostat Collected Portables'!N29</f>
        <v>17.984009202676656</v>
      </c>
      <c r="O36" s="4">
        <f>$O$6*'Eurostat Collected Portables'!O29</f>
        <v>13.869951189194328</v>
      </c>
      <c r="P36" s="4">
        <f>$P$6*'Eurostat Collected Portables'!P29</f>
        <v>11.273666739116239</v>
      </c>
      <c r="Q36" s="4">
        <f>$Q$6*'Eurostat Collected Portables'!Q29</f>
        <v>12.606671009766924</v>
      </c>
      <c r="R36" s="4">
        <f>$R$6*'Eurostat Collected Portables'!R29</f>
        <v>12.702830341939544</v>
      </c>
      <c r="S36" s="4">
        <f>$S$6*'Eurostat Collected Portables'!S29</f>
        <v>11.081187755266521</v>
      </c>
      <c r="T36" s="4">
        <f>$T$6*'Eurostat Collected Portables'!T29</f>
        <v>13.085529192691883</v>
      </c>
      <c r="U36" s="4">
        <f>$U$6*'Eurostat Collected Portables'!U29</f>
        <v>16.430431458937836</v>
      </c>
      <c r="V36" s="4">
        <f>$V$6*'Eurostat Collected Portables'!V29</f>
        <v>20.33521719858156</v>
      </c>
      <c r="W36" s="4">
        <f>$W$6*'Eurostat Collected Portables'!W29</f>
        <v>20.683521930804709</v>
      </c>
      <c r="X36" s="48">
        <f>X$6*'Eurostat Collected Portables'!X29</f>
        <v>17.315442088081102</v>
      </c>
      <c r="Y36" s="48">
        <f>Y$6*'Eurostat Collected Portables'!Y29</f>
        <v>18.0993047155482</v>
      </c>
      <c r="Z36" s="48">
        <f>Z$6*'Eurostat Collected Portables'!Z29</f>
        <v>18.571691220905834</v>
      </c>
      <c r="AA36" s="48">
        <f>AA$6*'Eurostat Collected Portables'!AA29</f>
        <v>18.889012869288425</v>
      </c>
      <c r="AB36" s="48">
        <f>AB$6*'Eurostat Collected Portables'!AB29</f>
        <v>18.963809953758069</v>
      </c>
      <c r="AC36" s="48">
        <f>AC$6*'Eurostat Collected Portables'!AC29</f>
        <v>18.816423536289893</v>
      </c>
      <c r="AD36" s="48">
        <f>AD$6*'Eurostat Collected Portables'!AD29</f>
        <v>18.488355439170821</v>
      </c>
      <c r="AE36" s="48">
        <f>AE$6*'Eurostat Collected Portables'!AE29</f>
        <v>18.071337925827159</v>
      </c>
      <c r="AF36" s="48">
        <f>AF$6*'Eurostat Collected Portables'!AF29</f>
        <v>17.542142778743667</v>
      </c>
      <c r="AG36" s="48">
        <f>AG$6*'Eurostat Collected Portables'!AG29</f>
        <v>16.776669528539159</v>
      </c>
      <c r="AH36" s="48">
        <f>AH$6*'Eurostat Collected Portables'!AH29</f>
        <v>15.96728636534287</v>
      </c>
      <c r="AI36" s="48">
        <f>AI$6*'Eurostat Collected Portables'!AI29</f>
        <v>15.124284396356312</v>
      </c>
      <c r="AJ36" s="48">
        <f>AJ$6*'Eurostat Collected Portables'!AJ29</f>
        <v>14.328799786594042</v>
      </c>
      <c r="AK36" s="48">
        <f>AK$6*'Eurostat Collected Portables'!AK29</f>
        <v>13.578239491451951</v>
      </c>
      <c r="AL36" s="48">
        <f>AL$6*'Eurostat Collected Portables'!AL29</f>
        <v>12.869951415878715</v>
      </c>
      <c r="AM36" s="48">
        <f>AM$6*'Eurostat Collected Portables'!AM29</f>
        <v>12.201440387379495</v>
      </c>
      <c r="AN36" s="48">
        <f>AN$6*'Eurostat Collected Portables'!AN29</f>
        <v>11.570359401414748</v>
      </c>
      <c r="AO36" s="48">
        <f>AO$6*'Eurostat Collected Portables'!AO29</f>
        <v>10.972296705326032</v>
      </c>
      <c r="AP36" s="48">
        <f>AP$6*'Eurostat Collected Portables'!AP29</f>
        <v>10.390931945749724</v>
      </c>
      <c r="AQ36" s="48">
        <f>AQ$6*'Eurostat Collected Portables'!AQ29</f>
        <v>9.7584121933148698</v>
      </c>
      <c r="AR36" s="48">
        <f>AR$6*'Eurostat Collected Portables'!AR29</f>
        <v>9.0910568318507146</v>
      </c>
      <c r="AS36" s="48">
        <f>AS$6*'Eurostat Collected Portables'!AS29</f>
        <v>8.4125130201999934</v>
      </c>
      <c r="AT36" s="48">
        <f>AT$6*'Eurostat Collected Portables'!AT29</f>
        <v>7.7835277375141683</v>
      </c>
      <c r="AU36" s="48">
        <f>AU$6*'Eurostat Collected Portables'!AU29</f>
        <v>0</v>
      </c>
      <c r="AV36" s="48">
        <f>AV$6*'Eurostat Collected Portables'!AV29</f>
        <v>0</v>
      </c>
      <c r="AW36" s="48">
        <f>AW$6*'Eurostat Collected Portables'!AW29</f>
        <v>0</v>
      </c>
      <c r="AX36" s="48">
        <f>AX$6*'Eurostat Collected Portables'!AX29</f>
        <v>0</v>
      </c>
      <c r="AY36" s="48">
        <f>AY$6*'Eurostat Collected Portables'!AY29</f>
        <v>0</v>
      </c>
      <c r="AZ36" s="48">
        <f>AZ$6*'Eurostat Collected Portables'!AZ29</f>
        <v>0</v>
      </c>
    </row>
    <row r="37" spans="1:52" x14ac:dyDescent="0.35">
      <c r="A37" s="1" t="s">
        <v>27</v>
      </c>
      <c r="B37" s="23">
        <f t="shared" si="1"/>
        <v>203.01512024736218</v>
      </c>
      <c r="C37" s="23">
        <f t="shared" si="2"/>
        <v>207.07542265230941</v>
      </c>
      <c r="D37" s="23">
        <f t="shared" si="3"/>
        <v>211.2169311053556</v>
      </c>
      <c r="E37" s="23">
        <f t="shared" si="4"/>
        <v>215.44126972746272</v>
      </c>
      <c r="F37" s="23">
        <f t="shared" si="5"/>
        <v>219.75009512201197</v>
      </c>
      <c r="G37" s="23">
        <f t="shared" si="6"/>
        <v>224.14509702445221</v>
      </c>
      <c r="H37" s="23">
        <f t="shared" si="7"/>
        <v>228.62799896494127</v>
      </c>
      <c r="I37" s="23">
        <f t="shared" si="8"/>
        <v>233.2005589442401</v>
      </c>
      <c r="J37" s="23">
        <f t="shared" si="9"/>
        <v>237.86457012312491</v>
      </c>
      <c r="K37" s="23">
        <f t="shared" si="10"/>
        <v>242.62186152558741</v>
      </c>
      <c r="L37" s="23">
        <f t="shared" si="11"/>
        <v>247.47429875609916</v>
      </c>
      <c r="M37" s="4">
        <f>$M$6*'Eurostat Collected Portables'!M30</f>
        <v>252.42378473122116</v>
      </c>
      <c r="N37" s="4">
        <f>$N$6*'Eurostat Collected Portables'!N30</f>
        <v>260.93282216777379</v>
      </c>
      <c r="O37" s="4">
        <f>$O$6*'Eurostat Collected Portables'!O30</f>
        <v>224.90004187040103</v>
      </c>
      <c r="P37" s="4">
        <f>$P$6*'Eurostat Collected Portables'!P30</f>
        <v>208.07967752768829</v>
      </c>
      <c r="Q37" s="4">
        <f>$Q$6*'Eurostat Collected Portables'!Q30</f>
        <v>240.39441480162839</v>
      </c>
      <c r="R37" s="4">
        <f>$R$6*'Eurostat Collected Portables'!R30</f>
        <v>213.81517788242269</v>
      </c>
      <c r="S37" s="4">
        <f>$S$6*'Eurostat Collected Portables'!S30</f>
        <v>190.95626131769245</v>
      </c>
      <c r="T37" s="4">
        <f>$T$6*'Eurostat Collected Portables'!T30</f>
        <v>187.77734391512851</v>
      </c>
      <c r="U37" s="4">
        <f>$U$6*'Eurostat Collected Portables'!U30</f>
        <v>307.20090089349571</v>
      </c>
      <c r="V37" s="4">
        <f>$V$6*'Eurostat Collected Portables'!V30</f>
        <v>325.00775709219863</v>
      </c>
      <c r="W37" s="4">
        <f>$W$6*'Eurostat Collected Portables'!W30</f>
        <v>446.72820632631095</v>
      </c>
      <c r="X37" s="48">
        <f>X$6*'Eurostat Collected Portables'!X30</f>
        <v>384.410220814659</v>
      </c>
      <c r="Y37" s="48">
        <f>Y$6*'Eurostat Collected Portables'!Y30</f>
        <v>398.06756219218948</v>
      </c>
      <c r="Z37" s="48">
        <f>Z$6*'Eurostat Collected Portables'!Z30</f>
        <v>402.91271505138519</v>
      </c>
      <c r="AA37" s="48">
        <f>AA$6*'Eurostat Collected Portables'!AA30</f>
        <v>404.50734111881167</v>
      </c>
      <c r="AB37" s="48">
        <f>AB$6*'Eurostat Collected Portables'!AB30</f>
        <v>402.95815427525622</v>
      </c>
      <c r="AC37" s="48">
        <f>AC$6*'Eurostat Collected Portables'!AC30</f>
        <v>398.11410672550693</v>
      </c>
      <c r="AD37" s="48">
        <f>AD$6*'Eurostat Collected Portables'!AD30</f>
        <v>389.84051465908203</v>
      </c>
      <c r="AE37" s="48">
        <f>AE$6*'Eurostat Collected Portables'!AE30</f>
        <v>378.55422767806914</v>
      </c>
      <c r="AF37" s="48">
        <f>AF$6*'Eurostat Collected Portables'!AF30</f>
        <v>364.30980208432447</v>
      </c>
      <c r="AG37" s="48">
        <f>AG$6*'Eurostat Collected Portables'!AG30</f>
        <v>345.24691206256898</v>
      </c>
      <c r="AH37" s="48">
        <f>AH$6*'Eurostat Collected Portables'!AH30</f>
        <v>325.66421679871871</v>
      </c>
      <c r="AI37" s="48">
        <f>AI$6*'Eurostat Collected Portables'!AI30</f>
        <v>305.76959378854076</v>
      </c>
      <c r="AJ37" s="48">
        <f>AJ$6*'Eurostat Collected Portables'!AJ30</f>
        <v>287.1906806367557</v>
      </c>
      <c r="AK37" s="48">
        <f>AK$6*'Eurostat Collected Portables'!AK30</f>
        <v>269.84330882777772</v>
      </c>
      <c r="AL37" s="48">
        <f>AL$6*'Eurostat Collected Portables'!AL30</f>
        <v>253.63982842112975</v>
      </c>
      <c r="AM37" s="48">
        <f>AM$6*'Eurostat Collected Portables'!AM30</f>
        <v>238.49916933703489</v>
      </c>
      <c r="AN37" s="48">
        <f>AN$6*'Eurostat Collected Portables'!AN30</f>
        <v>224.34632712146131</v>
      </c>
      <c r="AO37" s="48">
        <f>AO$6*'Eurostat Collected Portables'!AO30</f>
        <v>211.07663359168626</v>
      </c>
      <c r="AP37" s="48">
        <f>AP$6*'Eurostat Collected Portables'!AP30</f>
        <v>198.35291271980654</v>
      </c>
      <c r="AQ37" s="48">
        <f>AQ$6*'Eurostat Collected Portables'!AQ30</f>
        <v>184.87597742235005</v>
      </c>
      <c r="AR37" s="48">
        <f>AR$6*'Eurostat Collected Portables'!AR30</f>
        <v>170.95225165941017</v>
      </c>
      <c r="AS37" s="48">
        <f>AS$6*'Eurostat Collected Portables'!AS30</f>
        <v>157.03178731201965</v>
      </c>
      <c r="AT37" s="48">
        <f>AT$6*'Eurostat Collected Portables'!AT30</f>
        <v>144.23605781041798</v>
      </c>
      <c r="AU37" s="48">
        <f>AU$6*'Eurostat Collected Portables'!AU30</f>
        <v>0</v>
      </c>
      <c r="AV37" s="48">
        <f>AV$6*'Eurostat Collected Portables'!AV30</f>
        <v>0</v>
      </c>
      <c r="AW37" s="48">
        <f>AW$6*'Eurostat Collected Portables'!AW30</f>
        <v>0</v>
      </c>
      <c r="AX37" s="48">
        <f>AX$6*'Eurostat Collected Portables'!AX30</f>
        <v>0</v>
      </c>
      <c r="AY37" s="48">
        <f>AY$6*'Eurostat Collected Portables'!AY30</f>
        <v>0</v>
      </c>
      <c r="AZ37" s="48">
        <f>AZ$6*'Eurostat Collected Portables'!AZ30</f>
        <v>0</v>
      </c>
    </row>
    <row r="38" spans="1:52" x14ac:dyDescent="0.35">
      <c r="A38" s="1" t="s">
        <v>28</v>
      </c>
      <c r="B38" s="23">
        <f t="shared" si="1"/>
        <v>279.50909853193241</v>
      </c>
      <c r="C38" s="23">
        <f t="shared" si="2"/>
        <v>285.09928050257105</v>
      </c>
      <c r="D38" s="23">
        <f t="shared" si="3"/>
        <v>290.8012661126225</v>
      </c>
      <c r="E38" s="23">
        <f t="shared" si="4"/>
        <v>296.61729143487497</v>
      </c>
      <c r="F38" s="23">
        <f t="shared" si="5"/>
        <v>302.54963726357249</v>
      </c>
      <c r="G38" s="23">
        <f t="shared" si="6"/>
        <v>308.60063000884395</v>
      </c>
      <c r="H38" s="23">
        <f t="shared" si="7"/>
        <v>314.77264260902081</v>
      </c>
      <c r="I38" s="23">
        <f t="shared" si="8"/>
        <v>321.06809546120121</v>
      </c>
      <c r="J38" s="23">
        <f t="shared" si="9"/>
        <v>327.48945737042521</v>
      </c>
      <c r="K38" s="23">
        <f t="shared" si="10"/>
        <v>334.0392465178337</v>
      </c>
      <c r="L38" s="23">
        <f t="shared" si="11"/>
        <v>340.72003144819041</v>
      </c>
      <c r="M38" s="4">
        <f>M5*'Eurostat Collected Portables'!M31</f>
        <v>347.53443207715424</v>
      </c>
      <c r="N38" s="4">
        <f>N5*'Eurostat Collected Portables'!N31</f>
        <v>438.46044250754278</v>
      </c>
      <c r="O38" s="4">
        <f>O5*'Eurostat Collected Portables'!O31</f>
        <v>448.98759702770644</v>
      </c>
      <c r="P38" s="4">
        <f>P5*'Eurostat Collected Portables'!P31</f>
        <v>369.87657900186377</v>
      </c>
      <c r="Q38" s="4">
        <f>Q5*'Eurostat Collected Portables'!Q31</f>
        <v>370.1</v>
      </c>
      <c r="R38" s="4">
        <f>R5*'Eurostat Collected Portables'!R31</f>
        <v>295.3604627354627</v>
      </c>
      <c r="S38" s="4">
        <f>S5*'Eurostat Collected Portables'!S31</f>
        <v>479.64140789132887</v>
      </c>
      <c r="T38" s="4">
        <f>T5*'Eurostat Collected Portables'!T31</f>
        <v>362.88863130854298</v>
      </c>
      <c r="U38" s="4">
        <f>$U$6*'Eurostat Collected Portables'!U31</f>
        <v>197.80740935581187</v>
      </c>
      <c r="V38" s="4">
        <f>$V$6*'Eurostat Collected Portables'!V31</f>
        <v>203.76717641843973</v>
      </c>
      <c r="W38" s="4">
        <f>$W$6*'Eurostat Collected Portables'!W31</f>
        <v>222.49730816894547</v>
      </c>
      <c r="X38" s="48">
        <f>X$6*'Eurostat Collected Portables'!X31</f>
        <v>194.83076126690059</v>
      </c>
      <c r="Y38" s="48">
        <f>Y$6*'Eurostat Collected Portables'!Y31</f>
        <v>210.41382034509158</v>
      </c>
      <c r="Z38" s="48">
        <f>Z$6*'Eurostat Collected Portables'!Z31</f>
        <v>217.24571678315357</v>
      </c>
      <c r="AA38" s="48">
        <f>AA$6*'Eurostat Collected Portables'!AA31</f>
        <v>220.74743116344675</v>
      </c>
      <c r="AB38" s="48">
        <f>AB$6*'Eurostat Collected Portables'!AB31</f>
        <v>221.23989584941904</v>
      </c>
      <c r="AC38" s="48">
        <f>AC$6*'Eurostat Collected Portables'!AC31</f>
        <v>219.06515111405025</v>
      </c>
      <c r="AD38" s="48">
        <f>AD$6*'Eurostat Collected Portables'!AD31</f>
        <v>214.85107763401521</v>
      </c>
      <c r="AE38" s="48">
        <f>AE$6*'Eurostat Collected Portables'!AE31</f>
        <v>209.90603939587243</v>
      </c>
      <c r="AF38" s="48">
        <f>AF$6*'Eurostat Collected Portables'!AF31</f>
        <v>203.85728943587193</v>
      </c>
      <c r="AG38" s="48">
        <f>AG$6*'Eurostat Collected Portables'!AG31</f>
        <v>194.91018722217063</v>
      </c>
      <c r="AH38" s="48">
        <f>AH$6*'Eurostat Collected Portables'!AH31</f>
        <v>185.29523256944708</v>
      </c>
      <c r="AI38" s="48">
        <f>AI$6*'Eurostat Collected Portables'!AI31</f>
        <v>175.16329704033026</v>
      </c>
      <c r="AJ38" s="48">
        <f>AJ$6*'Eurostat Collected Portables'!AJ31</f>
        <v>165.64268678116656</v>
      </c>
      <c r="AK38" s="48">
        <f>AK$6*'Eurostat Collected Portables'!AK31</f>
        <v>156.69325145112532</v>
      </c>
      <c r="AL38" s="48">
        <f>AL$6*'Eurostat Collected Portables'!AL31</f>
        <v>148.27754947150632</v>
      </c>
      <c r="AM38" s="48">
        <f>AM$6*'Eurostat Collected Portables'!AM31</f>
        <v>140.36076677296219</v>
      </c>
      <c r="AN38" s="48">
        <f>AN$6*'Eurostat Collected Portables'!AN31</f>
        <v>132.91052315856462</v>
      </c>
      <c r="AO38" s="48">
        <f>AO$6*'Eurostat Collected Portables'!AO31</f>
        <v>125.87359550409978</v>
      </c>
      <c r="AP38" s="48">
        <f>AP$6*'Eurostat Collected Portables'!AP31</f>
        <v>119.09179586845374</v>
      </c>
      <c r="AQ38" s="48">
        <f>AQ$6*'Eurostat Collected Portables'!AQ31</f>
        <v>111.64853418401742</v>
      </c>
      <c r="AR38" s="48">
        <f>AR$6*'Eurostat Collected Portables'!AR31</f>
        <v>103.75892660126152</v>
      </c>
      <c r="AS38" s="48">
        <f>AS$6*'Eurostat Collected Portables'!AS31</f>
        <v>95.688075760907168</v>
      </c>
      <c r="AT38" s="48">
        <f>AT$6*'Eurostat Collected Portables'!AT31</f>
        <v>88.242290566871873</v>
      </c>
      <c r="AU38" s="48">
        <f>AU$6*'Eurostat Collected Portables'!AU31</f>
        <v>0</v>
      </c>
      <c r="AV38" s="48">
        <f>AV$6*'Eurostat Collected Portables'!AV31</f>
        <v>0</v>
      </c>
      <c r="AW38" s="48">
        <f>AW$6*'Eurostat Collected Portables'!AW31</f>
        <v>0</v>
      </c>
      <c r="AX38" s="48">
        <f>AX$6*'Eurostat Collected Portables'!AX31</f>
        <v>0</v>
      </c>
      <c r="AY38" s="48">
        <f>AY$6*'Eurostat Collected Portables'!AY31</f>
        <v>0</v>
      </c>
      <c r="AZ38" s="48">
        <f>AZ$6*'Eurostat Collected Portables'!AZ31</f>
        <v>0</v>
      </c>
    </row>
    <row r="39" spans="1:52" x14ac:dyDescent="0.35">
      <c r="A39" s="1" t="s">
        <v>29</v>
      </c>
      <c r="B39" s="23">
        <f t="shared" si="1"/>
        <v>132.91723537430713</v>
      </c>
      <c r="C39" s="23">
        <f t="shared" si="2"/>
        <v>135.57558008179328</v>
      </c>
      <c r="D39" s="23">
        <f t="shared" si="3"/>
        <v>138.28709168342914</v>
      </c>
      <c r="E39" s="23">
        <f t="shared" si="4"/>
        <v>141.05283351709772</v>
      </c>
      <c r="F39" s="23">
        <f t="shared" si="5"/>
        <v>143.87389018743968</v>
      </c>
      <c r="G39" s="23">
        <f t="shared" si="6"/>
        <v>146.75136799118849</v>
      </c>
      <c r="H39" s="23">
        <f t="shared" si="7"/>
        <v>149.68639535101227</v>
      </c>
      <c r="I39" s="23">
        <f t="shared" si="8"/>
        <v>152.68012325803252</v>
      </c>
      <c r="J39" s="23">
        <f t="shared" si="9"/>
        <v>155.73372572319317</v>
      </c>
      <c r="K39" s="23">
        <f t="shared" si="10"/>
        <v>158.84840023765705</v>
      </c>
      <c r="L39" s="23">
        <f t="shared" si="11"/>
        <v>162.0253682424102</v>
      </c>
      <c r="M39" s="4">
        <f>$M$6*'Eurostat Collected Portables'!M32</f>
        <v>165.26587560725841</v>
      </c>
      <c r="N39" s="4">
        <f>$N$6*'Eurostat Collected Portables'!N32</f>
        <v>169.43176435635297</v>
      </c>
      <c r="O39" s="4">
        <f>$O$6*'Eurostat Collected Portables'!O32</f>
        <v>153.6036261084021</v>
      </c>
      <c r="P39" s="4">
        <f>$P$6*'Eurostat Collected Portables'!P32</f>
        <v>146.77240411782762</v>
      </c>
      <c r="Q39" s="4">
        <f>$Q$6*'Eurostat Collected Portables'!Q32</f>
        <v>139.03065518463603</v>
      </c>
      <c r="R39" s="4">
        <f>$R$6*'Eurostat Collected Portables'!R32</f>
        <v>132.90573238357641</v>
      </c>
      <c r="S39" s="4">
        <f>$S$6*'Eurostat Collected Portables'!S32</f>
        <v>113.63328698112791</v>
      </c>
      <c r="T39" s="4">
        <f>$T$6*'Eurostat Collected Portables'!T32</f>
        <v>117.15637855331951</v>
      </c>
      <c r="U39" s="4">
        <f>$U$6*'Eurostat Collected Portables'!U32</f>
        <v>166.49860673861761</v>
      </c>
      <c r="V39" s="4">
        <f>$V$6*'Eurostat Collected Portables'!V32</f>
        <v>188.23415336879435</v>
      </c>
      <c r="W39" s="4">
        <f>$W$6*'Eurostat Collected Portables'!W32</f>
        <v>195.53699490075783</v>
      </c>
      <c r="X39" s="48">
        <f>X$6*'Eurostat Collected Portables'!X32</f>
        <v>174.12891987165472</v>
      </c>
      <c r="Y39" s="48">
        <f>Y$6*'Eurostat Collected Portables'!Y32</f>
        <v>183.40234829922412</v>
      </c>
      <c r="Z39" s="48">
        <f>Z$6*'Eurostat Collected Portables'!Z32</f>
        <v>185.63385572941615</v>
      </c>
      <c r="AA39" s="48">
        <f>AA$6*'Eurostat Collected Portables'!AA32</f>
        <v>186.28585623367761</v>
      </c>
      <c r="AB39" s="48">
        <f>AB$6*'Eurostat Collected Portables'!AB32</f>
        <v>184.56958410391144</v>
      </c>
      <c r="AC39" s="48">
        <f>AC$6*'Eurostat Collected Portables'!AC32</f>
        <v>180.7721742374647</v>
      </c>
      <c r="AD39" s="48">
        <f>AD$6*'Eurostat Collected Portables'!AD32</f>
        <v>175.36621663340225</v>
      </c>
      <c r="AE39" s="48">
        <f>AE$6*'Eurostat Collected Portables'!AE32</f>
        <v>169.2706109555854</v>
      </c>
      <c r="AF39" s="48">
        <f>AF$6*'Eurostat Collected Portables'!AF32</f>
        <v>162.29507457055638</v>
      </c>
      <c r="AG39" s="48">
        <f>AG$6*'Eurostat Collected Portables'!AG32</f>
        <v>153.33638729313591</v>
      </c>
      <c r="AH39" s="48">
        <f>AH$6*'Eurostat Collected Portables'!AH32</f>
        <v>144.20167484605736</v>
      </c>
      <c r="AI39" s="48">
        <f>AI$6*'Eurostat Collected Portables'!AI32</f>
        <v>134.9877541087875</v>
      </c>
      <c r="AJ39" s="48">
        <f>AJ$6*'Eurostat Collected Portables'!AJ32</f>
        <v>126.41194725910741</v>
      </c>
      <c r="AK39" s="48">
        <f>AK$6*'Eurostat Collected Portables'!AK32</f>
        <v>118.42866826155841</v>
      </c>
      <c r="AL39" s="48">
        <f>AL$6*'Eurostat Collected Portables'!AL32</f>
        <v>110.99403258913651</v>
      </c>
      <c r="AM39" s="48">
        <f>AM$6*'Eurostat Collected Portables'!AM32</f>
        <v>104.0675851324111</v>
      </c>
      <c r="AN39" s="48">
        <f>AN$6*'Eurostat Collected Portables'!AN32</f>
        <v>97.61202074970015</v>
      </c>
      <c r="AO39" s="48">
        <f>AO$6*'Eurostat Collected Portables'!AO32</f>
        <v>91.574529162263545</v>
      </c>
      <c r="AP39" s="48">
        <f>AP$6*'Eurostat Collected Portables'!AP32</f>
        <v>85.806309558410987</v>
      </c>
      <c r="AQ39" s="48">
        <f>AQ$6*'Eurostat Collected Portables'!AQ32</f>
        <v>79.743749240412896</v>
      </c>
      <c r="AR39" s="48">
        <f>AR$6*'Eurostat Collected Portables'!AR32</f>
        <v>73.527231395077578</v>
      </c>
      <c r="AS39" s="48">
        <f>AS$6*'Eurostat Collected Portables'!AS32</f>
        <v>67.350055866536792</v>
      </c>
      <c r="AT39" s="48">
        <f>AT$6*'Eurostat Collected Portables'!AT32</f>
        <v>61.691819298423923</v>
      </c>
      <c r="AU39" s="48">
        <f>AU$6*'Eurostat Collected Portables'!AU32</f>
        <v>0</v>
      </c>
      <c r="AV39" s="48">
        <f>AV$6*'Eurostat Collected Portables'!AV32</f>
        <v>0</v>
      </c>
      <c r="AW39" s="48">
        <f>AW$6*'Eurostat Collected Portables'!AW32</f>
        <v>0</v>
      </c>
      <c r="AX39" s="48">
        <f>AX$6*'Eurostat Collected Portables'!AX32</f>
        <v>0</v>
      </c>
      <c r="AY39" s="48">
        <f>AY$6*'Eurostat Collected Portables'!AY32</f>
        <v>0</v>
      </c>
      <c r="AZ39" s="48">
        <f>AZ$6*'Eurostat Collected Portables'!AZ32</f>
        <v>0</v>
      </c>
    </row>
    <row r="40" spans="1:52" x14ac:dyDescent="0.35">
      <c r="A40" s="1" t="s">
        <v>30</v>
      </c>
      <c r="B40" s="23">
        <f t="shared" si="1"/>
        <v>446.79003297682021</v>
      </c>
      <c r="C40" s="23">
        <f t="shared" si="2"/>
        <v>455.72583363635664</v>
      </c>
      <c r="D40" s="23">
        <f t="shared" si="3"/>
        <v>464.84035030908376</v>
      </c>
      <c r="E40" s="23">
        <f t="shared" si="4"/>
        <v>474.13715731526543</v>
      </c>
      <c r="F40" s="23">
        <f t="shared" si="5"/>
        <v>483.61990046157075</v>
      </c>
      <c r="G40" s="23">
        <f t="shared" si="6"/>
        <v>493.29229847080217</v>
      </c>
      <c r="H40" s="23">
        <f t="shared" si="7"/>
        <v>503.15814444021822</v>
      </c>
      <c r="I40" s="23">
        <f t="shared" si="8"/>
        <v>513.22130732902258</v>
      </c>
      <c r="J40" s="23">
        <f t="shared" si="9"/>
        <v>523.48573347560307</v>
      </c>
      <c r="K40" s="23">
        <f t="shared" si="10"/>
        <v>533.95544814511516</v>
      </c>
      <c r="L40" s="23">
        <f t="shared" si="11"/>
        <v>544.63455710801748</v>
      </c>
      <c r="M40" s="4">
        <f>$M$6*'Eurostat Collected Portables'!M33</f>
        <v>555.52724825017788</v>
      </c>
      <c r="N40" s="4">
        <f>$N$6*'Eurostat Collected Portables'!N33</f>
        <v>718.56986220804754</v>
      </c>
      <c r="O40" s="4">
        <f>$O$6*'Eurostat Collected Portables'!O33</f>
        <v>741.37322431013718</v>
      </c>
      <c r="P40" s="4">
        <f>$P$6*'Eurostat Collected Portables'!P33</f>
        <v>706.85890454258822</v>
      </c>
      <c r="Q40" s="4">
        <f>$Q$6*'Eurostat Collected Portables'!Q33</f>
        <v>777.73462691023633</v>
      </c>
      <c r="R40" s="4">
        <f>$R$6*'Eurostat Collected Portables'!R33</f>
        <v>816.82043015911995</v>
      </c>
      <c r="S40" s="4">
        <f>$S$6*'Eurostat Collected Portables'!S33</f>
        <v>712.58988564955598</v>
      </c>
      <c r="T40" s="4">
        <f>$T$6*'Eurostat Collected Portables'!T33</f>
        <v>728.34542104639866</v>
      </c>
      <c r="U40" s="4">
        <f>$U$6*'Eurostat Collected Portables'!U33</f>
        <v>945.98658687128579</v>
      </c>
      <c r="V40" s="4">
        <f>$V$6*'Eurostat Collected Portables'!V33</f>
        <v>1051.0416489361703</v>
      </c>
      <c r="W40" s="4">
        <f>$W$6*'Eurostat Collected Portables'!W33</f>
        <v>1093.4910573309228</v>
      </c>
      <c r="X40" s="48">
        <f>X$6*'Eurostat Collected Portables'!X33</f>
        <v>935.22798647227842</v>
      </c>
      <c r="Y40" s="48">
        <f>Y$6*'Eurostat Collected Portables'!Y33</f>
        <v>974.94004573888981</v>
      </c>
      <c r="Z40" s="48">
        <f>Z$6*'Eurostat Collected Portables'!Z33</f>
        <v>995.86562138077545</v>
      </c>
      <c r="AA40" s="48">
        <f>AA$6*'Eurostat Collected Portables'!AA33</f>
        <v>1008.4239135759789</v>
      </c>
      <c r="AB40" s="48">
        <f>AB$6*'Eurostat Collected Portables'!AB33</f>
        <v>1008.0762289532075</v>
      </c>
      <c r="AC40" s="48">
        <f>AC$6*'Eurostat Collected Portables'!AC33</f>
        <v>996.06157603812051</v>
      </c>
      <c r="AD40" s="48">
        <f>AD$6*'Eurostat Collected Portables'!AD33</f>
        <v>974.70756718629787</v>
      </c>
      <c r="AE40" s="48">
        <f>AE$6*'Eurostat Collected Portables'!AE33</f>
        <v>948.93665630347755</v>
      </c>
      <c r="AF40" s="48">
        <f>AF$6*'Eurostat Collected Portables'!AF33</f>
        <v>917.5773929108849</v>
      </c>
      <c r="AG40" s="48">
        <f>AG$6*'Eurostat Collected Portables'!AG33</f>
        <v>874.21791652457375</v>
      </c>
      <c r="AH40" s="48">
        <f>AH$6*'Eurostat Collected Portables'!AH33</f>
        <v>828.96888402602008</v>
      </c>
      <c r="AI40" s="48">
        <f>AI$6*'Eurostat Collected Portables'!AI33</f>
        <v>782.37143428101956</v>
      </c>
      <c r="AJ40" s="48">
        <f>AJ$6*'Eurostat Collected Portables'!AJ33</f>
        <v>738.61060509375943</v>
      </c>
      <c r="AK40" s="48">
        <f>AK$6*'Eurostat Collected Portables'!AK33</f>
        <v>697.5125600996912</v>
      </c>
      <c r="AL40" s="48">
        <f>AL$6*'Eurostat Collected Portables'!AL33</f>
        <v>658.90435045683489</v>
      </c>
      <c r="AM40" s="48">
        <f>AM$6*'Eurostat Collected Portables'!AM33</f>
        <v>622.6247337598852</v>
      </c>
      <c r="AN40" s="48">
        <f>AN$6*'Eurostat Collected Portables'!AN33</f>
        <v>588.52336505817073</v>
      </c>
      <c r="AO40" s="48">
        <f>AO$6*'Eurostat Collected Portables'!AO33</f>
        <v>556.34826205259117</v>
      </c>
      <c r="AP40" s="48">
        <f>AP$6*'Eurostat Collected Portables'!AP33</f>
        <v>525.24963057753223</v>
      </c>
      <c r="AQ40" s="48">
        <f>AQ$6*'Eurostat Collected Portables'!AQ33</f>
        <v>491.79175229757254</v>
      </c>
      <c r="AR40" s="48">
        <f>AR$6*'Eurostat Collected Portables'!AR33</f>
        <v>456.80949623948243</v>
      </c>
      <c r="AS40" s="48">
        <f>AS$6*'Eurostat Collected Portables'!AS33</f>
        <v>421.49470743415242</v>
      </c>
      <c r="AT40" s="48">
        <f>AT$6*'Eurostat Collected Portables'!AT33</f>
        <v>388.87908783838481</v>
      </c>
      <c r="AU40" s="48">
        <f>AU$6*'Eurostat Collected Portables'!AU33</f>
        <v>0</v>
      </c>
      <c r="AV40" s="48">
        <f>AV$6*'Eurostat Collected Portables'!AV33</f>
        <v>0</v>
      </c>
      <c r="AW40" s="48">
        <f>AW$6*'Eurostat Collected Portables'!AW33</f>
        <v>0</v>
      </c>
      <c r="AX40" s="48">
        <f>AX$6*'Eurostat Collected Portables'!AX33</f>
        <v>0</v>
      </c>
      <c r="AY40" s="48">
        <f>AY$6*'Eurostat Collected Portables'!AY33</f>
        <v>0</v>
      </c>
      <c r="AZ40" s="48">
        <f>AZ$6*'Eurostat Collected Portables'!AZ33</f>
        <v>0</v>
      </c>
    </row>
    <row r="41" spans="1:52" x14ac:dyDescent="0.35">
      <c r="A41" s="1" t="s">
        <v>31</v>
      </c>
      <c r="B41" s="4">
        <f t="shared" ref="B41:L41" si="12">SUM(B10:B40)</f>
        <v>3994.8062580019478</v>
      </c>
      <c r="C41" s="4">
        <f t="shared" si="12"/>
        <v>4074.7023831619881</v>
      </c>
      <c r="D41" s="4">
        <f t="shared" si="12"/>
        <v>4156.1964308252282</v>
      </c>
      <c r="E41" s="4">
        <f t="shared" si="12"/>
        <v>4239.3203594417319</v>
      </c>
      <c r="F41" s="4">
        <f t="shared" si="12"/>
        <v>4324.1067666305671</v>
      </c>
      <c r="G41" s="4">
        <f t="shared" si="12"/>
        <v>4410.5889019631786</v>
      </c>
      <c r="H41" s="4">
        <f t="shared" si="12"/>
        <v>4498.8006800024423</v>
      </c>
      <c r="I41" s="4">
        <f t="shared" si="12"/>
        <v>4588.77669360249</v>
      </c>
      <c r="J41" s="4">
        <f t="shared" si="12"/>
        <v>4680.5522274745417</v>
      </c>
      <c r="K41" s="4">
        <f t="shared" si="12"/>
        <v>4774.1632720240323</v>
      </c>
      <c r="L41" s="4">
        <f t="shared" si="12"/>
        <v>4869.6465374645131</v>
      </c>
      <c r="M41" s="4">
        <f>SUM(M10:M40)</f>
        <v>4967.039468213804</v>
      </c>
      <c r="N41" s="4">
        <f t="shared" ref="N41:W41" si="13">SUM(N10:N40)</f>
        <v>5205.292017236</v>
      </c>
      <c r="O41" s="4">
        <f t="shared" si="13"/>
        <v>4958.3919054934941</v>
      </c>
      <c r="P41" s="4">
        <f t="shared" si="13"/>
        <v>4633.8721157745995</v>
      </c>
      <c r="Q41" s="4">
        <f t="shared" si="13"/>
        <v>4809.7170588214276</v>
      </c>
      <c r="R41" s="4">
        <f t="shared" si="13"/>
        <v>4927.9751227558136</v>
      </c>
      <c r="S41" s="4">
        <f t="shared" si="13"/>
        <v>4369.9032515126382</v>
      </c>
      <c r="T41" s="4">
        <f t="shared" si="13"/>
        <v>4594.2868240140278</v>
      </c>
      <c r="U41" s="4">
        <f t="shared" si="13"/>
        <v>6588.3198443081783</v>
      </c>
      <c r="V41" s="4">
        <f t="shared" si="13"/>
        <v>7208.9485638297856</v>
      </c>
      <c r="W41" s="4">
        <f t="shared" si="13"/>
        <v>7961.8789451069651</v>
      </c>
      <c r="X41" s="4">
        <f t="shared" ref="X41:AZ41" si="14">SUM(X10:X40)</f>
        <v>6825.3569040894381</v>
      </c>
      <c r="Y41" s="4">
        <f t="shared" si="14"/>
        <v>7076.1839601102856</v>
      </c>
      <c r="Z41" s="4">
        <f t="shared" si="14"/>
        <v>7211.7391281098971</v>
      </c>
      <c r="AA41" s="4">
        <f t="shared" si="14"/>
        <v>7285.8698962637136</v>
      </c>
      <c r="AB41" s="4">
        <f t="shared" si="14"/>
        <v>7264.7119079221002</v>
      </c>
      <c r="AC41" s="4">
        <f t="shared" si="14"/>
        <v>7158.622392239693</v>
      </c>
      <c r="AD41" s="4">
        <f t="shared" si="14"/>
        <v>6986.1181736108911</v>
      </c>
      <c r="AE41" s="4">
        <f t="shared" si="14"/>
        <v>6784.7182838334274</v>
      </c>
      <c r="AF41" s="4">
        <f t="shared" si="14"/>
        <v>6545.6709014396147</v>
      </c>
      <c r="AG41" s="4">
        <f t="shared" si="14"/>
        <v>6222.7754080506083</v>
      </c>
      <c r="AH41" s="4">
        <f t="shared" si="14"/>
        <v>5888.048186251428</v>
      </c>
      <c r="AI41" s="4">
        <f t="shared" si="14"/>
        <v>5545.3737402419138</v>
      </c>
      <c r="AJ41" s="4">
        <f t="shared" si="14"/>
        <v>5224.3840876270024</v>
      </c>
      <c r="AK41" s="4">
        <f t="shared" si="14"/>
        <v>4923.6745764257357</v>
      </c>
      <c r="AL41" s="4">
        <f t="shared" si="14"/>
        <v>4641.8706764825902</v>
      </c>
      <c r="AM41" s="4">
        <f t="shared" si="14"/>
        <v>4377.6957777664702</v>
      </c>
      <c r="AN41" s="4">
        <f t="shared" si="14"/>
        <v>4129.9639716486463</v>
      </c>
      <c r="AO41" s="4">
        <f t="shared" si="14"/>
        <v>3896.7816919528677</v>
      </c>
      <c r="AP41" s="4">
        <f t="shared" si="14"/>
        <v>3672.1081225272287</v>
      </c>
      <c r="AQ41" s="4">
        <f t="shared" si="14"/>
        <v>3431.8827804314992</v>
      </c>
      <c r="AR41" s="4">
        <f t="shared" si="14"/>
        <v>3182.0052060484595</v>
      </c>
      <c r="AS41" s="4">
        <f t="shared" si="14"/>
        <v>2930.7897392395294</v>
      </c>
      <c r="AT41" s="4">
        <f t="shared" si="14"/>
        <v>2699.2790409373442</v>
      </c>
      <c r="AU41" s="4">
        <f t="shared" si="14"/>
        <v>0</v>
      </c>
      <c r="AV41" s="4">
        <f t="shared" si="14"/>
        <v>0</v>
      </c>
      <c r="AW41" s="4">
        <f t="shared" si="14"/>
        <v>0</v>
      </c>
      <c r="AX41" s="4">
        <f t="shared" si="14"/>
        <v>0</v>
      </c>
      <c r="AY41" s="4">
        <f t="shared" si="14"/>
        <v>0</v>
      </c>
      <c r="AZ41" s="4">
        <f t="shared" si="14"/>
        <v>0</v>
      </c>
    </row>
    <row r="42" spans="1:52" x14ac:dyDescent="0.35">
      <c r="A42" s="1" t="s">
        <v>68</v>
      </c>
      <c r="B42" s="45">
        <f>_xlfn.RRI(1,B41,C41)</f>
        <v>2.000000000000024E-2</v>
      </c>
      <c r="C42" s="45">
        <f t="shared" ref="C42:AZ42" si="15">_xlfn.RRI(1,C41,D41)</f>
        <v>2.0000000000000018E-2</v>
      </c>
      <c r="D42" s="45">
        <f t="shared" si="15"/>
        <v>1.9999999999999796E-2</v>
      </c>
      <c r="E42" s="45">
        <f t="shared" si="15"/>
        <v>2.000000000000024E-2</v>
      </c>
      <c r="F42" s="45">
        <f t="shared" si="15"/>
        <v>2.0000000000000018E-2</v>
      </c>
      <c r="G42" s="45">
        <f t="shared" si="15"/>
        <v>2.0000000000000018E-2</v>
      </c>
      <c r="H42" s="45">
        <f t="shared" si="15"/>
        <v>1.9999999999999796E-2</v>
      </c>
      <c r="I42" s="45">
        <f t="shared" si="15"/>
        <v>2.0000000000000462E-2</v>
      </c>
      <c r="J42" s="45">
        <f t="shared" si="15"/>
        <v>2.0000000000000018E-2</v>
      </c>
      <c r="K42" s="45">
        <f t="shared" si="15"/>
        <v>2.0000000000000018E-2</v>
      </c>
      <c r="L42" s="45">
        <f t="shared" si="15"/>
        <v>2.0000000000000018E-2</v>
      </c>
      <c r="M42" s="45">
        <f t="shared" si="15"/>
        <v>4.7966711468043544E-2</v>
      </c>
      <c r="N42" s="45">
        <f t="shared" si="15"/>
        <v>-4.7432518852920991E-2</v>
      </c>
      <c r="O42" s="45">
        <f t="shared" si="15"/>
        <v>-6.5448596219139787E-2</v>
      </c>
      <c r="P42" s="45">
        <f t="shared" si="15"/>
        <v>3.79477332678686E-2</v>
      </c>
      <c r="Q42" s="45">
        <f t="shared" si="15"/>
        <v>2.4587322390927424E-2</v>
      </c>
      <c r="R42" s="45">
        <f t="shared" si="15"/>
        <v>-0.1132456754227873</v>
      </c>
      <c r="S42" s="45">
        <f t="shared" si="15"/>
        <v>5.1347492058026578E-2</v>
      </c>
      <c r="T42" s="45">
        <f t="shared" si="15"/>
        <v>0.4340244953518082</v>
      </c>
      <c r="U42" s="45">
        <f t="shared" si="15"/>
        <v>9.4201364564561185E-2</v>
      </c>
      <c r="V42" s="45">
        <f t="shared" si="15"/>
        <v>0.10444385538481105</v>
      </c>
      <c r="W42" s="45">
        <f t="shared" si="15"/>
        <v>-0.14274545604790756</v>
      </c>
      <c r="X42" s="39">
        <f t="shared" si="15"/>
        <v>3.6749295244995039E-2</v>
      </c>
      <c r="Y42" s="39">
        <f t="shared" si="15"/>
        <v>1.9156535325220547E-2</v>
      </c>
      <c r="Z42" s="39">
        <f t="shared" si="15"/>
        <v>1.0279180491272966E-2</v>
      </c>
      <c r="AA42" s="39">
        <f t="shared" si="15"/>
        <v>-2.9039755915025722E-3</v>
      </c>
      <c r="AB42" s="39">
        <f t="shared" si="15"/>
        <v>-1.4603403001668624E-2</v>
      </c>
      <c r="AC42" s="39">
        <f t="shared" si="15"/>
        <v>-2.4097404385486909E-2</v>
      </c>
      <c r="AD42" s="39">
        <f t="shared" si="15"/>
        <v>-2.8828583309429834E-2</v>
      </c>
      <c r="AE42" s="39">
        <f t="shared" si="15"/>
        <v>-3.5233206802913641E-2</v>
      </c>
      <c r="AF42" s="39">
        <f t="shared" si="15"/>
        <v>-4.9329625373923158E-2</v>
      </c>
      <c r="AG42" s="39">
        <f t="shared" si="15"/>
        <v>-5.3790664108836816E-2</v>
      </c>
      <c r="AH42" s="39">
        <f t="shared" si="15"/>
        <v>-5.819830870434417E-2</v>
      </c>
      <c r="AI42" s="39">
        <f t="shared" si="15"/>
        <v>-5.7884223435751392E-2</v>
      </c>
      <c r="AJ42" s="39">
        <f t="shared" si="15"/>
        <v>-5.7558844479570714E-2</v>
      </c>
      <c r="AK42" s="39">
        <f t="shared" si="15"/>
        <v>-5.7234469006624877E-2</v>
      </c>
      <c r="AL42" s="39">
        <f t="shared" si="15"/>
        <v>-5.6911300880165938E-2</v>
      </c>
      <c r="AM42" s="39">
        <f t="shared" si="15"/>
        <v>-5.6589543607851733E-2</v>
      </c>
      <c r="AN42" s="39">
        <f t="shared" si="15"/>
        <v>-5.646109295299595E-2</v>
      </c>
      <c r="AO42" s="39">
        <f t="shared" si="15"/>
        <v>-5.7656185844232932E-2</v>
      </c>
      <c r="AP42" s="39">
        <f t="shared" si="15"/>
        <v>-6.541891852857562E-2</v>
      </c>
      <c r="AQ42" s="39">
        <f t="shared" si="15"/>
        <v>-7.281063788304043E-2</v>
      </c>
      <c r="AR42" s="39">
        <f t="shared" si="15"/>
        <v>-7.8948791891167103E-2</v>
      </c>
      <c r="AS42" s="39">
        <f t="shared" si="15"/>
        <v>-7.8992598889832566E-2</v>
      </c>
      <c r="AT42" s="39">
        <f t="shared" si="15"/>
        <v>-1</v>
      </c>
      <c r="AU42" s="39">
        <f t="shared" si="15"/>
        <v>0</v>
      </c>
      <c r="AV42" s="39">
        <f t="shared" si="15"/>
        <v>0</v>
      </c>
      <c r="AW42" s="39">
        <f t="shared" si="15"/>
        <v>0</v>
      </c>
      <c r="AX42" s="39">
        <f t="shared" si="15"/>
        <v>0</v>
      </c>
      <c r="AY42" s="39">
        <f t="shared" si="15"/>
        <v>0</v>
      </c>
      <c r="AZ42" s="39">
        <f t="shared" si="15"/>
        <v>0</v>
      </c>
    </row>
    <row r="43" spans="1:52" x14ac:dyDescent="0.35"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52" x14ac:dyDescent="0.35">
      <c r="A44" s="6"/>
      <c r="M44" s="2"/>
    </row>
  </sheetData>
  <mergeCells count="1">
    <mergeCell ref="X8:AZ8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C272-5018-4061-82C4-E899DD524A74}">
  <sheetPr>
    <tabColor theme="7" tint="0.79998168889431442"/>
  </sheetPr>
  <dimension ref="A1:AZ44"/>
  <sheetViews>
    <sheetView zoomScale="70" zoomScaleNormal="70" workbookViewId="0">
      <selection activeCell="T55" sqref="T55"/>
    </sheetView>
  </sheetViews>
  <sheetFormatPr baseColWidth="10" defaultRowHeight="14.5" x14ac:dyDescent="0.35"/>
  <cols>
    <col min="1" max="1" width="30.1796875" customWidth="1"/>
    <col min="2" max="3" width="10.08984375" customWidth="1"/>
    <col min="4" max="4" width="12" customWidth="1"/>
    <col min="5" max="12" width="11" customWidth="1"/>
    <col min="13" max="22" width="11.26953125" bestFit="1" customWidth="1"/>
  </cols>
  <sheetData>
    <row r="1" spans="1:52" x14ac:dyDescent="0.35">
      <c r="A1" s="1" t="s">
        <v>66</v>
      </c>
      <c r="B1" s="1" t="s">
        <v>69</v>
      </c>
      <c r="C1" s="1" t="s">
        <v>71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5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52" x14ac:dyDescent="0.35">
      <c r="A3" t="s">
        <v>33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  <c r="Z3" s="10">
        <v>2024</v>
      </c>
      <c r="AA3" s="10">
        <v>2025</v>
      </c>
      <c r="AB3" s="10">
        <v>2026</v>
      </c>
      <c r="AC3" s="10">
        <v>2027</v>
      </c>
      <c r="AD3" s="10">
        <v>2028</v>
      </c>
      <c r="AE3" s="10">
        <v>2029</v>
      </c>
      <c r="AF3" s="10">
        <v>2030</v>
      </c>
      <c r="AG3" s="10">
        <v>2031</v>
      </c>
      <c r="AH3" s="10">
        <v>2032</v>
      </c>
      <c r="AI3" s="10">
        <v>2033</v>
      </c>
      <c r="AJ3" s="10">
        <v>2034</v>
      </c>
      <c r="AK3" s="10">
        <v>2035</v>
      </c>
      <c r="AL3" s="10">
        <v>2036</v>
      </c>
      <c r="AM3" s="10">
        <v>2037</v>
      </c>
      <c r="AN3" s="10">
        <v>2038</v>
      </c>
      <c r="AO3" s="10">
        <v>2039</v>
      </c>
      <c r="AP3" s="10">
        <v>2040</v>
      </c>
      <c r="AQ3" s="10">
        <v>2041</v>
      </c>
      <c r="AR3" s="10">
        <v>2042</v>
      </c>
      <c r="AS3" s="10">
        <v>2043</v>
      </c>
      <c r="AT3" s="10">
        <v>2044</v>
      </c>
      <c r="AU3" s="10">
        <v>2045</v>
      </c>
      <c r="AV3" s="10">
        <v>2046</v>
      </c>
      <c r="AW3" s="10">
        <v>2047</v>
      </c>
      <c r="AX3" s="10">
        <v>2048</v>
      </c>
      <c r="AY3" s="10">
        <v>2049</v>
      </c>
      <c r="AZ3" s="10">
        <v>2050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2">
        <v>2.7023356871265617E-2</v>
      </c>
      <c r="N4" s="12">
        <v>3.1010957204879057E-2</v>
      </c>
      <c r="O4" s="12">
        <v>3.8126729199001279E-2</v>
      </c>
      <c r="P4" s="12">
        <v>3.5026969434640738E-2</v>
      </c>
      <c r="Q4" s="12">
        <v>3.3996359854394177E-2</v>
      </c>
      <c r="R4" s="12">
        <v>3.4014031571034831E-2</v>
      </c>
      <c r="S4" s="12">
        <v>4.9543067624387711E-2</v>
      </c>
      <c r="T4" s="12">
        <v>2.7387377514771286E-2</v>
      </c>
      <c r="U4" s="12">
        <v>2.4556745604445283E-2</v>
      </c>
      <c r="V4" s="12">
        <v>1.9815844616376532E-2</v>
      </c>
      <c r="W4" s="2">
        <v>1.9980496922170531E-2</v>
      </c>
    </row>
    <row r="5" spans="1:52" x14ac:dyDescent="0.35">
      <c r="A5" s="8" t="s">
        <v>28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2">
        <v>7.1010998447666535E-2</v>
      </c>
      <c r="N5" s="12">
        <v>6.7381830372108611E-2</v>
      </c>
      <c r="O5" s="12">
        <v>7.5881881715974694E-2</v>
      </c>
      <c r="P5" s="12">
        <v>7.3957932727864398E-2</v>
      </c>
      <c r="Q5" s="12">
        <v>7.0413363533408796E-2</v>
      </c>
      <c r="R5" s="12">
        <v>6.6987441987441984E-2</v>
      </c>
      <c r="S5" s="12">
        <v>5.9343252654905469E-2</v>
      </c>
      <c r="T5" s="12">
        <v>4.2323235487610043E-2</v>
      </c>
      <c r="U5" s="13"/>
      <c r="V5" s="13"/>
    </row>
    <row r="6" spans="1:52" x14ac:dyDescent="0.35">
      <c r="A6" s="14" t="s">
        <v>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15">
        <v>3.1655870876997901E-2</v>
      </c>
      <c r="N6" s="15">
        <v>3.4860278301873507E-2</v>
      </c>
      <c r="O6" s="15">
        <v>4.214312701860673E-2</v>
      </c>
      <c r="P6" s="15">
        <v>3.918979132281325E-2</v>
      </c>
      <c r="Q6" s="15">
        <v>3.7897041756016006E-2</v>
      </c>
      <c r="R6" s="15">
        <v>3.7560056655828317E-2</v>
      </c>
      <c r="S6" s="15">
        <v>5.0606192472778193E-2</v>
      </c>
      <c r="T6" s="15">
        <v>2.9020101246554738E-2</v>
      </c>
      <c r="U6" s="15">
        <v>2.4556745604445283E-2</v>
      </c>
      <c r="V6" s="16">
        <v>1.9815844616376532E-2</v>
      </c>
      <c r="W6" s="43">
        <v>1.9980496922170531E-2</v>
      </c>
      <c r="X6" s="43">
        <f>'Weighted Average'!X15</f>
        <v>1.9140003671498675E-2</v>
      </c>
      <c r="Y6" s="43">
        <f>'Weighted Average'!Y15</f>
        <v>1.8948599999999999E-2</v>
      </c>
      <c r="Z6" s="43">
        <f>'Weighted Average'!Z15</f>
        <v>1.8759114E-2</v>
      </c>
      <c r="AA6" s="43">
        <f>'Weighted Average'!AA15</f>
        <v>1.8665318430000001E-2</v>
      </c>
      <c r="AB6" s="43">
        <f>'Weighted Average'!AB15</f>
        <v>1.8571991837850001E-2</v>
      </c>
      <c r="AC6" s="43">
        <f>'Weighted Average'!AC15</f>
        <v>1.8479131878660751E-2</v>
      </c>
      <c r="AD6" s="43">
        <f>'Weighted Average'!AD15</f>
        <v>1.8386736219267449E-2</v>
      </c>
      <c r="AE6" s="43">
        <f>'Weighted Average'!AE15</f>
        <v>1.8294802538171111E-2</v>
      </c>
      <c r="AF6" s="43">
        <f>'Weighted Average'!AF15</f>
        <v>1.8203328525480254E-2</v>
      </c>
      <c r="AG6" s="43">
        <f>'Weighted Average'!AG15</f>
        <v>1.8112311882852852E-2</v>
      </c>
      <c r="AH6" s="43">
        <f>'Weighted Average'!AH15</f>
        <v>1.8021750323438588E-2</v>
      </c>
      <c r="AI6" s="43">
        <f>'Weighted Average'!AI15</f>
        <v>1.7931641571821394E-2</v>
      </c>
      <c r="AJ6" s="43">
        <f>'Weighted Average'!AJ15</f>
        <v>1.7841983363962286E-2</v>
      </c>
      <c r="AK6" s="43">
        <f>'Weighted Average'!AK15</f>
        <v>1.7752773447142475E-2</v>
      </c>
      <c r="AL6" s="43">
        <f>'Weighted Average'!AL15</f>
        <v>1.7664009579906763E-2</v>
      </c>
      <c r="AM6" s="43">
        <f>'Weighted Average'!AM15</f>
        <v>1.7575689532007228E-2</v>
      </c>
      <c r="AN6" s="43">
        <f>'Weighted Average'!AN15</f>
        <v>1.7487811084347191E-2</v>
      </c>
      <c r="AO6" s="43">
        <f>'Weighted Average'!AO15</f>
        <v>1.7400372028925457E-2</v>
      </c>
      <c r="AP6" s="43">
        <f>'Weighted Average'!AP15</f>
        <v>1.7313370168780828E-2</v>
      </c>
      <c r="AQ6" s="43">
        <f>'Weighted Average'!AQ15</f>
        <v>1.7226803317936922E-2</v>
      </c>
      <c r="AR6" s="43">
        <f>'Weighted Average'!AR15</f>
        <v>1.7140669301347236E-2</v>
      </c>
      <c r="AS6" s="43">
        <f>'Weighted Average'!AS15</f>
        <v>1.70549659548405E-2</v>
      </c>
      <c r="AT6" s="43">
        <f>'Weighted Average'!AT15</f>
        <v>1.6969691125066296E-2</v>
      </c>
      <c r="AU6" s="43">
        <f>'Weighted Average'!AU15</f>
        <v>1.6884842669440965E-2</v>
      </c>
      <c r="AV6" s="43">
        <f>'Weighted Average'!AV15</f>
        <v>1.6800418456093761E-2</v>
      </c>
      <c r="AW6" s="43">
        <f>'Weighted Average'!AW15</f>
        <v>1.6716416363813293E-2</v>
      </c>
      <c r="AX6" s="43">
        <f>'Weighted Average'!AX15</f>
        <v>1.6632834281994226E-2</v>
      </c>
      <c r="AY6" s="43">
        <f>'Weighted Average'!AY15</f>
        <v>1.6549670110584256E-2</v>
      </c>
      <c r="AZ6" s="43">
        <f>'Weighted Average'!AZ15</f>
        <v>1.6466921760031335E-2</v>
      </c>
    </row>
    <row r="7" spans="1:52" x14ac:dyDescent="0.35">
      <c r="A7" s="1"/>
      <c r="B7" s="26"/>
      <c r="C7" s="2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7"/>
      <c r="X7" s="6" t="s">
        <v>78</v>
      </c>
    </row>
    <row r="8" spans="1:52" x14ac:dyDescent="0.35">
      <c r="A8" s="1"/>
      <c r="B8" s="26"/>
      <c r="C8" s="2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7"/>
      <c r="X8" s="105" t="s">
        <v>79</v>
      </c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</row>
    <row r="9" spans="1:52" x14ac:dyDescent="0.35">
      <c r="A9" s="1"/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 s="1">
        <v>2011</v>
      </c>
      <c r="N9" s="1">
        <v>2012</v>
      </c>
      <c r="O9" s="1">
        <v>2013</v>
      </c>
      <c r="P9" s="1">
        <v>2014</v>
      </c>
      <c r="Q9" s="1">
        <v>2015</v>
      </c>
      <c r="R9" s="1">
        <v>2016</v>
      </c>
      <c r="S9" s="1">
        <v>2017</v>
      </c>
      <c r="T9" s="1">
        <v>2018</v>
      </c>
      <c r="U9" s="1">
        <v>2019</v>
      </c>
      <c r="V9" s="1">
        <v>2020</v>
      </c>
      <c r="W9" s="1">
        <v>2021</v>
      </c>
      <c r="X9" s="47">
        <v>2022</v>
      </c>
      <c r="Y9" s="47">
        <v>2023</v>
      </c>
      <c r="Z9" s="47">
        <v>2024</v>
      </c>
      <c r="AA9" s="47">
        <v>2025</v>
      </c>
      <c r="AB9" s="47">
        <v>2026</v>
      </c>
      <c r="AC9" s="47">
        <v>2027</v>
      </c>
      <c r="AD9" s="47">
        <v>2028</v>
      </c>
      <c r="AE9" s="47">
        <v>2029</v>
      </c>
      <c r="AF9" s="47">
        <v>2030</v>
      </c>
      <c r="AG9" s="47">
        <v>2031</v>
      </c>
      <c r="AH9" s="47">
        <v>2032</v>
      </c>
      <c r="AI9" s="47">
        <v>2033</v>
      </c>
      <c r="AJ9" s="47">
        <v>2034</v>
      </c>
      <c r="AK9" s="47">
        <v>2035</v>
      </c>
      <c r="AL9" s="47">
        <v>2036</v>
      </c>
      <c r="AM9" s="47">
        <v>2037</v>
      </c>
      <c r="AN9" s="47">
        <v>2038</v>
      </c>
      <c r="AO9" s="47">
        <v>2039</v>
      </c>
      <c r="AP9" s="47">
        <v>2040</v>
      </c>
      <c r="AQ9" s="47">
        <v>2041</v>
      </c>
      <c r="AR9" s="47">
        <v>2042</v>
      </c>
      <c r="AS9" s="47">
        <v>2043</v>
      </c>
      <c r="AT9" s="47">
        <v>2044</v>
      </c>
      <c r="AU9" s="47">
        <v>2045</v>
      </c>
      <c r="AV9" s="47">
        <v>2046</v>
      </c>
      <c r="AW9" s="47">
        <v>2047</v>
      </c>
      <c r="AX9" s="47">
        <v>2048</v>
      </c>
      <c r="AY9" s="47">
        <v>2049</v>
      </c>
      <c r="AZ9" s="47">
        <v>2050</v>
      </c>
    </row>
    <row r="10" spans="1:52" ht="14.5" customHeight="1" x14ac:dyDescent="0.35">
      <c r="A10" s="1" t="s">
        <v>0</v>
      </c>
      <c r="B10" s="23">
        <f>C10/1.14</f>
        <v>19.651661929672038</v>
      </c>
      <c r="C10" s="23">
        <f>D10/1.14</f>
        <v>22.402894599826123</v>
      </c>
      <c r="D10" s="23">
        <f>E10/1.14</f>
        <v>25.539299843801778</v>
      </c>
      <c r="E10" s="23">
        <f>F10/1.06</f>
        <v>29.114801821934027</v>
      </c>
      <c r="F10" s="23">
        <f>G10/1.24</f>
        <v>30.861689931250069</v>
      </c>
      <c r="G10" s="23">
        <f>H10/1.14</f>
        <v>38.268495514750086</v>
      </c>
      <c r="H10" s="23">
        <f>I10/(1-0.21)</f>
        <v>43.626084886815093</v>
      </c>
      <c r="I10" s="23">
        <f>J10/1.16</f>
        <v>34.464607060583923</v>
      </c>
      <c r="J10" s="23">
        <f>K10/(1-0.14)</f>
        <v>39.978944190277346</v>
      </c>
      <c r="K10" s="23">
        <f>L10/1.26</f>
        <v>34.381892003638519</v>
      </c>
      <c r="L10" s="23">
        <f>M10/1.27</f>
        <v>43.321183924584531</v>
      </c>
      <c r="M10" s="4">
        <f>$M$6*'Eurostat Collected Portables'!M3</f>
        <v>55.017903584222353</v>
      </c>
      <c r="N10" s="4">
        <f>$N$6*'Eurostat Collected Portables'!N3</f>
        <v>66.54827127827653</v>
      </c>
      <c r="O10" s="4">
        <f>$O$6*'Eurostat Collected Portables'!O3</f>
        <v>83.274818988766896</v>
      </c>
      <c r="P10" s="4">
        <f>$P$6*'Eurostat Collected Portables'!P3</f>
        <v>82.180992403939385</v>
      </c>
      <c r="Q10" s="4">
        <f>$Q$6*'Eurostat Collected Portables'!Q3</f>
        <v>87.125298997080804</v>
      </c>
      <c r="R10" s="4">
        <f>$R$6*'Eurostat Collected Portables'!R3</f>
        <v>82.181403962952359</v>
      </c>
      <c r="S10" s="4">
        <f>$S$6*'Eurostat Collected Portables'!S3</f>
        <v>107.13330946487143</v>
      </c>
      <c r="T10" s="4">
        <f>$T$6*'Eurostat Collected Portables'!T3</f>
        <v>65.875629829679255</v>
      </c>
      <c r="U10" s="4">
        <f>$U$6*'Eurostat Collected Portables'!U3</f>
        <v>58.34682755616199</v>
      </c>
      <c r="V10" s="4">
        <f>$V$6*'Eurostat Collected Portables'!V3</f>
        <v>56.059024419729212</v>
      </c>
      <c r="W10" s="4">
        <f>$W$6*'Eurostat Collected Portables'!W3</f>
        <v>55.345976474412375</v>
      </c>
      <c r="X10" s="67">
        <f>X$6*'Eurostat Collected Portables'!X3</f>
        <v>55.429427978983753</v>
      </c>
      <c r="Y10" s="67">
        <f>Y$6*'Eurostat Collected Portables'!Y3</f>
        <v>56.351136076230127</v>
      </c>
      <c r="Z10" s="67">
        <f>Z$6*'Eurostat Collected Portables'!Z3</f>
        <v>58.724462617310301</v>
      </c>
      <c r="AA10" s="67">
        <f>AA$6*'Eurostat Collected Portables'!AA3</f>
        <v>61.609403905251725</v>
      </c>
      <c r="AB10" s="67">
        <f>AB$6*'Eurostat Collected Portables'!AB3</f>
        <v>64.481323901554106</v>
      </c>
      <c r="AC10" s="67">
        <f>AC$6*'Eurostat Collected Portables'!AC3</f>
        <v>67.415943075334781</v>
      </c>
      <c r="AD10" s="67">
        <f>AD$6*'Eurostat Collected Portables'!AD3</f>
        <v>70.556141508423181</v>
      </c>
      <c r="AE10" s="67">
        <f>AE$6*'Eurostat Collected Portables'!AE3</f>
        <v>74.26429850568455</v>
      </c>
      <c r="AF10" s="67">
        <f>AF$6*'Eurostat Collected Portables'!AF3</f>
        <v>78.490568329783557</v>
      </c>
      <c r="AG10" s="67">
        <f>AG$6*'Eurostat Collected Portables'!AG3</f>
        <v>82.647223634233995</v>
      </c>
      <c r="AH10" s="67">
        <f>AH$6*'Eurostat Collected Portables'!AH3</f>
        <v>86.613085209182515</v>
      </c>
      <c r="AI10" s="67">
        <f>AI$6*'Eurostat Collected Portables'!AI3</f>
        <v>90.343686464079298</v>
      </c>
      <c r="AJ10" s="67">
        <f>AJ$6*'Eurostat Collected Portables'!AJ3</f>
        <v>94.263302740425502</v>
      </c>
      <c r="AK10" s="67">
        <f>AK$6*'Eurostat Collected Portables'!AK3</f>
        <v>98.383915751696435</v>
      </c>
      <c r="AL10" s="67">
        <f>AL$6*'Eurostat Collected Portables'!AL3</f>
        <v>102.71692177902572</v>
      </c>
      <c r="AM10" s="67">
        <f>AM$6*'Eurostat Collected Portables'!AM3</f>
        <v>107.27439087630577</v>
      </c>
      <c r="AN10" s="67">
        <f>AN$6*'Eurostat Collected Portables'!AN3</f>
        <v>112.0691071076227</v>
      </c>
      <c r="AO10" s="67">
        <f>AO$6*'Eurostat Collected Portables'!AO3</f>
        <v>117.09108511918826</v>
      </c>
      <c r="AP10" s="67">
        <f>AP$6*'Eurostat Collected Portables'!AP3</f>
        <v>122.1799819050013</v>
      </c>
      <c r="AQ10" s="67">
        <f>AQ$6*'Eurostat Collected Portables'!AQ3</f>
        <v>126.43723719993606</v>
      </c>
      <c r="AR10" s="67">
        <f>AR$6*'Eurostat Collected Portables'!AR3</f>
        <v>129.80473181558762</v>
      </c>
      <c r="AS10" s="67">
        <f>AS$6*'Eurostat Collected Portables'!AS3</f>
        <v>132.37662387646665</v>
      </c>
      <c r="AT10" s="67">
        <f>AT$6*'Eurostat Collected Portables'!AT3</f>
        <v>134.98938285870042</v>
      </c>
      <c r="AU10" s="67">
        <f>AU$6*'Eurostat Collected Portables'!AU3</f>
        <v>137.64812467752191</v>
      </c>
      <c r="AV10" s="67">
        <f>AV$6*'Eurostat Collected Portables'!AV3</f>
        <v>140.32398215837748</v>
      </c>
      <c r="AW10" s="67">
        <f>AW$6*'Eurostat Collected Portables'!AW3</f>
        <v>143.01631947488298</v>
      </c>
      <c r="AX10" s="67">
        <f>AX$6*'Eurostat Collected Portables'!AX3</f>
        <v>145.72447298157689</v>
      </c>
      <c r="AY10" s="67">
        <f>AY$6*'Eurostat Collected Portables'!AY3</f>
        <v>148.4777862131933</v>
      </c>
      <c r="AZ10" s="67">
        <f>AZ$6*'Eurostat Collected Portables'!AZ3</f>
        <v>151.27704305229344</v>
      </c>
    </row>
    <row r="11" spans="1:52" x14ac:dyDescent="0.35">
      <c r="A11" s="1" t="s">
        <v>1</v>
      </c>
      <c r="B11" s="23">
        <f t="shared" ref="B11:D11" si="0">C11/1.14</f>
        <v>25.203426030632318</v>
      </c>
      <c r="C11" s="23">
        <f t="shared" si="0"/>
        <v>28.731905674920842</v>
      </c>
      <c r="D11" s="23">
        <f t="shared" si="0"/>
        <v>32.754372469409759</v>
      </c>
      <c r="E11" s="23">
        <f t="shared" ref="E11:E40" si="1">F11/1.06</f>
        <v>37.339984615127122</v>
      </c>
      <c r="F11" s="23">
        <f t="shared" ref="F11:F40" si="2">G11/1.24</f>
        <v>39.580383692034751</v>
      </c>
      <c r="G11" s="23">
        <f t="shared" ref="G11:G40" si="3">H11/1.14</f>
        <v>49.079675778123089</v>
      </c>
      <c r="H11" s="23">
        <f t="shared" ref="H11:H40" si="4">I11/(1-0.21)</f>
        <v>55.950830387060314</v>
      </c>
      <c r="I11" s="23">
        <f t="shared" ref="I11:I40" si="5">J11/1.16</f>
        <v>44.201156005777648</v>
      </c>
      <c r="J11" s="23">
        <f t="shared" ref="J11:J40" si="6">K11/(1-0.14)</f>
        <v>51.273340966702065</v>
      </c>
      <c r="K11" s="23">
        <f t="shared" ref="K11:K40" si="7">L11/1.26</f>
        <v>44.095073231363777</v>
      </c>
      <c r="L11" s="23">
        <f t="shared" ref="L11:L40" si="8">M11/1.27</f>
        <v>55.559792271518361</v>
      </c>
      <c r="M11" s="4">
        <f>$M$6*'Eurostat Collected Portables'!M4</f>
        <v>70.560936184828321</v>
      </c>
      <c r="N11" s="4">
        <f>$N$6*'Eurostat Collected Portables'!N4</f>
        <v>79.237412580158477</v>
      </c>
      <c r="O11" s="4">
        <f>$O$6*'Eurostat Collected Portables'!O4</f>
        <v>96.844905888758262</v>
      </c>
      <c r="P11" s="4">
        <f>$P$6*'Eurostat Collected Portables'!P4</f>
        <v>91.821681069351442</v>
      </c>
      <c r="Q11" s="4">
        <f>$Q$6*'Eurostat Collected Portables'!Q4</f>
        <v>92.392987801167024</v>
      </c>
      <c r="R11" s="4">
        <f>$R$6*'Eurostat Collected Portables'!R4</f>
        <v>118.42685863582668</v>
      </c>
      <c r="S11" s="4">
        <f>$S$6*'Eurostat Collected Portables'!S4</f>
        <v>142.35521942592504</v>
      </c>
      <c r="T11" s="4">
        <f>$T$6*'Eurostat Collected Portables'!T4</f>
        <v>85.173997158638159</v>
      </c>
      <c r="U11" s="4">
        <f>$U$6*'Eurostat Collected Portables'!U4</f>
        <v>83.124583871047278</v>
      </c>
      <c r="V11" s="4">
        <f>$V$6*'Eurostat Collected Portables'!V4</f>
        <v>62.400094696969703</v>
      </c>
      <c r="W11" s="4">
        <f>$W$6*'Eurostat Collected Portables'!W4</f>
        <v>67.773845560002442</v>
      </c>
      <c r="X11" s="67">
        <f>X$6*'Eurostat Collected Portables'!X4</f>
        <v>69.00772696733948</v>
      </c>
      <c r="Y11" s="67">
        <f>Y$6*'Eurostat Collected Portables'!Y4</f>
        <v>72.625237363225764</v>
      </c>
      <c r="Z11" s="67">
        <f>Z$6*'Eurostat Collected Portables'!Z4</f>
        <v>74.927958620605935</v>
      </c>
      <c r="AA11" s="67">
        <f>AA$6*'Eurostat Collected Portables'!AA4</f>
        <v>77.832401986332812</v>
      </c>
      <c r="AB11" s="67">
        <f>AB$6*'Eurostat Collected Portables'!AB4</f>
        <v>80.664704738317582</v>
      </c>
      <c r="AC11" s="67">
        <f>AC$6*'Eurostat Collected Portables'!AC4</f>
        <v>83.520869370781469</v>
      </c>
      <c r="AD11" s="67">
        <f>AD$6*'Eurostat Collected Portables'!AD4</f>
        <v>86.575630086364029</v>
      </c>
      <c r="AE11" s="67">
        <f>AE$6*'Eurostat Collected Portables'!AE4</f>
        <v>90.263900853282692</v>
      </c>
      <c r="AF11" s="67">
        <f>AF$6*'Eurostat Collected Portables'!AF4</f>
        <v>94.507983466351973</v>
      </c>
      <c r="AG11" s="67">
        <f>AG$6*'Eurostat Collected Portables'!AG4</f>
        <v>98.591451129973322</v>
      </c>
      <c r="AH11" s="67">
        <f>AH$6*'Eurostat Collected Portables'!AH4</f>
        <v>102.37562785851091</v>
      </c>
      <c r="AI11" s="67">
        <f>AI$6*'Eurostat Collected Portables'!AI4</f>
        <v>105.81670835808674</v>
      </c>
      <c r="AJ11" s="67">
        <f>AJ$6*'Eurostat Collected Portables'!AJ4</f>
        <v>109.41653440631414</v>
      </c>
      <c r="AK11" s="67">
        <f>AK$6*'Eurostat Collected Portables'!AK4</f>
        <v>113.18476852392756</v>
      </c>
      <c r="AL11" s="67">
        <f>AL$6*'Eurostat Collected Portables'!AL4</f>
        <v>117.13007561684437</v>
      </c>
      <c r="AM11" s="67">
        <f>AM$6*'Eurostat Collected Portables'!AM4</f>
        <v>121.2615908088507</v>
      </c>
      <c r="AN11" s="67">
        <f>AN$6*'Eurostat Collected Portables'!AN4</f>
        <v>125.58894513750836</v>
      </c>
      <c r="AO11" s="67">
        <f>AO$6*'Eurostat Collected Portables'!AO4</f>
        <v>130.09615361252861</v>
      </c>
      <c r="AP11" s="67">
        <f>AP$6*'Eurostat Collected Portables'!AP4</f>
        <v>134.60213917446848</v>
      </c>
      <c r="AQ11" s="67">
        <f>AQ$6*'Eurostat Collected Portables'!AQ4</f>
        <v>138.12544259063648</v>
      </c>
      <c r="AR11" s="67">
        <f>AR$6*'Eurostat Collected Portables'!AR4</f>
        <v>140.62769279381891</v>
      </c>
      <c r="AS11" s="67">
        <f>AS$6*'Eurostat Collected Portables'!AS4</f>
        <v>142.23533899251692</v>
      </c>
      <c r="AT11" s="67">
        <f>AT$6*'Eurostat Collected Portables'!AT4</f>
        <v>143.86175212190403</v>
      </c>
      <c r="AU11" s="67">
        <f>AU$6*'Eurostat Collected Portables'!AU4</f>
        <v>145.51193099678017</v>
      </c>
      <c r="AV11" s="67">
        <f>AV$6*'Eurostat Collected Portables'!AV4</f>
        <v>147.15507819282561</v>
      </c>
      <c r="AW11" s="67">
        <f>AW$6*'Eurostat Collected Portables'!AW4</f>
        <v>148.7907443515451</v>
      </c>
      <c r="AX11" s="67">
        <f>AX$6*'Eurostat Collected Portables'!AX4</f>
        <v>150.41846499484063</v>
      </c>
      <c r="AY11" s="67">
        <f>AY$6*'Eurostat Collected Portables'!AY4</f>
        <v>152.06852242757427</v>
      </c>
      <c r="AZ11" s="67">
        <f>AZ$6*'Eurostat Collected Portables'!AZ4</f>
        <v>153.74123987673207</v>
      </c>
    </row>
    <row r="12" spans="1:52" x14ac:dyDescent="0.35">
      <c r="A12" s="1" t="s">
        <v>2</v>
      </c>
      <c r="B12" s="23">
        <f t="shared" ref="B12:D12" si="9">C12/1.14</f>
        <v>1.2211619611073532</v>
      </c>
      <c r="C12" s="23">
        <f t="shared" si="9"/>
        <v>1.3921246356623826</v>
      </c>
      <c r="D12" s="23">
        <f t="shared" si="9"/>
        <v>1.587022084655116</v>
      </c>
      <c r="E12" s="23">
        <f t="shared" si="1"/>
        <v>1.809205176506832</v>
      </c>
      <c r="F12" s="23">
        <f t="shared" si="2"/>
        <v>1.917757487097242</v>
      </c>
      <c r="G12" s="23">
        <f t="shared" si="3"/>
        <v>2.37801928400058</v>
      </c>
      <c r="H12" s="23">
        <f t="shared" si="4"/>
        <v>2.710941983760661</v>
      </c>
      <c r="I12" s="23">
        <f t="shared" si="5"/>
        <v>2.1416441671709223</v>
      </c>
      <c r="J12" s="23">
        <f t="shared" si="6"/>
        <v>2.4843072339182695</v>
      </c>
      <c r="K12" s="23">
        <f t="shared" si="7"/>
        <v>2.1365042211697118</v>
      </c>
      <c r="L12" s="23">
        <f t="shared" si="8"/>
        <v>2.691995318673837</v>
      </c>
      <c r="M12" s="4">
        <f>$M$6*'Eurostat Collected Portables'!M5</f>
        <v>3.4188340547157732</v>
      </c>
      <c r="N12" s="4">
        <f>$N$6*'Eurostat Collected Portables'!N5</f>
        <v>9.0985326367889847</v>
      </c>
      <c r="O12" s="4">
        <f>$O$6*'Eurostat Collected Portables'!O5</f>
        <v>10.409352373595862</v>
      </c>
      <c r="P12" s="4">
        <f>$P$6*'Eurostat Collected Portables'!P5</f>
        <v>11.874506770812415</v>
      </c>
      <c r="Q12" s="4">
        <f>$Q$6*'Eurostat Collected Portables'!Q5</f>
        <v>12.202847445437154</v>
      </c>
      <c r="R12" s="4">
        <f>$R$6*'Eurostat Collected Portables'!R5</f>
        <v>13.59674050940985</v>
      </c>
      <c r="S12" s="4">
        <f>$S$6*'Eurostat Collected Portables'!S5</f>
        <v>19.635202679437938</v>
      </c>
      <c r="T12" s="4">
        <f>$T$6*'Eurostat Collected Portables'!T5</f>
        <v>11.666080701115005</v>
      </c>
      <c r="U12" s="4">
        <f>$U$6*'Eurostat Collected Portables'!U5</f>
        <v>9.6262442769425505</v>
      </c>
      <c r="V12" s="4">
        <f>$V$6*'Eurostat Collected Portables'!V5</f>
        <v>8.0848646034816252</v>
      </c>
      <c r="W12" s="4">
        <f>$W$6*'Eurostat Collected Portables'!W5</f>
        <v>8.9512626211323987</v>
      </c>
      <c r="X12" s="67">
        <f>X$6*'Eurostat Collected Portables'!X5</f>
        <v>8.959900600865268</v>
      </c>
      <c r="Y12" s="67">
        <f>Y$6*'Eurostat Collected Portables'!Y5</f>
        <v>9.3923760553934041</v>
      </c>
      <c r="Z12" s="67">
        <f>Z$6*'Eurostat Collected Portables'!Z5</f>
        <v>9.7783613124747202</v>
      </c>
      <c r="AA12" s="67">
        <f>AA$6*'Eurostat Collected Portables'!AA5</f>
        <v>10.248889100654951</v>
      </c>
      <c r="AB12" s="67">
        <f>AB$6*'Eurostat Collected Portables'!AB5</f>
        <v>10.716544254766184</v>
      </c>
      <c r="AC12" s="67">
        <f>AC$6*'Eurostat Collected Portables'!AC5</f>
        <v>11.193927432541093</v>
      </c>
      <c r="AD12" s="67">
        <f>AD$6*'Eurostat Collected Portables'!AD5</f>
        <v>11.704733929316237</v>
      </c>
      <c r="AE12" s="67">
        <f>AE$6*'Eurostat Collected Portables'!AE5</f>
        <v>12.308956158649179</v>
      </c>
      <c r="AF12" s="67">
        <f>AF$6*'Eurostat Collected Portables'!AF5</f>
        <v>12.998115316590523</v>
      </c>
      <c r="AG12" s="67">
        <f>AG$6*'Eurostat Collected Portables'!AG5</f>
        <v>13.674772005236376</v>
      </c>
      <c r="AH12" s="67">
        <f>AH$6*'Eurostat Collected Portables'!AH5</f>
        <v>14.318950575939265</v>
      </c>
      <c r="AI12" s="67">
        <f>AI$6*'Eurostat Collected Portables'!AI5</f>
        <v>14.923410825171452</v>
      </c>
      <c r="AJ12" s="67">
        <f>AJ$6*'Eurostat Collected Portables'!AJ5</f>
        <v>15.558298804893848</v>
      </c>
      <c r="AK12" s="67">
        <f>AK$6*'Eurostat Collected Portables'!AK5</f>
        <v>16.225538257564601</v>
      </c>
      <c r="AL12" s="67">
        <f>AL$6*'Eurostat Collected Portables'!AL5</f>
        <v>16.926952264005223</v>
      </c>
      <c r="AM12" s="67">
        <f>AM$6*'Eurostat Collected Portables'!AM5</f>
        <v>17.664471155799628</v>
      </c>
      <c r="AN12" s="67">
        <f>AN$6*'Eurostat Collected Portables'!AN5</f>
        <v>18.44013889000518</v>
      </c>
      <c r="AO12" s="67">
        <f>AO$6*'Eurostat Collected Portables'!AO5</f>
        <v>19.252251619766948</v>
      </c>
      <c r="AP12" s="67">
        <f>AP$6*'Eurostat Collected Portables'!AP5</f>
        <v>20.074408454131209</v>
      </c>
      <c r="AQ12" s="67">
        <f>AQ$6*'Eurostat Collected Portables'!AQ5</f>
        <v>20.759081502851934</v>
      </c>
      <c r="AR12" s="67">
        <f>AR$6*'Eurostat Collected Portables'!AR5</f>
        <v>21.297047164849143</v>
      </c>
      <c r="AS12" s="67">
        <f>AS$6*'Eurostat Collected Portables'!AS5</f>
        <v>21.704064009634482</v>
      </c>
      <c r="AT12" s="67">
        <f>AT$6*'Eurostat Collected Portables'!AT5</f>
        <v>22.117462290437235</v>
      </c>
      <c r="AU12" s="67">
        <f>AU$6*'Eurostat Collected Portables'!AU5</f>
        <v>22.53807447784401</v>
      </c>
      <c r="AV12" s="67">
        <f>AV$6*'Eurostat Collected Portables'!AV5</f>
        <v>22.961170384959665</v>
      </c>
      <c r="AW12" s="67">
        <f>AW$6*'Eurostat Collected Portables'!AW5</f>
        <v>23.386648729969661</v>
      </c>
      <c r="AX12" s="67">
        <f>AX$6*'Eurostat Collected Portables'!AX5</f>
        <v>23.81440385732223</v>
      </c>
      <c r="AY12" s="67">
        <f>AY$6*'Eurostat Collected Portables'!AY5</f>
        <v>24.249231028178965</v>
      </c>
      <c r="AZ12" s="67">
        <f>AZ$6*'Eurostat Collected Portables'!AZ5</f>
        <v>24.691252180876038</v>
      </c>
    </row>
    <row r="13" spans="1:52" x14ac:dyDescent="0.35">
      <c r="A13" s="1" t="s">
        <v>3</v>
      </c>
      <c r="B13" s="23">
        <f t="shared" ref="B13:D13" si="10">C13/1.14</f>
        <v>0.75949476719126996</v>
      </c>
      <c r="C13" s="23">
        <f t="shared" si="10"/>
        <v>0.86582403459804769</v>
      </c>
      <c r="D13" s="23">
        <f t="shared" si="10"/>
        <v>0.98703939944177432</v>
      </c>
      <c r="E13" s="23">
        <f t="shared" si="1"/>
        <v>1.1252249153636227</v>
      </c>
      <c r="F13" s="23">
        <f t="shared" si="2"/>
        <v>1.1927384102854401</v>
      </c>
      <c r="G13" s="23">
        <f t="shared" si="3"/>
        <v>1.4789956287539459</v>
      </c>
      <c r="H13" s="23">
        <f t="shared" si="4"/>
        <v>1.6860550167794981</v>
      </c>
      <c r="I13" s="23">
        <f t="shared" si="5"/>
        <v>1.3319834632558036</v>
      </c>
      <c r="J13" s="23">
        <f t="shared" si="6"/>
        <v>1.5451008173767322</v>
      </c>
      <c r="K13" s="23">
        <f t="shared" si="7"/>
        <v>1.3287867029439897</v>
      </c>
      <c r="L13" s="23">
        <f t="shared" si="8"/>
        <v>1.6742712457094271</v>
      </c>
      <c r="M13" s="4">
        <f>$M$6*'Eurostat Collected Portables'!M6</f>
        <v>2.1263244820509724</v>
      </c>
      <c r="N13" s="4">
        <f>$N$6*'Eurostat Collected Portables'!N6</f>
        <v>2.4907221499881413</v>
      </c>
      <c r="O13" s="4">
        <f>$O$6*'Eurostat Collected Portables'!O6</f>
        <v>3.2028776534141112</v>
      </c>
      <c r="P13" s="4">
        <f>$P$6*'Eurostat Collected Portables'!P6</f>
        <v>2.821664975242554</v>
      </c>
      <c r="Q13" s="4">
        <f>$Q$6*'Eurostat Collected Portables'!Q6</f>
        <v>3.7139100920895687</v>
      </c>
      <c r="R13" s="4">
        <f>$R$6*'Eurostat Collected Portables'!R6</f>
        <v>12.657739093014143</v>
      </c>
      <c r="S13" s="4">
        <f>$S$6*'Eurostat Collected Portables'!S6</f>
        <v>24.088547617042419</v>
      </c>
      <c r="T13" s="4">
        <f>$T$6*'Eurostat Collected Portables'!T6</f>
        <v>15.235553154441238</v>
      </c>
      <c r="U13" s="4">
        <f>$U$6*'Eurostat Collected Portables'!U6</f>
        <v>15.98644138849388</v>
      </c>
      <c r="V13" s="4">
        <f>$V$6*'Eurostat Collected Portables'!V6</f>
        <v>11.810243391360412</v>
      </c>
      <c r="W13" s="4">
        <f>$W$6*'Eurostat Collected Portables'!W6</f>
        <v>14.725626231639682</v>
      </c>
      <c r="X13" s="67">
        <f>X$6*'Eurostat Collected Portables'!X6</f>
        <v>14.973299655998707</v>
      </c>
      <c r="Y13" s="67">
        <f>Y$6*'Eurostat Collected Portables'!Y6</f>
        <v>15.212752012425922</v>
      </c>
      <c r="Z13" s="67">
        <f>Z$6*'Eurostat Collected Portables'!Z6</f>
        <v>15.685450051145397</v>
      </c>
      <c r="AA13" s="67">
        <f>AA$6*'Eurostat Collected Portables'!AA6</f>
        <v>16.283454452826714</v>
      </c>
      <c r="AB13" s="67">
        <f>AB$6*'Eurostat Collected Portables'!AB6</f>
        <v>16.865640915066692</v>
      </c>
      <c r="AC13" s="67">
        <f>AC$6*'Eurostat Collected Portables'!AC6</f>
        <v>17.452098760327779</v>
      </c>
      <c r="AD13" s="67">
        <f>AD$6*'Eurostat Collected Portables'!AD6</f>
        <v>18.079309307678713</v>
      </c>
      <c r="AE13" s="67">
        <f>AE$6*'Eurostat Collected Portables'!AE6</f>
        <v>18.837963612034144</v>
      </c>
      <c r="AF13" s="67">
        <f>AF$6*'Eurostat Collected Portables'!AF6</f>
        <v>19.711614499494651</v>
      </c>
      <c r="AG13" s="67">
        <f>AG$6*'Eurostat Collected Portables'!AG6</f>
        <v>20.55071645328853</v>
      </c>
      <c r="AH13" s="67">
        <f>AH$6*'Eurostat Collected Portables'!AH6</f>
        <v>21.326444518845264</v>
      </c>
      <c r="AI13" s="67">
        <f>AI$6*'Eurostat Collected Portables'!AI6</f>
        <v>22.029795214441975</v>
      </c>
      <c r="AJ13" s="67">
        <f>AJ$6*'Eurostat Collected Portables'!AJ6</f>
        <v>22.76531495085808</v>
      </c>
      <c r="AK13" s="67">
        <f>AK$6*'Eurostat Collected Portables'!AK6</f>
        <v>23.534953948810966</v>
      </c>
      <c r="AL13" s="67">
        <f>AL$6*'Eurostat Collected Portables'!AL6</f>
        <v>24.340450355906874</v>
      </c>
      <c r="AM13" s="67">
        <f>AM$6*'Eurostat Collected Portables'!AM6</f>
        <v>25.18363573334522</v>
      </c>
      <c r="AN13" s="67">
        <f>AN$6*'Eurostat Collected Portables'!AN6</f>
        <v>26.066440104440129</v>
      </c>
      <c r="AO13" s="67">
        <f>AO$6*'Eurostat Collected Portables'!AO6</f>
        <v>26.985475328831853</v>
      </c>
      <c r="AP13" s="67">
        <f>AP$6*'Eurostat Collected Portables'!AP6</f>
        <v>27.903137792496633</v>
      </c>
      <c r="AQ13" s="67">
        <f>AQ$6*'Eurostat Collected Portables'!AQ6</f>
        <v>28.616096484141352</v>
      </c>
      <c r="AR13" s="67">
        <f>AR$6*'Eurostat Collected Portables'!AR6</f>
        <v>29.116780218183031</v>
      </c>
      <c r="AS13" s="67">
        <f>AS$6*'Eurostat Collected Portables'!AS6</f>
        <v>29.431741297299009</v>
      </c>
      <c r="AT13" s="67">
        <f>AT$6*'Eurostat Collected Portables'!AT6</f>
        <v>29.750200679954432</v>
      </c>
      <c r="AU13" s="67">
        <f>AU$6*'Eurostat Collected Portables'!AU6</f>
        <v>30.073185108022848</v>
      </c>
      <c r="AV13" s="67">
        <f>AV$6*'Eurostat Collected Portables'!AV6</f>
        <v>30.394325253735641</v>
      </c>
      <c r="AW13" s="67">
        <f>AW$6*'Eurostat Collected Portables'!AW6</f>
        <v>30.713531714867901</v>
      </c>
      <c r="AX13" s="67">
        <f>AX$6*'Eurostat Collected Portables'!AX6</f>
        <v>31.030712186784637</v>
      </c>
      <c r="AY13" s="67">
        <f>AY$6*'Eurostat Collected Portables'!AY6</f>
        <v>31.352113682298601</v>
      </c>
      <c r="AZ13" s="67">
        <f>AZ$6*'Eurostat Collected Portables'!AZ6</f>
        <v>31.677795136885546</v>
      </c>
    </row>
    <row r="14" spans="1:52" x14ac:dyDescent="0.35">
      <c r="A14" s="1" t="s">
        <v>4</v>
      </c>
      <c r="B14" s="23">
        <f t="shared" ref="B14:D14" si="11">C14/1.14</f>
        <v>0.37313282144946908</v>
      </c>
      <c r="C14" s="23">
        <f t="shared" si="11"/>
        <v>0.42537141645239468</v>
      </c>
      <c r="D14" s="23">
        <f t="shared" si="11"/>
        <v>0.48492341475572986</v>
      </c>
      <c r="E14" s="23">
        <f t="shared" si="1"/>
        <v>0.552812692821532</v>
      </c>
      <c r="F14" s="23">
        <f t="shared" si="2"/>
        <v>0.58598145439082394</v>
      </c>
      <c r="G14" s="23">
        <f t="shared" si="3"/>
        <v>0.72661700344462166</v>
      </c>
      <c r="H14" s="23">
        <f t="shared" si="4"/>
        <v>0.82834338392686857</v>
      </c>
      <c r="I14" s="23">
        <f t="shared" si="5"/>
        <v>0.65439127330222624</v>
      </c>
      <c r="J14" s="23">
        <f t="shared" si="6"/>
        <v>0.7590938770305824</v>
      </c>
      <c r="K14" s="23">
        <f t="shared" si="7"/>
        <v>0.65282073424630083</v>
      </c>
      <c r="L14" s="23">
        <f t="shared" si="8"/>
        <v>0.8225541251503391</v>
      </c>
      <c r="M14" s="4">
        <f>$M$6*'Eurostat Collected Portables'!M7</f>
        <v>1.0446437389409307</v>
      </c>
      <c r="N14" s="4">
        <f>$N$6*'Eurostat Collected Portables'!N7</f>
        <v>1.0806686273580788</v>
      </c>
      <c r="O14" s="4">
        <f>$O$6*'Eurostat Collected Portables'!O7</f>
        <v>1.6435819537256624</v>
      </c>
      <c r="P14" s="4">
        <f>$P$6*'Eurostat Collected Portables'!P7</f>
        <v>1.6067814442353432</v>
      </c>
      <c r="Q14" s="4">
        <f>$Q$6*'Eurostat Collected Portables'!Q7</f>
        <v>2.0843372965808804</v>
      </c>
      <c r="R14" s="4">
        <f>$R$6*'Eurostat Collected Portables'!R7</f>
        <v>2.140923229382214</v>
      </c>
      <c r="S14" s="4">
        <f>$S$6*'Eurostat Collected Portables'!S7</f>
        <v>3.2387963182578043</v>
      </c>
      <c r="T14" s="4">
        <f>$T$6*'Eurostat Collected Portables'!T7</f>
        <v>2.2345477959847146</v>
      </c>
      <c r="U14" s="4">
        <f>$U$6*'Eurostat Collected Portables'!U7</f>
        <v>2.0627666307734036</v>
      </c>
      <c r="V14" s="4">
        <f>$V$6*'Eurostat Collected Portables'!V7</f>
        <v>1.5852675693101226</v>
      </c>
      <c r="W14" s="4">
        <f>$W$6*'Eurostat Collected Portables'!W7</f>
        <v>1.7782642260731774</v>
      </c>
      <c r="X14" s="67">
        <f>X$6*'Eurostat Collected Portables'!X7</f>
        <v>1.8099666527820906</v>
      </c>
      <c r="Y14" s="67">
        <f>Y$6*'Eurostat Collected Portables'!Y7</f>
        <v>1.8405578852504381</v>
      </c>
      <c r="Z14" s="67">
        <f>Z$6*'Eurostat Collected Portables'!Z7</f>
        <v>1.9164882328879573</v>
      </c>
      <c r="AA14" s="67">
        <f>AA$6*'Eurostat Collected Portables'!AA7</f>
        <v>2.0090080149407403</v>
      </c>
      <c r="AB14" s="67">
        <f>AB$6*'Eurostat Collected Portables'!AB7</f>
        <v>2.1009862142425328</v>
      </c>
      <c r="AC14" s="67">
        <f>AC$6*'Eurostat Collected Portables'!AC7</f>
        <v>2.1948927046240527</v>
      </c>
      <c r="AD14" s="67">
        <f>AD$6*'Eurostat Collected Portables'!AD7</f>
        <v>2.2953745148694784</v>
      </c>
      <c r="AE14" s="67">
        <f>AE$6*'Eurostat Collected Portables'!AE7</f>
        <v>2.4142003222297403</v>
      </c>
      <c r="AF14" s="67">
        <f>AF$6*'Eurostat Collected Portables'!AF7</f>
        <v>2.5497137843765376</v>
      </c>
      <c r="AG14" s="67">
        <f>AG$6*'Eurostat Collected Portables'!AG7</f>
        <v>2.6828045640081877</v>
      </c>
      <c r="AH14" s="67">
        <f>AH$6*'Eurostat Collected Portables'!AH7</f>
        <v>2.8095514256571494</v>
      </c>
      <c r="AI14" s="67">
        <f>AI$6*'Eurostat Collected Portables'!AI7</f>
        <v>2.9285303505400644</v>
      </c>
      <c r="AJ14" s="67">
        <f>AJ$6*'Eurostat Collected Portables'!AJ7</f>
        <v>3.0535047057312057</v>
      </c>
      <c r="AK14" s="67">
        <f>AK$6*'Eurostat Collected Portables'!AK7</f>
        <v>3.1848537021654804</v>
      </c>
      <c r="AL14" s="67">
        <f>AL$6*'Eurostat Collected Portables'!AL7</f>
        <v>3.3229369185717315</v>
      </c>
      <c r="AM14" s="67">
        <f>AM$6*'Eurostat Collected Portables'!AM7</f>
        <v>3.4681351043846651</v>
      </c>
      <c r="AN14" s="67">
        <f>AN$6*'Eurostat Collected Portables'!AN7</f>
        <v>3.620851439040599</v>
      </c>
      <c r="AO14" s="67">
        <f>AO$6*'Eurostat Collected Portables'!AO7</f>
        <v>3.780753233183423</v>
      </c>
      <c r="AP14" s="67">
        <f>AP$6*'Eurostat Collected Portables'!AP7</f>
        <v>3.9426570286719484</v>
      </c>
      <c r="AQ14" s="67">
        <f>AQ$6*'Eurostat Collected Portables'!AQ7</f>
        <v>4.0775847214651568</v>
      </c>
      <c r="AR14" s="67">
        <f>AR$6*'Eurostat Collected Portables'!AR7</f>
        <v>4.183714739738746</v>
      </c>
      <c r="AS14" s="67">
        <f>AS$6*'Eurostat Collected Portables'!AS7</f>
        <v>4.2641332135257493</v>
      </c>
      <c r="AT14" s="67">
        <f>AT$6*'Eurostat Collected Portables'!AT7</f>
        <v>4.3458152856580101</v>
      </c>
      <c r="AU14" s="67">
        <f>AU$6*'Eurostat Collected Portables'!AU7</f>
        <v>4.428924704430103</v>
      </c>
      <c r="AV14" s="67">
        <f>AV$6*'Eurostat Collected Portables'!AV7</f>
        <v>4.5125320579284729</v>
      </c>
      <c r="AW14" s="67">
        <f>AW$6*'Eurostat Collected Portables'!AW7</f>
        <v>4.5966173559548746</v>
      </c>
      <c r="AX14" s="67">
        <f>AX$6*'Eurostat Collected Portables'!AX7</f>
        <v>4.681159743225372</v>
      </c>
      <c r="AY14" s="67">
        <f>AY$6*'Eurostat Collected Portables'!AY7</f>
        <v>4.767101819178353</v>
      </c>
      <c r="AZ14" s="67">
        <f>AZ$6*'Eurostat Collected Portables'!AZ7</f>
        <v>4.8544677441442898</v>
      </c>
    </row>
    <row r="15" spans="1:52" x14ac:dyDescent="0.35">
      <c r="A15" s="1" t="s">
        <v>5</v>
      </c>
      <c r="B15" s="23">
        <f t="shared" ref="B15:D15" si="12">C15/1.14</f>
        <v>9.667532192099884</v>
      </c>
      <c r="C15" s="23">
        <f t="shared" si="12"/>
        <v>11.020986698993866</v>
      </c>
      <c r="D15" s="23">
        <f t="shared" si="12"/>
        <v>12.563924836853007</v>
      </c>
      <c r="E15" s="23">
        <f t="shared" si="1"/>
        <v>14.322874314012426</v>
      </c>
      <c r="F15" s="23">
        <f t="shared" si="2"/>
        <v>15.182246772853173</v>
      </c>
      <c r="G15" s="23">
        <f t="shared" si="3"/>
        <v>18.825985998337934</v>
      </c>
      <c r="H15" s="23">
        <f t="shared" si="4"/>
        <v>21.461624038105242</v>
      </c>
      <c r="I15" s="23">
        <f t="shared" si="5"/>
        <v>16.954682990103141</v>
      </c>
      <c r="J15" s="23">
        <f t="shared" si="6"/>
        <v>19.66743226851964</v>
      </c>
      <c r="K15" s="23">
        <f t="shared" si="7"/>
        <v>16.91399175092689</v>
      </c>
      <c r="L15" s="23">
        <f t="shared" si="8"/>
        <v>21.31162960616788</v>
      </c>
      <c r="M15" s="4">
        <f>$M$6*'Eurostat Collected Portables'!M8</f>
        <v>27.065769599833207</v>
      </c>
      <c r="N15" s="4">
        <f>$N$6*'Eurostat Collected Portables'!N8</f>
        <v>35.208881084892241</v>
      </c>
      <c r="O15" s="4">
        <f>$O$6*'Eurostat Collected Portables'!O8</f>
        <v>46.9474434987279</v>
      </c>
      <c r="P15" s="4">
        <f>$P$6*'Eurostat Collected Portables'!P8</f>
        <v>46.831800630761833</v>
      </c>
      <c r="Q15" s="4">
        <f>$Q$6*'Eurostat Collected Portables'!Q8</f>
        <v>53.32113775071452</v>
      </c>
      <c r="R15" s="4">
        <f>$R$6*'Eurostat Collected Portables'!R8</f>
        <v>78.20003795743456</v>
      </c>
      <c r="S15" s="4">
        <f>$S$6*'Eurostat Collected Portables'!S8</f>
        <v>95.645703773550778</v>
      </c>
      <c r="T15" s="4">
        <f>$T$6*'Eurostat Collected Portables'!T8</f>
        <v>55.747614494631648</v>
      </c>
      <c r="U15" s="4">
        <f>$U$6*'Eurostat Collected Portables'!U8</f>
        <v>50.14487452427727</v>
      </c>
      <c r="V15" s="4">
        <f>$V$6*'Eurostat Collected Portables'!V8</f>
        <v>42.683329303675052</v>
      </c>
      <c r="W15" s="4">
        <f>$W$6*'Eurostat Collected Portables'!W8</f>
        <v>48.612549011640901</v>
      </c>
      <c r="X15" s="67">
        <f>X$6*'Eurostat Collected Portables'!X8</f>
        <v>50.502840853283892</v>
      </c>
      <c r="Y15" s="67">
        <f>Y$6*'Eurostat Collected Portables'!Y8</f>
        <v>52.497070781686581</v>
      </c>
      <c r="Z15" s="67">
        <f>Z$6*'Eurostat Collected Portables'!Z8</f>
        <v>54.476186777125335</v>
      </c>
      <c r="AA15" s="67">
        <f>AA$6*'Eurostat Collected Portables'!AA8</f>
        <v>56.914244769028592</v>
      </c>
      <c r="AB15" s="67">
        <f>AB$6*'Eurostat Collected Portables'!AB8</f>
        <v>59.323192088550535</v>
      </c>
      <c r="AC15" s="67">
        <f>AC$6*'Eurostat Collected Portables'!AC8</f>
        <v>61.773083961401291</v>
      </c>
      <c r="AD15" s="67">
        <f>AD$6*'Eurostat Collected Portables'!AD8</f>
        <v>64.394142269685176</v>
      </c>
      <c r="AE15" s="67">
        <f>AE$6*'Eurostat Collected Portables'!AE8</f>
        <v>67.51410988009178</v>
      </c>
      <c r="AF15" s="67">
        <f>AF$6*'Eurostat Collected Portables'!AF8</f>
        <v>71.082422551979079</v>
      </c>
      <c r="AG15" s="67">
        <f>AG$6*'Eurostat Collected Portables'!AG8</f>
        <v>74.564136324219092</v>
      </c>
      <c r="AH15" s="67">
        <f>AH$6*'Eurostat Collected Portables'!AH8</f>
        <v>77.851727445630175</v>
      </c>
      <c r="AI15" s="67">
        <f>AI$6*'Eurostat Collected Portables'!AI8</f>
        <v>80.907912327195703</v>
      </c>
      <c r="AJ15" s="67">
        <f>AJ$6*'Eurostat Collected Portables'!AJ8</f>
        <v>84.114157084459961</v>
      </c>
      <c r="AK15" s="67">
        <f>AK$6*'Eurostat Collected Portables'!AK8</f>
        <v>87.479851239935087</v>
      </c>
      <c r="AL15" s="67">
        <f>AL$6*'Eurostat Collected Portables'!AL8</f>
        <v>91.013764355440586</v>
      </c>
      <c r="AM15" s="67">
        <f>AM$6*'Eurostat Collected Portables'!AM8</f>
        <v>94.725171564265722</v>
      </c>
      <c r="AN15" s="67">
        <f>AN$6*'Eurostat Collected Portables'!AN8</f>
        <v>98.623883032055488</v>
      </c>
      <c r="AO15" s="67">
        <f>AO$6*'Eurostat Collected Portables'!AO8</f>
        <v>102.69964061926999</v>
      </c>
      <c r="AP15" s="67">
        <f>AP$6*'Eurostat Collected Portables'!AP8</f>
        <v>106.8109115791348</v>
      </c>
      <c r="AQ15" s="67">
        <f>AQ$6*'Eurostat Collected Portables'!AQ8</f>
        <v>110.17476035872696</v>
      </c>
      <c r="AR15" s="67">
        <f>AR$6*'Eurostat Collected Portables'!AR8</f>
        <v>112.74824831050077</v>
      </c>
      <c r="AS15" s="67">
        <f>AS$6*'Eurostat Collected Portables'!AS8</f>
        <v>114.62065754026607</v>
      </c>
      <c r="AT15" s="67">
        <f>AT$6*'Eurostat Collected Portables'!AT8</f>
        <v>116.52073995528012</v>
      </c>
      <c r="AU15" s="67">
        <f>AU$6*'Eurostat Collected Portables'!AU8</f>
        <v>118.45277247976986</v>
      </c>
      <c r="AV15" s="67">
        <f>AV$6*'Eurostat Collected Portables'!AV8</f>
        <v>120.39182732128747</v>
      </c>
      <c r="AW15" s="67">
        <f>AW$6*'Eurostat Collected Portables'!AW8</f>
        <v>122.33742565706787</v>
      </c>
      <c r="AX15" s="67">
        <f>AX$6*'Eurostat Collected Portables'!AX8</f>
        <v>124.28906910743484</v>
      </c>
      <c r="AY15" s="67">
        <f>AY$6*'Eurostat Collected Portables'!AY8</f>
        <v>126.27178293604145</v>
      </c>
      <c r="AZ15" s="67">
        <f>AZ$6*'Eurostat Collected Portables'!AZ8</f>
        <v>128.28608668028005</v>
      </c>
    </row>
    <row r="16" spans="1:52" x14ac:dyDescent="0.35">
      <c r="A16" s="1" t="s">
        <v>6</v>
      </c>
      <c r="B16" s="23">
        <f t="shared" ref="B16:D16" si="13">C16/1.14</f>
        <v>17.966910705551705</v>
      </c>
      <c r="C16" s="23">
        <f t="shared" si="13"/>
        <v>20.482278204328942</v>
      </c>
      <c r="D16" s="23">
        <f t="shared" si="13"/>
        <v>23.349797152934993</v>
      </c>
      <c r="E16" s="23">
        <f t="shared" si="1"/>
        <v>26.61876875434589</v>
      </c>
      <c r="F16" s="23">
        <f t="shared" si="2"/>
        <v>28.215894879606644</v>
      </c>
      <c r="G16" s="23">
        <f t="shared" si="3"/>
        <v>34.98770965071224</v>
      </c>
      <c r="H16" s="23">
        <f t="shared" si="4"/>
        <v>39.88598900181195</v>
      </c>
      <c r="I16" s="23">
        <f t="shared" si="5"/>
        <v>31.509931311431441</v>
      </c>
      <c r="J16" s="23">
        <f t="shared" si="6"/>
        <v>36.551520321260469</v>
      </c>
      <c r="K16" s="23">
        <f t="shared" si="7"/>
        <v>31.434307476284005</v>
      </c>
      <c r="L16" s="23">
        <f t="shared" si="8"/>
        <v>39.607227420117844</v>
      </c>
      <c r="M16" s="4">
        <f>$M$6*'Eurostat Collected Portables'!M9</f>
        <v>50.301178823549662</v>
      </c>
      <c r="N16" s="4">
        <f>$N$6*'Eurostat Collected Portables'!N9</f>
        <v>52.673880514130872</v>
      </c>
      <c r="O16" s="4">
        <f>$O$6*'Eurostat Collected Portables'!O9</f>
        <v>59.126807207105244</v>
      </c>
      <c r="P16" s="4">
        <f>$P$6*'Eurostat Collected Portables'!P9</f>
        <v>60.509037802423656</v>
      </c>
      <c r="Q16" s="4">
        <f>$Q$6*'Eurostat Collected Portables'!Q9</f>
        <v>60.294193433821462</v>
      </c>
      <c r="R16" s="4">
        <f>$R$6*'Eurostat Collected Portables'!R9</f>
        <v>63.213575351759054</v>
      </c>
      <c r="S16" s="4">
        <f>$S$6*'Eurostat Collected Portables'!S9</f>
        <v>100.45329205846471</v>
      </c>
      <c r="T16" s="4">
        <f>$T$6*'Eurostat Collected Portables'!T9</f>
        <v>57.430780366931828</v>
      </c>
      <c r="U16" s="4">
        <f>$U$6*'Eurostat Collected Portables'!U9</f>
        <v>55.22812086439744</v>
      </c>
      <c r="V16" s="4">
        <f>$V$6*'Eurostat Collected Portables'!V9</f>
        <v>52.611067456479695</v>
      </c>
      <c r="W16" s="4">
        <f>$W$6*'Eurostat Collected Portables'!W9</f>
        <v>52.328921439164624</v>
      </c>
      <c r="X16" s="67">
        <f>X$6*'Eurostat Collected Portables'!X9</f>
        <v>54.840800749618573</v>
      </c>
      <c r="Y16" s="67">
        <f>Y$6*'Eurostat Collected Portables'!Y9</f>
        <v>56.576868814644328</v>
      </c>
      <c r="Z16" s="67">
        <f>Z$6*'Eurostat Collected Portables'!Z9</f>
        <v>58.485379600582519</v>
      </c>
      <c r="AA16" s="67">
        <f>AA$6*'Eurostat Collected Portables'!AA9</f>
        <v>60.871387656684171</v>
      </c>
      <c r="AB16" s="67">
        <f>AB$6*'Eurostat Collected Portables'!AB9</f>
        <v>63.209590332726172</v>
      </c>
      <c r="AC16" s="67">
        <f>AC$6*'Eurostat Collected Portables'!AC9</f>
        <v>65.575016430478627</v>
      </c>
      <c r="AD16" s="67">
        <f>AD$6*'Eurostat Collected Portables'!AD9</f>
        <v>68.105214972729158</v>
      </c>
      <c r="AE16" s="67">
        <f>AE$6*'Eurostat Collected Portables'!AE9</f>
        <v>71.143865039726066</v>
      </c>
      <c r="AF16" s="67">
        <f>AF$6*'Eurostat Collected Portables'!AF9</f>
        <v>74.632478272252939</v>
      </c>
      <c r="AG16" s="67">
        <f>AG$6*'Eurostat Collected Portables'!AG9</f>
        <v>78.006718274642012</v>
      </c>
      <c r="AH16" s="67">
        <f>AH$6*'Eurostat Collected Portables'!AH9</f>
        <v>81.155899574693734</v>
      </c>
      <c r="AI16" s="67">
        <f>AI$6*'Eurostat Collected Portables'!AI9</f>
        <v>84.04384929698152</v>
      </c>
      <c r="AJ16" s="67">
        <f>AJ$6*'Eurostat Collected Portables'!AJ9</f>
        <v>87.068332417162352</v>
      </c>
      <c r="AK16" s="67">
        <f>AK$6*'Eurostat Collected Portables'!AK9</f>
        <v>90.237752613055733</v>
      </c>
      <c r="AL16" s="67">
        <f>AL$6*'Eurostat Collected Portables'!AL9</f>
        <v>93.559773258132196</v>
      </c>
      <c r="AM16" s="67">
        <f>AM$6*'Eurostat Collected Portables'!AM9</f>
        <v>97.042484406422361</v>
      </c>
      <c r="AN16" s="67">
        <f>AN$6*'Eurostat Collected Portables'!AN9</f>
        <v>100.69442677716862</v>
      </c>
      <c r="AO16" s="67">
        <f>AO$6*'Eurostat Collected Portables'!AO9</f>
        <v>104.50362012086467</v>
      </c>
      <c r="AP16" s="67">
        <f>AP$6*'Eurostat Collected Portables'!AP9</f>
        <v>108.32512335513739</v>
      </c>
      <c r="AQ16" s="67">
        <f>AQ$6*'Eurostat Collected Portables'!AQ9</f>
        <v>111.36757721605888</v>
      </c>
      <c r="AR16" s="67">
        <f>AR$6*'Eurostat Collected Portables'!AR9</f>
        <v>113.59555027887397</v>
      </c>
      <c r="AS16" s="67">
        <f>AS$6*'Eurostat Collected Portables'!AS9</f>
        <v>115.10677656590445</v>
      </c>
      <c r="AT16" s="67">
        <f>AT$6*'Eurostat Collected Portables'!AT9</f>
        <v>116.63776330109933</v>
      </c>
      <c r="AU16" s="67">
        <f>AU$6*'Eurostat Collected Portables'!AU9</f>
        <v>118.19264646702852</v>
      </c>
      <c r="AV16" s="67">
        <f>AV$6*'Eurostat Collected Portables'!AV9</f>
        <v>119.74646269160878</v>
      </c>
      <c r="AW16" s="67">
        <f>AW$6*'Eurostat Collected Portables'!AW9</f>
        <v>121.29880579679217</v>
      </c>
      <c r="AX16" s="67">
        <f>AX$6*'Eurostat Collected Portables'!AX9</f>
        <v>122.84925468218961</v>
      </c>
      <c r="AY16" s="67">
        <f>AY$6*'Eurostat Collected Portables'!AY9</f>
        <v>124.42254262505222</v>
      </c>
      <c r="AZ16" s="67">
        <f>AZ$6*'Eurostat Collected Portables'!AZ9</f>
        <v>126.01902560179644</v>
      </c>
    </row>
    <row r="17" spans="1:52" x14ac:dyDescent="0.35">
      <c r="A17" s="1" t="s">
        <v>7</v>
      </c>
      <c r="B17" s="23">
        <f t="shared" ref="B17:D17" si="14">C17/1.14</f>
        <v>0.81410797407156887</v>
      </c>
      <c r="C17" s="23">
        <f t="shared" si="14"/>
        <v>0.92808309044158843</v>
      </c>
      <c r="D17" s="23">
        <f t="shared" si="14"/>
        <v>1.0580147231034107</v>
      </c>
      <c r="E17" s="23">
        <f t="shared" si="1"/>
        <v>1.2061367843378881</v>
      </c>
      <c r="F17" s="23">
        <f t="shared" si="2"/>
        <v>1.2785049913981614</v>
      </c>
      <c r="G17" s="23">
        <f t="shared" si="3"/>
        <v>1.5853461893337202</v>
      </c>
      <c r="H17" s="23">
        <f t="shared" si="4"/>
        <v>1.8072946558404408</v>
      </c>
      <c r="I17" s="23">
        <f t="shared" si="5"/>
        <v>1.4277627781139484</v>
      </c>
      <c r="J17" s="23">
        <f t="shared" si="6"/>
        <v>1.6562048226121799</v>
      </c>
      <c r="K17" s="23">
        <f t="shared" si="7"/>
        <v>1.4243361474464746</v>
      </c>
      <c r="L17" s="23">
        <f t="shared" si="8"/>
        <v>1.7946635457825582</v>
      </c>
      <c r="M17" s="4">
        <f>$M$6*'Eurostat Collected Portables'!M10</f>
        <v>2.2792227031438488</v>
      </c>
      <c r="N17" s="4">
        <f>$N$6*'Eurostat Collected Portables'!N10</f>
        <v>4.287814231130441</v>
      </c>
      <c r="O17" s="4">
        <f>$O$6*'Eurostat Collected Portables'!O10</f>
        <v>12.347936216451771</v>
      </c>
      <c r="P17" s="4">
        <f>$P$6*'Eurostat Collected Portables'!P10</f>
        <v>4.1933076715410174</v>
      </c>
      <c r="Q17" s="4">
        <f>$Q$6*'Eurostat Collected Portables'!Q10</f>
        <v>6.5561882237907687</v>
      </c>
      <c r="R17" s="4">
        <f>$R$6*'Eurostat Collected Portables'!R10</f>
        <v>4.770127195290196</v>
      </c>
      <c r="S17" s="4">
        <f>$S$6*'Eurostat Collected Portables'!S10</f>
        <v>7.8945660257533978</v>
      </c>
      <c r="T17" s="4">
        <f>$T$6*'Eurostat Collected Portables'!T10</f>
        <v>4.7302765031884224</v>
      </c>
      <c r="U17" s="4">
        <f>$U$6*'Eurostat Collected Portables'!U10</f>
        <v>3.4379443846223396</v>
      </c>
      <c r="V17" s="4">
        <f>$V$6*'Eurostat Collected Portables'!V10</f>
        <v>3.8839055448098003</v>
      </c>
      <c r="W17" s="4">
        <f>$W$6*'Eurostat Collected Portables'!W10</f>
        <v>4.5755337951770514</v>
      </c>
      <c r="X17" s="67">
        <f>X$6*'Eurostat Collected Portables'!X10</f>
        <v>4.6244936147551226</v>
      </c>
      <c r="Y17" s="67">
        <f>Y$6*'Eurostat Collected Portables'!Y10</f>
        <v>4.6924332013212577</v>
      </c>
      <c r="Z17" s="67">
        <f>Z$6*'Eurostat Collected Portables'!Z10</f>
        <v>4.8940388708163436</v>
      </c>
      <c r="AA17" s="67">
        <f>AA$6*'Eurostat Collected Portables'!AA10</f>
        <v>5.1385505144545389</v>
      </c>
      <c r="AB17" s="67">
        <f>AB$6*'Eurostat Collected Portables'!AB10</f>
        <v>5.3822689717421115</v>
      </c>
      <c r="AC17" s="67">
        <f>AC$6*'Eurostat Collected Portables'!AC10</f>
        <v>5.6315079254548515</v>
      </c>
      <c r="AD17" s="67">
        <f>AD$6*'Eurostat Collected Portables'!AD10</f>
        <v>5.8982146687067285</v>
      </c>
      <c r="AE17" s="67">
        <f>AE$6*'Eurostat Collected Portables'!AE10</f>
        <v>6.2127339101701438</v>
      </c>
      <c r="AF17" s="67">
        <f>AF$6*'Eurostat Collected Portables'!AF10</f>
        <v>6.5709856962887372</v>
      </c>
      <c r="AG17" s="67">
        <f>AG$6*'Eurostat Collected Portables'!AG10</f>
        <v>6.9238134079964357</v>
      </c>
      <c r="AH17" s="67">
        <f>AH$6*'Eurostat Collected Portables'!AH10</f>
        <v>7.2610342687563598</v>
      </c>
      <c r="AI17" s="67">
        <f>AI$6*'Eurostat Collected Portables'!AI10</f>
        <v>7.578874478400011</v>
      </c>
      <c r="AJ17" s="67">
        <f>AJ$6*'Eurostat Collected Portables'!AJ10</f>
        <v>7.912900450682729</v>
      </c>
      <c r="AK17" s="67">
        <f>AK$6*'Eurostat Collected Portables'!AK10</f>
        <v>8.2641403110741631</v>
      </c>
      <c r="AL17" s="67">
        <f>AL$6*'Eurostat Collected Portables'!AL10</f>
        <v>8.6335747137624494</v>
      </c>
      <c r="AM17" s="67">
        <f>AM$6*'Eurostat Collected Portables'!AM10</f>
        <v>9.0222425125625048</v>
      </c>
      <c r="AN17" s="67">
        <f>AN$6*'Eurostat Collected Portables'!AN10</f>
        <v>9.431244249117599</v>
      </c>
      <c r="AO17" s="67">
        <f>AO$6*'Eurostat Collected Portables'!AO10</f>
        <v>9.859764815303997</v>
      </c>
      <c r="AP17" s="67">
        <f>AP$6*'Eurostat Collected Portables'!AP10</f>
        <v>10.294317759724368</v>
      </c>
      <c r="AQ17" s="67">
        <f>AQ$6*'Eurostat Collected Portables'!AQ10</f>
        <v>10.659150087565376</v>
      </c>
      <c r="AR17" s="67">
        <f>AR$6*'Eurostat Collected Portables'!AR10</f>
        <v>10.949230023420975</v>
      </c>
      <c r="AS17" s="67">
        <f>AS$6*'Eurostat Collected Portables'!AS10</f>
        <v>11.172371427344808</v>
      </c>
      <c r="AT17" s="67">
        <f>AT$6*'Eurostat Collected Portables'!AT10</f>
        <v>11.399094154499664</v>
      </c>
      <c r="AU17" s="67">
        <f>AU$6*'Eurostat Collected Portables'!AU10</f>
        <v>11.629832599178465</v>
      </c>
      <c r="AV17" s="67">
        <f>AV$6*'Eurostat Collected Portables'!AV10</f>
        <v>11.862149263931359</v>
      </c>
      <c r="AW17" s="67">
        <f>AW$6*'Eurostat Collected Portables'!AW10</f>
        <v>12.095989256459978</v>
      </c>
      <c r="AX17" s="67">
        <f>AX$6*'Eurostat Collected Portables'!AX10</f>
        <v>12.331295258903735</v>
      </c>
      <c r="AY17" s="67">
        <f>AY$6*'Eurostat Collected Portables'!AY10</f>
        <v>12.57055037316222</v>
      </c>
      <c r="AZ17" s="67">
        <f>AZ$6*'Eurostat Collected Portables'!AZ10</f>
        <v>12.813823487081374</v>
      </c>
    </row>
    <row r="18" spans="1:52" x14ac:dyDescent="0.35">
      <c r="A18" s="1" t="s">
        <v>8</v>
      </c>
      <c r="B18" s="23">
        <f t="shared" ref="B18:D18" si="15">C18/1.14</f>
        <v>10.945229429184424</v>
      </c>
      <c r="C18" s="23">
        <f t="shared" si="15"/>
        <v>12.477561549270243</v>
      </c>
      <c r="D18" s="23">
        <f t="shared" si="15"/>
        <v>14.224420166168077</v>
      </c>
      <c r="E18" s="23">
        <f t="shared" si="1"/>
        <v>16.215838989431607</v>
      </c>
      <c r="F18" s="23">
        <f t="shared" si="2"/>
        <v>17.188789328797505</v>
      </c>
      <c r="G18" s="23">
        <f t="shared" si="3"/>
        <v>21.314098767708906</v>
      </c>
      <c r="H18" s="23">
        <f t="shared" si="4"/>
        <v>24.298072595188152</v>
      </c>
      <c r="I18" s="23">
        <f t="shared" si="5"/>
        <v>19.19547735019864</v>
      </c>
      <c r="J18" s="23">
        <f t="shared" si="6"/>
        <v>22.266753726230419</v>
      </c>
      <c r="K18" s="23">
        <f t="shared" si="7"/>
        <v>19.14940820455816</v>
      </c>
      <c r="L18" s="23">
        <f t="shared" si="8"/>
        <v>24.128254337743282</v>
      </c>
      <c r="M18" s="4">
        <f>$M$6*'Eurostat Collected Portables'!M11</f>
        <v>30.642883008933968</v>
      </c>
      <c r="N18" s="4">
        <f>$N$6*'Eurostat Collected Portables'!N11</f>
        <v>32.071456037723628</v>
      </c>
      <c r="O18" s="4">
        <f>$O$6*'Eurostat Collected Portables'!O11</f>
        <v>47.495304149969783</v>
      </c>
      <c r="P18" s="4">
        <f>$P$6*'Eurostat Collected Portables'!P11</f>
        <v>49.065618736162186</v>
      </c>
      <c r="Q18" s="4">
        <f>$Q$6*'Eurostat Collected Portables'!Q11</f>
        <v>49.000874990528693</v>
      </c>
      <c r="R18" s="4">
        <f>$R$6*'Eurostat Collected Portables'!R11</f>
        <v>49.053433992511785</v>
      </c>
      <c r="S18" s="4">
        <f>$S$6*'Eurostat Collected Portables'!S11</f>
        <v>69.330483687706121</v>
      </c>
      <c r="T18" s="4">
        <f>$T$6*'Eurostat Collected Portables'!T11</f>
        <v>42.543468427449248</v>
      </c>
      <c r="U18" s="4">
        <f>$U$6*'Eurostat Collected Portables'!U11</f>
        <v>41.230775869863628</v>
      </c>
      <c r="V18" s="4">
        <f>$V$6*'Eurostat Collected Portables'!V11</f>
        <v>34.638096389426181</v>
      </c>
      <c r="W18" s="4">
        <f>$W$6*'Eurostat Collected Portables'!W11</f>
        <v>41.839160555025096</v>
      </c>
      <c r="X18" s="67">
        <f>X$6*'Eurostat Collected Portables'!X11</f>
        <v>42.365548616400204</v>
      </c>
      <c r="Y18" s="67">
        <f>Y$6*'Eurostat Collected Portables'!Y11</f>
        <v>44.796816248114219</v>
      </c>
      <c r="Z18" s="67">
        <f>Z$6*'Eurostat Collected Portables'!Z11</f>
        <v>46.315543067487226</v>
      </c>
      <c r="AA18" s="67">
        <f>AA$6*'Eurostat Collected Portables'!AA11</f>
        <v>48.212924888690111</v>
      </c>
      <c r="AB18" s="67">
        <f>AB$6*'Eurostat Collected Portables'!AB11</f>
        <v>50.073011050632616</v>
      </c>
      <c r="AC18" s="67">
        <f>AC$6*'Eurostat Collected Portables'!AC11</f>
        <v>51.955224294331821</v>
      </c>
      <c r="AD18" s="67">
        <f>AD$6*'Eurostat Collected Portables'!AD11</f>
        <v>53.968568621469409</v>
      </c>
      <c r="AE18" s="67">
        <f>AE$6*'Eurostat Collected Portables'!AE11</f>
        <v>56.385487183299631</v>
      </c>
      <c r="AF18" s="67">
        <f>AF$6*'Eurostat Collected Portables'!AF11</f>
        <v>59.159804830233526</v>
      </c>
      <c r="AG18" s="67">
        <f>AG$6*'Eurostat Collected Portables'!AG11</f>
        <v>61.844275325049459</v>
      </c>
      <c r="AH18" s="67">
        <f>AH$6*'Eurostat Collected Portables'!AH11</f>
        <v>64.351083614590863</v>
      </c>
      <c r="AI18" s="67">
        <f>AI$6*'Eurostat Collected Portables'!AI11</f>
        <v>66.651452872653095</v>
      </c>
      <c r="AJ18" s="67">
        <f>AJ$6*'Eurostat Collected Portables'!AJ11</f>
        <v>69.060779745321554</v>
      </c>
      <c r="AK18" s="67">
        <f>AK$6*'Eurostat Collected Portables'!AK11</f>
        <v>71.585776201082737</v>
      </c>
      <c r="AL18" s="67">
        <f>AL$6*'Eurostat Collected Portables'!AL11</f>
        <v>74.232570486969308</v>
      </c>
      <c r="AM18" s="67">
        <f>AM$6*'Eurostat Collected Portables'!AM11</f>
        <v>77.007632688835059</v>
      </c>
      <c r="AN18" s="67">
        <f>AN$6*'Eurostat Collected Portables'!AN11</f>
        <v>79.917793984848629</v>
      </c>
      <c r="AO18" s="67">
        <f>AO$6*'Eurostat Collected Portables'!AO11</f>
        <v>82.953599867019975</v>
      </c>
      <c r="AP18" s="67">
        <f>AP$6*'Eurostat Collected Portables'!AP11</f>
        <v>86.000031058761053</v>
      </c>
      <c r="AQ18" s="67">
        <f>AQ$6*'Eurostat Collected Portables'!AQ11</f>
        <v>88.428726007774344</v>
      </c>
      <c r="AR18" s="67">
        <f>AR$6*'Eurostat Collected Portables'!AR11</f>
        <v>90.211263655154639</v>
      </c>
      <c r="AS18" s="67">
        <f>AS$6*'Eurostat Collected Portables'!AS11</f>
        <v>91.42497729995155</v>
      </c>
      <c r="AT18" s="67">
        <f>AT$6*'Eurostat Collected Portables'!AT11</f>
        <v>92.65467751117535</v>
      </c>
      <c r="AU18" s="67">
        <f>AU$6*'Eurostat Collected Portables'!AU11</f>
        <v>93.903655120492346</v>
      </c>
      <c r="AV18" s="67">
        <f>AV$6*'Eurostat Collected Portables'!AV11</f>
        <v>95.152080114692509</v>
      </c>
      <c r="AW18" s="67">
        <f>AW$6*'Eurostat Collected Portables'!AW11</f>
        <v>96.399627170257389</v>
      </c>
      <c r="AX18" s="67">
        <f>AX$6*'Eurostat Collected Portables'!AX11</f>
        <v>97.645958940113928</v>
      </c>
      <c r="AY18" s="67">
        <f>AY$6*'Eurostat Collected Portables'!AY11</f>
        <v>98.910734591305001</v>
      </c>
      <c r="AZ18" s="67">
        <f>AZ$6*'Eurostat Collected Portables'!AZ11</f>
        <v>100.1942428816786</v>
      </c>
    </row>
    <row r="19" spans="1:52" x14ac:dyDescent="0.35">
      <c r="A19" s="1" t="s">
        <v>9</v>
      </c>
      <c r="B19" s="23">
        <f t="shared" ref="B19:D19" si="16">C19/1.14</f>
        <v>131.39928842619028</v>
      </c>
      <c r="C19" s="23">
        <f t="shared" si="16"/>
        <v>149.79518880585692</v>
      </c>
      <c r="D19" s="23">
        <f t="shared" si="16"/>
        <v>170.76651523867687</v>
      </c>
      <c r="E19" s="23">
        <f t="shared" si="1"/>
        <v>194.67382737209161</v>
      </c>
      <c r="F19" s="23">
        <f t="shared" si="2"/>
        <v>206.35425701441713</v>
      </c>
      <c r="G19" s="23">
        <f t="shared" si="3"/>
        <v>255.87927869787725</v>
      </c>
      <c r="H19" s="23">
        <f t="shared" si="4"/>
        <v>291.70237771558004</v>
      </c>
      <c r="I19" s="23">
        <f t="shared" si="5"/>
        <v>230.44487839530825</v>
      </c>
      <c r="J19" s="23">
        <f t="shared" si="6"/>
        <v>267.31605893855755</v>
      </c>
      <c r="K19" s="23">
        <f t="shared" si="7"/>
        <v>229.89181068715948</v>
      </c>
      <c r="L19" s="23">
        <f t="shared" si="8"/>
        <v>289.66368146582096</v>
      </c>
      <c r="M19" s="4">
        <f>$M$6*'Eurostat Collected Portables'!M12</f>
        <v>367.87287546159263</v>
      </c>
      <c r="N19" s="4">
        <f>$N$6*'Eurostat Collected Portables'!N12</f>
        <v>410.5146372828624</v>
      </c>
      <c r="O19" s="4">
        <f>$O$6*'Eurostat Collected Portables'!O12</f>
        <v>478.99878169348409</v>
      </c>
      <c r="P19" s="4">
        <f>$P$6*'Eurostat Collected Portables'!P12</f>
        <v>469.84640816920808</v>
      </c>
      <c r="Q19" s="4">
        <f>$Q$6*'Eurostat Collected Portables'!Q12</f>
        <v>465.98202543197283</v>
      </c>
      <c r="R19" s="4">
        <f>$R$6*'Eurostat Collected Portables'!R12</f>
        <v>513.74645493841967</v>
      </c>
      <c r="S19" s="4">
        <f>$S$6*'Eurostat Collected Portables'!S12</f>
        <v>707.52517696191194</v>
      </c>
      <c r="T19" s="4">
        <f>$T$6*'Eurostat Collected Portables'!T12</f>
        <v>417.88945795038825</v>
      </c>
      <c r="U19" s="4">
        <f>$U$6*'Eurostat Collected Portables'!U12</f>
        <v>381.21891876340857</v>
      </c>
      <c r="V19" s="4">
        <f>$V$6*'Eurostat Collected Portables'!V12</f>
        <v>299.69483397807869</v>
      </c>
      <c r="W19" s="4">
        <f>$W$6*'Eurostat Collected Portables'!W12</f>
        <v>400.80876825874088</v>
      </c>
      <c r="X19" s="67">
        <f>X$6*'Eurostat Collected Portables'!X12</f>
        <v>406.6156709678217</v>
      </c>
      <c r="Y19" s="67">
        <f>Y$6*'Eurostat Collected Portables'!Y12</f>
        <v>423.01776678275002</v>
      </c>
      <c r="Z19" s="67">
        <f>Z$6*'Eurostat Collected Portables'!Z12</f>
        <v>436.97299847617359</v>
      </c>
      <c r="AA19" s="67">
        <f>AA$6*'Eurostat Collected Portables'!AA12</f>
        <v>455.10858502112541</v>
      </c>
      <c r="AB19" s="67">
        <f>AB$6*'Eurostat Collected Portables'!AB12</f>
        <v>472.58375049180609</v>
      </c>
      <c r="AC19" s="67">
        <f>AC$6*'Eurostat Collected Portables'!AC12</f>
        <v>490.03196362143592</v>
      </c>
      <c r="AD19" s="67">
        <f>AD$6*'Eurostat Collected Portables'!AD12</f>
        <v>508.62047897316262</v>
      </c>
      <c r="AE19" s="67">
        <f>AE$6*'Eurostat Collected Portables'!AE12</f>
        <v>530.9817794355306</v>
      </c>
      <c r="AF19" s="67">
        <f>AF$6*'Eurostat Collected Portables'!AF12</f>
        <v>556.67269827337873</v>
      </c>
      <c r="AG19" s="67">
        <f>AG$6*'Eurostat Collected Portables'!AG12</f>
        <v>581.48050800661031</v>
      </c>
      <c r="AH19" s="67">
        <f>AH$6*'Eurostat Collected Portables'!AH12</f>
        <v>604.58244867124847</v>
      </c>
      <c r="AI19" s="67">
        <f>AI$6*'Eurostat Collected Portables'!AI12</f>
        <v>625.71251733778774</v>
      </c>
      <c r="AJ19" s="67">
        <f>AJ$6*'Eurostat Collected Portables'!AJ12</f>
        <v>647.83406110110673</v>
      </c>
      <c r="AK19" s="67">
        <f>AK$6*'Eurostat Collected Portables'!AK12</f>
        <v>671.00789958615667</v>
      </c>
      <c r="AL19" s="67">
        <f>AL$6*'Eurostat Collected Portables'!AL12</f>
        <v>695.28921618553272</v>
      </c>
      <c r="AM19" s="67">
        <f>AM$6*'Eurostat Collected Portables'!AM12</f>
        <v>720.73624353591663</v>
      </c>
      <c r="AN19" s="67">
        <f>AN$6*'Eurostat Collected Portables'!AN12</f>
        <v>747.41043352291183</v>
      </c>
      <c r="AO19" s="67">
        <f>AO$6*'Eurostat Collected Portables'!AO12</f>
        <v>775.22087865125116</v>
      </c>
      <c r="AP19" s="67">
        <f>AP$6*'Eurostat Collected Portables'!AP12</f>
        <v>803.09116986001675</v>
      </c>
      <c r="AQ19" s="67">
        <f>AQ$6*'Eurostat Collected Portables'!AQ12</f>
        <v>825.15794386424182</v>
      </c>
      <c r="AR19" s="67">
        <f>AR$6*'Eurostat Collected Portables'!AR12</f>
        <v>841.16927738110633</v>
      </c>
      <c r="AS19" s="67">
        <f>AS$6*'Eurostat Collected Portables'!AS12</f>
        <v>851.8592652082898</v>
      </c>
      <c r="AT19" s="67">
        <f>AT$6*'Eurostat Collected Portables'!AT12</f>
        <v>862.68474563086397</v>
      </c>
      <c r="AU19" s="67">
        <f>AU$6*'Eurostat Collected Portables'!AU12</f>
        <v>873.67611450783045</v>
      </c>
      <c r="AV19" s="67">
        <f>AV$6*'Eurostat Collected Portables'!AV12</f>
        <v>884.64872176598385</v>
      </c>
      <c r="AW19" s="67">
        <f>AW$6*'Eurostat Collected Portables'!AW12</f>
        <v>895.5996613811152</v>
      </c>
      <c r="AX19" s="67">
        <f>AX$6*'Eurostat Collected Portables'!AX12</f>
        <v>906.52592320811925</v>
      </c>
      <c r="AY19" s="67">
        <f>AY$6*'Eurostat Collected Portables'!AY12</f>
        <v>917.6100155494596</v>
      </c>
      <c r="AZ19" s="67">
        <f>AZ$6*'Eurostat Collected Portables'!AZ12</f>
        <v>928.8543510039334</v>
      </c>
    </row>
    <row r="20" spans="1:52" x14ac:dyDescent="0.35">
      <c r="A20" s="1" t="s">
        <v>10</v>
      </c>
      <c r="B20" s="23">
        <f t="shared" ref="B20:D20" si="17">C20/1.14</f>
        <v>171.1174445953676</v>
      </c>
      <c r="C20" s="23">
        <f t="shared" si="17"/>
        <v>195.07388683871906</v>
      </c>
      <c r="D20" s="23">
        <f t="shared" si="17"/>
        <v>222.38423099613971</v>
      </c>
      <c r="E20" s="23">
        <f t="shared" si="1"/>
        <v>253.51802333559925</v>
      </c>
      <c r="F20" s="23">
        <f t="shared" si="2"/>
        <v>268.72910473573523</v>
      </c>
      <c r="G20" s="23">
        <f t="shared" si="3"/>
        <v>333.22408987231171</v>
      </c>
      <c r="H20" s="23">
        <f t="shared" si="4"/>
        <v>379.87546245443531</v>
      </c>
      <c r="I20" s="23">
        <f t="shared" si="5"/>
        <v>300.1016153390039</v>
      </c>
      <c r="J20" s="23">
        <f t="shared" si="6"/>
        <v>348.11787379324448</v>
      </c>
      <c r="K20" s="23">
        <f t="shared" si="7"/>
        <v>299.38137146219026</v>
      </c>
      <c r="L20" s="23">
        <f t="shared" si="8"/>
        <v>377.22052804235972</v>
      </c>
      <c r="M20" s="4">
        <f>M4*'Eurostat Collected Portables'!M13</f>
        <v>479.07007061379687</v>
      </c>
      <c r="N20" s="4">
        <f>N4*'Eurostat Collected Portables'!N13</f>
        <v>563.065949968989</v>
      </c>
      <c r="O20" s="4">
        <f>O4*'Eurostat Collected Portables'!O13</f>
        <v>709.11903637222474</v>
      </c>
      <c r="P20" s="4">
        <f>P4*'Eurostat Collected Portables'!P13</f>
        <v>670.48624891789302</v>
      </c>
      <c r="Q20" s="4">
        <f>Q4*'Eurostat Collected Portables'!Q13</f>
        <v>668.98036921476864</v>
      </c>
      <c r="R20" s="4">
        <f>R4*'Eurostat Collected Portables'!R13</f>
        <v>698.10398396391884</v>
      </c>
      <c r="S20" s="4">
        <f>S4*'Eurostat Collected Portables'!S13</f>
        <v>1042.2375136142443</v>
      </c>
      <c r="T20" s="4">
        <f>T4*'Eurostat Collected Portables'!T13</f>
        <v>645.4931006456444</v>
      </c>
      <c r="U20" s="4">
        <f>U4*'Eurostat Collected Portables'!U13</f>
        <v>678.38009732280091</v>
      </c>
      <c r="V20" s="4">
        <f>V4*'Eurostat Collected Portables'!V13</f>
        <v>522.00879472920701</v>
      </c>
      <c r="W20" s="4">
        <f>W4*'Eurostat Collected Portables'!W13</f>
        <v>591.90224082237978</v>
      </c>
      <c r="X20" s="67">
        <f>X$6*'Eurostat Collected Portables'!X13</f>
        <v>602.39548181495559</v>
      </c>
      <c r="Y20" s="67">
        <f>Y$6*'Eurostat Collected Portables'!Y13</f>
        <v>611.07920566502037</v>
      </c>
      <c r="Z20" s="67">
        <f>Z$6*'Eurostat Collected Portables'!Z13</f>
        <v>635.46913417829057</v>
      </c>
      <c r="AA20" s="67">
        <f>AA$6*'Eurostat Collected Portables'!AA13</f>
        <v>664.97620339870525</v>
      </c>
      <c r="AB20" s="67">
        <f>AB$6*'Eurostat Collected Portables'!AB13</f>
        <v>692.73534864930878</v>
      </c>
      <c r="AC20" s="67">
        <f>AC$6*'Eurostat Collected Portables'!AC13</f>
        <v>719.88680433602599</v>
      </c>
      <c r="AD20" s="67">
        <f>AD$6*'Eurostat Collected Portables'!AD13</f>
        <v>748.65580497083408</v>
      </c>
      <c r="AE20" s="67">
        <f>AE$6*'Eurostat Collected Portables'!AE13</f>
        <v>784.41656817497096</v>
      </c>
      <c r="AF20" s="67">
        <f>AF$6*'Eurostat Collected Portables'!AF13</f>
        <v>826.29801940425409</v>
      </c>
      <c r="AG20" s="67">
        <f>AG$6*'Eurostat Collected Portables'!AG13</f>
        <v>867.63046543468897</v>
      </c>
      <c r="AH20" s="67">
        <f>AH$6*'Eurostat Collected Portables'!AH13</f>
        <v>906.87533434840975</v>
      </c>
      <c r="AI20" s="67">
        <f>AI$6*'Eurostat Collected Portables'!AI13</f>
        <v>943.61490368665261</v>
      </c>
      <c r="AJ20" s="67">
        <f>AJ$6*'Eurostat Collected Portables'!AJ13</f>
        <v>982.17944530465797</v>
      </c>
      <c r="AK20" s="67">
        <f>AK$6*'Eurostat Collected Portables'!AK13</f>
        <v>1022.6751681659223</v>
      </c>
      <c r="AL20" s="67">
        <f>AL$6*'Eurostat Collected Portables'!AL13</f>
        <v>1065.2094722905597</v>
      </c>
      <c r="AM20" s="67">
        <f>AM$6*'Eurostat Collected Portables'!AM13</f>
        <v>1109.8960181686089</v>
      </c>
      <c r="AN20" s="67">
        <f>AN$6*'Eurostat Collected Portables'!AN13</f>
        <v>1156.8550958784419</v>
      </c>
      <c r="AO20" s="67">
        <f>AO$6*'Eurostat Collected Portables'!AO13</f>
        <v>1205.9448366097736</v>
      </c>
      <c r="AP20" s="67">
        <f>AP$6*'Eurostat Collected Portables'!AP13</f>
        <v>1255.4565792272058</v>
      </c>
      <c r="AQ20" s="67">
        <f>AQ$6*'Eurostat Collected Portables'!AQ13</f>
        <v>1296.37125303734</v>
      </c>
      <c r="AR20" s="67">
        <f>AR$6*'Eurostat Collected Portables'!AR13</f>
        <v>1328.2090096909635</v>
      </c>
      <c r="AS20" s="67">
        <f>AS$6*'Eurostat Collected Portables'!AS13</f>
        <v>1352.0453911682102</v>
      </c>
      <c r="AT20" s="67">
        <f>AT$6*'Eurostat Collected Portables'!AT13</f>
        <v>1376.272505584793</v>
      </c>
      <c r="AU20" s="67">
        <f>AU$6*'Eurostat Collected Portables'!AU13</f>
        <v>1400.9140066623772</v>
      </c>
      <c r="AV20" s="67">
        <f>AV$6*'Eurostat Collected Portables'!AV13</f>
        <v>1425.641391955013</v>
      </c>
      <c r="AW20" s="67">
        <f>AW$6*'Eurostat Collected Portables'!AW13</f>
        <v>1450.4469459383206</v>
      </c>
      <c r="AX20" s="67">
        <f>AX$6*'Eurostat Collected Portables'!AX13</f>
        <v>1475.3226499316875</v>
      </c>
      <c r="AY20" s="67">
        <f>AY$6*'Eurostat Collected Portables'!AY13</f>
        <v>1500.5981745599358</v>
      </c>
      <c r="AZ20" s="67">
        <f>AZ$6*'Eurostat Collected Portables'!AZ13</f>
        <v>1526.2802437732385</v>
      </c>
    </row>
    <row r="21" spans="1:52" x14ac:dyDescent="0.35">
      <c r="A21" s="1" t="s">
        <v>11</v>
      </c>
      <c r="B21" s="23">
        <f t="shared" ref="B21:D21" si="18">C21/1.14</f>
        <v>4.8818663378142215</v>
      </c>
      <c r="C21" s="23">
        <f t="shared" si="18"/>
        <v>5.5653276251082122</v>
      </c>
      <c r="D21" s="23">
        <f t="shared" si="18"/>
        <v>6.3444734926233615</v>
      </c>
      <c r="E21" s="23">
        <f t="shared" si="1"/>
        <v>7.2326997815906315</v>
      </c>
      <c r="F21" s="23">
        <f t="shared" si="2"/>
        <v>7.6666617684860698</v>
      </c>
      <c r="G21" s="23">
        <f t="shared" si="3"/>
        <v>9.5066605929227261</v>
      </c>
      <c r="H21" s="23">
        <f t="shared" si="4"/>
        <v>10.837593075931906</v>
      </c>
      <c r="I21" s="23">
        <f t="shared" si="5"/>
        <v>8.5616985299862058</v>
      </c>
      <c r="J21" s="23">
        <f t="shared" si="6"/>
        <v>9.9315702947839988</v>
      </c>
      <c r="K21" s="23">
        <f t="shared" si="7"/>
        <v>8.5411504535142395</v>
      </c>
      <c r="L21" s="23">
        <f t="shared" si="8"/>
        <v>10.761849571427943</v>
      </c>
      <c r="M21" s="4">
        <f>$M$6*'Eurostat Collected Portables'!M14</f>
        <v>13.667548955713489</v>
      </c>
      <c r="N21" s="4">
        <f>$N$6*'Eurostat Collected Portables'!N14</f>
        <v>16.112164747691793</v>
      </c>
      <c r="O21" s="4">
        <f>$O$6*'Eurostat Collected Portables'!O14</f>
        <v>20.851460166221607</v>
      </c>
      <c r="P21" s="4">
        <f>$P$6*'Eurostat Collected Portables'!P14</f>
        <v>20.757227164909025</v>
      </c>
      <c r="Q21" s="4">
        <f>$Q$6*'Eurostat Collected Portables'!Q14</f>
        <v>21.487622675661076</v>
      </c>
      <c r="R21" s="4">
        <f>$R$6*'Eurostat Collected Portables'!R14</f>
        <v>23.737955806483495</v>
      </c>
      <c r="S21" s="4">
        <f>$S$6*'Eurostat Collected Portables'!S14</f>
        <v>28.896135901956349</v>
      </c>
      <c r="T21" s="4">
        <f>$T$6*'Eurostat Collected Portables'!T14</f>
        <v>16.048115989344769</v>
      </c>
      <c r="U21" s="4">
        <f>$U$6*'Eurostat Collected Portables'!U14</f>
        <v>14.979614818711623</v>
      </c>
      <c r="V21" s="4">
        <f>$V$6*'Eurostat Collected Portables'!V14</f>
        <v>11.909322614442296</v>
      </c>
      <c r="W21" s="4">
        <f>$W$6*'Eurostat Collected Portables'!W14</f>
        <v>12.707596042500457</v>
      </c>
      <c r="X21" s="67">
        <f>X$6*'Eurostat Collected Portables'!X14</f>
        <v>14.913367017862546</v>
      </c>
      <c r="Y21" s="67">
        <f>Y$6*'Eurostat Collected Portables'!Y14</f>
        <v>17.777200351791052</v>
      </c>
      <c r="Z21" s="67">
        <f>Z$6*'Eurostat Collected Portables'!Z14</f>
        <v>18.94859941245371</v>
      </c>
      <c r="AA21" s="67">
        <f>AA$6*'Eurostat Collected Portables'!AA14</f>
        <v>20.313627812990983</v>
      </c>
      <c r="AB21" s="67">
        <f>AB$6*'Eurostat Collected Portables'!AB14</f>
        <v>21.705498867584058</v>
      </c>
      <c r="AC21" s="67">
        <f>AC$6*'Eurostat Collected Portables'!AC14</f>
        <v>23.148986918164777</v>
      </c>
      <c r="AD21" s="67">
        <f>AD$6*'Eurostat Collected Portables'!AD14</f>
        <v>24.694427297066525</v>
      </c>
      <c r="AE21" s="67">
        <f>AE$6*'Eurostat Collected Portables'!AE14</f>
        <v>26.474098323870784</v>
      </c>
      <c r="AF21" s="67">
        <f>AF$6*'Eurostat Collected Portables'!AF14</f>
        <v>28.479798795483333</v>
      </c>
      <c r="AG21" s="67">
        <f>AG$6*'Eurostat Collected Portables'!AG14</f>
        <v>30.503174967161545</v>
      </c>
      <c r="AH21" s="67">
        <f>AH$6*'Eurostat Collected Portables'!AH14</f>
        <v>32.496214392966827</v>
      </c>
      <c r="AI21" s="67">
        <f>AI$6*'Eurostat Collected Portables'!AI14</f>
        <v>34.437339639822348</v>
      </c>
      <c r="AJ21" s="67">
        <f>AJ$6*'Eurostat Collected Portables'!AJ14</f>
        <v>36.485536253708048</v>
      </c>
      <c r="AK21" s="67">
        <f>AK$6*'Eurostat Collected Portables'!AK14</f>
        <v>38.647815378416496</v>
      </c>
      <c r="AL21" s="67">
        <f>AL$6*'Eurostat Collected Portables'!AL14</f>
        <v>40.931139390862874</v>
      </c>
      <c r="AM21" s="67">
        <f>AM$6*'Eurostat Collected Portables'!AM14</f>
        <v>43.342905819656714</v>
      </c>
      <c r="AN21" s="67">
        <f>AN$6*'Eurostat Collected Portables'!AN14</f>
        <v>45.890974665786771</v>
      </c>
      <c r="AO21" s="67">
        <f>AO$6*'Eurostat Collected Portables'!AO14</f>
        <v>48.573937888435474</v>
      </c>
      <c r="AP21" s="67">
        <f>AP$6*'Eurostat Collected Portables'!AP14</f>
        <v>51.326914351905572</v>
      </c>
      <c r="AQ21" s="67">
        <f>AQ$6*'Eurostat Collected Portables'!AQ14</f>
        <v>53.767696408109124</v>
      </c>
      <c r="AR21" s="67">
        <f>AR$6*'Eurostat Collected Portables'!AR14</f>
        <v>55.857523973808092</v>
      </c>
      <c r="AS21" s="67">
        <f>AS$6*'Eurostat Collected Portables'!AS14</f>
        <v>57.623250833906255</v>
      </c>
      <c r="AT21" s="67">
        <f>AT$6*'Eurostat Collected Portables'!AT14</f>
        <v>59.420824458147649</v>
      </c>
      <c r="AU21" s="67">
        <f>AU$6*'Eurostat Collected Portables'!AU14</f>
        <v>61.252750279279951</v>
      </c>
      <c r="AV21" s="67">
        <f>AV$6*'Eurostat Collected Portables'!AV14</f>
        <v>63.106339689900018</v>
      </c>
      <c r="AW21" s="67">
        <f>AW$6*'Eurostat Collected Portables'!AW14</f>
        <v>64.981185189456141</v>
      </c>
      <c r="AX21" s="67">
        <f>AX$6*'Eurostat Collected Portables'!AX14</f>
        <v>66.876858909343284</v>
      </c>
      <c r="AY21" s="67">
        <f>AY$6*'Eurostat Collected Portables'!AY14</f>
        <v>68.806830975745626</v>
      </c>
      <c r="AZ21" s="67">
        <f>AZ$6*'Eurostat Collected Portables'!AZ14</f>
        <v>70.771732797880219</v>
      </c>
    </row>
    <row r="22" spans="1:52" x14ac:dyDescent="0.35">
      <c r="A22" s="1" t="s">
        <v>12</v>
      </c>
      <c r="B22" s="23">
        <f t="shared" ref="B22:D22" si="19">C22/1.14</f>
        <v>5.0994818931427437</v>
      </c>
      <c r="C22" s="23">
        <f t="shared" si="19"/>
        <v>5.8134093581827271</v>
      </c>
      <c r="D22" s="23">
        <f t="shared" si="19"/>
        <v>6.627286668328308</v>
      </c>
      <c r="E22" s="23">
        <f t="shared" si="1"/>
        <v>7.5551068018942704</v>
      </c>
      <c r="F22" s="23">
        <f t="shared" si="2"/>
        <v>8.0084132100079266</v>
      </c>
      <c r="G22" s="23">
        <f t="shared" si="3"/>
        <v>9.9304323804098296</v>
      </c>
      <c r="H22" s="23">
        <f t="shared" si="4"/>
        <v>11.320692913667205</v>
      </c>
      <c r="I22" s="23">
        <f t="shared" si="5"/>
        <v>8.9433474017970926</v>
      </c>
      <c r="J22" s="23">
        <f t="shared" si="6"/>
        <v>10.374282986084626</v>
      </c>
      <c r="K22" s="23">
        <f t="shared" si="7"/>
        <v>8.9218833680327787</v>
      </c>
      <c r="L22" s="23">
        <f t="shared" si="8"/>
        <v>11.241573043721301</v>
      </c>
      <c r="M22" s="4">
        <f>$M$6*'Eurostat Collected Portables'!M15</f>
        <v>14.276797765526053</v>
      </c>
      <c r="N22" s="4">
        <f>$N$6*'Eurostat Collected Portables'!N15</f>
        <v>18.371366665087336</v>
      </c>
      <c r="O22" s="4">
        <f>$O$6*'Eurostat Collected Portables'!O15</f>
        <v>21.914426049675498</v>
      </c>
      <c r="P22" s="4">
        <f>$P$6*'Eurostat Collected Portables'!P15</f>
        <v>23.788203332947642</v>
      </c>
      <c r="Q22" s="4">
        <f>$Q$6*'Eurostat Collected Portables'!Q15</f>
        <v>28.271193149987941</v>
      </c>
      <c r="R22" s="4">
        <f>$R$6*'Eurostat Collected Portables'!R15</f>
        <v>34.630372236673708</v>
      </c>
      <c r="S22" s="4">
        <f>$S$6*'Eurostat Collected Portables'!S15</f>
        <v>50.100130548050409</v>
      </c>
      <c r="T22" s="4">
        <f>$T$6*'Eurostat Collected Portables'!T15</f>
        <v>31.022488232567014</v>
      </c>
      <c r="U22" s="4">
        <f>$U$6*'Eurostat Collected Portables'!U15</f>
        <v>35.828291836885668</v>
      </c>
      <c r="V22" s="4">
        <f>$V$6*'Eurostat Collected Portables'!V15</f>
        <v>25.166122662798195</v>
      </c>
      <c r="W22" s="4">
        <f>$W$6*'Eurostat Collected Portables'!W15</f>
        <v>26.594041403408976</v>
      </c>
      <c r="X22" s="67">
        <f>X$6*'Eurostat Collected Portables'!X15</f>
        <v>26.867780336168195</v>
      </c>
      <c r="Y22" s="67">
        <f>Y$6*'Eurostat Collected Portables'!Y15</f>
        <v>29.642476648078205</v>
      </c>
      <c r="Z22" s="67">
        <f>Z$6*'Eurostat Collected Portables'!Z15</f>
        <v>30.865475171969099</v>
      </c>
      <c r="AA22" s="67">
        <f>AA$6*'Eurostat Collected Portables'!AA15</f>
        <v>32.355658945847971</v>
      </c>
      <c r="AB22" s="67">
        <f>AB$6*'Eurostat Collected Portables'!AB15</f>
        <v>33.837129833384061</v>
      </c>
      <c r="AC22" s="67">
        <f>AC$6*'Eurostat Collected Portables'!AC15</f>
        <v>35.349665813329509</v>
      </c>
      <c r="AD22" s="67">
        <f>AD$6*'Eurostat Collected Portables'!AD15</f>
        <v>36.968109617239897</v>
      </c>
      <c r="AE22" s="67">
        <f>AE$6*'Eurostat Collected Portables'!AE15</f>
        <v>38.882003106753785</v>
      </c>
      <c r="AF22" s="67">
        <f>AF$6*'Eurostat Collected Portables'!AF15</f>
        <v>41.064672908529666</v>
      </c>
      <c r="AG22" s="67">
        <f>AG$6*'Eurostat Collected Portables'!AG15</f>
        <v>43.20833704926909</v>
      </c>
      <c r="AH22" s="67">
        <f>AH$6*'Eurostat Collected Portables'!AH15</f>
        <v>45.249840441663764</v>
      </c>
      <c r="AI22" s="67">
        <f>AI$6*'Eurostat Collected Portables'!AI15</f>
        <v>47.16624674700644</v>
      </c>
      <c r="AJ22" s="67">
        <f>AJ$6*'Eurostat Collected Portables'!AJ15</f>
        <v>49.179224801390028</v>
      </c>
      <c r="AK22" s="67">
        <f>AK$6*'Eurostat Collected Portables'!AK15</f>
        <v>51.294882837358394</v>
      </c>
      <c r="AL22" s="67">
        <f>AL$6*'Eurostat Collected Portables'!AL15</f>
        <v>53.519012948898556</v>
      </c>
      <c r="AM22" s="67">
        <f>AM$6*'Eurostat Collected Portables'!AM15</f>
        <v>55.857748255104056</v>
      </c>
      <c r="AN22" s="67">
        <f>AN$6*'Eurostat Collected Portables'!AN15</f>
        <v>58.317583185770097</v>
      </c>
      <c r="AO22" s="67">
        <f>AO$6*'Eurostat Collected Portables'!AO15</f>
        <v>60.893160254558119</v>
      </c>
      <c r="AP22" s="67">
        <f>AP$6*'Eurostat Collected Portables'!AP15</f>
        <v>63.500994708478203</v>
      </c>
      <c r="AQ22" s="67">
        <f>AQ$6*'Eurostat Collected Portables'!AQ15</f>
        <v>65.674359631282627</v>
      </c>
      <c r="AR22" s="67">
        <f>AR$6*'Eurostat Collected Portables'!AR15</f>
        <v>67.383912123281732</v>
      </c>
      <c r="AS22" s="67">
        <f>AS$6*'Eurostat Collected Portables'!AS15</f>
        <v>68.679353933335875</v>
      </c>
      <c r="AT22" s="67">
        <f>AT$6*'Eurostat Collected Portables'!AT15</f>
        <v>69.995151945522451</v>
      </c>
      <c r="AU22" s="67">
        <f>AU$6*'Eurostat Collected Portables'!AU15</f>
        <v>71.33394362256</v>
      </c>
      <c r="AV22" s="67">
        <f>AV$6*'Eurostat Collected Portables'!AV15</f>
        <v>72.680759551526364</v>
      </c>
      <c r="AW22" s="67">
        <f>AW$6*'Eurostat Collected Portables'!AW15</f>
        <v>74.035277724334478</v>
      </c>
      <c r="AX22" s="67">
        <f>AX$6*'Eurostat Collected Portables'!AX15</f>
        <v>75.397162197038398</v>
      </c>
      <c r="AY22" s="67">
        <f>AY$6*'Eurostat Collected Portables'!AY15</f>
        <v>76.781594961244849</v>
      </c>
      <c r="AZ22" s="67">
        <f>AZ$6*'Eurostat Collected Portables'!AZ15</f>
        <v>78.188965239440776</v>
      </c>
    </row>
    <row r="23" spans="1:52" x14ac:dyDescent="0.35">
      <c r="A23" s="1" t="s">
        <v>13</v>
      </c>
      <c r="B23" s="23">
        <f t="shared" ref="B23:D23" si="20">C23/1.14</f>
        <v>0.41496892567259136</v>
      </c>
      <c r="C23" s="23">
        <f t="shared" si="20"/>
        <v>0.47306457526675411</v>
      </c>
      <c r="D23" s="23">
        <f t="shared" si="20"/>
        <v>0.53929361580409962</v>
      </c>
      <c r="E23" s="23">
        <f t="shared" si="1"/>
        <v>0.61479472201667351</v>
      </c>
      <c r="F23" s="23">
        <f t="shared" si="2"/>
        <v>0.65168240533767396</v>
      </c>
      <c r="G23" s="23">
        <f t="shared" si="3"/>
        <v>0.80808618261871568</v>
      </c>
      <c r="H23" s="23">
        <f t="shared" si="4"/>
        <v>0.92121824818533582</v>
      </c>
      <c r="I23" s="23">
        <f t="shared" si="5"/>
        <v>0.72776241606641534</v>
      </c>
      <c r="J23" s="23">
        <f t="shared" si="6"/>
        <v>0.84420440263704177</v>
      </c>
      <c r="K23" s="23">
        <f t="shared" si="7"/>
        <v>0.7260157862678559</v>
      </c>
      <c r="L23" s="23">
        <f t="shared" si="8"/>
        <v>0.91477989069749843</v>
      </c>
      <c r="M23" s="4">
        <f>$M$6*'Eurostat Collected Portables'!M16</f>
        <v>1.1617704611858231</v>
      </c>
      <c r="N23" s="4">
        <f>$N$6*'Eurostat Collected Portables'!N16</f>
        <v>1.9347454457539797</v>
      </c>
      <c r="O23" s="4">
        <f>$O$6*'Eurostat Collected Portables'!O16</f>
        <v>2.7308746308057161</v>
      </c>
      <c r="P23" s="4">
        <f>$P$6*'Eurostat Collected Portables'!P16</f>
        <v>2.4454429785435465</v>
      </c>
      <c r="Q23" s="4">
        <f>$Q$6*'Eurostat Collected Portables'!Q16</f>
        <v>2.3230886596437812</v>
      </c>
      <c r="R23" s="4">
        <f>$R$6*'Eurostat Collected Portables'!R16</f>
        <v>2.2235553540250366</v>
      </c>
      <c r="S23" s="4">
        <f>$S$6*'Eurostat Collected Portables'!S16</f>
        <v>5.1921953477070426</v>
      </c>
      <c r="T23" s="4">
        <f>$T$6*'Eurostat Collected Portables'!T16</f>
        <v>2.3738442819681773</v>
      </c>
      <c r="U23" s="4">
        <f>$U$6*'Eurostat Collected Portables'!U16</f>
        <v>2.0652223053338483</v>
      </c>
      <c r="V23" s="4">
        <f>$V$6*'Eurostat Collected Portables'!V16</f>
        <v>1.9459159413281755</v>
      </c>
      <c r="W23" s="4">
        <f>$W$6*'Eurostat Collected Portables'!W16</f>
        <v>1.9461004002194098</v>
      </c>
      <c r="X23" s="67">
        <f>X$6*'Eurostat Collected Portables'!X16</f>
        <v>2.3371847184785741</v>
      </c>
      <c r="Y23" s="67">
        <f>Y$6*'Eurostat Collected Portables'!Y16</f>
        <v>2.4996366642361267</v>
      </c>
      <c r="Z23" s="67">
        <f>Z$6*'Eurostat Collected Portables'!Z16</f>
        <v>2.6354556081563083</v>
      </c>
      <c r="AA23" s="67">
        <f>AA$6*'Eurostat Collected Portables'!AA16</f>
        <v>2.7962977200006174</v>
      </c>
      <c r="AB23" s="67">
        <f>AB$6*'Eurostat Collected Portables'!AB16</f>
        <v>2.9587986725408792</v>
      </c>
      <c r="AC23" s="67">
        <f>AC$6*'Eurostat Collected Portables'!AC16</f>
        <v>3.1263813607233382</v>
      </c>
      <c r="AD23" s="67">
        <f>AD$6*'Eurostat Collected Portables'!AD16</f>
        <v>3.305763821837981</v>
      </c>
      <c r="AE23" s="67">
        <f>AE$6*'Eurostat Collected Portables'!AE16</f>
        <v>3.5143181692207528</v>
      </c>
      <c r="AF23" s="67">
        <f>AF$6*'Eurostat Collected Portables'!AF16</f>
        <v>3.7503769886107543</v>
      </c>
      <c r="AG23" s="67">
        <f>AG$6*'Eurostat Collected Portables'!AG16</f>
        <v>3.9862119567735768</v>
      </c>
      <c r="AH23" s="67">
        <f>AH$6*'Eurostat Collected Portables'!AH16</f>
        <v>4.2157408134367342</v>
      </c>
      <c r="AI23" s="67">
        <f>AI$6*'Eurostat Collected Portables'!AI16</f>
        <v>4.4364455845234509</v>
      </c>
      <c r="AJ23" s="67">
        <f>AJ$6*'Eurostat Collected Portables'!AJ16</f>
        <v>4.6689628545334099</v>
      </c>
      <c r="AK23" s="67">
        <f>AK$6*'Eurostat Collected Portables'!AK16</f>
        <v>4.9140575968588953</v>
      </c>
      <c r="AL23" s="67">
        <f>AL$6*'Eurostat Collected Portables'!AL16</f>
        <v>5.1724786375889256</v>
      </c>
      <c r="AM23" s="67">
        <f>AM$6*'Eurostat Collected Portables'!AM16</f>
        <v>5.4450207746195272</v>
      </c>
      <c r="AN23" s="67">
        <f>AN$6*'Eurostat Collected Portables'!AN16</f>
        <v>5.732527619435686</v>
      </c>
      <c r="AO23" s="67">
        <f>AO$6*'Eurostat Collected Portables'!AO16</f>
        <v>6.0346821181810189</v>
      </c>
      <c r="AP23" s="67">
        <f>AP$6*'Eurostat Collected Portables'!AP16</f>
        <v>6.343338626311211</v>
      </c>
      <c r="AQ23" s="67">
        <f>AQ$6*'Eurostat Collected Portables'!AQ16</f>
        <v>6.6115039879790443</v>
      </c>
      <c r="AR23" s="67">
        <f>AR$6*'Eurostat Collected Portables'!AR16</f>
        <v>6.8351242475717431</v>
      </c>
      <c r="AS23" s="67">
        <f>AS$6*'Eurostat Collected Portables'!AS16</f>
        <v>7.0181701225528945</v>
      </c>
      <c r="AT23" s="67">
        <f>AT$6*'Eurostat Collected Portables'!AT16</f>
        <v>7.2043984013229991</v>
      </c>
      <c r="AU23" s="67">
        <f>AU$6*'Eurostat Collected Portables'!AU16</f>
        <v>7.3941004358017759</v>
      </c>
      <c r="AV23" s="67">
        <f>AV$6*'Eurostat Collected Portables'!AV16</f>
        <v>7.5857369113469382</v>
      </c>
      <c r="AW23" s="67">
        <f>AW$6*'Eurostat Collected Portables'!AW16</f>
        <v>7.7792646724105383</v>
      </c>
      <c r="AX23" s="67">
        <f>AX$6*'Eurostat Collected Portables'!AX16</f>
        <v>7.9746384918232485</v>
      </c>
      <c r="AY23" s="67">
        <f>AY$6*'Eurostat Collected Portables'!AY16</f>
        <v>8.1734644273179935</v>
      </c>
      <c r="AZ23" s="67">
        <f>AZ$6*'Eurostat Collected Portables'!AZ16</f>
        <v>8.3758050062672282</v>
      </c>
    </row>
    <row r="24" spans="1:52" x14ac:dyDescent="0.35">
      <c r="A24" s="1" t="s">
        <v>14</v>
      </c>
      <c r="B24" s="23">
        <f t="shared" ref="B24:D24" si="21">C24/1.14</f>
        <v>6.9312248348037739</v>
      </c>
      <c r="C24" s="23">
        <f t="shared" si="21"/>
        <v>7.9015963116763013</v>
      </c>
      <c r="D24" s="23">
        <f t="shared" si="21"/>
        <v>9.0078197953109829</v>
      </c>
      <c r="E24" s="23">
        <f t="shared" si="1"/>
        <v>10.268914566654519</v>
      </c>
      <c r="F24" s="23">
        <f t="shared" si="2"/>
        <v>10.885049440653791</v>
      </c>
      <c r="G24" s="23">
        <f t="shared" si="3"/>
        <v>13.497461306410701</v>
      </c>
      <c r="H24" s="23">
        <f t="shared" si="4"/>
        <v>15.387105889308197</v>
      </c>
      <c r="I24" s="23">
        <f t="shared" si="5"/>
        <v>12.155813652553476</v>
      </c>
      <c r="J24" s="23">
        <f t="shared" si="6"/>
        <v>14.100743836962032</v>
      </c>
      <c r="K24" s="23">
        <f t="shared" si="7"/>
        <v>12.126639699787347</v>
      </c>
      <c r="L24" s="23">
        <f t="shared" si="8"/>
        <v>15.279566021732057</v>
      </c>
      <c r="M24" s="4">
        <f>$M$6*'Eurostat Collected Portables'!M17</f>
        <v>19.405048847599712</v>
      </c>
      <c r="N24" s="4">
        <f>$N$6*'Eurostat Collected Portables'!N17</f>
        <v>20.009799745275394</v>
      </c>
      <c r="O24" s="4">
        <f>$O$6*'Eurostat Collected Portables'!O17</f>
        <v>25.960166243461746</v>
      </c>
      <c r="P24" s="4">
        <f>$P$6*'Eurostat Collected Portables'!P17</f>
        <v>26.570678516867382</v>
      </c>
      <c r="Q24" s="4">
        <f>$Q$6*'Eurostat Collected Portables'!Q17</f>
        <v>29.294413277400373</v>
      </c>
      <c r="R24" s="4">
        <f>$R$6*'Eurostat Collected Portables'!R17</f>
        <v>42.405303964430168</v>
      </c>
      <c r="S24" s="4">
        <f>$S$6*'Eurostat Collected Portables'!S17</f>
        <v>67.20502360384944</v>
      </c>
      <c r="T24" s="4">
        <f>$T$6*'Eurostat Collected Portables'!T17</f>
        <v>35.607664229522662</v>
      </c>
      <c r="U24" s="4">
        <f>$U$6*'Eurostat Collected Portables'!U17</f>
        <v>30.916942715996612</v>
      </c>
      <c r="V24" s="4">
        <f>$V$6*'Eurostat Collected Portables'!V17</f>
        <v>28.950948984526114</v>
      </c>
      <c r="W24" s="4">
        <f>$W$6*'Eurostat Collected Portables'!W17</f>
        <v>31.808951100095484</v>
      </c>
      <c r="X24" s="67">
        <f>X$6*'Eurostat Collected Portables'!X17</f>
        <v>34.368251554155613</v>
      </c>
      <c r="Y24" s="67">
        <f>Y$6*'Eurostat Collected Portables'!Y17</f>
        <v>35.716316633623826</v>
      </c>
      <c r="Z24" s="67">
        <f>Z$6*'Eurostat Collected Portables'!Z17</f>
        <v>37.13063967699231</v>
      </c>
      <c r="AA24" s="67">
        <f>AA$6*'Eurostat Collected Portables'!AA17</f>
        <v>38.862375644272127</v>
      </c>
      <c r="AB24" s="67">
        <f>AB$6*'Eurostat Collected Portables'!AB17</f>
        <v>40.579273290158227</v>
      </c>
      <c r="AC24" s="67">
        <f>AC$6*'Eurostat Collected Portables'!AC17</f>
        <v>42.32913689580171</v>
      </c>
      <c r="AD24" s="67">
        <f>AD$6*'Eurostat Collected Portables'!AD17</f>
        <v>44.201407015965849</v>
      </c>
      <c r="AE24" s="67">
        <f>AE$6*'Eurostat Collected Portables'!AE17</f>
        <v>46.421945061357846</v>
      </c>
      <c r="AF24" s="67">
        <f>AF$6*'Eurostat Collected Portables'!AF17</f>
        <v>48.957557158310244</v>
      </c>
      <c r="AG24" s="67">
        <f>AG$6*'Eurostat Collected Portables'!AG17</f>
        <v>51.440612961259298</v>
      </c>
      <c r="AH24" s="67">
        <f>AH$6*'Eurostat Collected Portables'!AH17</f>
        <v>53.796388666673195</v>
      </c>
      <c r="AI24" s="67">
        <f>AI$6*'Eurostat Collected Portables'!AI17</f>
        <v>55.998306854987952</v>
      </c>
      <c r="AJ24" s="67">
        <f>AJ$6*'Eurostat Collected Portables'!AJ17</f>
        <v>58.309931886599891</v>
      </c>
      <c r="AK24" s="67">
        <f>AK$6*'Eurostat Collected Portables'!AK17</f>
        <v>60.738170478180912</v>
      </c>
      <c r="AL24" s="67">
        <f>AL$6*'Eurostat Collected Portables'!AL17</f>
        <v>63.289529370116988</v>
      </c>
      <c r="AM24" s="67">
        <f>AM$6*'Eurostat Collected Portables'!AM17</f>
        <v>65.970894990896269</v>
      </c>
      <c r="AN24" s="67">
        <f>AN$6*'Eurostat Collected Portables'!AN17</f>
        <v>68.789555848183028</v>
      </c>
      <c r="AO24" s="67">
        <f>AO$6*'Eurostat Collected Portables'!AO17</f>
        <v>71.738812403472039</v>
      </c>
      <c r="AP24" s="67">
        <f>AP$6*'Eurostat Collected Portables'!AP17</f>
        <v>74.720078508957712</v>
      </c>
      <c r="AQ24" s="67">
        <f>AQ$6*'Eurostat Collected Portables'!AQ17</f>
        <v>77.18483912138511</v>
      </c>
      <c r="AR24" s="67">
        <f>AR$6*'Eurostat Collected Portables'!AR17</f>
        <v>79.100603063757887</v>
      </c>
      <c r="AS24" s="67">
        <f>AS$6*'Eurostat Collected Portables'!AS17</f>
        <v>80.527655849969875</v>
      </c>
      <c r="AT24" s="67">
        <f>AT$6*'Eurostat Collected Portables'!AT17</f>
        <v>81.976577947659251</v>
      </c>
      <c r="AU24" s="67">
        <f>AU$6*'Eurostat Collected Portables'!AU17</f>
        <v>83.45042222999858</v>
      </c>
      <c r="AV24" s="67">
        <f>AV$6*'Eurostat Collected Portables'!AV17</f>
        <v>84.931654275755676</v>
      </c>
      <c r="AW24" s="67">
        <f>AW$6*'Eurostat Collected Portables'!AW17</f>
        <v>86.419915111699723</v>
      </c>
      <c r="AX24" s="67">
        <f>AX$6*'Eurostat Collected Portables'!AX17</f>
        <v>87.914830598752545</v>
      </c>
      <c r="AY24" s="67">
        <f>AY$6*'Eurostat Collected Portables'!AY17</f>
        <v>89.434102777120472</v>
      </c>
      <c r="AZ24" s="67">
        <f>AZ$6*'Eurostat Collected Portables'!AZ17</f>
        <v>90.978146758277774</v>
      </c>
    </row>
    <row r="25" spans="1:52" x14ac:dyDescent="0.35">
      <c r="A25" s="1" t="s">
        <v>15</v>
      </c>
      <c r="B25" s="23">
        <f t="shared" ref="B25:D25" si="22">C25/1.14</f>
        <v>84.192332985234728</v>
      </c>
      <c r="C25" s="23">
        <f t="shared" si="22"/>
        <v>95.979259603167577</v>
      </c>
      <c r="D25" s="23">
        <f t="shared" si="22"/>
        <v>109.41635594761102</v>
      </c>
      <c r="E25" s="23">
        <f t="shared" si="1"/>
        <v>124.73464578027655</v>
      </c>
      <c r="F25" s="23">
        <f t="shared" si="2"/>
        <v>132.21872452709314</v>
      </c>
      <c r="G25" s="23">
        <f t="shared" si="3"/>
        <v>163.95121841359551</v>
      </c>
      <c r="H25" s="23">
        <f t="shared" si="4"/>
        <v>186.90438899149888</v>
      </c>
      <c r="I25" s="23">
        <f t="shared" si="5"/>
        <v>147.65446730328412</v>
      </c>
      <c r="J25" s="23">
        <f t="shared" si="6"/>
        <v>171.27918207180957</v>
      </c>
      <c r="K25" s="23">
        <f t="shared" si="7"/>
        <v>147.30009658175624</v>
      </c>
      <c r="L25" s="23">
        <f t="shared" si="8"/>
        <v>185.59812169301287</v>
      </c>
      <c r="M25" s="4">
        <f>$M$6*'Eurostat Collected Portables'!M18</f>
        <v>235.70961455012636</v>
      </c>
      <c r="N25" s="4">
        <f>$N$6*'Eurostat Collected Portables'!N18</f>
        <v>280.62524033008174</v>
      </c>
      <c r="O25" s="4">
        <f>$O$6*'Eurostat Collected Portables'!O18</f>
        <v>355.22441763983613</v>
      </c>
      <c r="P25" s="4">
        <f>$P$6*'Eurostat Collected Portables'!P18</f>
        <v>375.63414982916498</v>
      </c>
      <c r="Q25" s="4">
        <f>$Q$6*'Eurostat Collected Portables'!Q18</f>
        <v>382.94960694454176</v>
      </c>
      <c r="R25" s="4">
        <f>$R$6*'Eurostat Collected Portables'!R18</f>
        <v>356.63273794708988</v>
      </c>
      <c r="S25" s="4">
        <f>$S$6*'Eurostat Collected Portables'!S18</f>
        <v>480.15155418171952</v>
      </c>
      <c r="T25" s="4">
        <f>$T$6*'Eurostat Collected Portables'!T18</f>
        <v>302.73769620405903</v>
      </c>
      <c r="U25" s="4">
        <f>$U$6*'Eurostat Collected Portables'!U18</f>
        <v>269.33838578955584</v>
      </c>
      <c r="V25" s="4">
        <f>$V$6*'Eurostat Collected Portables'!V18</f>
        <v>207.59078820116056</v>
      </c>
      <c r="W25" s="4">
        <f>$W$6*'Eurostat Collected Portables'!W18</f>
        <v>209.77523718586841</v>
      </c>
      <c r="X25" s="67">
        <f>X$6*'Eurostat Collected Portables'!X18</f>
        <v>224.22061996172857</v>
      </c>
      <c r="Y25" s="67">
        <f>Y$6*'Eurostat Collected Portables'!Y18</f>
        <v>243.33912169724053</v>
      </c>
      <c r="Z25" s="67">
        <f>Z$6*'Eurostat Collected Portables'!Z18</f>
        <v>256.22972840390713</v>
      </c>
      <c r="AA25" s="67">
        <f>AA$6*'Eurostat Collected Portables'!AA18</f>
        <v>271.53107090198131</v>
      </c>
      <c r="AB25" s="67">
        <f>AB$6*'Eurostat Collected Portables'!AB18</f>
        <v>286.96963909591125</v>
      </c>
      <c r="AC25" s="67">
        <f>AC$6*'Eurostat Collected Portables'!AC18</f>
        <v>302.87795605978056</v>
      </c>
      <c r="AD25" s="67">
        <f>AD$6*'Eurostat Collected Portables'!AD18</f>
        <v>319.90589751092415</v>
      </c>
      <c r="AE25" s="67">
        <f>AE$6*'Eurostat Collected Portables'!AE18</f>
        <v>339.73055800831537</v>
      </c>
      <c r="AF25" s="67">
        <f>AF$6*'Eurostat Collected Portables'!AF18</f>
        <v>362.18371726101878</v>
      </c>
      <c r="AG25" s="67">
        <f>AG$6*'Eurostat Collected Portables'!AG18</f>
        <v>384.58401308994422</v>
      </c>
      <c r="AH25" s="67">
        <f>AH$6*'Eurostat Collected Portables'!AH18</f>
        <v>406.3470082232987</v>
      </c>
      <c r="AI25" s="67">
        <f>AI$6*'Eurostat Collected Portables'!AI18</f>
        <v>427.23349642970658</v>
      </c>
      <c r="AJ25" s="67">
        <f>AJ$6*'Eurostat Collected Portables'!AJ18</f>
        <v>449.23273886907197</v>
      </c>
      <c r="AK25" s="67">
        <f>AK$6*'Eurostat Collected Portables'!AK18</f>
        <v>472.41667256829453</v>
      </c>
      <c r="AL25" s="67">
        <f>AL$6*'Eurostat Collected Portables'!AL18</f>
        <v>496.85555606940341</v>
      </c>
      <c r="AM25" s="67">
        <f>AM$6*'Eurostat Collected Portables'!AM18</f>
        <v>522.62394876798135</v>
      </c>
      <c r="AN25" s="67">
        <f>AN$6*'Eurostat Collected Portables'!AN18</f>
        <v>549.80097609402708</v>
      </c>
      <c r="AO25" s="67">
        <f>AO$6*'Eurostat Collected Portables'!AO18</f>
        <v>578.35440731947767</v>
      </c>
      <c r="AP25" s="67">
        <f>AP$6*'Eurostat Collected Portables'!AP18</f>
        <v>607.50247335445636</v>
      </c>
      <c r="AQ25" s="67">
        <f>AQ$6*'Eurostat Collected Portables'!AQ18</f>
        <v>632.74780007819743</v>
      </c>
      <c r="AR25" s="67">
        <f>AR$6*'Eurostat Collected Portables'!AR18</f>
        <v>653.71174698532229</v>
      </c>
      <c r="AS25" s="67">
        <f>AS$6*'Eurostat Collected Portables'!AS18</f>
        <v>670.78309708950155</v>
      </c>
      <c r="AT25" s="67">
        <f>AT$6*'Eurostat Collected Portables'!AT18</f>
        <v>688.14939519866698</v>
      </c>
      <c r="AU25" s="67">
        <f>AU$6*'Eurostat Collected Portables'!AU18</f>
        <v>705.83830551188623</v>
      </c>
      <c r="AV25" s="67">
        <f>AV$6*'Eurostat Collected Portables'!AV18</f>
        <v>723.70278385464019</v>
      </c>
      <c r="AW25" s="67">
        <f>AW$6*'Eurostat Collected Portables'!AW18</f>
        <v>741.73879124396717</v>
      </c>
      <c r="AX25" s="67">
        <f>AX$6*'Eurostat Collected Portables'!AX18</f>
        <v>759.94209611189069</v>
      </c>
      <c r="AY25" s="67">
        <f>AY$6*'Eurostat Collected Portables'!AY18</f>
        <v>778.4657452296475</v>
      </c>
      <c r="AZ25" s="67">
        <f>AZ$6*'Eurostat Collected Portables'!AZ18</f>
        <v>797.31552451539426</v>
      </c>
    </row>
    <row r="26" spans="1:52" x14ac:dyDescent="0.35">
      <c r="A26" s="1" t="s">
        <v>16</v>
      </c>
      <c r="B26" s="23">
        <f t="shared" ref="B26:D26" si="23">C26/1.14</f>
        <v>1.4359960098206836</v>
      </c>
      <c r="C26" s="23">
        <f t="shared" si="23"/>
        <v>1.6370354511955791</v>
      </c>
      <c r="D26" s="23">
        <f t="shared" si="23"/>
        <v>1.8662204143629599</v>
      </c>
      <c r="E26" s="23">
        <f t="shared" si="1"/>
        <v>2.1274912723737742</v>
      </c>
      <c r="F26" s="23">
        <f t="shared" si="2"/>
        <v>2.255140748716201</v>
      </c>
      <c r="G26" s="23">
        <f t="shared" si="3"/>
        <v>2.7963745284080894</v>
      </c>
      <c r="H26" s="23">
        <f t="shared" si="4"/>
        <v>3.1878669623852218</v>
      </c>
      <c r="I26" s="23">
        <f t="shared" si="5"/>
        <v>2.5184149002843252</v>
      </c>
      <c r="J26" s="23">
        <f t="shared" si="6"/>
        <v>2.9213612843298171</v>
      </c>
      <c r="K26" s="23">
        <f t="shared" si="7"/>
        <v>2.5123707045236428</v>
      </c>
      <c r="L26" s="23">
        <f t="shared" si="8"/>
        <v>3.16558708769979</v>
      </c>
      <c r="M26" s="4">
        <f>$M$6*'Eurostat Collected Portables'!M19</f>
        <v>4.0202956013787334</v>
      </c>
      <c r="N26" s="4">
        <f>$N$6*'Eurostat Collected Portables'!N19</f>
        <v>4.4969759009416821</v>
      </c>
      <c r="O26" s="4">
        <f>$O$6*'Eurostat Collected Portables'!O19</f>
        <v>5.6050358934746951</v>
      </c>
      <c r="P26" s="4">
        <f>$P$6*'Eurostat Collected Portables'!P19</f>
        <v>5.7608993244535478</v>
      </c>
      <c r="Q26" s="4">
        <f>$Q$6*'Eurostat Collected Portables'!Q19</f>
        <v>4.9266154282820809</v>
      </c>
      <c r="R26" s="4">
        <f>$R$6*'Eurostat Collected Portables'!R19</f>
        <v>6.3476495748349855</v>
      </c>
      <c r="S26" s="4">
        <f>$S$6*'Eurostat Collected Portables'!S19</f>
        <v>11.386393306375094</v>
      </c>
      <c r="T26" s="4">
        <f>$T$6*'Eurostat Collected Portables'!T19</f>
        <v>6.7326634892006991</v>
      </c>
      <c r="U26" s="4">
        <f>$U$6*'Eurostat Collected Portables'!U19</f>
        <v>6.5320943307824457</v>
      </c>
      <c r="V26" s="4">
        <f>$V$6*'Eurostat Collected Portables'!V19</f>
        <v>6.1429118310767254</v>
      </c>
      <c r="W26" s="4">
        <f>$W$6*'Eurostat Collected Portables'!W19</f>
        <v>6.3338175243280581</v>
      </c>
      <c r="X26" s="67">
        <f>X$6*'Eurostat Collected Portables'!X19</f>
        <v>6.5802745842835364</v>
      </c>
      <c r="Y26" s="67">
        <f>Y$6*'Eurostat Collected Portables'!Y19</f>
        <v>6.7997940432907411</v>
      </c>
      <c r="Z26" s="67">
        <f>Z$6*'Eurostat Collected Portables'!Z19</f>
        <v>7.0609704780831075</v>
      </c>
      <c r="AA26" s="67">
        <f>AA$6*'Eurostat Collected Portables'!AA19</f>
        <v>7.3819604208591958</v>
      </c>
      <c r="AB26" s="67">
        <f>AB$6*'Eurostat Collected Portables'!AB19</f>
        <v>7.6995332141281487</v>
      </c>
      <c r="AC26" s="67">
        <f>AC$6*'Eurostat Collected Portables'!AC19</f>
        <v>8.0227730352184476</v>
      </c>
      <c r="AD26" s="67">
        <f>AD$6*'Eurostat Collected Portables'!AD19</f>
        <v>8.3686072285022508</v>
      </c>
      <c r="AE26" s="67">
        <f>AE$6*'Eurostat Collected Portables'!AE19</f>
        <v>8.7796924697790093</v>
      </c>
      <c r="AF26" s="67">
        <f>AF$6*'Eurostat Collected Portables'!AF19</f>
        <v>9.2495652440255824</v>
      </c>
      <c r="AG26" s="67">
        <f>AG$6*'Eurostat Collected Portables'!AG19</f>
        <v>9.7086737906190486</v>
      </c>
      <c r="AH26" s="67">
        <f>AH$6*'Eurostat Collected Portables'!AH19</f>
        <v>10.142979131936276</v>
      </c>
      <c r="AI26" s="67">
        <f>AI$6*'Eurostat Collected Portables'!AI19</f>
        <v>10.547565813164868</v>
      </c>
      <c r="AJ26" s="67">
        <f>AJ$6*'Eurostat Collected Portables'!AJ19</f>
        <v>10.972131135761193</v>
      </c>
      <c r="AK26" s="67">
        <f>AK$6*'Eurostat Collected Portables'!AK19</f>
        <v>11.417928200128964</v>
      </c>
      <c r="AL26" s="67">
        <f>AL$6*'Eurostat Collected Portables'!AL19</f>
        <v>11.886131357240938</v>
      </c>
      <c r="AM26" s="67">
        <f>AM$6*'Eurostat Collected Portables'!AM19</f>
        <v>12.377982985444389</v>
      </c>
      <c r="AN26" s="67">
        <f>AN$6*'Eurostat Collected Portables'!AN19</f>
        <v>12.894797473491918</v>
      </c>
      <c r="AO26" s="67">
        <f>AO$6*'Eurostat Collected Portables'!AO19</f>
        <v>13.435266009440799</v>
      </c>
      <c r="AP26" s="67">
        <f>AP$6*'Eurostat Collected Portables'!AP19</f>
        <v>13.980892980693609</v>
      </c>
      <c r="AQ26" s="67">
        <f>AQ$6*'Eurostat Collected Portables'!AQ19</f>
        <v>14.429139372565277</v>
      </c>
      <c r="AR26" s="67">
        <f>AR$6*'Eurostat Collected Portables'!AR19</f>
        <v>14.774210199931371</v>
      </c>
      <c r="AS26" s="67">
        <f>AS$6*'Eurostat Collected Portables'!AS19</f>
        <v>15.027637362435209</v>
      </c>
      <c r="AT26" s="67">
        <f>AT$6*'Eurostat Collected Portables'!AT19</f>
        <v>15.284865422436592</v>
      </c>
      <c r="AU26" s="67">
        <f>AU$6*'Eurostat Collected Portables'!AU19</f>
        <v>15.54645853906667</v>
      </c>
      <c r="AV26" s="67">
        <f>AV$6*'Eurostat Collected Portables'!AV19</f>
        <v>15.809146980908805</v>
      </c>
      <c r="AW26" s="67">
        <f>AW$6*'Eurostat Collected Portables'!AW19</f>
        <v>16.072866364346719</v>
      </c>
      <c r="AX26" s="67">
        <f>AX$6*'Eurostat Collected Portables'!AX19</f>
        <v>16.337549640227799</v>
      </c>
      <c r="AY26" s="67">
        <f>AY$6*'Eurostat Collected Portables'!AY19</f>
        <v>16.606486374247744</v>
      </c>
      <c r="AZ26" s="67">
        <f>AZ$6*'Eurostat Collected Portables'!AZ19</f>
        <v>16.879748247405278</v>
      </c>
    </row>
    <row r="27" spans="1:52" x14ac:dyDescent="0.35">
      <c r="A27" s="1" t="s">
        <v>17</v>
      </c>
      <c r="B27" s="23">
        <f t="shared" ref="B27:D27" si="24">C27/1.14</f>
        <v>2.4084027566283916</v>
      </c>
      <c r="C27" s="23">
        <f t="shared" si="24"/>
        <v>2.745579142556366</v>
      </c>
      <c r="D27" s="23">
        <f t="shared" si="24"/>
        <v>3.1299602225142569</v>
      </c>
      <c r="E27" s="23">
        <f t="shared" si="1"/>
        <v>3.5681546536662525</v>
      </c>
      <c r="F27" s="23">
        <f t="shared" si="2"/>
        <v>3.7822439328862281</v>
      </c>
      <c r="G27" s="23">
        <f t="shared" si="3"/>
        <v>4.6899824767789227</v>
      </c>
      <c r="H27" s="23">
        <f t="shared" si="4"/>
        <v>5.346580023527971</v>
      </c>
      <c r="I27" s="23">
        <f t="shared" si="5"/>
        <v>4.2237982185870973</v>
      </c>
      <c r="J27" s="23">
        <f t="shared" si="6"/>
        <v>4.8996059335610322</v>
      </c>
      <c r="K27" s="23">
        <f t="shared" si="7"/>
        <v>4.2136611028624875</v>
      </c>
      <c r="L27" s="23">
        <f t="shared" si="8"/>
        <v>5.3092129896067348</v>
      </c>
      <c r="M27" s="4">
        <f>$M$6*'Eurostat Collected Portables'!M20</f>
        <v>6.7427004968005528</v>
      </c>
      <c r="N27" s="4">
        <f>$N$6*'Eurostat Collected Portables'!N20</f>
        <v>8.8196504103739972</v>
      </c>
      <c r="O27" s="4">
        <f>$O$6*'Eurostat Collected Portables'!O20</f>
        <v>11.631503057135458</v>
      </c>
      <c r="P27" s="4">
        <f>$P$6*'Eurostat Collected Portables'!P20</f>
        <v>9.7190682480576864</v>
      </c>
      <c r="Q27" s="4">
        <f>$Q$6*'Eurostat Collected Portables'!Q20</f>
        <v>11.710185902608947</v>
      </c>
      <c r="R27" s="4">
        <f>$R$6*'Eurostat Collected Portables'!R20</f>
        <v>14.085021245935618</v>
      </c>
      <c r="S27" s="4">
        <f>$S$6*'Eurostat Collected Portables'!S20</f>
        <v>17.560348788054032</v>
      </c>
      <c r="T27" s="4">
        <f>$T$6*'Eurostat Collected Portables'!T20</f>
        <v>10.534296752499371</v>
      </c>
      <c r="U27" s="4">
        <f>$U$6*'Eurostat Collected Portables'!U20</f>
        <v>8.6930879439736302</v>
      </c>
      <c r="V27" s="4">
        <f>$V$6*'Eurostat Collected Portables'!V20</f>
        <v>7.014808994197292</v>
      </c>
      <c r="W27" s="4">
        <f>$W$6*'Eurostat Collected Portables'!W20</f>
        <v>7.9122767811795303</v>
      </c>
      <c r="X27" s="67">
        <f>X$6*'Eurostat Collected Portables'!X20</f>
        <v>8.3094843224158286</v>
      </c>
      <c r="Y27" s="67">
        <f>Y$6*'Eurostat Collected Portables'!Y20</f>
        <v>8.8776569114502077</v>
      </c>
      <c r="Z27" s="67">
        <f>Z$6*'Eurostat Collected Portables'!Z20</f>
        <v>9.2343150319835825</v>
      </c>
      <c r="AA27" s="67">
        <f>AA$6*'Eurostat Collected Portables'!AA20</f>
        <v>9.6702593022960137</v>
      </c>
      <c r="AB27" s="67">
        <f>AB$6*'Eurostat Collected Portables'!AB20</f>
        <v>10.102889796381046</v>
      </c>
      <c r="AC27" s="67">
        <f>AC$6*'Eurostat Collected Portables'!AC20</f>
        <v>10.544099485612199</v>
      </c>
      <c r="AD27" s="67">
        <f>AD$6*'Eurostat Collected Portables'!AD20</f>
        <v>11.016183381420488</v>
      </c>
      <c r="AE27" s="67">
        <f>AE$6*'Eurostat Collected Portables'!AE20</f>
        <v>11.575498909264532</v>
      </c>
      <c r="AF27" s="67">
        <f>AF$6*'Eurostat Collected Portables'!AF20</f>
        <v>12.213886413735226</v>
      </c>
      <c r="AG27" s="67">
        <f>AG$6*'Eurostat Collected Portables'!AG20</f>
        <v>12.839690044101232</v>
      </c>
      <c r="AH27" s="67">
        <f>AH$6*'Eurostat Collected Portables'!AH20</f>
        <v>13.434218067384897</v>
      </c>
      <c r="AI27" s="67">
        <f>AI$6*'Eurostat Collected Portables'!AI20</f>
        <v>13.990773059392037</v>
      </c>
      <c r="AJ27" s="67">
        <f>AJ$6*'Eurostat Collected Portables'!AJ20</f>
        <v>14.575170773785223</v>
      </c>
      <c r="AK27" s="67">
        <f>AK$6*'Eurostat Collected Portables'!AK20</f>
        <v>15.18916703767206</v>
      </c>
      <c r="AL27" s="67">
        <f>AL$6*'Eurostat Collected Portables'!AL20</f>
        <v>15.834419904324992</v>
      </c>
      <c r="AM27" s="67">
        <f>AM$6*'Eurostat Collected Portables'!AM20</f>
        <v>16.512684495358823</v>
      </c>
      <c r="AN27" s="67">
        <f>AN$6*'Eurostat Collected Portables'!AN20</f>
        <v>17.225818743218927</v>
      </c>
      <c r="AO27" s="67">
        <f>AO$6*'Eurostat Collected Portables'!AO20</f>
        <v>17.972178484382535</v>
      </c>
      <c r="AP27" s="67">
        <f>AP$6*'Eurostat Collected Portables'!AP20</f>
        <v>18.727086149490479</v>
      </c>
      <c r="AQ27" s="67">
        <f>AQ$6*'Eurostat Collected Portables'!AQ20</f>
        <v>19.353008170593906</v>
      </c>
      <c r="AR27" s="67">
        <f>AR$6*'Eurostat Collected Portables'!AR20</f>
        <v>19.84162142828842</v>
      </c>
      <c r="AS27" s="67">
        <f>AS$6*'Eurostat Collected Portables'!AS20</f>
        <v>20.207876020531881</v>
      </c>
      <c r="AT27" s="67">
        <f>AT$6*'Eurostat Collected Portables'!AT20</f>
        <v>20.579795765769475</v>
      </c>
      <c r="AU27" s="67">
        <f>AU$6*'Eurostat Collected Portables'!AU20</f>
        <v>20.958150272422593</v>
      </c>
      <c r="AV27" s="67">
        <f>AV$6*'Eurostat Collected Portables'!AV20</f>
        <v>21.338537847111894</v>
      </c>
      <c r="AW27" s="67">
        <f>AW$6*'Eurostat Collected Portables'!AW20</f>
        <v>21.720866760087766</v>
      </c>
      <c r="AX27" s="67">
        <f>AX$6*'Eurostat Collected Portables'!AX20</f>
        <v>22.105041371734053</v>
      </c>
      <c r="AY27" s="67">
        <f>AY$6*'Eurostat Collected Portables'!AY20</f>
        <v>22.495512675625459</v>
      </c>
      <c r="AZ27" s="67">
        <f>AZ$6*'Eurostat Collected Portables'!AZ20</f>
        <v>22.892388499035764</v>
      </c>
    </row>
    <row r="28" spans="1:52" x14ac:dyDescent="0.35">
      <c r="A28" s="1" t="s">
        <v>18</v>
      </c>
      <c r="B28" s="23">
        <f t="shared" ref="B28:D28" si="25">C28/1.14</f>
        <v>1.5038383409933145</v>
      </c>
      <c r="C28" s="23">
        <f t="shared" si="25"/>
        <v>1.7143757087323783</v>
      </c>
      <c r="D28" s="23">
        <f t="shared" si="25"/>
        <v>1.9543883079549111</v>
      </c>
      <c r="E28" s="23">
        <f t="shared" si="1"/>
        <v>2.2280026710685985</v>
      </c>
      <c r="F28" s="23">
        <f t="shared" si="2"/>
        <v>2.3616828313327147</v>
      </c>
      <c r="G28" s="23">
        <f t="shared" si="3"/>
        <v>2.9284867108525661</v>
      </c>
      <c r="H28" s="23">
        <f t="shared" si="4"/>
        <v>3.338474850371925</v>
      </c>
      <c r="I28" s="23">
        <f t="shared" si="5"/>
        <v>2.6373951317938209</v>
      </c>
      <c r="J28" s="23">
        <f t="shared" si="6"/>
        <v>3.0593783528808318</v>
      </c>
      <c r="K28" s="23">
        <f t="shared" si="7"/>
        <v>2.6310653834775155</v>
      </c>
      <c r="L28" s="23">
        <f t="shared" si="8"/>
        <v>3.3151423831816698</v>
      </c>
      <c r="M28" s="4">
        <f>$M$6*'Eurostat Collected Portables'!M21</f>
        <v>4.2102308266407205</v>
      </c>
      <c r="N28" s="4">
        <f>$N$6*'Eurostat Collected Portables'!N21</f>
        <v>4.4621156226398089</v>
      </c>
      <c r="O28" s="4">
        <f>$O$6*'Eurostat Collected Portables'!O21</f>
        <v>4.9307458611769874</v>
      </c>
      <c r="P28" s="4">
        <f>$P$6*'Eurostat Collected Portables'!P21</f>
        <v>4.7419647500604034</v>
      </c>
      <c r="Q28" s="4">
        <f>$Q$6*'Eurostat Collected Portables'!Q21</f>
        <v>4.0170864261376966</v>
      </c>
      <c r="R28" s="4">
        <f>$R$6*'Eurostat Collected Portables'!R21</f>
        <v>4.281846458764428</v>
      </c>
      <c r="S28" s="4">
        <f>$S$6*'Eurostat Collected Portables'!S21</f>
        <v>5.5160749795328234</v>
      </c>
      <c r="T28" s="4">
        <f>$T$6*'Eurostat Collected Portables'!T21</f>
        <v>4.0628141745176629</v>
      </c>
      <c r="U28" s="4">
        <f>$U$6*'Eurostat Collected Portables'!U21</f>
        <v>3.8308523142934643</v>
      </c>
      <c r="V28" s="4">
        <f>$V$6*'Eurostat Collected Portables'!V21</f>
        <v>3.229982672469375</v>
      </c>
      <c r="W28" s="4">
        <f>$W$6*'Eurostat Collected Portables'!W21</f>
        <v>3.2967819921581376</v>
      </c>
      <c r="X28" s="67">
        <f>X$6*'Eurostat Collected Portables'!X21</f>
        <v>3.3759937155112079</v>
      </c>
      <c r="Y28" s="67">
        <f>Y$6*'Eurostat Collected Portables'!Y21</f>
        <v>3.5310252611673834</v>
      </c>
      <c r="Z28" s="67">
        <f>Z$6*'Eurostat Collected Portables'!Z21</f>
        <v>3.6407429975939949</v>
      </c>
      <c r="AA28" s="67">
        <f>AA$6*'Eurostat Collected Portables'!AA21</f>
        <v>3.7795455394944524</v>
      </c>
      <c r="AB28" s="67">
        <f>AB$6*'Eurostat Collected Portables'!AB21</f>
        <v>3.9146765863425124</v>
      </c>
      <c r="AC28" s="67">
        <f>AC$6*'Eurostat Collected Portables'!AC21</f>
        <v>4.0507990620481067</v>
      </c>
      <c r="AD28" s="67">
        <f>AD$6*'Eurostat Collected Portables'!AD21</f>
        <v>4.1963806297327562</v>
      </c>
      <c r="AE28" s="67">
        <f>AE$6*'Eurostat Collected Portables'!AE21</f>
        <v>4.3724715507564005</v>
      </c>
      <c r="AF28" s="67">
        <f>AF$6*'Eurostat Collected Portables'!AF21</f>
        <v>4.5752542787299193</v>
      </c>
      <c r="AG28" s="67">
        <f>AG$6*'Eurostat Collected Portables'!AG21</f>
        <v>4.7700178687181722</v>
      </c>
      <c r="AH28" s="67">
        <f>AH$6*'Eurostat Collected Portables'!AH21</f>
        <v>4.9500717730373918</v>
      </c>
      <c r="AI28" s="67">
        <f>AI$6*'Eurostat Collected Portables'!AI21</f>
        <v>5.1133261974560007</v>
      </c>
      <c r="AJ28" s="67">
        <f>AJ$6*'Eurostat Collected Portables'!AJ21</f>
        <v>5.2840473639649304</v>
      </c>
      <c r="AK28" s="67">
        <f>AK$6*'Eurostat Collected Portables'!AK21</f>
        <v>5.4626879374477184</v>
      </c>
      <c r="AL28" s="67">
        <f>AL$6*'Eurostat Collected Portables'!AL21</f>
        <v>5.6496513585901944</v>
      </c>
      <c r="AM28" s="67">
        <f>AM$6*'Eurostat Collected Portables'!AM21</f>
        <v>5.8453627502667223</v>
      </c>
      <c r="AN28" s="67">
        <f>AN$6*'Eurostat Collected Portables'!AN21</f>
        <v>6.0502700893503336</v>
      </c>
      <c r="AO28" s="67">
        <f>AO$6*'Eurostat Collected Portables'!AO21</f>
        <v>6.2635869560539508</v>
      </c>
      <c r="AP28" s="67">
        <f>AP$6*'Eurostat Collected Portables'!AP21</f>
        <v>6.476585191861564</v>
      </c>
      <c r="AQ28" s="67">
        <f>AQ$6*'Eurostat Collected Portables'!AQ21</f>
        <v>6.6420697240691506</v>
      </c>
      <c r="AR28" s="67">
        <f>AR$6*'Eurostat Collected Portables'!AR21</f>
        <v>6.7582832080799804</v>
      </c>
      <c r="AS28" s="67">
        <f>AS$6*'Eurostat Collected Portables'!AS21</f>
        <v>6.8313886873341367</v>
      </c>
      <c r="AT28" s="67">
        <f>AT$6*'Eurostat Collected Portables'!AT21</f>
        <v>6.9053061563031699</v>
      </c>
      <c r="AU28" s="67">
        <f>AU$6*'Eurostat Collected Portables'!AU21</f>
        <v>6.9802739315973259</v>
      </c>
      <c r="AV28" s="67">
        <f>AV$6*'Eurostat Collected Portables'!AV21</f>
        <v>7.054813631315076</v>
      </c>
      <c r="AW28" s="67">
        <f>AW$6*'Eurostat Collected Portables'!AW21</f>
        <v>7.1289045043448365</v>
      </c>
      <c r="AX28" s="67">
        <f>AX$6*'Eurostat Collected Portables'!AX21</f>
        <v>7.2025251258978704</v>
      </c>
      <c r="AY28" s="67">
        <f>AY$6*'Eurostat Collected Portables'!AY21</f>
        <v>7.277125487404442</v>
      </c>
      <c r="AZ28" s="67">
        <f>AZ$6*'Eurostat Collected Portables'!AZ21</f>
        <v>7.3527192683522236</v>
      </c>
    </row>
    <row r="29" spans="1:52" x14ac:dyDescent="0.35">
      <c r="A29" s="1" t="s">
        <v>19</v>
      </c>
      <c r="B29" s="23">
        <f t="shared" ref="B29:D29" si="26">C29/1.14</f>
        <v>0.20352699351789222</v>
      </c>
      <c r="C29" s="23">
        <f t="shared" si="26"/>
        <v>0.23202077261039711</v>
      </c>
      <c r="D29" s="23">
        <f t="shared" si="26"/>
        <v>0.26450368077585268</v>
      </c>
      <c r="E29" s="23">
        <f t="shared" si="1"/>
        <v>0.30153419608447202</v>
      </c>
      <c r="F29" s="23">
        <f t="shared" si="2"/>
        <v>0.31962624784954036</v>
      </c>
      <c r="G29" s="23">
        <f t="shared" si="3"/>
        <v>0.39633654733343004</v>
      </c>
      <c r="H29" s="23">
        <f t="shared" si="4"/>
        <v>0.4518236639601102</v>
      </c>
      <c r="I29" s="23">
        <f t="shared" si="5"/>
        <v>0.35694069452848709</v>
      </c>
      <c r="J29" s="23">
        <f t="shared" si="6"/>
        <v>0.41405120565304498</v>
      </c>
      <c r="K29" s="23">
        <f t="shared" si="7"/>
        <v>0.35608403686161866</v>
      </c>
      <c r="L29" s="23">
        <f t="shared" si="8"/>
        <v>0.44866588644563954</v>
      </c>
      <c r="M29" s="4">
        <f>$M$6*'Eurostat Collected Portables'!M22</f>
        <v>0.5698056757859622</v>
      </c>
      <c r="N29" s="4">
        <f>$N$6*'Eurostat Collected Portables'!N22</f>
        <v>0.69720556603747008</v>
      </c>
      <c r="O29" s="4">
        <f>$O$6*'Eurostat Collected Portables'!O22</f>
        <v>1.6435819537256624</v>
      </c>
      <c r="P29" s="4">
        <f>$P$6*'Eurostat Collected Portables'!P22</f>
        <v>0.82298561777907819</v>
      </c>
      <c r="Q29" s="4">
        <f>$Q$6*'Eurostat Collected Portables'!Q22</f>
        <v>1.3263964614605601</v>
      </c>
      <c r="R29" s="4">
        <f>$R$6*'Eurostat Collected Portables'!R22</f>
        <v>0.86388130308405131</v>
      </c>
      <c r="S29" s="4">
        <f>$S$6*'Eurostat Collected Portables'!S22</f>
        <v>1.1639424268738985</v>
      </c>
      <c r="T29" s="4">
        <f>$T$6*'Eurostat Collected Portables'!T22</f>
        <v>0.75452263241042317</v>
      </c>
      <c r="U29" s="4">
        <f>$U$6*'Eurostat Collected Portables'!U22</f>
        <v>0.73670236813335854</v>
      </c>
      <c r="V29" s="4">
        <f>$V$6*'Eurostat Collected Portables'!V22</f>
        <v>0.69355456157317863</v>
      </c>
      <c r="W29" s="4">
        <f>$W$6*'Eurostat Collected Portables'!W22</f>
        <v>0.69931739227596856</v>
      </c>
      <c r="X29" s="67">
        <f>X$6*'Eurostat Collected Portables'!X22</f>
        <v>0.7084187815292905</v>
      </c>
      <c r="Y29" s="67">
        <f>Y$6*'Eurostat Collected Portables'!Y22</f>
        <v>0.7944058942002874</v>
      </c>
      <c r="Z29" s="67">
        <f>Z$6*'Eurostat Collected Portables'!Z22</f>
        <v>0.86286692491615413</v>
      </c>
      <c r="AA29" s="67">
        <f>AA$6*'Eurostat Collected Portables'!AA22</f>
        <v>0.94120938782590591</v>
      </c>
      <c r="AB29" s="67">
        <f>AB$6*'Eurostat Collected Portables'!AB22</f>
        <v>1.021931369217965</v>
      </c>
      <c r="AC29" s="67">
        <f>AC$6*'Eurostat Collected Portables'!AC22</f>
        <v>1.106173759222882</v>
      </c>
      <c r="AD29" s="67">
        <f>AD$6*'Eurostat Collected Portables'!AD22</f>
        <v>1.1963864485162718</v>
      </c>
      <c r="AE29" s="67">
        <f>AE$6*'Eurostat Collected Portables'!AE22</f>
        <v>1.2991651826880239</v>
      </c>
      <c r="AF29" s="67">
        <f>AF$6*'Eurostat Collected Portables'!AF22</f>
        <v>1.4144303229560693</v>
      </c>
      <c r="AG29" s="67">
        <f>AG$6*'Eurostat Collected Portables'!AG22</f>
        <v>1.53199652261231</v>
      </c>
      <c r="AH29" s="67">
        <f>AH$6*'Eurostat Collected Portables'!AH22</f>
        <v>1.6493452462883333</v>
      </c>
      <c r="AI29" s="67">
        <f>AI$6*'Eurostat Collected Portables'!AI22</f>
        <v>1.7652244397226999</v>
      </c>
      <c r="AJ29" s="67">
        <f>AJ$6*'Eurostat Collected Portables'!AJ22</f>
        <v>1.8876970795414649</v>
      </c>
      <c r="AK29" s="67">
        <f>AK$6*'Eurostat Collected Portables'!AK22</f>
        <v>2.0171996645453905</v>
      </c>
      <c r="AL29" s="67">
        <f>AL$6*'Eurostat Collected Portables'!AL22</f>
        <v>2.1541716963541351</v>
      </c>
      <c r="AM29" s="67">
        <f>AM$6*'Eurostat Collected Portables'!AM22</f>
        <v>2.2990806086968889</v>
      </c>
      <c r="AN29" s="67">
        <f>AN$6*'Eurostat Collected Portables'!AN22</f>
        <v>2.4524235459454067</v>
      </c>
      <c r="AO29" s="67">
        <f>AO$6*'Eurostat Collected Portables'!AO22</f>
        <v>2.6142040042847583</v>
      </c>
      <c r="AP29" s="67">
        <f>AP$6*'Eurostat Collected Portables'!AP22</f>
        <v>2.7809775566872239</v>
      </c>
      <c r="AQ29" s="67">
        <f>AQ$6*'Eurostat Collected Portables'!AQ22</f>
        <v>2.9319001606124648</v>
      </c>
      <c r="AR29" s="67">
        <f>AR$6*'Eurostat Collected Portables'!AR22</f>
        <v>3.0644610329650512</v>
      </c>
      <c r="AS29" s="67">
        <f>AS$6*'Eurostat Collected Portables'!AS22</f>
        <v>3.1797515075726723</v>
      </c>
      <c r="AT29" s="67">
        <f>AT$6*'Eurostat Collected Portables'!AT22</f>
        <v>3.2971877594494923</v>
      </c>
      <c r="AU29" s="67">
        <f>AU$6*'Eurostat Collected Portables'!AU22</f>
        <v>3.4169157374968413</v>
      </c>
      <c r="AV29" s="67">
        <f>AV$6*'Eurostat Collected Portables'!AV22</f>
        <v>3.5382318694469754</v>
      </c>
      <c r="AW29" s="67">
        <f>AW$6*'Eurostat Collected Portables'!AW22</f>
        <v>3.6611100566452524</v>
      </c>
      <c r="AX29" s="67">
        <f>AX$6*'Eurostat Collected Portables'!AX22</f>
        <v>3.7855228483054915</v>
      </c>
      <c r="AY29" s="67">
        <f>AY$6*'Eurostat Collected Portables'!AY22</f>
        <v>3.9122328066799108</v>
      </c>
      <c r="AZ29" s="67">
        <f>AZ$6*'Eurostat Collected Portables'!AZ22</f>
        <v>4.041282792079512</v>
      </c>
    </row>
    <row r="30" spans="1:52" x14ac:dyDescent="0.35">
      <c r="A30" s="1" t="s">
        <v>20</v>
      </c>
      <c r="B30" s="23">
        <f t="shared" ref="B30:D30" si="27">C30/1.14</f>
        <v>37.550730304051115</v>
      </c>
      <c r="C30" s="23">
        <f t="shared" si="27"/>
        <v>42.807832546618265</v>
      </c>
      <c r="D30" s="23">
        <f t="shared" si="27"/>
        <v>48.800929103144817</v>
      </c>
      <c r="E30" s="23">
        <f t="shared" si="1"/>
        <v>55.633059177585089</v>
      </c>
      <c r="F30" s="23">
        <f t="shared" si="2"/>
        <v>58.971042728240199</v>
      </c>
      <c r="G30" s="23">
        <f t="shared" si="3"/>
        <v>73.124092983017846</v>
      </c>
      <c r="H30" s="23">
        <f t="shared" si="4"/>
        <v>83.361466000640334</v>
      </c>
      <c r="I30" s="23">
        <f t="shared" si="5"/>
        <v>65.855558140505863</v>
      </c>
      <c r="J30" s="23">
        <f t="shared" si="6"/>
        <v>76.392447442986793</v>
      </c>
      <c r="K30" s="23">
        <f t="shared" si="7"/>
        <v>65.697504800968645</v>
      </c>
      <c r="L30" s="23">
        <f t="shared" si="8"/>
        <v>82.778856049220494</v>
      </c>
      <c r="M30" s="4">
        <f>$M$6*'Eurostat Collected Portables'!M23</f>
        <v>105.12914718251002</v>
      </c>
      <c r="N30" s="4">
        <f>$N$6*'Eurostat Collected Portables'!N23</f>
        <v>114.96919783957883</v>
      </c>
      <c r="O30" s="4">
        <f>$O$6*'Eurostat Collected Portables'!O23</f>
        <v>133.04585199774144</v>
      </c>
      <c r="P30" s="4">
        <f>$P$6*'Eurostat Collected Portables'!P23</f>
        <v>127.79790950369402</v>
      </c>
      <c r="Q30" s="4">
        <f>$Q$6*'Eurostat Collected Portables'!Q23</f>
        <v>129.98685322313491</v>
      </c>
      <c r="R30" s="4">
        <f>$R$6*'Eurostat Collected Portables'!R23</f>
        <v>148.13686345058687</v>
      </c>
      <c r="S30" s="4">
        <f>$S$6*'Eurostat Collected Portables'!S23</f>
        <v>202.42476989111276</v>
      </c>
      <c r="T30" s="4">
        <f>$T$6*'Eurostat Collected Portables'!T23</f>
        <v>125.04761627140437</v>
      </c>
      <c r="U30" s="4">
        <f>$U$6*'Eurostat Collected Portables'!U23</f>
        <v>112.83824605242607</v>
      </c>
      <c r="V30" s="4">
        <f>$V$6*'Eurostat Collected Portables'!V23</f>
        <v>92.797600338491307</v>
      </c>
      <c r="W30" s="4">
        <f>$W$6*'Eurostat Collected Portables'!W23</f>
        <v>90.871300002031575</v>
      </c>
      <c r="X30" s="67">
        <f>X$6*'Eurostat Collected Portables'!X23</f>
        <v>98.238658296203937</v>
      </c>
      <c r="Y30" s="67">
        <f>Y$6*'Eurostat Collected Portables'!Y23</f>
        <v>104.04478928887278</v>
      </c>
      <c r="Z30" s="67">
        <f>Z$6*'Eurostat Collected Portables'!Z23</f>
        <v>108.66911557994044</v>
      </c>
      <c r="AA30" s="67">
        <f>AA$6*'Eurostat Collected Portables'!AA23</f>
        <v>114.25654478546728</v>
      </c>
      <c r="AB30" s="67">
        <f>AB$6*'Eurostat Collected Portables'!AB23</f>
        <v>119.83767402896757</v>
      </c>
      <c r="AC30" s="67">
        <f>AC$6*'Eurostat Collected Portables'!AC23</f>
        <v>125.55281923713046</v>
      </c>
      <c r="AD30" s="67">
        <f>AD$6*'Eurostat Collected Portables'!AD23</f>
        <v>131.66880489094351</v>
      </c>
      <c r="AE30" s="67">
        <f>AE$6*'Eurostat Collected Portables'!AE23</f>
        <v>138.86500977453881</v>
      </c>
      <c r="AF30" s="67">
        <f>AF$6*'Eurostat Collected Portables'!AF23</f>
        <v>147.05371335098985</v>
      </c>
      <c r="AG30" s="67">
        <f>AG$6*'Eurostat Collected Portables'!AG23</f>
        <v>155.13660471293264</v>
      </c>
      <c r="AH30" s="67">
        <f>AH$6*'Eurostat Collected Portables'!AH23</f>
        <v>162.88433427579196</v>
      </c>
      <c r="AI30" s="67">
        <f>AI$6*'Eurostat Collected Portables'!AI23</f>
        <v>170.21047279636335</v>
      </c>
      <c r="AJ30" s="67">
        <f>AJ$6*'Eurostat Collected Portables'!AJ23</f>
        <v>177.91279807046135</v>
      </c>
      <c r="AK30" s="67">
        <f>AK$6*'Eurostat Collected Portables'!AK23</f>
        <v>186.01528500462285</v>
      </c>
      <c r="AL30" s="67">
        <f>AL$6*'Eurostat Collected Portables'!AL23</f>
        <v>194.54090549860723</v>
      </c>
      <c r="AM30" s="67">
        <f>AM$6*'Eurostat Collected Portables'!AM23</f>
        <v>203.51400308367479</v>
      </c>
      <c r="AN30" s="67">
        <f>AN$6*'Eurostat Collected Portables'!AN23</f>
        <v>212.96037560033761</v>
      </c>
      <c r="AO30" s="67">
        <f>AO$6*'Eurostat Collected Portables'!AO23</f>
        <v>222.86258505565351</v>
      </c>
      <c r="AP30" s="67">
        <f>AP$6*'Eurostat Collected Portables'!AP23</f>
        <v>232.91638379805241</v>
      </c>
      <c r="AQ30" s="67">
        <f>AQ$6*'Eurostat Collected Portables'!AQ23</f>
        <v>241.40610104654684</v>
      </c>
      <c r="AR30" s="67">
        <f>AR$6*'Eurostat Collected Portables'!AR23</f>
        <v>248.21271902833794</v>
      </c>
      <c r="AS30" s="67">
        <f>AS$6*'Eurostat Collected Portables'!AS23</f>
        <v>253.50845404930712</v>
      </c>
      <c r="AT30" s="67">
        <f>AT$6*'Eurostat Collected Portables'!AT23</f>
        <v>258.89050978032981</v>
      </c>
      <c r="AU30" s="67">
        <f>AU$6*'Eurostat Collected Portables'!AU23</f>
        <v>264.36884311779875</v>
      </c>
      <c r="AV30" s="67">
        <f>AV$6*'Eurostat Collected Portables'!AV23</f>
        <v>269.88810145967614</v>
      </c>
      <c r="AW30" s="67">
        <f>AW$6*'Eurostat Collected Portables'!AW23</f>
        <v>275.4469922258283</v>
      </c>
      <c r="AX30" s="67">
        <f>AX$6*'Eurostat Collected Portables'!AX23</f>
        <v>281.04416482697667</v>
      </c>
      <c r="AY30" s="67">
        <f>AY$6*'Eurostat Collected Portables'!AY23</f>
        <v>286.73621325311211</v>
      </c>
      <c r="AZ30" s="67">
        <f>AZ$6*'Eurostat Collected Portables'!AZ23</f>
        <v>292.52480502912118</v>
      </c>
    </row>
    <row r="31" spans="1:52" x14ac:dyDescent="0.35">
      <c r="A31" s="1" t="s">
        <v>21</v>
      </c>
      <c r="B31" s="23">
        <f t="shared" ref="B31:D31" si="28">C31/1.14</f>
        <v>5.1334030587290602</v>
      </c>
      <c r="C31" s="23">
        <f t="shared" si="28"/>
        <v>5.8520794869511281</v>
      </c>
      <c r="D31" s="23">
        <f t="shared" si="28"/>
        <v>6.6713706151242853</v>
      </c>
      <c r="E31" s="23">
        <f t="shared" si="1"/>
        <v>7.6053625012416841</v>
      </c>
      <c r="F31" s="23">
        <f t="shared" si="2"/>
        <v>8.0616842513161853</v>
      </c>
      <c r="G31" s="23">
        <f t="shared" si="3"/>
        <v>9.9964884716320697</v>
      </c>
      <c r="H31" s="23">
        <f t="shared" si="4"/>
        <v>11.395996857660558</v>
      </c>
      <c r="I31" s="23">
        <f t="shared" si="5"/>
        <v>9.0028375175518409</v>
      </c>
      <c r="J31" s="23">
        <f t="shared" si="6"/>
        <v>10.443291520360136</v>
      </c>
      <c r="K31" s="23">
        <f t="shared" si="7"/>
        <v>8.9812307075097166</v>
      </c>
      <c r="L31" s="23">
        <f t="shared" si="8"/>
        <v>11.316350691462242</v>
      </c>
      <c r="M31" s="4">
        <f>$M$6*'Eurostat Collected Portables'!M24</f>
        <v>14.371765378157047</v>
      </c>
      <c r="N31" s="4">
        <f>$N$6*'Eurostat Collected Portables'!N24</f>
        <v>23.147224792444007</v>
      </c>
      <c r="O31" s="4">
        <f>$O$6*'Eurostat Collected Portables'!O24</f>
        <v>34.346648520164486</v>
      </c>
      <c r="P31" s="4">
        <f>$P$6*'Eurostat Collected Portables'!P24</f>
        <v>34.447826572752845</v>
      </c>
      <c r="Q31" s="4">
        <f>$Q$6*'Eurostat Collected Portables'!Q24</f>
        <v>24.633077141410403</v>
      </c>
      <c r="R31" s="4">
        <f>$R$6*'Eurostat Collected Portables'!R24</f>
        <v>66.744220677406915</v>
      </c>
      <c r="S31" s="4">
        <f>$S$6*'Eurostat Collected Portables'!S24</f>
        <v>53.591957828672108</v>
      </c>
      <c r="T31" s="4">
        <f>$T$6*'Eurostat Collected Portables'!T24</f>
        <v>33.953518458469041</v>
      </c>
      <c r="U31" s="4">
        <f>$U$6*'Eurostat Collected Portables'!U24</f>
        <v>47.664643218228292</v>
      </c>
      <c r="V31" s="4">
        <f>$V$6*'Eurostat Collected Portables'!V24</f>
        <v>45.992575354609933</v>
      </c>
      <c r="W31" s="4">
        <f>$W$6*'Eurostat Collected Portables'!W24</f>
        <v>46.414694350202147</v>
      </c>
      <c r="X31" s="67">
        <f>X$6*'Eurostat Collected Portables'!X24</f>
        <v>41.752396267209456</v>
      </c>
      <c r="Y31" s="67">
        <f>Y$6*'Eurostat Collected Portables'!Y24</f>
        <v>42.475839999280048</v>
      </c>
      <c r="Z31" s="67">
        <f>Z$6*'Eurostat Collected Portables'!Z24</f>
        <v>43.795669984296694</v>
      </c>
      <c r="AA31" s="67">
        <f>AA$6*'Eurostat Collected Portables'!AA24</f>
        <v>45.465370460839885</v>
      </c>
      <c r="AB31" s="67">
        <f>AB$6*'Eurostat Collected Portables'!AB24</f>
        <v>47.090905341028133</v>
      </c>
      <c r="AC31" s="67">
        <f>AC$6*'Eurostat Collected Portables'!AC24</f>
        <v>48.72836643822378</v>
      </c>
      <c r="AD31" s="67">
        <f>AD$6*'Eurostat Collected Portables'!AD24</f>
        <v>50.479613999045021</v>
      </c>
      <c r="AE31" s="67">
        <f>AE$6*'Eurostat Collected Portables'!AE24</f>
        <v>52.597868396424602</v>
      </c>
      <c r="AF31" s="67">
        <f>AF$6*'Eurostat Collected Portables'!AF24</f>
        <v>55.03720713544373</v>
      </c>
      <c r="AG31" s="67">
        <f>AG$6*'Eurostat Collected Portables'!AG24</f>
        <v>57.380081081151893</v>
      </c>
      <c r="AH31" s="67">
        <f>AH$6*'Eurostat Collected Portables'!AH24</f>
        <v>59.546007480834561</v>
      </c>
      <c r="AI31" s="67">
        <f>AI$6*'Eurostat Collected Portables'!AI24</f>
        <v>61.509847526681973</v>
      </c>
      <c r="AJ31" s="67">
        <f>AJ$6*'Eurostat Collected Portables'!AJ24</f>
        <v>63.563507417726321</v>
      </c>
      <c r="AK31" s="67">
        <f>AK$6*'Eurostat Collected Portables'!AK24</f>
        <v>65.712432405627936</v>
      </c>
      <c r="AL31" s="67">
        <f>AL$6*'Eurostat Collected Portables'!AL24</f>
        <v>67.961475608320967</v>
      </c>
      <c r="AM31" s="67">
        <f>AM$6*'Eurostat Collected Portables'!AM24</f>
        <v>70.315750965767805</v>
      </c>
      <c r="AN31" s="67">
        <f>AN$6*'Eurostat Collected Portables'!AN24</f>
        <v>72.780647336040815</v>
      </c>
      <c r="AO31" s="67">
        <f>AO$6*'Eurostat Collected Portables'!AO24</f>
        <v>75.346704622262237</v>
      </c>
      <c r="AP31" s="67">
        <f>AP$6*'Eurostat Collected Portables'!AP24</f>
        <v>77.908928994823654</v>
      </c>
      <c r="AQ31" s="67">
        <f>AQ$6*'Eurostat Collected Portables'!AQ24</f>
        <v>79.899595725449473</v>
      </c>
      <c r="AR31" s="67">
        <f>AR$6*'Eurostat Collected Portables'!AR24</f>
        <v>81.297565150049635</v>
      </c>
      <c r="AS31" s="67">
        <f>AS$6*'Eurostat Collected Portables'!AS24</f>
        <v>82.176974502913808</v>
      </c>
      <c r="AT31" s="67">
        <f>AT$6*'Eurostat Collected Portables'!AT24</f>
        <v>83.066151541551676</v>
      </c>
      <c r="AU31" s="67">
        <f>AU$6*'Eurostat Collected Portables'!AU24</f>
        <v>83.967963053215527</v>
      </c>
      <c r="AV31" s="67">
        <f>AV$6*'Eurostat Collected Portables'!AV24</f>
        <v>84.864625105913163</v>
      </c>
      <c r="AW31" s="67">
        <f>AW$6*'Eurostat Collected Portables'!AW24</f>
        <v>85.755888077840638</v>
      </c>
      <c r="AX31" s="67">
        <f>AX$6*'Eurostat Collected Portables'!AX24</f>
        <v>86.641494243314625</v>
      </c>
      <c r="AY31" s="67">
        <f>AY$6*'Eurostat Collected Portables'!AY24</f>
        <v>87.538886016205552</v>
      </c>
      <c r="AZ31" s="67">
        <f>AZ$6*'Eurostat Collected Portables'!AZ24</f>
        <v>88.448227951475943</v>
      </c>
    </row>
    <row r="32" spans="1:52" x14ac:dyDescent="0.35">
      <c r="A32" s="1" t="s">
        <v>22</v>
      </c>
      <c r="B32" s="23">
        <f t="shared" ref="B32:D32" si="29">C32/1.14</f>
        <v>25.214733085827767</v>
      </c>
      <c r="C32" s="23">
        <f t="shared" si="29"/>
        <v>28.744795717843651</v>
      </c>
      <c r="D32" s="23">
        <f t="shared" si="29"/>
        <v>32.769067118341759</v>
      </c>
      <c r="E32" s="23">
        <f t="shared" si="1"/>
        <v>37.356736514909599</v>
      </c>
      <c r="F32" s="23">
        <f t="shared" si="2"/>
        <v>39.598140705804177</v>
      </c>
      <c r="G32" s="23">
        <f t="shared" si="3"/>
        <v>49.101694475197178</v>
      </c>
      <c r="H32" s="23">
        <f t="shared" si="4"/>
        <v>55.975931701724775</v>
      </c>
      <c r="I32" s="23">
        <f t="shared" si="5"/>
        <v>44.220986044362576</v>
      </c>
      <c r="J32" s="23">
        <f t="shared" si="6"/>
        <v>51.296343811460581</v>
      </c>
      <c r="K32" s="23">
        <f t="shared" si="7"/>
        <v>44.114855677856099</v>
      </c>
      <c r="L32" s="23">
        <f t="shared" si="8"/>
        <v>55.584718154098681</v>
      </c>
      <c r="M32" s="4">
        <f>$M$6*'Eurostat Collected Portables'!M25</f>
        <v>70.592592055705325</v>
      </c>
      <c r="N32" s="4">
        <f>$N$6*'Eurostat Collected Portables'!N25</f>
        <v>102.245196259395</v>
      </c>
      <c r="O32" s="4">
        <f>$O$6*'Eurostat Collected Portables'!O25</f>
        <v>133.59371264898334</v>
      </c>
      <c r="P32" s="4">
        <f>$P$6*'Eurostat Collected Portables'!P25</f>
        <v>145.39412580763715</v>
      </c>
      <c r="Q32" s="4">
        <f>$Q$6*'Eurostat Collected Portables'!Q25</f>
        <v>245.34544832844762</v>
      </c>
      <c r="R32" s="4">
        <f>$R$6*'Eurostat Collected Portables'!R25</f>
        <v>361.13994474578925</v>
      </c>
      <c r="S32" s="4">
        <f>$S$6*'Eurostat Collected Portables'!S25</f>
        <v>420.58806564125956</v>
      </c>
      <c r="T32" s="4">
        <f>$T$6*'Eurostat Collected Portables'!T25</f>
        <v>310.68920394561502</v>
      </c>
      <c r="U32" s="4">
        <f>$U$6*'Eurostat Collected Portables'!U25</f>
        <v>274.4953023664894</v>
      </c>
      <c r="V32" s="4">
        <f>$V$6*'Eurostat Collected Portables'!V25</f>
        <v>217.45907882011608</v>
      </c>
      <c r="W32" s="4">
        <f>$W$6*'Eurostat Collected Portables'!W25</f>
        <v>181.46287304715275</v>
      </c>
      <c r="X32" s="67">
        <f>X$6*'Eurostat Collected Portables'!X25</f>
        <v>182.42176662746462</v>
      </c>
      <c r="Y32" s="67">
        <f>Y$6*'Eurostat Collected Portables'!Y25</f>
        <v>191.41259236420538</v>
      </c>
      <c r="Z32" s="67">
        <f>Z$6*'Eurostat Collected Portables'!Z25</f>
        <v>199.47117155794015</v>
      </c>
      <c r="AA32" s="67">
        <f>AA$6*'Eurostat Collected Portables'!AA25</f>
        <v>209.26735901990722</v>
      </c>
      <c r="AB32" s="67">
        <f>AB$6*'Eurostat Collected Portables'!AB25</f>
        <v>219.01908923610432</v>
      </c>
      <c r="AC32" s="67">
        <f>AC$6*'Eurostat Collected Portables'!AC25</f>
        <v>228.98356172836543</v>
      </c>
      <c r="AD32" s="67">
        <f>AD$6*'Eurostat Collected Portables'!AD25</f>
        <v>239.64607061901387</v>
      </c>
      <c r="AE32" s="67">
        <f>AE$6*'Eurostat Collected Portables'!AE25</f>
        <v>252.23740828539053</v>
      </c>
      <c r="AF32" s="67">
        <f>AF$6*'Eurostat Collected Portables'!AF25</f>
        <v>266.58820444603163</v>
      </c>
      <c r="AG32" s="67">
        <f>AG$6*'Eurostat Collected Portables'!AG25</f>
        <v>280.70224479720417</v>
      </c>
      <c r="AH32" s="67">
        <f>AH$6*'Eurostat Collected Portables'!AH25</f>
        <v>294.16798151005753</v>
      </c>
      <c r="AI32" s="67">
        <f>AI$6*'Eurostat Collected Portables'!AI25</f>
        <v>306.83442652369109</v>
      </c>
      <c r="AJ32" s="67">
        <f>AJ$6*'Eurostat Collected Portables'!AJ25</f>
        <v>320.14256702713067</v>
      </c>
      <c r="AK32" s="67">
        <f>AK$6*'Eurostat Collected Portables'!AK25</f>
        <v>334.13307863153165</v>
      </c>
      <c r="AL32" s="67">
        <f>AL$6*'Eurostat Collected Portables'!AL25</f>
        <v>348.8446473655622</v>
      </c>
      <c r="AM32" s="67">
        <f>AM$6*'Eurostat Collected Portables'!AM25</f>
        <v>364.3182462871618</v>
      </c>
      <c r="AN32" s="67">
        <f>AN$6*'Eurostat Collected Portables'!AN25</f>
        <v>380.59727205422899</v>
      </c>
      <c r="AO32" s="67">
        <f>AO$6*'Eurostat Collected Portables'!AO25</f>
        <v>397.64779382257848</v>
      </c>
      <c r="AP32" s="67">
        <f>AP$6*'Eurostat Collected Portables'!AP25</f>
        <v>414.92526590491315</v>
      </c>
      <c r="AQ32" s="67">
        <f>AQ$6*'Eurostat Collected Portables'!AQ25</f>
        <v>429.37819722861406</v>
      </c>
      <c r="AR32" s="67">
        <f>AR$6*'Eurostat Collected Portables'!AR25</f>
        <v>440.80931914370399</v>
      </c>
      <c r="AS32" s="67">
        <f>AS$6*'Eurostat Collected Portables'!AS25</f>
        <v>449.53848726797349</v>
      </c>
      <c r="AT32" s="67">
        <f>AT$6*'Eurostat Collected Portables'!AT25</f>
        <v>458.40633260566585</v>
      </c>
      <c r="AU32" s="67">
        <f>AU$6*'Eurostat Collected Portables'!AU25</f>
        <v>467.43022628060066</v>
      </c>
      <c r="AV32" s="67">
        <f>AV$6*'Eurostat Collected Portables'!AV25</f>
        <v>476.51213899938148</v>
      </c>
      <c r="AW32" s="67">
        <f>AW$6*'Eurostat Collected Portables'!AW25</f>
        <v>485.64991251347351</v>
      </c>
      <c r="AX32" s="67">
        <f>AX$6*'Eurostat Collected Portables'!AX25</f>
        <v>494.84129416388862</v>
      </c>
      <c r="AY32" s="67">
        <f>AY$6*'Eurostat Collected Portables'!AY25</f>
        <v>504.18592671186019</v>
      </c>
      <c r="AZ32" s="67">
        <f>AZ$6*'Eurostat Collected Portables'!AZ25</f>
        <v>513.68647002249691</v>
      </c>
    </row>
    <row r="33" spans="1:52" x14ac:dyDescent="0.35">
      <c r="A33" s="1" t="s">
        <v>23</v>
      </c>
      <c r="B33" s="23">
        <f t="shared" ref="B33:D33" si="30">C33/1.14</f>
        <v>4.6471996853252069</v>
      </c>
      <c r="C33" s="23">
        <f t="shared" si="30"/>
        <v>5.2978076412707349</v>
      </c>
      <c r="D33" s="23">
        <f t="shared" si="30"/>
        <v>6.0395007110486372</v>
      </c>
      <c r="E33" s="23">
        <f t="shared" si="1"/>
        <v>6.8850308105954454</v>
      </c>
      <c r="F33" s="23">
        <f t="shared" si="2"/>
        <v>7.2981326592311726</v>
      </c>
      <c r="G33" s="23">
        <f t="shared" si="3"/>
        <v>9.0496844974466537</v>
      </c>
      <c r="H33" s="23">
        <f t="shared" si="4"/>
        <v>10.316640327089184</v>
      </c>
      <c r="I33" s="23">
        <f t="shared" si="5"/>
        <v>8.1501458584004549</v>
      </c>
      <c r="J33" s="23">
        <f t="shared" si="6"/>
        <v>9.4541691957445266</v>
      </c>
      <c r="K33" s="23">
        <f t="shared" si="7"/>
        <v>8.1305855083402925</v>
      </c>
      <c r="L33" s="23">
        <f t="shared" si="8"/>
        <v>10.244537740508768</v>
      </c>
      <c r="M33" s="4">
        <f>$M$6*'Eurostat Collected Portables'!M26</f>
        <v>13.010562930446136</v>
      </c>
      <c r="N33" s="4">
        <f>$N$6*'Eurostat Collected Portables'!N26</f>
        <v>15.617404679239332</v>
      </c>
      <c r="O33" s="4">
        <f>$O$6*'Eurostat Collected Portables'!O26</f>
        <v>20.481559731042871</v>
      </c>
      <c r="P33" s="4">
        <f>$P$6*'Eurostat Collected Portables'!P26</f>
        <v>19.163807956855678</v>
      </c>
      <c r="Q33" s="4">
        <f>$Q$6*'Eurostat Collected Portables'!Q26</f>
        <v>19.971741005420434</v>
      </c>
      <c r="R33" s="4">
        <f>$R$6*'Eurostat Collected Portables'!R26</f>
        <v>26.705200282293934</v>
      </c>
      <c r="S33" s="4">
        <f>$S$6*'Eurostat Collected Portables'!S26</f>
        <v>37.043732890073635</v>
      </c>
      <c r="T33" s="4">
        <f>$T$6*'Eurostat Collected Portables'!T26</f>
        <v>19.414447733945121</v>
      </c>
      <c r="U33" s="4">
        <f>$U$6*'Eurostat Collected Portables'!U26</f>
        <v>18.491229440147297</v>
      </c>
      <c r="V33" s="4">
        <f>$V$6*'Eurostat Collected Portables'!V26</f>
        <v>7.6885477111540945</v>
      </c>
      <c r="W33" s="4">
        <f>$W$6*'Eurostat Collected Portables'!W26</f>
        <v>8.5316721857668174</v>
      </c>
      <c r="X33" s="67">
        <f>X$6*'Eurostat Collected Portables'!X26</f>
        <v>9.3834047139892665</v>
      </c>
      <c r="Y33" s="67">
        <f>Y$6*'Eurostat Collected Portables'!Y26</f>
        <v>10.900979569911549</v>
      </c>
      <c r="Z33" s="67">
        <f>Z$6*'Eurostat Collected Portables'!Z26</f>
        <v>12.120401750877729</v>
      </c>
      <c r="AA33" s="67">
        <f>AA$6*'Eurostat Collected Portables'!AA26</f>
        <v>13.496767649951238</v>
      </c>
      <c r="AB33" s="67">
        <f>AB$6*'Eurostat Collected Portables'!AB26</f>
        <v>14.926287609320331</v>
      </c>
      <c r="AC33" s="67">
        <f>AC$6*'Eurostat Collected Portables'!AC26</f>
        <v>16.425204459146208</v>
      </c>
      <c r="AD33" s="67">
        <f>AD$6*'Eurostat Collected Portables'!AD26</f>
        <v>18.030620757092091</v>
      </c>
      <c r="AE33" s="67">
        <f>AE$6*'Eurostat Collected Portables'!AE26</f>
        <v>19.844939923621411</v>
      </c>
      <c r="AF33" s="67">
        <f>AF$6*'Eurostat Collected Portables'!AF26</f>
        <v>21.872052922780952</v>
      </c>
      <c r="AG33" s="67">
        <f>AG$6*'Eurostat Collected Portables'!AG26</f>
        <v>23.956997444454601</v>
      </c>
      <c r="AH33" s="67">
        <f>AH$6*'Eurostat Collected Portables'!AH26</f>
        <v>26.058732816433366</v>
      </c>
      <c r="AI33" s="67">
        <f>AI$6*'Eurostat Collected Portables'!AI26</f>
        <v>28.15507729033197</v>
      </c>
      <c r="AJ33" s="67">
        <f>AJ$6*'Eurostat Collected Portables'!AJ26</f>
        <v>30.373324494250213</v>
      </c>
      <c r="AK33" s="67">
        <f>AK$6*'Eurostat Collected Portables'!AK26</f>
        <v>32.721604550503571</v>
      </c>
      <c r="AL33" s="67">
        <f>AL$6*'Eurostat Collected Portables'!AL26</f>
        <v>35.208178821592277</v>
      </c>
      <c r="AM33" s="67">
        <f>AM$6*'Eurostat Collected Portables'!AM26</f>
        <v>37.841839408475664</v>
      </c>
      <c r="AN33" s="67">
        <f>AN$6*'Eurostat Collected Portables'!AN26</f>
        <v>40.631943244908321</v>
      </c>
      <c r="AO33" s="67">
        <f>AO$6*'Eurostat Collected Portables'!AO26</f>
        <v>43.5796922603067</v>
      </c>
      <c r="AP33" s="67">
        <f>AP$6*'Eurostat Collected Portables'!AP26</f>
        <v>46.628350675912088</v>
      </c>
      <c r="AQ33" s="67">
        <f>AQ$6*'Eurostat Collected Portables'!AQ26</f>
        <v>49.426488489668778</v>
      </c>
      <c r="AR33" s="67">
        <f>AR$6*'Eurostat Collected Portables'!AR26</f>
        <v>51.926122516632653</v>
      </c>
      <c r="AS33" s="67">
        <f>AS$6*'Eurostat Collected Portables'!AS26</f>
        <v>54.140340066361176</v>
      </c>
      <c r="AT33" s="67">
        <f>AT$6*'Eurostat Collected Portables'!AT26</f>
        <v>56.396557912543976</v>
      </c>
      <c r="AU33" s="67">
        <f>AU$6*'Eurostat Collected Portables'!AU26</f>
        <v>58.697369332836516</v>
      </c>
      <c r="AV33" s="67">
        <f>AV$6*'Eurostat Collected Portables'!AV26</f>
        <v>61.03074715119142</v>
      </c>
      <c r="AW33" s="67">
        <f>AW$6*'Eurostat Collected Portables'!AW26</f>
        <v>63.396196174796998</v>
      </c>
      <c r="AX33" s="67">
        <f>AX$6*'Eurostat Collected Portables'!AX26</f>
        <v>65.793194978065713</v>
      </c>
      <c r="AY33" s="67">
        <f>AY$6*'Eurostat Collected Portables'!AY26</f>
        <v>68.234998347331953</v>
      </c>
      <c r="AZ33" s="67">
        <f>AZ$6*'Eurostat Collected Portables'!AZ26</f>
        <v>70.722448861391399</v>
      </c>
    </row>
    <row r="34" spans="1:52" x14ac:dyDescent="0.35">
      <c r="A34" s="1" t="s">
        <v>24</v>
      </c>
      <c r="B34" s="23">
        <f t="shared" ref="B34:D34" si="31">C34/1.14</f>
        <v>1.7978217760747146</v>
      </c>
      <c r="C34" s="23">
        <f t="shared" si="31"/>
        <v>2.0495168247251745</v>
      </c>
      <c r="D34" s="23">
        <f t="shared" si="31"/>
        <v>2.3364491801866989</v>
      </c>
      <c r="E34" s="23">
        <f t="shared" si="1"/>
        <v>2.6635520654128366</v>
      </c>
      <c r="F34" s="23">
        <f t="shared" si="2"/>
        <v>2.8233651893376068</v>
      </c>
      <c r="G34" s="23">
        <f t="shared" si="3"/>
        <v>3.5009728347786324</v>
      </c>
      <c r="H34" s="23">
        <f t="shared" si="4"/>
        <v>3.9911090316476407</v>
      </c>
      <c r="I34" s="23">
        <f t="shared" si="5"/>
        <v>3.1529761350016363</v>
      </c>
      <c r="J34" s="23">
        <f t="shared" si="6"/>
        <v>3.6574523166018977</v>
      </c>
      <c r="K34" s="23">
        <f t="shared" si="7"/>
        <v>3.1454089922776318</v>
      </c>
      <c r="L34" s="23">
        <f t="shared" si="8"/>
        <v>3.9632153302698159</v>
      </c>
      <c r="M34" s="4">
        <f>$M$6*'Eurostat Collected Portables'!M27</f>
        <v>5.033283469442666</v>
      </c>
      <c r="N34" s="4">
        <f>$N$6*'Eurostat Collected Portables'!N27</f>
        <v>10.876406830184534</v>
      </c>
      <c r="O34" s="4">
        <f>$O$6*'Eurostat Collected Portables'!O27</f>
        <v>19.680840317689341</v>
      </c>
      <c r="P34" s="4">
        <f>$P$6*'Eurostat Collected Portables'!P27</f>
        <v>30.528847440471523</v>
      </c>
      <c r="Q34" s="4">
        <f>$Q$6*'Eurostat Collected Portables'!Q27</f>
        <v>19.1759031285441</v>
      </c>
      <c r="R34" s="4">
        <f>$R$6*'Eurostat Collected Portables'!R27</f>
        <v>28.771003398364492</v>
      </c>
      <c r="S34" s="4">
        <f>$S$6*'Eurostat Collected Portables'!S27</f>
        <v>71.202912809198921</v>
      </c>
      <c r="T34" s="4">
        <f>$T$6*'Eurostat Collected Portables'!T27</f>
        <v>44.690955919694296</v>
      </c>
      <c r="U34" s="4">
        <f>$U$6*'Eurostat Collected Portables'!U27</f>
        <v>46.191238481961577</v>
      </c>
      <c r="V34" s="4">
        <f>$V$6*'Eurostat Collected Portables'!V27</f>
        <v>41.454746937459703</v>
      </c>
      <c r="W34" s="4">
        <f>$W$6*'Eurostat Collected Portables'!W27</f>
        <v>63.677843690957481</v>
      </c>
      <c r="X34" s="67">
        <f>X$6*'Eurostat Collected Portables'!X27</f>
        <v>71.899640771566894</v>
      </c>
      <c r="Y34" s="67">
        <f>Y$6*'Eurostat Collected Portables'!Y27</f>
        <v>80.504987515932157</v>
      </c>
      <c r="Z34" s="67">
        <f>Z$6*'Eurostat Collected Portables'!Z27</f>
        <v>83.038605317572689</v>
      </c>
      <c r="AA34" s="67">
        <f>AA$6*'Eurostat Collected Portables'!AA27</f>
        <v>86.237786728234582</v>
      </c>
      <c r="AB34" s="67">
        <f>AB$6*'Eurostat Collected Portables'!AB27</f>
        <v>89.355613055785327</v>
      </c>
      <c r="AC34" s="67">
        <f>AC$6*'Eurostat Collected Portables'!AC27</f>
        <v>92.498463205631026</v>
      </c>
      <c r="AD34" s="67">
        <f>AD$6*'Eurostat Collected Portables'!AD27</f>
        <v>95.859794028967144</v>
      </c>
      <c r="AE34" s="67">
        <f>AE$6*'Eurostat Collected Portables'!AE27</f>
        <v>99.920902204841369</v>
      </c>
      <c r="AF34" s="67">
        <f>AF$6*'Eurostat Collected Portables'!AF27</f>
        <v>104.59532212965527</v>
      </c>
      <c r="AG34" s="67">
        <f>AG$6*'Eurostat Collected Portables'!AG27</f>
        <v>109.08992391558714</v>
      </c>
      <c r="AH34" s="67">
        <f>AH$6*'Eurostat Collected Portables'!AH27</f>
        <v>113.25142394230573</v>
      </c>
      <c r="AI34" s="67">
        <f>AI$6*'Eurostat Collected Portables'!AI27</f>
        <v>117.03160248612184</v>
      </c>
      <c r="AJ34" s="67">
        <f>AJ$6*'Eurostat Collected Portables'!AJ27</f>
        <v>120.98562375680881</v>
      </c>
      <c r="AK34" s="67">
        <f>AK$6*'Eurostat Collected Portables'!AK27</f>
        <v>125.12405381196734</v>
      </c>
      <c r="AL34" s="67">
        <f>AL$6*'Eurostat Collected Portables'!AL27</f>
        <v>129.45634676198964</v>
      </c>
      <c r="AM34" s="67">
        <f>AM$6*'Eurostat Collected Portables'!AM27</f>
        <v>133.99246797577399</v>
      </c>
      <c r="AN34" s="67">
        <f>AN$6*'Eurostat Collected Portables'!AN27</f>
        <v>138.74292190898129</v>
      </c>
      <c r="AO34" s="67">
        <f>AO$6*'Eurostat Collected Portables'!AO27</f>
        <v>143.68991113468701</v>
      </c>
      <c r="AP34" s="67">
        <f>AP$6*'Eurostat Collected Portables'!AP27</f>
        <v>148.63335280816733</v>
      </c>
      <c r="AQ34" s="67">
        <f>AQ$6*'Eurostat Collected Portables'!AQ27</f>
        <v>152.48972627327845</v>
      </c>
      <c r="AR34" s="67">
        <f>AR$6*'Eurostat Collected Portables'!AR27</f>
        <v>155.21741276716779</v>
      </c>
      <c r="AS34" s="67">
        <f>AS$6*'Eurostat Collected Portables'!AS27</f>
        <v>156.9567088506829</v>
      </c>
      <c r="AT34" s="67">
        <f>AT$6*'Eurostat Collected Portables'!AT27</f>
        <v>158.71595845756065</v>
      </c>
      <c r="AU34" s="67">
        <f>AU$6*'Eurostat Collected Portables'!AU27</f>
        <v>160.50066280783824</v>
      </c>
      <c r="AV34" s="67">
        <f>AV$6*'Eurostat Collected Portables'!AV27</f>
        <v>162.2768435428184</v>
      </c>
      <c r="AW34" s="67">
        <f>AW$6*'Eurostat Collected Portables'!AW27</f>
        <v>164.04401182375238</v>
      </c>
      <c r="AX34" s="67">
        <f>AX$6*'Eurostat Collected Portables'!AX27</f>
        <v>165.80166257141684</v>
      </c>
      <c r="AY34" s="67">
        <f>AY$6*'Eurostat Collected Portables'!AY27</f>
        <v>167.58317484100323</v>
      </c>
      <c r="AZ34" s="67">
        <f>AZ$6*'Eurostat Collected Portables'!AZ27</f>
        <v>169.38888971191807</v>
      </c>
    </row>
    <row r="35" spans="1:52" x14ac:dyDescent="0.35">
      <c r="A35" s="1" t="s">
        <v>25</v>
      </c>
      <c r="B35" s="23">
        <f t="shared" ref="B35:D35" si="32">C35/1.14</f>
        <v>4.7715772924750279</v>
      </c>
      <c r="C35" s="23">
        <f t="shared" si="32"/>
        <v>5.439598113421531</v>
      </c>
      <c r="D35" s="23">
        <f t="shared" si="32"/>
        <v>6.2011418493005444</v>
      </c>
      <c r="E35" s="23">
        <f t="shared" si="1"/>
        <v>7.0693017082026204</v>
      </c>
      <c r="F35" s="23">
        <f t="shared" si="2"/>
        <v>7.4934598106947776</v>
      </c>
      <c r="G35" s="23">
        <f t="shared" si="3"/>
        <v>9.291890165261524</v>
      </c>
      <c r="H35" s="23">
        <f t="shared" si="4"/>
        <v>10.592754788398137</v>
      </c>
      <c r="I35" s="23">
        <f t="shared" si="5"/>
        <v>8.368276282834529</v>
      </c>
      <c r="J35" s="23">
        <f t="shared" si="6"/>
        <v>9.7072004880880538</v>
      </c>
      <c r="K35" s="23">
        <f t="shared" si="7"/>
        <v>8.3481924197557262</v>
      </c>
      <c r="L35" s="23">
        <f t="shared" si="8"/>
        <v>10.518722448892216</v>
      </c>
      <c r="M35" s="4">
        <f>$M$6*'Eurostat Collected Portables'!M28</f>
        <v>13.358777510093114</v>
      </c>
      <c r="N35" s="4">
        <f>$N$6*'Eurostat Collected Portables'!N28</f>
        <v>20.637284754709118</v>
      </c>
      <c r="O35" s="4">
        <f>$O$6*'Eurostat Collected Portables'!O28</f>
        <v>19.72298344470795</v>
      </c>
      <c r="P35" s="4">
        <f>$P$6*'Eurostat Collected Portables'!P28</f>
        <v>24.180101246175774</v>
      </c>
      <c r="Q35" s="4">
        <f>$Q$6*'Eurostat Collected Portables'!Q28</f>
        <v>18.266374126399715</v>
      </c>
      <c r="R35" s="4">
        <f>$R$6*'Eurostat Collected Portables'!R28</f>
        <v>17.953707081485934</v>
      </c>
      <c r="S35" s="4">
        <f>$S$6*'Eurostat Collected Portables'!S28</f>
        <v>55.869236489947127</v>
      </c>
      <c r="T35" s="4">
        <f>$T$6*'Eurostat Collected Portables'!T28</f>
        <v>23.593342313449003</v>
      </c>
      <c r="U35" s="4">
        <f>$U$6*'Eurostat Collected Portables'!U28</f>
        <v>21.880060333560749</v>
      </c>
      <c r="V35" s="4">
        <f>$V$6*'Eurostat Collected Portables'!V28</f>
        <v>18.270208736299164</v>
      </c>
      <c r="W35" s="4">
        <f>$W$6*'Eurostat Collected Portables'!W28</f>
        <v>19.061394063750686</v>
      </c>
      <c r="X35" s="67">
        <f>X$6*'Eurostat Collected Portables'!X28</f>
        <v>20.294686086523569</v>
      </c>
      <c r="Y35" s="67">
        <f>Y$6*'Eurostat Collected Portables'!Y28</f>
        <v>21.578047719542447</v>
      </c>
      <c r="Z35" s="67">
        <f>Z$6*'Eurostat Collected Portables'!Z28</f>
        <v>22.450351400830321</v>
      </c>
      <c r="AA35" s="67">
        <f>AA$6*'Eurostat Collected Portables'!AA28</f>
        <v>23.515780629540057</v>
      </c>
      <c r="AB35" s="67">
        <f>AB$6*'Eurostat Collected Portables'!AB28</f>
        <v>24.573551520874513</v>
      </c>
      <c r="AC35" s="67">
        <f>AC$6*'Eurostat Collected Portables'!AC28</f>
        <v>25.65258249921601</v>
      </c>
      <c r="AD35" s="67">
        <f>AD$6*'Eurostat Collected Portables'!AD28</f>
        <v>26.807131187556131</v>
      </c>
      <c r="AE35" s="67">
        <f>AE$6*'Eurostat Collected Portables'!AE28</f>
        <v>28.17440987895738</v>
      </c>
      <c r="AF35" s="67">
        <f>AF$6*'Eurostat Collected Portables'!AF28</f>
        <v>29.734681996833199</v>
      </c>
      <c r="AG35" s="67">
        <f>AG$6*'Eurostat Collected Portables'!AG28</f>
        <v>31.264875041186944</v>
      </c>
      <c r="AH35" s="67">
        <f>AH$6*'Eurostat Collected Portables'!AH28</f>
        <v>32.719431632544904</v>
      </c>
      <c r="AI35" s="67">
        <f>AI$6*'Eurostat Collected Portables'!AI28</f>
        <v>34.081976375466482</v>
      </c>
      <c r="AJ35" s="67">
        <f>AJ$6*'Eurostat Collected Portables'!AJ28</f>
        <v>35.512802897302919</v>
      </c>
      <c r="AK35" s="67">
        <f>AK$6*'Eurostat Collected Portables'!AK28</f>
        <v>37.016220270822231</v>
      </c>
      <c r="AL35" s="67">
        <f>AL$6*'Eurostat Collected Portables'!AL28</f>
        <v>38.596301659180291</v>
      </c>
      <c r="AM35" s="67">
        <f>AM$6*'Eurostat Collected Portables'!AM28</f>
        <v>40.257359008984963</v>
      </c>
      <c r="AN35" s="67">
        <f>AN$6*'Eurostat Collected Portables'!AN28</f>
        <v>42.003957195205885</v>
      </c>
      <c r="AO35" s="67">
        <f>AO$6*'Eurostat Collected Portables'!AO28</f>
        <v>43.832122207674253</v>
      </c>
      <c r="AP35" s="67">
        <f>AP$6*'Eurostat Collected Portables'!AP28</f>
        <v>45.681689713701594</v>
      </c>
      <c r="AQ35" s="67">
        <f>AQ$6*'Eurostat Collected Portables'!AQ28</f>
        <v>47.21710666591342</v>
      </c>
      <c r="AR35" s="67">
        <f>AR$6*'Eurostat Collected Portables'!AR28</f>
        <v>48.417881457262382</v>
      </c>
      <c r="AS35" s="67">
        <f>AS$6*'Eurostat Collected Portables'!AS28</f>
        <v>49.320315338069285</v>
      </c>
      <c r="AT35" s="67">
        <f>AT$6*'Eurostat Collected Portables'!AT28</f>
        <v>50.236761544800352</v>
      </c>
      <c r="AU35" s="67">
        <f>AU$6*'Eurostat Collected Portables'!AU28</f>
        <v>51.169102099263021</v>
      </c>
      <c r="AV35" s="67">
        <f>AV$6*'Eurostat Collected Portables'!AV28</f>
        <v>52.106592394732104</v>
      </c>
      <c r="AW35" s="67">
        <f>AW$6*'Eurostat Collected Portables'!AW28</f>
        <v>53.049006824436518</v>
      </c>
      <c r="AX35" s="67">
        <f>AX$6*'Eurostat Collected Portables'!AX28</f>
        <v>53.996110129913305</v>
      </c>
      <c r="AY35" s="67">
        <f>AY$6*'Eurostat Collected Portables'!AY28</f>
        <v>54.958774826213954</v>
      </c>
      <c r="AZ35" s="67">
        <f>AZ$6*'Eurostat Collected Portables'!AZ28</f>
        <v>55.937267914759076</v>
      </c>
    </row>
    <row r="36" spans="1:52" x14ac:dyDescent="0.35">
      <c r="A36" s="1" t="s">
        <v>26</v>
      </c>
      <c r="B36" s="23">
        <f t="shared" ref="B36:D36" si="33">C36/1.14</f>
        <v>2.9059131852276838</v>
      </c>
      <c r="C36" s="23">
        <f t="shared" si="33"/>
        <v>3.3127410311595593</v>
      </c>
      <c r="D36" s="23">
        <f t="shared" si="33"/>
        <v>3.7765247755218971</v>
      </c>
      <c r="E36" s="23">
        <f t="shared" si="1"/>
        <v>4.3052382440949621</v>
      </c>
      <c r="F36" s="23">
        <f t="shared" si="2"/>
        <v>4.5635525387406597</v>
      </c>
      <c r="G36" s="23">
        <f t="shared" si="3"/>
        <v>5.6588051480384181</v>
      </c>
      <c r="H36" s="23">
        <f t="shared" si="4"/>
        <v>6.4510378687637964</v>
      </c>
      <c r="I36" s="23">
        <f t="shared" si="5"/>
        <v>5.0963199163233996</v>
      </c>
      <c r="J36" s="23">
        <f t="shared" si="6"/>
        <v>5.9117311029351427</v>
      </c>
      <c r="K36" s="23">
        <f t="shared" si="7"/>
        <v>5.0840887485242225</v>
      </c>
      <c r="L36" s="23">
        <f t="shared" si="8"/>
        <v>6.4059518231405201</v>
      </c>
      <c r="M36" s="4">
        <f>$M$6*'Eurostat Collected Portables'!M29</f>
        <v>8.1355588153884604</v>
      </c>
      <c r="N36" s="4">
        <f>$N$6*'Eurostat Collected Portables'!N29</f>
        <v>9.5168559764114669</v>
      </c>
      <c r="O36" s="4">
        <f>$O$6*'Eurostat Collected Portables'!O29</f>
        <v>9.6086329602423337</v>
      </c>
      <c r="P36" s="4">
        <f>$P$6*'Eurostat Collected Portables'!P29</f>
        <v>8.2298561777907828</v>
      </c>
      <c r="Q36" s="4">
        <f>$Q$6*'Eurostat Collected Portables'!Q29</f>
        <v>9.3605693137359527</v>
      </c>
      <c r="R36" s="4">
        <f>$R$6*'Eurostat Collected Portables'!R29</f>
        <v>10.066095183761989</v>
      </c>
      <c r="S36" s="4">
        <f>$S$6*'Eurostat Collected Portables'!S29</f>
        <v>13.714278160122891</v>
      </c>
      <c r="T36" s="4">
        <f>$T$6*'Eurostat Collected Portables'!T29</f>
        <v>9.2864323988975155</v>
      </c>
      <c r="U36" s="4">
        <f>$U$6*'Eurostat Collected Portables'!U29</f>
        <v>7.538920900564702</v>
      </c>
      <c r="V36" s="4">
        <f>$V$6*'Eurostat Collected Portables'!V29</f>
        <v>6.7968347034171508</v>
      </c>
      <c r="W36" s="4">
        <f>$W$6*'Eurostat Collected Portables'!W29</f>
        <v>6.9132519350710036</v>
      </c>
      <c r="X36" s="67">
        <f>X$6*'Eurostat Collected Portables'!X29</f>
        <v>6.9580368449040888</v>
      </c>
      <c r="Y36" s="67">
        <f>Y$6*'Eurostat Collected Portables'!Y29</f>
        <v>7.3473776459922071</v>
      </c>
      <c r="Z36" s="67">
        <f>Z$6*'Eurostat Collected Portables'!Z29</f>
        <v>7.6945882591136234</v>
      </c>
      <c r="AA36" s="67">
        <f>AA$6*'Eurostat Collected Portables'!AA29</f>
        <v>8.1113854866776371</v>
      </c>
      <c r="AB36" s="67">
        <f>AB$6*'Eurostat Collected Portables'!AB29</f>
        <v>8.5292500892895333</v>
      </c>
      <c r="AC36" s="67">
        <f>AC$6*'Eurostat Collected Portables'!AC29</f>
        <v>8.9581341426600005</v>
      </c>
      <c r="AD36" s="67">
        <f>AD$6*'Eurostat Collected Portables'!AD29</f>
        <v>9.417137151428328</v>
      </c>
      <c r="AE36" s="67">
        <f>AE$6*'Eurostat Collected Portables'!AE29</f>
        <v>9.9551125440087951</v>
      </c>
      <c r="AF36" s="67">
        <f>AF$6*'Eurostat Collected Portables'!AF29</f>
        <v>10.566233334112528</v>
      </c>
      <c r="AG36" s="67">
        <f>AG$6*'Eurostat Collected Portables'!AG29</f>
        <v>11.171818631816675</v>
      </c>
      <c r="AH36" s="67">
        <f>AH$6*'Eurostat Collected Portables'!AH29</f>
        <v>11.755194310989461</v>
      </c>
      <c r="AI36" s="67">
        <f>AI$6*'Eurostat Collected Portables'!AI29</f>
        <v>12.30988808664919</v>
      </c>
      <c r="AJ36" s="67">
        <f>AJ$6*'Eurostat Collected Portables'!AJ29</f>
        <v>12.893465280418111</v>
      </c>
      <c r="AK36" s="67">
        <f>AK$6*'Eurostat Collected Portables'!AK29</f>
        <v>13.507776820060352</v>
      </c>
      <c r="AL36" s="67">
        <f>AL$6*'Eurostat Collected Portables'!AL29</f>
        <v>14.154609444729619</v>
      </c>
      <c r="AM36" s="67">
        <f>AM$6*'Eurostat Collected Portables'!AM29</f>
        <v>14.835857630853022</v>
      </c>
      <c r="AN36" s="67">
        <f>AN$6*'Eurostat Collected Portables'!AN29</f>
        <v>15.55353014530327</v>
      </c>
      <c r="AO36" s="67">
        <f>AO$6*'Eurostat Collected Portables'!AO29</f>
        <v>16.30648067959757</v>
      </c>
      <c r="AP36" s="67">
        <f>AP$6*'Eurostat Collected Portables'!AP29</f>
        <v>17.072525459046247</v>
      </c>
      <c r="AQ36" s="67">
        <f>AQ$6*'Eurostat Collected Portables'!AQ29</f>
        <v>17.725683827296635</v>
      </c>
      <c r="AR36" s="67">
        <f>AR$6*'Eurostat Collected Portables'!AR29</f>
        <v>18.256553068236812</v>
      </c>
      <c r="AS36" s="67">
        <f>AS$6*'Eurostat Collected Portables'!AS29</f>
        <v>18.67715538285556</v>
      </c>
      <c r="AT36" s="67">
        <f>AT$6*'Eurostat Collected Portables'!AT29</f>
        <v>19.104779570370937</v>
      </c>
      <c r="AU36" s="67">
        <f>AU$6*'Eurostat Collected Portables'!AU29</f>
        <v>19.540172320948155</v>
      </c>
      <c r="AV36" s="67">
        <f>AV$6*'Eurostat Collected Portables'!AV29</f>
        <v>19.979249764669863</v>
      </c>
      <c r="AW36" s="67">
        <f>AW$6*'Eurostat Collected Portables'!AW29</f>
        <v>20.421910512810015</v>
      </c>
      <c r="AX36" s="67">
        <f>AX$6*'Eurostat Collected Portables'!AX29</f>
        <v>20.868048513796008</v>
      </c>
      <c r="AY36" s="67">
        <f>AY$6*'Eurostat Collected Portables'!AY29</f>
        <v>21.321866144028199</v>
      </c>
      <c r="AZ36" s="67">
        <f>AZ$6*'Eurostat Collected Portables'!AZ29</f>
        <v>21.783499928038339</v>
      </c>
    </row>
    <row r="37" spans="1:52" x14ac:dyDescent="0.35">
      <c r="A37" s="1" t="s">
        <v>27</v>
      </c>
      <c r="B37" s="23">
        <f t="shared" ref="B37:D37" si="34">C37/1.14</f>
        <v>40.999382138659833</v>
      </c>
      <c r="C37" s="23">
        <f t="shared" si="34"/>
        <v>46.739295638072207</v>
      </c>
      <c r="D37" s="23">
        <f t="shared" si="34"/>
        <v>53.28279702740231</v>
      </c>
      <c r="E37" s="23">
        <f t="shared" si="1"/>
        <v>60.742388611238631</v>
      </c>
      <c r="F37" s="23">
        <f t="shared" si="2"/>
        <v>64.386931927912954</v>
      </c>
      <c r="G37" s="23">
        <f t="shared" si="3"/>
        <v>79.839795590612056</v>
      </c>
      <c r="H37" s="23">
        <f t="shared" si="4"/>
        <v>91.01736697329774</v>
      </c>
      <c r="I37" s="23">
        <f t="shared" si="5"/>
        <v>71.903719908905217</v>
      </c>
      <c r="J37" s="23">
        <f t="shared" si="6"/>
        <v>83.40831509433005</v>
      </c>
      <c r="K37" s="23">
        <f t="shared" si="7"/>
        <v>71.731150981123847</v>
      </c>
      <c r="L37" s="23">
        <f t="shared" si="8"/>
        <v>90.381250236216047</v>
      </c>
      <c r="M37" s="4">
        <f>$M$6*'Eurostat Collected Portables'!M30</f>
        <v>114.78418779999438</v>
      </c>
      <c r="N37" s="4">
        <f>$N$6*'Eurostat Collected Portables'!N30</f>
        <v>138.08156235372095</v>
      </c>
      <c r="O37" s="4">
        <f>$O$6*'Eurostat Collected Portables'!O30</f>
        <v>155.80314058778907</v>
      </c>
      <c r="P37" s="4">
        <f>$P$6*'Eurostat Collected Portables'!P30</f>
        <v>151.89963116722416</v>
      </c>
      <c r="Q37" s="4">
        <f>$Q$6*'Eurostat Collected Portables'!Q30</f>
        <v>178.4950666708354</v>
      </c>
      <c r="R37" s="4">
        <f>$R$6*'Eurostat Collected Portables'!R30</f>
        <v>169.43341557444154</v>
      </c>
      <c r="S37" s="4">
        <f>$S$6*'Eurostat Collected Portables'!S30</f>
        <v>236.33091884787416</v>
      </c>
      <c r="T37" s="4">
        <f>$T$6*'Eurostat Collected Portables'!T30</f>
        <v>133.26030492417937</v>
      </c>
      <c r="U37" s="4">
        <f>$U$6*'Eurostat Collected Portables'!U30</f>
        <v>140.95571976951592</v>
      </c>
      <c r="V37" s="4">
        <f>$V$6*'Eurostat Collected Portables'!V30</f>
        <v>108.63046018697615</v>
      </c>
      <c r="W37" s="4">
        <f>$W$6*'Eurostat Collected Portables'!W30</f>
        <v>149.31425349938038</v>
      </c>
      <c r="X37" s="67">
        <f>X$6*'Eurostat Collected Portables'!X30</f>
        <v>154.47139416828651</v>
      </c>
      <c r="Y37" s="67">
        <f>Y$6*'Eurostat Collected Portables'!Y30</f>
        <v>161.59475482685244</v>
      </c>
      <c r="Z37" s="67">
        <f>Z$6*'Eurostat Collected Portables'!Z30</f>
        <v>166.93404008311782</v>
      </c>
      <c r="AA37" s="67">
        <f>AA$6*'Eurostat Collected Portables'!AA30</f>
        <v>173.70494682336954</v>
      </c>
      <c r="AB37" s="67">
        <f>AB$6*'Eurostat Collected Portables'!AB30</f>
        <v>181.23630650765281</v>
      </c>
      <c r="AC37" s="67">
        <f>AC$6*'Eurostat Collected Portables'!AC30</f>
        <v>189.53440143681757</v>
      </c>
      <c r="AD37" s="67">
        <f>AD$6*'Eurostat Collected Portables'!AD30</f>
        <v>198.56723361938072</v>
      </c>
      <c r="AE37" s="67">
        <f>AE$6*'Eurostat Collected Portables'!AE30</f>
        <v>208.53740636212547</v>
      </c>
      <c r="AF37" s="67">
        <f>AF$6*'Eurostat Collected Portables'!AF30</f>
        <v>219.43626974646094</v>
      </c>
      <c r="AG37" s="67">
        <f>AG$6*'Eurostat Collected Portables'!AG30</f>
        <v>229.90474230874568</v>
      </c>
      <c r="AH37" s="67">
        <f>AH$6*'Eurostat Collected Portables'!AH30</f>
        <v>239.75558908459092</v>
      </c>
      <c r="AI37" s="67">
        <f>AI$6*'Eurostat Collected Portables'!AI30</f>
        <v>248.87058330798953</v>
      </c>
      <c r="AJ37" s="67">
        <f>AJ$6*'Eurostat Collected Portables'!AJ30</f>
        <v>258.42241672704898</v>
      </c>
      <c r="AK37" s="67">
        <f>AK$6*'Eurostat Collected Portables'!AK30</f>
        <v>268.44298882243947</v>
      </c>
      <c r="AL37" s="67">
        <f>AL$6*'Eurostat Collected Portables'!AL30</f>
        <v>278.95775165862966</v>
      </c>
      <c r="AM37" s="67">
        <f>AM$6*'Eurostat Collected Portables'!AM30</f>
        <v>289.99360805145773</v>
      </c>
      <c r="AN37" s="67">
        <f>AN$6*'Eurostat Collected Portables'!AN30</f>
        <v>301.57899515593778</v>
      </c>
      <c r="AO37" s="67">
        <f>AO$6*'Eurostat Collected Portables'!AO30</f>
        <v>313.69157615894545</v>
      </c>
      <c r="AP37" s="67">
        <f>AP$6*'Eurostat Collected Portables'!AP30</f>
        <v>325.89811673918547</v>
      </c>
      <c r="AQ37" s="67">
        <f>AQ$6*'Eurostat Collected Portables'!AQ30</f>
        <v>335.81827228982974</v>
      </c>
      <c r="AR37" s="67">
        <f>AR$6*'Eurostat Collected Portables'!AR30</f>
        <v>343.30429479003027</v>
      </c>
      <c r="AS37" s="67">
        <f>AS$6*'Eurostat Collected Portables'!AS30</f>
        <v>348.63626179616807</v>
      </c>
      <c r="AT37" s="67">
        <f>AT$6*'Eurostat Collected Portables'!AT30</f>
        <v>354.02945598641526</v>
      </c>
      <c r="AU37" s="67">
        <f>AU$6*'Eurostat Collected Portables'!AU30</f>
        <v>359.51155531039944</v>
      </c>
      <c r="AV37" s="67">
        <f>AV$6*'Eurostat Collected Portables'!AV30</f>
        <v>365.01989314383724</v>
      </c>
      <c r="AW37" s="67">
        <f>AW$6*'Eurostat Collected Portables'!AW30</f>
        <v>370.55360810886816</v>
      </c>
      <c r="AX37" s="67">
        <f>AX$6*'Eurostat Collected Portables'!AX30</f>
        <v>376.11179904483771</v>
      </c>
      <c r="AY37" s="67">
        <f>AY$6*'Eurostat Collected Portables'!AY30</f>
        <v>381.75766216419424</v>
      </c>
      <c r="AZ37" s="67">
        <f>AZ$6*'Eurostat Collected Portables'!AZ30</f>
        <v>387.49266463819509</v>
      </c>
    </row>
    <row r="38" spans="1:52" x14ac:dyDescent="0.35">
      <c r="A38" s="1" t="s">
        <v>28</v>
      </c>
      <c r="B38" s="23">
        <f t="shared" ref="B38:D38" si="35">C38/1.14</f>
        <v>76.802743922283668</v>
      </c>
      <c r="C38" s="23">
        <f t="shared" si="35"/>
        <v>87.555128071403374</v>
      </c>
      <c r="D38" s="23">
        <f t="shared" si="35"/>
        <v>99.812846001399834</v>
      </c>
      <c r="E38" s="23">
        <f t="shared" si="1"/>
        <v>113.7866444415958</v>
      </c>
      <c r="F38" s="23">
        <f t="shared" si="2"/>
        <v>120.61384310809156</v>
      </c>
      <c r="G38" s="23">
        <f t="shared" si="3"/>
        <v>149.56116545403353</v>
      </c>
      <c r="H38" s="23">
        <f t="shared" si="4"/>
        <v>170.49972861759821</v>
      </c>
      <c r="I38" s="23">
        <f t="shared" si="5"/>
        <v>134.69478560790259</v>
      </c>
      <c r="J38" s="23">
        <f t="shared" si="6"/>
        <v>156.24595130516698</v>
      </c>
      <c r="K38" s="23">
        <f t="shared" si="7"/>
        <v>134.3715181224436</v>
      </c>
      <c r="L38" s="23">
        <f t="shared" si="8"/>
        <v>169.30811283427894</v>
      </c>
      <c r="M38" s="4">
        <f>M5*'Eurostat Collected Portables'!M31</f>
        <v>215.02130329953425</v>
      </c>
      <c r="N38" s="4">
        <f>N5*'Eurostat Collected Portables'!N31</f>
        <v>241.56386188400938</v>
      </c>
      <c r="O38" s="4">
        <f>O5*'Eurostat Collected Portables'!O31</f>
        <v>274.69241181182838</v>
      </c>
      <c r="P38" s="4">
        <f>P5*'Eurostat Collected Portables'!P31</f>
        <v>250.05177055290952</v>
      </c>
      <c r="Q38" s="4">
        <f>Q5*'Eurostat Collected Portables'!Q31</f>
        <v>248.69999999999987</v>
      </c>
      <c r="R38" s="4">
        <f>R5*'Eurostat Collected Portables'!R31</f>
        <v>196.34019246519244</v>
      </c>
      <c r="S38" s="4">
        <f>S5*'Eurostat Collected Portables'!S31</f>
        <v>206.2178029757965</v>
      </c>
      <c r="T38" s="4">
        <f>T5*'Eurostat Collected Portables'!T31</f>
        <v>135.09576767645126</v>
      </c>
      <c r="U38" s="4">
        <f>$U$6*'Eurostat Collected Portables'!U31</f>
        <v>90.761731754029768</v>
      </c>
      <c r="V38" s="4">
        <f>$V$6*'Eurostat Collected Portables'!V31</f>
        <v>68.107057946486137</v>
      </c>
      <c r="W38" s="4">
        <f>$W$6*'Eurostat Collected Portables'!W31</f>
        <v>74.367409544318718</v>
      </c>
      <c r="X38" s="67">
        <f>X$6*'Eurostat Collected Portables'!X31</f>
        <v>78.290788564327016</v>
      </c>
      <c r="Y38" s="67">
        <f>Y$6*'Eurostat Collected Portables'!Y31</f>
        <v>85.417082275169619</v>
      </c>
      <c r="Z38" s="67">
        <f>Z$6*'Eurostat Collected Portables'!Z31</f>
        <v>90.008837742287412</v>
      </c>
      <c r="AA38" s="67">
        <f>AA$6*'Eurostat Collected Portables'!AA31</f>
        <v>94.794128298352192</v>
      </c>
      <c r="AB38" s="67">
        <f>AB$6*'Eurostat Collected Portables'!AB31</f>
        <v>99.505869655380849</v>
      </c>
      <c r="AC38" s="67">
        <f>AC$6*'Eurostat Collected Portables'!AC31</f>
        <v>104.29266783227835</v>
      </c>
      <c r="AD38" s="67">
        <f>AD$6*'Eurostat Collected Portables'!AD31</f>
        <v>109.43548072020612</v>
      </c>
      <c r="AE38" s="67">
        <f>AE$6*'Eurostat Collected Portables'!AE31</f>
        <v>115.63273590643165</v>
      </c>
      <c r="AF38" s="67">
        <f>AF$6*'Eurostat Collected Portables'!AF31</f>
        <v>122.79022661069693</v>
      </c>
      <c r="AG38" s="67">
        <f>AG$6*'Eurostat Collected Portables'!AG31</f>
        <v>129.79341683015971</v>
      </c>
      <c r="AH38" s="67">
        <f>AH$6*'Eurostat Collected Portables'!AH31</f>
        <v>136.41525641336241</v>
      </c>
      <c r="AI38" s="67">
        <f>AI$6*'Eurostat Collected Portables'!AI31</f>
        <v>142.56810616272389</v>
      </c>
      <c r="AJ38" s="67">
        <f>AJ$6*'Eurostat Collected Portables'!AJ31</f>
        <v>149.05004346325654</v>
      </c>
      <c r="AK38" s="67">
        <f>AK$6*'Eurostat Collected Portables'!AK31</f>
        <v>155.88011031502793</v>
      </c>
      <c r="AL38" s="67">
        <f>AL$6*'Eurostat Collected Portables'!AL31</f>
        <v>163.07837802722952</v>
      </c>
      <c r="AM38" s="67">
        <f>AM$6*'Eurostat Collected Portables'!AM31</f>
        <v>170.6661088108028</v>
      </c>
      <c r="AN38" s="67">
        <f>AN$6*'Eurostat Collected Portables'!AN31</f>
        <v>178.66582677820674</v>
      </c>
      <c r="AO38" s="67">
        <f>AO$6*'Eurostat Collected Portables'!AO31</f>
        <v>187.06706611048509</v>
      </c>
      <c r="AP38" s="67">
        <f>AP$6*'Eurostat Collected Portables'!AP31</f>
        <v>195.67039102391277</v>
      </c>
      <c r="AQ38" s="67">
        <f>AQ$6*'Eurostat Collected Portables'!AQ31</f>
        <v>202.8041629644201</v>
      </c>
      <c r="AR38" s="67">
        <f>AR$6*'Eurostat Collected Portables'!AR31</f>
        <v>208.36745219351911</v>
      </c>
      <c r="AS38" s="67">
        <f>AS$6*'Eurostat Collected Portables'!AS31</f>
        <v>212.44318492958848</v>
      </c>
      <c r="AT38" s="67">
        <f>AT$6*'Eurostat Collected Portables'!AT31</f>
        <v>216.59195764658773</v>
      </c>
      <c r="AU38" s="67">
        <f>AU$6*'Eurostat Collected Portables'!AU31</f>
        <v>220.81545879225337</v>
      </c>
      <c r="AV38" s="67">
        <f>AV$6*'Eurostat Collected Portables'!AV31</f>
        <v>225.07196585661049</v>
      </c>
      <c r="AW38" s="67">
        <f>AW$6*'Eurostat Collected Portables'!AW31</f>
        <v>229.36080808588866</v>
      </c>
      <c r="AX38" s="67">
        <f>AX$6*'Eurostat Collected Portables'!AX31</f>
        <v>233.6812800138137</v>
      </c>
      <c r="AY38" s="67">
        <f>AY$6*'Eurostat Collected Portables'!AY31</f>
        <v>238.07609605104221</v>
      </c>
      <c r="AZ38" s="67">
        <f>AZ$6*'Eurostat Collected Portables'!AZ31</f>
        <v>242.54655398287022</v>
      </c>
    </row>
    <row r="39" spans="1:52" x14ac:dyDescent="0.35">
      <c r="A39" s="1" t="s">
        <v>29</v>
      </c>
      <c r="B39" s="23">
        <f t="shared" ref="B39:D39" si="36">C39/1.14</f>
        <v>26.842949033970893</v>
      </c>
      <c r="C39" s="23">
        <f t="shared" si="36"/>
        <v>30.600961898726815</v>
      </c>
      <c r="D39" s="23">
        <f t="shared" si="36"/>
        <v>34.885096564548569</v>
      </c>
      <c r="E39" s="23">
        <f t="shared" si="1"/>
        <v>39.769010083585364</v>
      </c>
      <c r="F39" s="23">
        <f t="shared" si="2"/>
        <v>42.155150688600486</v>
      </c>
      <c r="G39" s="23">
        <f t="shared" si="3"/>
        <v>52.272386853864603</v>
      </c>
      <c r="H39" s="23">
        <f t="shared" si="4"/>
        <v>59.590521013405642</v>
      </c>
      <c r="I39" s="23">
        <f t="shared" si="5"/>
        <v>47.076511600590457</v>
      </c>
      <c r="J39" s="23">
        <f t="shared" si="6"/>
        <v>54.60875345668493</v>
      </c>
      <c r="K39" s="23">
        <f t="shared" si="7"/>
        <v>46.963527972749041</v>
      </c>
      <c r="L39" s="23">
        <f t="shared" si="8"/>
        <v>59.174045245663791</v>
      </c>
      <c r="M39" s="4">
        <f>$M$6*'Eurostat Collected Portables'!M32</f>
        <v>75.151037461993013</v>
      </c>
      <c r="N39" s="4">
        <f>$N$6*'Eurostat Collected Portables'!N32</f>
        <v>89.66063579241866</v>
      </c>
      <c r="O39" s="4">
        <f>$O$6*'Eurostat Collected Portables'!O32</f>
        <v>106.41139572198199</v>
      </c>
      <c r="P39" s="4">
        <f>$P$6*'Eurostat Collected Portables'!P32</f>
        <v>107.14488947657142</v>
      </c>
      <c r="Q39" s="4">
        <f>$Q$6*'Eurostat Collected Portables'!Q32</f>
        <v>103.2315417433876</v>
      </c>
      <c r="R39" s="4">
        <f>$R$6*'Eurostat Collected Portables'!R32</f>
        <v>105.3183988629426</v>
      </c>
      <c r="S39" s="4">
        <f>$S$6*'Eurostat Collected Portables'!S32</f>
        <v>140.6346088818506</v>
      </c>
      <c r="T39" s="4">
        <f>$T$6*'Eurostat Collected Portables'!T32</f>
        <v>83.142590071379331</v>
      </c>
      <c r="U39" s="4">
        <f>$U$6*'Eurostat Collected Portables'!U32</f>
        <v>76.396035575429281</v>
      </c>
      <c r="V39" s="4">
        <f>$V$6*'Eurostat Collected Portables'!V32</f>
        <v>62.91530665699549</v>
      </c>
      <c r="W39" s="4">
        <f>$W$6*'Eurostat Collected Portables'!W32</f>
        <v>65.356205432419813</v>
      </c>
      <c r="X39" s="67">
        <f>X$6*'Eurostat Collected Portables'!X32</f>
        <v>69.971961100797643</v>
      </c>
      <c r="Y39" s="67">
        <f>Y$6*'Eurostat Collected Portables'!Y32</f>
        <v>74.451827586426788</v>
      </c>
      <c r="Z39" s="67">
        <f>Z$6*'Eurostat Collected Portables'!Z32</f>
        <v>76.911470786336324</v>
      </c>
      <c r="AA39" s="67">
        <f>AA$6*'Eurostat Collected Portables'!AA32</f>
        <v>79.995519145627654</v>
      </c>
      <c r="AB39" s="67">
        <f>AB$6*'Eurostat Collected Portables'!AB32</f>
        <v>83.01286215887491</v>
      </c>
      <c r="AC39" s="67">
        <f>AC$6*'Eurostat Collected Portables'!AC32</f>
        <v>86.062124556046996</v>
      </c>
      <c r="AD39" s="67">
        <f>AD$6*'Eurostat Collected Portables'!AD32</f>
        <v>89.323667494241221</v>
      </c>
      <c r="AE39" s="67">
        <f>AE$6*'Eurostat Collected Portables'!AE32</f>
        <v>93.247549759315902</v>
      </c>
      <c r="AF39" s="67">
        <f>AF$6*'Eurostat Collected Portables'!AF32</f>
        <v>97.755881280798988</v>
      </c>
      <c r="AG39" s="67">
        <f>AG$6*'Eurostat Collected Portables'!AG32</f>
        <v>102.10884261520518</v>
      </c>
      <c r="AH39" s="67">
        <f>AH$6*'Eurostat Collected Portables'!AH32</f>
        <v>106.16197824727406</v>
      </c>
      <c r="AI39" s="67">
        <f>AI$6*'Eurostat Collected Portables'!AI32</f>
        <v>109.86861279516937</v>
      </c>
      <c r="AJ39" s="67">
        <f>AJ$6*'Eurostat Collected Portables'!AJ32</f>
        <v>113.74909813034462</v>
      </c>
      <c r="AK39" s="67">
        <f>AK$6*'Eurostat Collected Portables'!AK32</f>
        <v>117.81409666409084</v>
      </c>
      <c r="AL39" s="67">
        <f>AL$6*'Eurostat Collected Portables'!AL32</f>
        <v>122.07327993922745</v>
      </c>
      <c r="AM39" s="67">
        <f>AM$6*'Eurostat Collected Portables'!AM32</f>
        <v>126.53685368229857</v>
      </c>
      <c r="AN39" s="67">
        <f>AN$6*'Eurostat Collected Portables'!AN32</f>
        <v>131.21558757187722</v>
      </c>
      <c r="AO39" s="67">
        <f>AO$6*'Eurostat Collected Portables'!AO32</f>
        <v>136.0935026303888</v>
      </c>
      <c r="AP39" s="67">
        <f>AP$6*'Eurostat Collected Portables'!AP32</f>
        <v>140.98161860082104</v>
      </c>
      <c r="AQ39" s="67">
        <f>AQ$6*'Eurostat Collected Portables'!AQ32</f>
        <v>144.85066404626056</v>
      </c>
      <c r="AR39" s="67">
        <f>AR$6*'Eurostat Collected Portables'!AR32</f>
        <v>147.65651857128381</v>
      </c>
      <c r="AS39" s="67">
        <f>AS$6*'Eurostat Collected Portables'!AS32</f>
        <v>149.52814402103664</v>
      </c>
      <c r="AT39" s="67">
        <f>AT$6*'Eurostat Collected Portables'!AT32</f>
        <v>151.42344817646375</v>
      </c>
      <c r="AU39" s="67">
        <f>AU$6*'Eurostat Collected Portables'!AU32</f>
        <v>153.34776439814118</v>
      </c>
      <c r="AV39" s="67">
        <f>AV$6*'Eurostat Collected Portables'!AV32</f>
        <v>155.26868169262366</v>
      </c>
      <c r="AW39" s="67">
        <f>AW$6*'Eurostat Collected Portables'!AW32</f>
        <v>157.18569093301548</v>
      </c>
      <c r="AX39" s="67">
        <f>AX$6*'Eurostat Collected Portables'!AX32</f>
        <v>159.09826477732258</v>
      </c>
      <c r="AY39" s="67">
        <f>AY$6*'Eurostat Collected Portables'!AY32</f>
        <v>161.03843400197917</v>
      </c>
      <c r="AZ39" s="67">
        <f>AZ$6*'Eurostat Collected Portables'!AZ32</f>
        <v>163.00661993662169</v>
      </c>
    </row>
    <row r="40" spans="1:52" x14ac:dyDescent="0.35">
      <c r="A40" s="1" t="s">
        <v>30</v>
      </c>
      <c r="B40" s="23">
        <f t="shared" ref="B40:D40" si="37">C40/1.14</f>
        <v>90.23030045959888</v>
      </c>
      <c r="C40" s="23">
        <f t="shared" si="37"/>
        <v>102.86254252394271</v>
      </c>
      <c r="D40" s="23">
        <f t="shared" si="37"/>
        <v>117.26329847729468</v>
      </c>
      <c r="E40" s="23">
        <f t="shared" si="1"/>
        <v>133.68016026411593</v>
      </c>
      <c r="F40" s="23">
        <f t="shared" si="2"/>
        <v>141.70096987996288</v>
      </c>
      <c r="G40" s="23">
        <f t="shared" si="3"/>
        <v>175.70920265115399</v>
      </c>
      <c r="H40" s="23">
        <f t="shared" si="4"/>
        <v>200.30849102231554</v>
      </c>
      <c r="I40" s="23">
        <f t="shared" si="5"/>
        <v>158.24370790762927</v>
      </c>
      <c r="J40" s="23">
        <f t="shared" si="6"/>
        <v>183.56270117284993</v>
      </c>
      <c r="K40" s="23">
        <f t="shared" si="7"/>
        <v>157.86392300865094</v>
      </c>
      <c r="L40" s="23">
        <f t="shared" si="8"/>
        <v>198.90854299090017</v>
      </c>
      <c r="M40" s="4">
        <f>$M$6*'Eurostat Collected Portables'!M33</f>
        <v>252.61384959844324</v>
      </c>
      <c r="N40" s="4">
        <f>$N$6*'Eurostat Collected Portables'!N33</f>
        <v>380.25591571683623</v>
      </c>
      <c r="O40" s="4">
        <f>$O$6*'Eurostat Collected Portables'!O33</f>
        <v>513.59828897576017</v>
      </c>
      <c r="P40" s="4">
        <f>$P$6*'Eurostat Collected Portables'!P33</f>
        <v>516.0119823474821</v>
      </c>
      <c r="Q40" s="4">
        <f>$Q$6*'Eurostat Collected Portables'!Q33</f>
        <v>577.47512227817185</v>
      </c>
      <c r="R40" s="4">
        <f>$R$6*'Eurostat Collected Portables'!R33</f>
        <v>647.27245634988935</v>
      </c>
      <c r="S40" s="4">
        <f>$S$6*'Eurostat Collected Portables'!S33</f>
        <v>881.91411622310557</v>
      </c>
      <c r="T40" s="4">
        <f>$T$6*'Eurostat Collected Portables'!T33</f>
        <v>516.88628071468406</v>
      </c>
      <c r="U40" s="4">
        <f>$U$6*'Eurostat Collected Portables'!U33</f>
        <v>434.05543361664348</v>
      </c>
      <c r="V40" s="4">
        <f>$V$6*'Eurostat Collected Portables'!V33</f>
        <v>351.29973210831724</v>
      </c>
      <c r="W40" s="4">
        <f>$W$6*'Eurostat Collected Portables'!W33</f>
        <v>365.48800505861084</v>
      </c>
      <c r="X40" s="67">
        <f>X$6*'Eurostat Collected Portables'!X33</f>
        <v>375.81199227589116</v>
      </c>
      <c r="Y40" s="67">
        <f>Y$6*'Eurostat Collected Portables'!Y33</f>
        <v>395.77502068855432</v>
      </c>
      <c r="Z40" s="67">
        <f>Z$6*'Eurostat Collected Portables'!Z33</f>
        <v>412.60517562910763</v>
      </c>
      <c r="AA40" s="67">
        <f>AA$6*'Eurostat Collected Portables'!AA33</f>
        <v>433.04089809257454</v>
      </c>
      <c r="AB40" s="67">
        <f>AB$6*'Eurostat Collected Portables'!AB33</f>
        <v>453.39698545681233</v>
      </c>
      <c r="AC40" s="67">
        <f>AC$6*'Eurostat Collected Portables'!AC33</f>
        <v>474.2055893507046</v>
      </c>
      <c r="AD40" s="67">
        <f>AD$6*'Eurostat Collected Portables'!AD33</f>
        <v>496.47221857716903</v>
      </c>
      <c r="AE40" s="67">
        <f>AE$6*'Eurostat Collected Portables'!AE33</f>
        <v>522.74885508811133</v>
      </c>
      <c r="AF40" s="67">
        <f>AF$6*'Eurostat Collected Portables'!AF33</f>
        <v>552.68828659581925</v>
      </c>
      <c r="AG40" s="67">
        <f>AG$6*'Eurostat Collected Portables'!AG33</f>
        <v>582.153924620319</v>
      </c>
      <c r="AH40" s="67">
        <f>AH$6*'Eurostat Collected Portables'!AH33</f>
        <v>610.29094653433958</v>
      </c>
      <c r="AI40" s="67">
        <f>AI$6*'Eurostat Collected Portables'!AI33</f>
        <v>636.78416418239294</v>
      </c>
      <c r="AJ40" s="67">
        <f>AJ$6*'Eurostat Collected Portables'!AJ33</f>
        <v>664.62302037571271</v>
      </c>
      <c r="AK40" s="67">
        <f>AK$6*'Eurostat Collected Portables'!AK33</f>
        <v>693.89290098668471</v>
      </c>
      <c r="AL40" s="67">
        <f>AL$6*'Eurostat Collected Portables'!AL33</f>
        <v>724.67513207880813</v>
      </c>
      <c r="AM40" s="67">
        <f>AM$6*'Eurostat Collected Portables'!AM33</f>
        <v>757.05585686947666</v>
      </c>
      <c r="AN40" s="67">
        <f>AN$6*'Eurostat Collected Portables'!AN33</f>
        <v>791.1263239176767</v>
      </c>
      <c r="AO40" s="67">
        <f>AO$6*'Eurostat Collected Portables'!AO33</f>
        <v>826.81706755930225</v>
      </c>
      <c r="AP40" s="67">
        <f>AP$6*'Eurostat Collected Portables'!AP33</f>
        <v>862.99647973900244</v>
      </c>
      <c r="AQ40" s="67">
        <f>AQ$6*'Eurostat Collected Portables'!AQ33</f>
        <v>893.31593474508963</v>
      </c>
      <c r="AR40" s="67">
        <f>AR$6*'Eurostat Collected Portables'!AR33</f>
        <v>917.35944064853732</v>
      </c>
      <c r="AS40" s="67">
        <f>AS$6*'Eurostat Collected Portables'!AS33</f>
        <v>935.7872166017471</v>
      </c>
      <c r="AT40" s="67">
        <f>AT$6*'Eurostat Collected Portables'!AT33</f>
        <v>954.50925380167121</v>
      </c>
      <c r="AU40" s="67">
        <f>AU$6*'Eurostat Collected Portables'!AU33</f>
        <v>973.5618236432091</v>
      </c>
      <c r="AV40" s="67">
        <f>AV$6*'Eurostat Collected Portables'!AV33</f>
        <v>992.74081350545589</v>
      </c>
      <c r="AW40" s="67">
        <f>AW$6*'Eurostat Collected Portables'!AW33</f>
        <v>1012.0416787334146</v>
      </c>
      <c r="AX40" s="67">
        <f>AX$6*'Eurostat Collected Portables'!AX33</f>
        <v>1031.4596748620343</v>
      </c>
      <c r="AY40" s="67">
        <f>AY$6*'Eurostat Collected Portables'!AY33</f>
        <v>1051.2025012029894</v>
      </c>
      <c r="AZ40" s="67">
        <f>AZ$6*'Eurostat Collected Portables'!AZ33</f>
        <v>1071.2758099282414</v>
      </c>
    </row>
    <row r="41" spans="1:52" x14ac:dyDescent="0.35">
      <c r="A41" s="1" t="s">
        <v>31</v>
      </c>
      <c r="B41" s="4">
        <f t="shared" ref="B41" si="38">SUM(B10:B40)</f>
        <v>813.08778385236997</v>
      </c>
      <c r="C41" s="4">
        <f t="shared" ref="C41" si="39">SUM(C10:C40)</f>
        <v>926.92007359170202</v>
      </c>
      <c r="D41" s="4">
        <f t="shared" ref="D41:W41" si="40">SUM(D10:D40)</f>
        <v>1056.6888838945401</v>
      </c>
      <c r="E41" s="4">
        <f t="shared" si="40"/>
        <v>1204.6253276397756</v>
      </c>
      <c r="F41" s="4">
        <f t="shared" si="40"/>
        <v>1276.9028472981622</v>
      </c>
      <c r="G41" s="4">
        <f t="shared" si="40"/>
        <v>1583.3595306497214</v>
      </c>
      <c r="H41" s="4">
        <f t="shared" si="40"/>
        <v>1805.029864940682</v>
      </c>
      <c r="I41" s="4">
        <f t="shared" si="40"/>
        <v>1425.9735933031386</v>
      </c>
      <c r="J41" s="4">
        <f t="shared" si="40"/>
        <v>1654.1293682316407</v>
      </c>
      <c r="K41" s="4">
        <f t="shared" si="40"/>
        <v>1422.5512566792111</v>
      </c>
      <c r="L41" s="4">
        <f t="shared" si="40"/>
        <v>1792.4145834158057</v>
      </c>
      <c r="M41" s="4">
        <f t="shared" si="40"/>
        <v>2276.3665209380742</v>
      </c>
      <c r="N41" s="4">
        <f t="shared" si="40"/>
        <v>2758.3790377051296</v>
      </c>
      <c r="O41" s="4">
        <f t="shared" si="40"/>
        <v>3420.8885242096694</v>
      </c>
      <c r="P41" s="4">
        <f t="shared" si="40"/>
        <v>3376.3294166039186</v>
      </c>
      <c r="Q41" s="4">
        <f t="shared" si="40"/>
        <v>3562.6020765631647</v>
      </c>
      <c r="R41" s="4">
        <f t="shared" si="40"/>
        <v>3899.1811007933957</v>
      </c>
      <c r="S41" s="4">
        <f t="shared" si="40"/>
        <v>5306.2420113502976</v>
      </c>
      <c r="T41" s="4">
        <f t="shared" si="40"/>
        <v>3248.9550734423501</v>
      </c>
      <c r="U41" s="4">
        <f t="shared" si="40"/>
        <v>3022.977351385452</v>
      </c>
      <c r="V41" s="4">
        <f t="shared" si="40"/>
        <v>2409.5160280464215</v>
      </c>
      <c r="W41" s="4">
        <f t="shared" si="40"/>
        <v>2661.1751716270851</v>
      </c>
      <c r="X41" s="4">
        <f t="shared" ref="X41:AZ41" si="41">SUM(X10:X40)</f>
        <v>2742.7012591821021</v>
      </c>
      <c r="Y41" s="4">
        <f t="shared" si="41"/>
        <v>2872.5631544718804</v>
      </c>
      <c r="Z41" s="4">
        <f t="shared" si="41"/>
        <v>2987.9542236023763</v>
      </c>
      <c r="AA41" s="4">
        <f t="shared" si="41"/>
        <v>3128.7235465048052</v>
      </c>
      <c r="AB41" s="4">
        <f t="shared" si="41"/>
        <v>3267.4101269944526</v>
      </c>
      <c r="AC41" s="4">
        <f t="shared" si="41"/>
        <v>3408.0812191888599</v>
      </c>
      <c r="AD41" s="4">
        <f t="shared" si="41"/>
        <v>3558.414549819488</v>
      </c>
      <c r="AE41" s="4">
        <f t="shared" si="41"/>
        <v>3737.5558119814427</v>
      </c>
      <c r="AF41" s="4">
        <f t="shared" si="41"/>
        <v>3942.6817433460069</v>
      </c>
      <c r="AG41" s="4">
        <f t="shared" si="41"/>
        <v>4143.8330848091691</v>
      </c>
      <c r="AH41" s="4">
        <f t="shared" si="41"/>
        <v>4334.8098705166749</v>
      </c>
      <c r="AI41" s="4">
        <f t="shared" si="41"/>
        <v>4513.4651235113533</v>
      </c>
      <c r="AJ41" s="4">
        <f t="shared" si="41"/>
        <v>4701.0507403704305</v>
      </c>
      <c r="AK41" s="4">
        <f t="shared" si="41"/>
        <v>4898.123748283675</v>
      </c>
      <c r="AL41" s="4">
        <f t="shared" si="41"/>
        <v>5105.2148058220091</v>
      </c>
      <c r="AM41" s="4">
        <f t="shared" si="41"/>
        <v>5322.8855977780504</v>
      </c>
      <c r="AN41" s="4">
        <f t="shared" si="41"/>
        <v>5551.7306682970748</v>
      </c>
      <c r="AO41" s="4">
        <f t="shared" si="41"/>
        <v>5791.2027972771484</v>
      </c>
      <c r="AP41" s="4">
        <f t="shared" si="41"/>
        <v>6033.3529020811293</v>
      </c>
      <c r="AQ41" s="4">
        <f t="shared" si="41"/>
        <v>6233.8491030279001</v>
      </c>
      <c r="AR41" s="4">
        <f t="shared" si="41"/>
        <v>6390.0653116699659</v>
      </c>
      <c r="AS41" s="4">
        <f t="shared" si="41"/>
        <v>6506.8327648132536</v>
      </c>
      <c r="AT41" s="4">
        <f t="shared" si="41"/>
        <v>6625.4188094536039</v>
      </c>
      <c r="AU41" s="4">
        <f t="shared" si="41"/>
        <v>6746.0515295178902</v>
      </c>
      <c r="AV41" s="4">
        <f t="shared" si="41"/>
        <v>6867.2973783892057</v>
      </c>
      <c r="AW41" s="4">
        <f t="shared" si="41"/>
        <v>6989.1262024686512</v>
      </c>
      <c r="AX41" s="4">
        <f t="shared" si="41"/>
        <v>7111.5065783125938</v>
      </c>
      <c r="AY41" s="4">
        <f t="shared" si="41"/>
        <v>7235.8861850803733</v>
      </c>
      <c r="AZ41" s="4">
        <f t="shared" si="41"/>
        <v>7362.2991424482007</v>
      </c>
    </row>
    <row r="42" spans="1:52" x14ac:dyDescent="0.35">
      <c r="A42" s="1" t="s">
        <v>68</v>
      </c>
      <c r="B42" s="45">
        <f>_xlfn.RRI(1,B41,C41)</f>
        <v>0.14000000000000035</v>
      </c>
      <c r="C42" s="45">
        <f t="shared" ref="C42:AZ42" si="42">_xlfn.RRI(1,C41,D41)</f>
        <v>0.1399999999999999</v>
      </c>
      <c r="D42" s="45">
        <f t="shared" si="42"/>
        <v>0.1399999999999999</v>
      </c>
      <c r="E42" s="45">
        <f t="shared" si="42"/>
        <v>6.0000000000000053E-2</v>
      </c>
      <c r="F42" s="45">
        <f t="shared" si="42"/>
        <v>0.24000000000000021</v>
      </c>
      <c r="G42" s="45">
        <f t="shared" si="42"/>
        <v>0.1399999999999999</v>
      </c>
      <c r="H42" s="45">
        <f t="shared" si="42"/>
        <v>-0.21000000000000008</v>
      </c>
      <c r="I42" s="45">
        <f t="shared" si="42"/>
        <v>0.15999999999999992</v>
      </c>
      <c r="J42" s="45">
        <f t="shared" si="42"/>
        <v>-0.1399999999999999</v>
      </c>
      <c r="K42" s="45">
        <f t="shared" si="42"/>
        <v>0.25999999999999979</v>
      </c>
      <c r="L42" s="45">
        <f t="shared" si="42"/>
        <v>0.27000000000000046</v>
      </c>
      <c r="M42" s="45">
        <f t="shared" si="42"/>
        <v>0.21174644431531231</v>
      </c>
      <c r="N42" s="45">
        <f t="shared" si="42"/>
        <v>0.24018072840914684</v>
      </c>
      <c r="O42" s="45">
        <f t="shared" si="42"/>
        <v>-1.3025594751306713E-2</v>
      </c>
      <c r="P42" s="45">
        <f t="shared" si="42"/>
        <v>5.5170167651060753E-2</v>
      </c>
      <c r="Q42" s="45">
        <f t="shared" si="42"/>
        <v>9.4475615574481475E-2</v>
      </c>
      <c r="R42" s="45">
        <f t="shared" si="42"/>
        <v>0.36086062026475174</v>
      </c>
      <c r="S42" s="45">
        <f t="shared" si="42"/>
        <v>-0.38771072512473337</v>
      </c>
      <c r="T42" s="45">
        <f t="shared" si="42"/>
        <v>-6.9553969491325973E-2</v>
      </c>
      <c r="U42" s="45">
        <f t="shared" si="42"/>
        <v>-0.20293282153036207</v>
      </c>
      <c r="V42" s="45">
        <f t="shared" si="42"/>
        <v>0.1044438553848106</v>
      </c>
      <c r="W42" s="45">
        <f t="shared" si="42"/>
        <v>3.0635370577717591E-2</v>
      </c>
      <c r="X42" s="39">
        <f t="shared" si="42"/>
        <v>4.7348173577061115E-2</v>
      </c>
      <c r="Y42" s="39">
        <f t="shared" si="42"/>
        <v>4.0170072136050505E-2</v>
      </c>
      <c r="Z42" s="39">
        <f t="shared" si="42"/>
        <v>4.7112275613350185E-2</v>
      </c>
      <c r="AA42" s="39">
        <f t="shared" si="42"/>
        <v>4.4326888722584279E-2</v>
      </c>
      <c r="AB42" s="39">
        <f t="shared" si="42"/>
        <v>4.3052780865254991E-2</v>
      </c>
      <c r="AC42" s="39">
        <f t="shared" si="42"/>
        <v>4.4110841544559243E-2</v>
      </c>
      <c r="AD42" s="39">
        <f t="shared" si="42"/>
        <v>5.0342999572953628E-2</v>
      </c>
      <c r="AE42" s="39">
        <f t="shared" si="42"/>
        <v>5.48823727814296E-2</v>
      </c>
      <c r="AF42" s="39">
        <f t="shared" si="42"/>
        <v>5.1018914169940643E-2</v>
      </c>
      <c r="AG42" s="39">
        <f t="shared" si="42"/>
        <v>4.6086988013007923E-2</v>
      </c>
      <c r="AH42" s="39">
        <f t="shared" si="42"/>
        <v>4.1214092043530437E-2</v>
      </c>
      <c r="AI42" s="39">
        <f t="shared" si="42"/>
        <v>4.1561330757141413E-2</v>
      </c>
      <c r="AJ42" s="39">
        <f t="shared" si="42"/>
        <v>4.1921055269808827E-2</v>
      </c>
      <c r="AK42" s="39">
        <f t="shared" si="42"/>
        <v>4.227967037600866E-2</v>
      </c>
      <c r="AL42" s="39">
        <f t="shared" si="42"/>
        <v>4.2636950693594411E-2</v>
      </c>
      <c r="AM42" s="39">
        <f t="shared" si="42"/>
        <v>4.2992671233541335E-2</v>
      </c>
      <c r="AN42" s="39">
        <f t="shared" si="42"/>
        <v>4.3134680568632344E-2</v>
      </c>
      <c r="AO42" s="39">
        <f t="shared" si="42"/>
        <v>4.1813438983320017E-2</v>
      </c>
      <c r="AP42" s="39">
        <f t="shared" si="42"/>
        <v>3.3231306737852462E-2</v>
      </c>
      <c r="AQ42" s="39">
        <f t="shared" si="42"/>
        <v>2.5059350340416175E-2</v>
      </c>
      <c r="AR42" s="39">
        <f t="shared" si="42"/>
        <v>1.8273280075876475E-2</v>
      </c>
      <c r="AS42" s="39">
        <f t="shared" si="42"/>
        <v>1.8224849005129329E-2</v>
      </c>
      <c r="AT42" s="39">
        <f t="shared" si="42"/>
        <v>1.820756144383795E-2</v>
      </c>
      <c r="AU42" s="39">
        <f t="shared" si="42"/>
        <v>1.7972861360574299E-2</v>
      </c>
      <c r="AV42" s="39">
        <f t="shared" si="42"/>
        <v>1.7740432278763762E-2</v>
      </c>
      <c r="AW42" s="39">
        <f t="shared" si="42"/>
        <v>1.7510111035155651E-2</v>
      </c>
      <c r="AX42" s="39">
        <f t="shared" si="42"/>
        <v>1.7489909542809157E-2</v>
      </c>
      <c r="AY42" s="39">
        <f t="shared" si="42"/>
        <v>1.747027995388839E-2</v>
      </c>
      <c r="AZ42" s="39">
        <f t="shared" si="42"/>
        <v>-1</v>
      </c>
    </row>
    <row r="43" spans="1:52" x14ac:dyDescent="0.35"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52" x14ac:dyDescent="0.35">
      <c r="A44" s="24" t="s">
        <v>46</v>
      </c>
      <c r="B44" s="24"/>
      <c r="C44" s="24"/>
      <c r="D44" s="24"/>
      <c r="E44" s="24"/>
      <c r="F44" s="24"/>
      <c r="G44" s="6"/>
      <c r="H44" s="6"/>
      <c r="I44" s="6"/>
      <c r="J44" s="6"/>
      <c r="K44" s="6"/>
      <c r="L44" s="6"/>
    </row>
  </sheetData>
  <mergeCells count="1">
    <mergeCell ref="X8:AZ8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0785-B927-4F47-A76D-C08710C67603}">
  <sheetPr>
    <tabColor theme="7" tint="0.79998168889431442"/>
  </sheetPr>
  <dimension ref="A1:AZ44"/>
  <sheetViews>
    <sheetView zoomScale="70" zoomScaleNormal="70" workbookViewId="0"/>
  </sheetViews>
  <sheetFormatPr baseColWidth="10" defaultRowHeight="14.5" x14ac:dyDescent="0.35"/>
  <cols>
    <col min="1" max="1" width="30" customWidth="1"/>
    <col min="2" max="3" width="12.6328125" customWidth="1"/>
    <col min="4" max="4" width="12" customWidth="1"/>
    <col min="5" max="12" width="11" customWidth="1"/>
    <col min="13" max="22" width="11.26953125" bestFit="1" customWidth="1"/>
  </cols>
  <sheetData>
    <row r="1" spans="1:52" x14ac:dyDescent="0.35">
      <c r="A1" s="1" t="s">
        <v>66</v>
      </c>
      <c r="B1" s="1" t="s">
        <v>73</v>
      </c>
      <c r="C1" s="1" t="s">
        <v>74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5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52" x14ac:dyDescent="0.35">
      <c r="A3" t="s">
        <v>35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  <c r="Z3" s="10">
        <v>2024</v>
      </c>
      <c r="AA3" s="10">
        <v>2025</v>
      </c>
      <c r="AB3" s="10">
        <v>2026</v>
      </c>
      <c r="AC3" s="10">
        <v>2027</v>
      </c>
      <c r="AD3" s="10">
        <v>2028</v>
      </c>
      <c r="AE3" s="10">
        <v>2029</v>
      </c>
      <c r="AF3" s="10">
        <v>2030</v>
      </c>
      <c r="AG3" s="10">
        <v>2031</v>
      </c>
      <c r="AH3" s="10">
        <v>2032</v>
      </c>
      <c r="AI3" s="10">
        <v>2033</v>
      </c>
      <c r="AJ3" s="10">
        <v>2034</v>
      </c>
      <c r="AK3" s="10">
        <v>2035</v>
      </c>
      <c r="AL3" s="10">
        <v>2036</v>
      </c>
      <c r="AM3" s="10">
        <v>2037</v>
      </c>
      <c r="AN3" s="10">
        <v>2038</v>
      </c>
      <c r="AO3" s="10">
        <v>2039</v>
      </c>
      <c r="AP3" s="10">
        <v>2040</v>
      </c>
      <c r="AQ3" s="10">
        <v>2041</v>
      </c>
      <c r="AR3" s="10">
        <v>2042</v>
      </c>
      <c r="AS3" s="10">
        <v>2043</v>
      </c>
      <c r="AT3" s="10">
        <v>2044</v>
      </c>
      <c r="AU3" s="10">
        <v>2045</v>
      </c>
      <c r="AV3" s="10">
        <v>2046</v>
      </c>
      <c r="AW3" s="10">
        <v>2047</v>
      </c>
      <c r="AX3" s="10">
        <v>2048</v>
      </c>
      <c r="AY3" s="10">
        <v>2049</v>
      </c>
      <c r="AZ3" s="10">
        <v>2050</v>
      </c>
    </row>
    <row r="4" spans="1:52" x14ac:dyDescent="0.35">
      <c r="A4" s="8" t="s">
        <v>10</v>
      </c>
      <c r="B4" s="27"/>
      <c r="C4" s="27"/>
      <c r="D4" s="20"/>
      <c r="E4" s="20"/>
      <c r="F4" s="20"/>
      <c r="G4" s="20"/>
      <c r="H4" s="20"/>
      <c r="I4" s="20"/>
      <c r="J4" s="20"/>
      <c r="K4" s="20"/>
      <c r="L4" s="20"/>
      <c r="M4" s="12">
        <v>6.1108093427485063E-2</v>
      </c>
      <c r="N4" s="12">
        <v>5.7197987733443596E-2</v>
      </c>
      <c r="O4" s="12">
        <v>6.0867804845131247E-2</v>
      </c>
      <c r="P4" s="12">
        <v>5.700206432709596E-2</v>
      </c>
      <c r="Q4" s="12">
        <v>5.7657306292251694E-2</v>
      </c>
      <c r="R4" s="12">
        <v>5.4998747181157603E-2</v>
      </c>
      <c r="S4" s="12">
        <v>6.2939533960553407E-2</v>
      </c>
      <c r="T4" s="12">
        <v>5.6071523154616769E-2</v>
      </c>
      <c r="U4" s="12">
        <v>3.8846922084220387E-2</v>
      </c>
      <c r="V4" s="12">
        <v>4.9062430164760383E-2</v>
      </c>
      <c r="W4" s="12">
        <v>4.0372155990551051E-2</v>
      </c>
    </row>
    <row r="5" spans="1:52" x14ac:dyDescent="0.35">
      <c r="A5" s="8" t="s">
        <v>28</v>
      </c>
      <c r="B5" s="27"/>
      <c r="C5" s="27"/>
      <c r="D5" s="20"/>
      <c r="E5" s="20"/>
      <c r="F5" s="20"/>
      <c r="G5" s="20"/>
      <c r="H5" s="20"/>
      <c r="I5" s="20"/>
      <c r="J5" s="20"/>
      <c r="K5" s="20"/>
      <c r="L5" s="20"/>
      <c r="M5" s="12">
        <v>5.4298642533936646E-2</v>
      </c>
      <c r="N5" s="12">
        <v>5.0033523298692588E-2</v>
      </c>
      <c r="O5" s="12">
        <v>5.4059280130383136E-2</v>
      </c>
      <c r="P5" s="12">
        <v>5.1504304351684765E-2</v>
      </c>
      <c r="Q5" s="12">
        <v>5.1189127972819937E-2</v>
      </c>
      <c r="R5" s="12">
        <v>5.8080808080808073E-2</v>
      </c>
      <c r="S5" s="12">
        <v>5.2608858318703787E-2</v>
      </c>
      <c r="T5" s="12">
        <v>3.5901130916951227E-2</v>
      </c>
      <c r="U5" s="13"/>
      <c r="V5" s="13"/>
      <c r="W5" s="13"/>
    </row>
    <row r="6" spans="1:52" x14ac:dyDescent="0.35">
      <c r="A6" s="14" t="s">
        <v>32</v>
      </c>
      <c r="B6" s="28"/>
      <c r="C6" s="28"/>
      <c r="D6" s="21"/>
      <c r="E6" s="21"/>
      <c r="F6" s="21"/>
      <c r="G6" s="21"/>
      <c r="H6" s="21"/>
      <c r="I6" s="21"/>
      <c r="J6" s="21"/>
      <c r="K6" s="21"/>
      <c r="L6" s="21"/>
      <c r="M6" s="15">
        <v>6.0390962990270781E-2</v>
      </c>
      <c r="N6" s="15">
        <v>5.643973472228956E-2</v>
      </c>
      <c r="O6" s="15">
        <v>6.0143513139336906E-2</v>
      </c>
      <c r="P6" s="15">
        <v>5.6414198175693944E-2</v>
      </c>
      <c r="Q6" s="15">
        <v>5.6964489652819895E-2</v>
      </c>
      <c r="R6" s="15">
        <v>5.5330198041866369E-2</v>
      </c>
      <c r="S6" s="15">
        <v>6.1818861448625105E-2</v>
      </c>
      <c r="T6" s="15">
        <v>5.386658265868368E-2</v>
      </c>
      <c r="U6" s="15">
        <v>3.8846922084220387E-2</v>
      </c>
      <c r="V6" s="16">
        <v>4.9062430164760383E-2</v>
      </c>
      <c r="W6" s="16">
        <v>4.0372155990551051E-2</v>
      </c>
      <c r="X6" s="104">
        <f>'Weighted Average'!X27</f>
        <v>3.0557260819024653E-2</v>
      </c>
      <c r="Y6" s="104">
        <f>'Weighted Average'!Y27</f>
        <v>2.7540000000000002E-2</v>
      </c>
      <c r="Z6" s="104">
        <f>'Weighted Average'!Z27</f>
        <v>2.4786000000000002E-2</v>
      </c>
      <c r="AA6" s="104">
        <f>'Weighted Average'!AA27</f>
        <v>2.2307400000000002E-2</v>
      </c>
      <c r="AB6" s="104">
        <f>'Weighted Average'!AB27</f>
        <v>2.0076660000000003E-2</v>
      </c>
      <c r="AC6" s="104">
        <f>'Weighted Average'!AC27</f>
        <v>1.8068994000000001E-2</v>
      </c>
      <c r="AD6" s="104">
        <f>'Weighted Average'!AD27</f>
        <v>1.6262094600000002E-2</v>
      </c>
      <c r="AE6" s="104">
        <f>'Weighted Average'!AE27</f>
        <v>1.4635885140000002E-2</v>
      </c>
      <c r="AF6" s="104">
        <f>'Weighted Average'!AF27</f>
        <v>1.3172296626000002E-2</v>
      </c>
      <c r="AG6" s="104">
        <f>'Weighted Average'!AG27</f>
        <v>1.1855066963400001E-2</v>
      </c>
      <c r="AH6" s="104">
        <f>'Weighted Average'!AH27</f>
        <v>1.0669560267060001E-2</v>
      </c>
      <c r="AI6" s="104">
        <f>'Weighted Average'!AI27</f>
        <v>9.6026042403540013E-3</v>
      </c>
      <c r="AJ6" s="104">
        <f>'Weighted Average'!AJ27</f>
        <v>8.6423438163186015E-3</v>
      </c>
      <c r="AK6" s="104">
        <f>'Weighted Average'!AK27</f>
        <v>0</v>
      </c>
      <c r="AL6" s="104">
        <f>'Weighted Average'!AL27</f>
        <v>0</v>
      </c>
      <c r="AM6" s="104">
        <f>'Weighted Average'!AM27</f>
        <v>0</v>
      </c>
      <c r="AN6" s="104">
        <f>'Weighted Average'!AN27</f>
        <v>0</v>
      </c>
      <c r="AO6" s="104">
        <f>'Weighted Average'!AO27</f>
        <v>0</v>
      </c>
      <c r="AP6" s="104">
        <f>'Weighted Average'!AP27</f>
        <v>0</v>
      </c>
      <c r="AQ6" s="104">
        <f>'Weighted Average'!AQ27</f>
        <v>0</v>
      </c>
      <c r="AR6" s="104">
        <f>'Weighted Average'!AR27</f>
        <v>0</v>
      </c>
      <c r="AS6" s="104">
        <f>'Weighted Average'!AS27</f>
        <v>0</v>
      </c>
      <c r="AT6" s="104">
        <f>'Weighted Average'!AT27</f>
        <v>0</v>
      </c>
      <c r="AU6" s="104">
        <f>'Weighted Average'!AU27</f>
        <v>0</v>
      </c>
      <c r="AV6" s="104">
        <f>'Weighted Average'!AV27</f>
        <v>0</v>
      </c>
      <c r="AW6" s="104">
        <f>'Weighted Average'!AW27</f>
        <v>0</v>
      </c>
      <c r="AX6" s="104">
        <f>'Weighted Average'!AX27</f>
        <v>0</v>
      </c>
      <c r="AY6" s="104">
        <f>'Weighted Average'!AY27</f>
        <v>0</v>
      </c>
      <c r="AZ6" s="104">
        <f>'Weighted Average'!AZ27</f>
        <v>0</v>
      </c>
    </row>
    <row r="7" spans="1:52" x14ac:dyDescent="0.35">
      <c r="A7" s="1"/>
      <c r="B7" s="29"/>
      <c r="C7" s="29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7"/>
      <c r="W7" s="7"/>
      <c r="X7" s="6" t="s">
        <v>78</v>
      </c>
    </row>
    <row r="8" spans="1:52" x14ac:dyDescent="0.35">
      <c r="A8" s="1"/>
      <c r="B8" s="1"/>
      <c r="C8" s="1"/>
      <c r="D8" s="9"/>
      <c r="E8" s="9"/>
      <c r="F8" s="9"/>
      <c r="G8" s="9"/>
      <c r="H8" s="9"/>
      <c r="I8" s="9"/>
      <c r="J8" s="9"/>
      <c r="K8" s="9"/>
      <c r="L8" s="9"/>
      <c r="M8" s="1"/>
      <c r="N8" s="1"/>
      <c r="O8" s="1"/>
      <c r="P8" s="1"/>
      <c r="Q8" s="1"/>
      <c r="R8" s="1"/>
      <c r="S8" s="1"/>
      <c r="T8" s="1"/>
      <c r="U8" s="1"/>
      <c r="V8" s="7"/>
      <c r="X8" s="105" t="s">
        <v>79</v>
      </c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</row>
    <row r="9" spans="1:52" x14ac:dyDescent="0.35">
      <c r="A9" s="1"/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 s="1">
        <v>2011</v>
      </c>
      <c r="N9" s="1">
        <v>2012</v>
      </c>
      <c r="O9" s="1">
        <v>2013</v>
      </c>
      <c r="P9" s="1">
        <v>2014</v>
      </c>
      <c r="Q9" s="1">
        <v>2015</v>
      </c>
      <c r="R9" s="1">
        <v>2016</v>
      </c>
      <c r="S9" s="1">
        <v>2017</v>
      </c>
      <c r="T9" s="1">
        <v>2018</v>
      </c>
      <c r="U9" s="1">
        <v>2019</v>
      </c>
      <c r="V9" s="1">
        <v>2020</v>
      </c>
      <c r="W9" s="1">
        <v>2021</v>
      </c>
      <c r="X9" s="47">
        <v>2022</v>
      </c>
      <c r="Y9" s="47">
        <v>2023</v>
      </c>
      <c r="Z9" s="47">
        <v>2024</v>
      </c>
      <c r="AA9" s="47">
        <v>2025</v>
      </c>
      <c r="AB9" s="47">
        <v>2026</v>
      </c>
      <c r="AC9" s="47">
        <v>2027</v>
      </c>
      <c r="AD9" s="47">
        <v>2028</v>
      </c>
      <c r="AE9" s="47">
        <v>2029</v>
      </c>
      <c r="AF9" s="47">
        <v>2030</v>
      </c>
      <c r="AG9" s="47">
        <v>2031</v>
      </c>
      <c r="AH9" s="47">
        <v>2032</v>
      </c>
      <c r="AI9" s="47">
        <v>2033</v>
      </c>
      <c r="AJ9" s="47">
        <v>2034</v>
      </c>
      <c r="AK9" s="47">
        <v>2035</v>
      </c>
      <c r="AL9" s="47">
        <v>2036</v>
      </c>
      <c r="AM9" s="47">
        <v>2037</v>
      </c>
      <c r="AN9" s="47">
        <v>2038</v>
      </c>
      <c r="AO9" s="47">
        <v>2039</v>
      </c>
      <c r="AP9" s="47">
        <v>2040</v>
      </c>
      <c r="AQ9" s="47">
        <v>2041</v>
      </c>
      <c r="AR9" s="47">
        <v>2042</v>
      </c>
      <c r="AS9" s="47">
        <v>2043</v>
      </c>
      <c r="AT9" s="47">
        <v>2044</v>
      </c>
      <c r="AU9" s="47">
        <v>2045</v>
      </c>
      <c r="AV9" s="47">
        <v>2046</v>
      </c>
      <c r="AW9" s="47">
        <v>2047</v>
      </c>
      <c r="AX9" s="47">
        <v>2048</v>
      </c>
      <c r="AY9" s="47">
        <v>2049</v>
      </c>
      <c r="AZ9" s="47">
        <v>2050</v>
      </c>
    </row>
    <row r="10" spans="1:52" x14ac:dyDescent="0.35">
      <c r="A10" s="1" t="s">
        <v>0</v>
      </c>
      <c r="B10" s="23">
        <f>C10/1.1</f>
        <v>150.57943115684623</v>
      </c>
      <c r="C10" s="23">
        <f>D10/1.1</f>
        <v>165.63737427253088</v>
      </c>
      <c r="D10" s="23">
        <f>E10/1.11</f>
        <v>182.20111169978398</v>
      </c>
      <c r="E10" s="23">
        <f>F10/1.23</f>
        <v>202.24323398676023</v>
      </c>
      <c r="F10" s="23">
        <f>G10/(1-0.21)</f>
        <v>248.75917780371509</v>
      </c>
      <c r="G10" s="23">
        <f>H10/1.37</f>
        <v>196.51975046493493</v>
      </c>
      <c r="H10" s="23">
        <f>I10/(1-0.39)</f>
        <v>269.23205813696086</v>
      </c>
      <c r="I10" s="23">
        <f>J10/(1-0.08)</f>
        <v>164.23155546354613</v>
      </c>
      <c r="J10" s="23">
        <f>K10/(1-0.22)</f>
        <v>151.09303102646246</v>
      </c>
      <c r="K10" s="23">
        <f>L10/(1-0.39)</f>
        <v>117.85256420064073</v>
      </c>
      <c r="L10" s="23">
        <f>M10/1.46</f>
        <v>71.890064162390843</v>
      </c>
      <c r="M10" s="4">
        <f>$M$6*'Eurostat Collected Portables'!M3</f>
        <v>104.95949367709062</v>
      </c>
      <c r="N10" s="4">
        <f>$N$6*'Eurostat Collected Portables'!N3</f>
        <v>107.74345358485077</v>
      </c>
      <c r="O10" s="4">
        <f>$O$6*'Eurostat Collected Portables'!O3</f>
        <v>118.84358196332973</v>
      </c>
      <c r="P10" s="4">
        <f>$P$6*'Eurostat Collected Portables'!P3</f>
        <v>118.3005735744302</v>
      </c>
      <c r="Q10" s="4">
        <f>$Q$6*'Eurostat Collected Portables'!Q3</f>
        <v>130.96136171183295</v>
      </c>
      <c r="R10" s="4">
        <f>$R$6*'Eurostat Collected Portables'!R3</f>
        <v>121.06247331560361</v>
      </c>
      <c r="S10" s="4">
        <f>$S$6*'Eurostat Collected Portables'!S3</f>
        <v>130.87052968673936</v>
      </c>
      <c r="T10" s="4">
        <f>$T$6*'Eurostat Collected Portables'!T3</f>
        <v>122.27714263521196</v>
      </c>
      <c r="U10" s="4">
        <f>$U$6*'Eurostat Collected Portables'!U3</f>
        <v>92.300286872107634</v>
      </c>
      <c r="V10" s="4">
        <f>$V$6*'Eurostat Collected Portables'!V3</f>
        <v>138.79761493610712</v>
      </c>
      <c r="W10" s="4">
        <f>$W$6*'Eurostat Collected Portables'!W3</f>
        <v>111.83087209382641</v>
      </c>
      <c r="X10" s="67">
        <f>X$6*'Eurostat Collected Portables'!X3</f>
        <v>88.493791165011075</v>
      </c>
      <c r="Y10" s="67">
        <f>Y$6*'Eurostat Collected Portables'!Y3</f>
        <v>81.901052718373805</v>
      </c>
      <c r="Z10" s="67">
        <f>Z$6*'Eurostat Collected Portables'!Z3</f>
        <v>77.591326031317536</v>
      </c>
      <c r="AA10" s="67">
        <f>AA$6*'Eurostat Collected Portables'!AA3</f>
        <v>73.63097617810169</v>
      </c>
      <c r="AB10" s="67">
        <f>AB$6*'Eurostat Collected Portables'!AB3</f>
        <v>69.705480576564923</v>
      </c>
      <c r="AC10" s="67">
        <f>AC$6*'Eurostat Collected Portables'!AC3</f>
        <v>65.919669762151656</v>
      </c>
      <c r="AD10" s="67">
        <f>AD$6*'Eurostat Collected Portables'!AD3</f>
        <v>62.403171184813907</v>
      </c>
      <c r="AE10" s="67">
        <f>AE$6*'Eurostat Collected Portables'!AE3</f>
        <v>59.411613799277994</v>
      </c>
      <c r="AF10" s="67">
        <f>AF$6*'Eurostat Collected Portables'!AF3</f>
        <v>56.797362467859621</v>
      </c>
      <c r="AG10" s="67">
        <f>AG$6*'Eurostat Collected Portables'!AG3</f>
        <v>54.09515786057753</v>
      </c>
      <c r="AH10" s="67">
        <f>AH$6*'Eurostat Collected Portables'!AH3</f>
        <v>51.278234132091292</v>
      </c>
      <c r="AI10" s="67">
        <f>AI$6*'Eurostat Collected Portables'!AI3</f>
        <v>48.380103029299008</v>
      </c>
      <c r="AJ10" s="67">
        <f>AJ$6*'Eurostat Collected Portables'!AJ3</f>
        <v>45.659490591721337</v>
      </c>
      <c r="AK10" s="67">
        <f>AK$6*'Eurostat Collected Portables'!AK3</f>
        <v>0</v>
      </c>
      <c r="AL10" s="67">
        <f>AL$6*'Eurostat Collected Portables'!AL3</f>
        <v>0</v>
      </c>
      <c r="AM10" s="67">
        <f>AM$6*'Eurostat Collected Portables'!AM3</f>
        <v>0</v>
      </c>
      <c r="AN10" s="67">
        <f>AN$6*'Eurostat Collected Portables'!AN3</f>
        <v>0</v>
      </c>
      <c r="AO10" s="67">
        <f>AO$6*'Eurostat Collected Portables'!AO3</f>
        <v>0</v>
      </c>
      <c r="AP10" s="67">
        <f>AP$6*'Eurostat Collected Portables'!AP3</f>
        <v>0</v>
      </c>
      <c r="AQ10" s="67">
        <f>AQ$6*'Eurostat Collected Portables'!AQ3</f>
        <v>0</v>
      </c>
      <c r="AR10" s="67">
        <f>AR$6*'Eurostat Collected Portables'!AR3</f>
        <v>0</v>
      </c>
      <c r="AS10" s="67">
        <f>AS$6*'Eurostat Collected Portables'!AS3</f>
        <v>0</v>
      </c>
      <c r="AT10" s="67">
        <f>AT$6*'Eurostat Collected Portables'!AT3</f>
        <v>0</v>
      </c>
      <c r="AU10" s="67">
        <f>AU$6*'Eurostat Collected Portables'!AU3</f>
        <v>0</v>
      </c>
      <c r="AV10" s="67">
        <f>AV$6*'Eurostat Collected Portables'!AV3</f>
        <v>0</v>
      </c>
      <c r="AW10" s="67">
        <f>AW$6*'Eurostat Collected Portables'!AW3</f>
        <v>0</v>
      </c>
      <c r="AX10" s="67">
        <f>AX$6*'Eurostat Collected Portables'!AX3</f>
        <v>0</v>
      </c>
      <c r="AY10" s="67">
        <f>AY$6*'Eurostat Collected Portables'!AY3</f>
        <v>0</v>
      </c>
      <c r="AZ10" s="67">
        <f>AZ$6*'Eurostat Collected Portables'!AZ3</f>
        <v>0</v>
      </c>
    </row>
    <row r="11" spans="1:52" x14ac:dyDescent="0.35">
      <c r="A11" s="1" t="s">
        <v>1</v>
      </c>
      <c r="B11" s="23">
        <f t="shared" ref="B11:C11" si="0">C11/1.1</f>
        <v>193.11942005098405</v>
      </c>
      <c r="C11" s="23">
        <f t="shared" si="0"/>
        <v>212.43136205608246</v>
      </c>
      <c r="D11" s="23">
        <f t="shared" ref="D11:D40" si="1">E11/1.11</f>
        <v>233.67449826169073</v>
      </c>
      <c r="E11" s="23">
        <f t="shared" ref="E11:E40" si="2">F11/1.23</f>
        <v>259.37869307047674</v>
      </c>
      <c r="F11" s="23">
        <f t="shared" ref="F11:F40" si="3">G11/(1-0.21)</f>
        <v>319.03579247668637</v>
      </c>
      <c r="G11" s="23">
        <f t="shared" ref="G11:G40" si="4">H11/1.37</f>
        <v>252.03827605658225</v>
      </c>
      <c r="H11" s="23">
        <f t="shared" ref="H11:H40" si="5">I11/(1-0.39)</f>
        <v>345.2924381975177</v>
      </c>
      <c r="I11" s="23">
        <f t="shared" ref="I11:I40" si="6">J11/(1-0.08)</f>
        <v>210.6283873004858</v>
      </c>
      <c r="J11" s="23">
        <f t="shared" ref="J11:J40" si="7">K11/(1-0.22)</f>
        <v>193.77811631644695</v>
      </c>
      <c r="K11" s="23">
        <f t="shared" ref="K11:K40" si="8">L11/(1-0.39)</f>
        <v>151.14693072682863</v>
      </c>
      <c r="L11" s="23">
        <f t="shared" ref="L11:L40" si="9">M11/1.46</f>
        <v>92.199627743365468</v>
      </c>
      <c r="M11" s="4">
        <f>$M$6*'Eurostat Collected Portables'!M4</f>
        <v>134.61145650531358</v>
      </c>
      <c r="N11" s="4">
        <f>$N$6*'Eurostat Collected Portables'!N4</f>
        <v>128.28751702376417</v>
      </c>
      <c r="O11" s="4">
        <f>$O$6*'Eurostat Collected Portables'!O4</f>
        <v>138.20979319419621</v>
      </c>
      <c r="P11" s="4">
        <f>$P$6*'Eurostat Collected Portables'!P4</f>
        <v>132.1784663256509</v>
      </c>
      <c r="Q11" s="4">
        <f>$Q$6*'Eurostat Collected Portables'!Q4</f>
        <v>138.87942577357489</v>
      </c>
      <c r="R11" s="4">
        <f>$R$6*'Eurostat Collected Portables'!R4</f>
        <v>174.45611442600466</v>
      </c>
      <c r="S11" s="4">
        <f>$S$6*'Eurostat Collected Portables'!S4</f>
        <v>173.89645725498241</v>
      </c>
      <c r="T11" s="4">
        <f>$T$6*'Eurostat Collected Portables'!T4</f>
        <v>158.09842010323661</v>
      </c>
      <c r="U11" s="4">
        <f>$U$6*'Eurostat Collected Portables'!U4</f>
        <v>131.49683125508602</v>
      </c>
      <c r="V11" s="4">
        <f>$V$6*'Eurostat Collected Portables'!V4</f>
        <v>154.49759258883046</v>
      </c>
      <c r="W11" s="4">
        <f>$W$6*'Eurostat Collected Portables'!W4</f>
        <v>136.94235311994916</v>
      </c>
      <c r="X11" s="67">
        <f>X$6*'Eurostat Collected Portables'!X4</f>
        <v>110.17171927762341</v>
      </c>
      <c r="Y11" s="67">
        <f>Y$6*'Eurostat Collected Portables'!Y4</f>
        <v>105.55392150255099</v>
      </c>
      <c r="Z11" s="67">
        <f>Z$6*'Eurostat Collected Portables'!Z4</f>
        <v>99.000644826314243</v>
      </c>
      <c r="AA11" s="67">
        <f>AA$6*'Eurostat Collected Portables'!AA4</f>
        <v>93.019496591032464</v>
      </c>
      <c r="AB11" s="67">
        <f>AB$6*'Eurostat Collected Portables'!AB4</f>
        <v>87.20000876433032</v>
      </c>
      <c r="AC11" s="67">
        <f>AC$6*'Eurostat Collected Portables'!AC4</f>
        <v>81.667152842723638</v>
      </c>
      <c r="AD11" s="67">
        <f>AD$6*'Eurostat Collected Portables'!AD4</f>
        <v>76.571560592886499</v>
      </c>
      <c r="AE11" s="67">
        <f>AE$6*'Eurostat Collected Portables'!AE4</f>
        <v>72.211333378461276</v>
      </c>
      <c r="AF11" s="67">
        <f>AF$6*'Eurostat Collected Portables'!AF4</f>
        <v>68.38788796243233</v>
      </c>
      <c r="AG11" s="67">
        <f>AG$6*'Eurostat Collected Portables'!AG4</f>
        <v>64.53114669867945</v>
      </c>
      <c r="AH11" s="67">
        <f>AH$6*'Eurostat Collected Portables'!AH4</f>
        <v>60.610257700322819</v>
      </c>
      <c r="AI11" s="67">
        <f>AI$6*'Eurostat Collected Portables'!AI4</f>
        <v>56.666087614445615</v>
      </c>
      <c r="AJ11" s="67">
        <f>AJ$6*'Eurostat Collected Portables'!AJ4</f>
        <v>52.99945024270113</v>
      </c>
      <c r="AK11" s="67">
        <f>AK$6*'Eurostat Collected Portables'!AK4</f>
        <v>0</v>
      </c>
      <c r="AL11" s="67">
        <f>AL$6*'Eurostat Collected Portables'!AL4</f>
        <v>0</v>
      </c>
      <c r="AM11" s="67">
        <f>AM$6*'Eurostat Collected Portables'!AM4</f>
        <v>0</v>
      </c>
      <c r="AN11" s="67">
        <f>AN$6*'Eurostat Collected Portables'!AN4</f>
        <v>0</v>
      </c>
      <c r="AO11" s="67">
        <f>AO$6*'Eurostat Collected Portables'!AO4</f>
        <v>0</v>
      </c>
      <c r="AP11" s="67">
        <f>AP$6*'Eurostat Collected Portables'!AP4</f>
        <v>0</v>
      </c>
      <c r="AQ11" s="67">
        <f>AQ$6*'Eurostat Collected Portables'!AQ4</f>
        <v>0</v>
      </c>
      <c r="AR11" s="67">
        <f>AR$6*'Eurostat Collected Portables'!AR4</f>
        <v>0</v>
      </c>
      <c r="AS11" s="67">
        <f>AS$6*'Eurostat Collected Portables'!AS4</f>
        <v>0</v>
      </c>
      <c r="AT11" s="67">
        <f>AT$6*'Eurostat Collected Portables'!AT4</f>
        <v>0</v>
      </c>
      <c r="AU11" s="67">
        <f>AU$6*'Eurostat Collected Portables'!AU4</f>
        <v>0</v>
      </c>
      <c r="AV11" s="67">
        <f>AV$6*'Eurostat Collected Portables'!AV4</f>
        <v>0</v>
      </c>
      <c r="AW11" s="67">
        <f>AW$6*'Eurostat Collected Portables'!AW4</f>
        <v>0</v>
      </c>
      <c r="AX11" s="67">
        <f>AX$6*'Eurostat Collected Portables'!AX4</f>
        <v>0</v>
      </c>
      <c r="AY11" s="67">
        <f>AY$6*'Eurostat Collected Portables'!AY4</f>
        <v>0</v>
      </c>
      <c r="AZ11" s="67">
        <f>AZ$6*'Eurostat Collected Portables'!AZ4</f>
        <v>0</v>
      </c>
    </row>
    <row r="12" spans="1:52" x14ac:dyDescent="0.35">
      <c r="A12" s="1" t="s">
        <v>2</v>
      </c>
      <c r="B12" s="23">
        <f t="shared" ref="B12:C12" si="10">C12/1.1</f>
        <v>9.3570647669386613</v>
      </c>
      <c r="C12" s="23">
        <f t="shared" si="10"/>
        <v>10.292771243632528</v>
      </c>
      <c r="D12" s="23">
        <f t="shared" si="1"/>
        <v>11.322048367995782</v>
      </c>
      <c r="E12" s="23">
        <f t="shared" si="2"/>
        <v>12.567473688475319</v>
      </c>
      <c r="F12" s="23">
        <f t="shared" si="3"/>
        <v>15.457992636824642</v>
      </c>
      <c r="G12" s="23">
        <f t="shared" si="4"/>
        <v>12.211814183091468</v>
      </c>
      <c r="H12" s="23">
        <f t="shared" si="5"/>
        <v>16.730185430835313</v>
      </c>
      <c r="I12" s="23">
        <f t="shared" si="6"/>
        <v>10.20541311280954</v>
      </c>
      <c r="J12" s="23">
        <f t="shared" si="7"/>
        <v>9.3889800637847767</v>
      </c>
      <c r="K12" s="23">
        <f t="shared" si="8"/>
        <v>7.3234044497521262</v>
      </c>
      <c r="L12" s="23">
        <f t="shared" si="9"/>
        <v>4.467276714348797</v>
      </c>
      <c r="M12" s="4">
        <f>$M$6*'Eurostat Collected Portables'!M5</f>
        <v>6.522224002949244</v>
      </c>
      <c r="N12" s="4">
        <f>$N$6*'Eurostat Collected Portables'!N5</f>
        <v>14.730770762517576</v>
      </c>
      <c r="O12" s="4">
        <f>$O$6*'Eurostat Collected Portables'!O5</f>
        <v>14.855447745416216</v>
      </c>
      <c r="P12" s="4">
        <f>$P$6*'Eurostat Collected Portables'!P5</f>
        <v>17.093502047235265</v>
      </c>
      <c r="Q12" s="4">
        <f>$Q$6*'Eurostat Collected Portables'!Q5</f>
        <v>18.342565668208007</v>
      </c>
      <c r="R12" s="4">
        <f>$R$6*'Eurostat Collected Portables'!R5</f>
        <v>20.029531691155626</v>
      </c>
      <c r="S12" s="4">
        <f>$S$6*'Eurostat Collected Portables'!S5</f>
        <v>23.98571824206654</v>
      </c>
      <c r="T12" s="4">
        <f>$T$6*'Eurostat Collected Portables'!T5</f>
        <v>21.654366228790838</v>
      </c>
      <c r="U12" s="4">
        <f>$U$6*'Eurostat Collected Portables'!U5</f>
        <v>15.227993457014392</v>
      </c>
      <c r="V12" s="4">
        <f>$V$6*'Eurostat Collected Portables'!V5</f>
        <v>20.017471507222236</v>
      </c>
      <c r="W12" s="4">
        <f>$W$6*'Eurostat Collected Portables'!W5</f>
        <v>18.086725883766871</v>
      </c>
      <c r="X12" s="67">
        <f>X$6*'Eurostat Collected Portables'!X5</f>
        <v>14.304595979826045</v>
      </c>
      <c r="Y12" s="67">
        <f>Y$6*'Eurostat Collected Portables'!Y5</f>
        <v>13.650931285980725</v>
      </c>
      <c r="Z12" s="67">
        <f>Z$6*'Eurostat Collected Portables'!Z5</f>
        <v>12.919931265996807</v>
      </c>
      <c r="AA12" s="67">
        <f>AA$6*'Eurostat Collected Portables'!AA5</f>
        <v>12.248709797336698</v>
      </c>
      <c r="AB12" s="67">
        <f>AB$6*'Eurostat Collected Portables'!AB5</f>
        <v>11.584778695595277</v>
      </c>
      <c r="AC12" s="67">
        <f>AC$6*'Eurostat Collected Portables'!AC5</f>
        <v>10.945482122381994</v>
      </c>
      <c r="AD12" s="67">
        <f>AD$6*'Eurostat Collected Portables'!AD5</f>
        <v>10.352217389560936</v>
      </c>
      <c r="AE12" s="67">
        <f>AE$6*'Eurostat Collected Portables'!AE5</f>
        <v>9.8471939314680608</v>
      </c>
      <c r="AF12" s="67">
        <f>AF$6*'Eurostat Collected Portables'!AF5</f>
        <v>9.4056990890113674</v>
      </c>
      <c r="AG12" s="67">
        <f>AG$6*'Eurostat Collected Portables'!AG5</f>
        <v>8.9505601979381506</v>
      </c>
      <c r="AH12" s="67">
        <f>AH$6*'Eurostat Collected Portables'!AH5</f>
        <v>8.4773622644377724</v>
      </c>
      <c r="AI12" s="67">
        <f>AI$6*'Eurostat Collected Portables'!AI5</f>
        <v>7.9916614157361963</v>
      </c>
      <c r="AJ12" s="67">
        <f>AJ$6*'Eurostat Collected Portables'!AJ5</f>
        <v>7.5361670687630875</v>
      </c>
      <c r="AK12" s="67">
        <f>AK$6*'Eurostat Collected Portables'!AK5</f>
        <v>0</v>
      </c>
      <c r="AL12" s="67">
        <f>AL$6*'Eurostat Collected Portables'!AL5</f>
        <v>0</v>
      </c>
      <c r="AM12" s="67">
        <f>AM$6*'Eurostat Collected Portables'!AM5</f>
        <v>0</v>
      </c>
      <c r="AN12" s="67">
        <f>AN$6*'Eurostat Collected Portables'!AN5</f>
        <v>0</v>
      </c>
      <c r="AO12" s="67">
        <f>AO$6*'Eurostat Collected Portables'!AO5</f>
        <v>0</v>
      </c>
      <c r="AP12" s="67">
        <f>AP$6*'Eurostat Collected Portables'!AP5</f>
        <v>0</v>
      </c>
      <c r="AQ12" s="67">
        <f>AQ$6*'Eurostat Collected Portables'!AQ5</f>
        <v>0</v>
      </c>
      <c r="AR12" s="67">
        <f>AR$6*'Eurostat Collected Portables'!AR5</f>
        <v>0</v>
      </c>
      <c r="AS12" s="67">
        <f>AS$6*'Eurostat Collected Portables'!AS5</f>
        <v>0</v>
      </c>
      <c r="AT12" s="67">
        <f>AT$6*'Eurostat Collected Portables'!AT5</f>
        <v>0</v>
      </c>
      <c r="AU12" s="67">
        <f>AU$6*'Eurostat Collected Portables'!AU5</f>
        <v>0</v>
      </c>
      <c r="AV12" s="67">
        <f>AV$6*'Eurostat Collected Portables'!AV5</f>
        <v>0</v>
      </c>
      <c r="AW12" s="67">
        <f>AW$6*'Eurostat Collected Portables'!AW5</f>
        <v>0</v>
      </c>
      <c r="AX12" s="67">
        <f>AX$6*'Eurostat Collected Portables'!AX5</f>
        <v>0</v>
      </c>
      <c r="AY12" s="67">
        <f>AY$6*'Eurostat Collected Portables'!AY5</f>
        <v>0</v>
      </c>
      <c r="AZ12" s="67">
        <f>AZ$6*'Eurostat Collected Portables'!AZ5</f>
        <v>0</v>
      </c>
    </row>
    <row r="13" spans="1:52" x14ac:dyDescent="0.35">
      <c r="A13" s="1" t="s">
        <v>3</v>
      </c>
      <c r="B13" s="23">
        <f t="shared" ref="B13:C13" si="11">C13/1.1</f>
        <v>5.8195734497948122</v>
      </c>
      <c r="C13" s="23">
        <f t="shared" si="11"/>
        <v>6.4015307947742937</v>
      </c>
      <c r="D13" s="23">
        <f t="shared" si="1"/>
        <v>7.0416838742517234</v>
      </c>
      <c r="E13" s="23">
        <f t="shared" si="2"/>
        <v>7.8162691004194134</v>
      </c>
      <c r="F13" s="23">
        <f t="shared" si="3"/>
        <v>9.614010993515878</v>
      </c>
      <c r="G13" s="23">
        <f t="shared" si="4"/>
        <v>7.5950686848775444</v>
      </c>
      <c r="H13" s="23">
        <f t="shared" si="5"/>
        <v>10.405244098282237</v>
      </c>
      <c r="I13" s="23">
        <f t="shared" si="6"/>
        <v>6.3471988999521649</v>
      </c>
      <c r="J13" s="23">
        <f t="shared" si="7"/>
        <v>5.8394229879559916</v>
      </c>
      <c r="K13" s="23">
        <f t="shared" si="8"/>
        <v>4.5547499306056736</v>
      </c>
      <c r="L13" s="23">
        <f t="shared" si="9"/>
        <v>2.7783974576694606</v>
      </c>
      <c r="M13" s="4">
        <f>$M$6*'Eurostat Collected Portables'!M6</f>
        <v>4.0564602881974121</v>
      </c>
      <c r="N13" s="4">
        <f>$N$6*'Eurostat Collected Portables'!N6</f>
        <v>4.0325466192479134</v>
      </c>
      <c r="O13" s="4">
        <f>$O$6*'Eurostat Collected Portables'!O6</f>
        <v>4.5709069985896047</v>
      </c>
      <c r="P13" s="4">
        <f>$P$6*'Eurostat Collected Portables'!P6</f>
        <v>4.0618222686499639</v>
      </c>
      <c r="Q13" s="4">
        <f>$Q$6*'Eurostat Collected Portables'!Q6</f>
        <v>5.5825199859763499</v>
      </c>
      <c r="R13" s="4">
        <f>$R$6*'Eurostat Collected Portables'!R6</f>
        <v>18.646276740108966</v>
      </c>
      <c r="S13" s="4">
        <f>$S$6*'Eurostat Collected Portables'!S6</f>
        <v>29.425778049545549</v>
      </c>
      <c r="T13" s="4">
        <f>$T$6*'Eurostat Collected Portables'!T6</f>
        <v>28.279955895808932</v>
      </c>
      <c r="U13" s="4">
        <f>$U$6*'Eurostat Collected Portables'!U6</f>
        <v>25.289346276827473</v>
      </c>
      <c r="V13" s="4">
        <f>$V$6*'Eurostat Collected Portables'!V6</f>
        <v>29.241208378197189</v>
      </c>
      <c r="W13" s="4">
        <f>$W$6*'Eurostat Collected Portables'!W6</f>
        <v>29.754278965036125</v>
      </c>
      <c r="X13" s="67">
        <f>X$6*'Eurostat Collected Portables'!X6</f>
        <v>23.905064531993304</v>
      </c>
      <c r="Y13" s="67">
        <f>Y$6*'Eurostat Collected Portables'!Y6</f>
        <v>22.110297880698834</v>
      </c>
      <c r="Z13" s="67">
        <f>Z$6*'Eurostat Collected Portables'!Z6</f>
        <v>20.72483620322846</v>
      </c>
      <c r="AA13" s="67">
        <f>AA$6*'Eurostat Collected Portables'!AA6</f>
        <v>19.460773370850369</v>
      </c>
      <c r="AB13" s="67">
        <f>AB$6*'Eurostat Collected Portables'!AB6</f>
        <v>18.232063705940213</v>
      </c>
      <c r="AC13" s="67">
        <f>AC$6*'Eurostat Collected Portables'!AC6</f>
        <v>17.064755523062161</v>
      </c>
      <c r="AD13" s="67">
        <f>AD$6*'Eurostat Collected Portables'!AD6</f>
        <v>15.990191775092828</v>
      </c>
      <c r="AE13" s="67">
        <f>AE$6*'Eurostat Collected Portables'!AE6</f>
        <v>15.070415278983024</v>
      </c>
      <c r="AF13" s="67">
        <f>AF$6*'Eurostat Collected Portables'!AF6</f>
        <v>14.26372285712818</v>
      </c>
      <c r="AG13" s="67">
        <f>AG$6*'Eurostat Collected Portables'!AG6</f>
        <v>13.451077989123482</v>
      </c>
      <c r="AH13" s="67">
        <f>AH$6*'Eurostat Collected Portables'!AH6</f>
        <v>12.626064671420615</v>
      </c>
      <c r="AI13" s="67">
        <f>AI$6*'Eurostat Collected Portables'!AI6</f>
        <v>11.797213550864178</v>
      </c>
      <c r="AJ13" s="67">
        <f>AJ$6*'Eurostat Collected Portables'!AJ6</f>
        <v>11.027119288177676</v>
      </c>
      <c r="AK13" s="67">
        <f>AK$6*'Eurostat Collected Portables'!AK6</f>
        <v>0</v>
      </c>
      <c r="AL13" s="67">
        <f>AL$6*'Eurostat Collected Portables'!AL6</f>
        <v>0</v>
      </c>
      <c r="AM13" s="67">
        <f>AM$6*'Eurostat Collected Portables'!AM6</f>
        <v>0</v>
      </c>
      <c r="AN13" s="67">
        <f>AN$6*'Eurostat Collected Portables'!AN6</f>
        <v>0</v>
      </c>
      <c r="AO13" s="67">
        <f>AO$6*'Eurostat Collected Portables'!AO6</f>
        <v>0</v>
      </c>
      <c r="AP13" s="67">
        <f>AP$6*'Eurostat Collected Portables'!AP6</f>
        <v>0</v>
      </c>
      <c r="AQ13" s="67">
        <f>AQ$6*'Eurostat Collected Portables'!AQ6</f>
        <v>0</v>
      </c>
      <c r="AR13" s="67">
        <f>AR$6*'Eurostat Collected Portables'!AR6</f>
        <v>0</v>
      </c>
      <c r="AS13" s="67">
        <f>AS$6*'Eurostat Collected Portables'!AS6</f>
        <v>0</v>
      </c>
      <c r="AT13" s="67">
        <f>AT$6*'Eurostat Collected Portables'!AT6</f>
        <v>0</v>
      </c>
      <c r="AU13" s="67">
        <f>AU$6*'Eurostat Collected Portables'!AU6</f>
        <v>0</v>
      </c>
      <c r="AV13" s="67">
        <f>AV$6*'Eurostat Collected Portables'!AV6</f>
        <v>0</v>
      </c>
      <c r="AW13" s="67">
        <f>AW$6*'Eurostat Collected Portables'!AW6</f>
        <v>0</v>
      </c>
      <c r="AX13" s="67">
        <f>AX$6*'Eurostat Collected Portables'!AX6</f>
        <v>0</v>
      </c>
      <c r="AY13" s="67">
        <f>AY$6*'Eurostat Collected Portables'!AY6</f>
        <v>0</v>
      </c>
      <c r="AZ13" s="67">
        <f>AZ$6*'Eurostat Collected Portables'!AZ6</f>
        <v>0</v>
      </c>
    </row>
    <row r="14" spans="1:52" x14ac:dyDescent="0.35">
      <c r="A14" s="1" t="s">
        <v>4</v>
      </c>
      <c r="B14" s="23">
        <f t="shared" ref="B14:C14" si="12">C14/1.1</f>
        <v>2.8591031232312587</v>
      </c>
      <c r="C14" s="23">
        <f t="shared" si="12"/>
        <v>3.1450134355543846</v>
      </c>
      <c r="D14" s="23">
        <f t="shared" si="1"/>
        <v>3.4595147791098233</v>
      </c>
      <c r="E14" s="23">
        <f t="shared" si="2"/>
        <v>3.8400614048119044</v>
      </c>
      <c r="F14" s="23">
        <f t="shared" si="3"/>
        <v>4.7232755279186422</v>
      </c>
      <c r="G14" s="23">
        <f t="shared" si="4"/>
        <v>3.7313876670557273</v>
      </c>
      <c r="H14" s="23">
        <f t="shared" si="5"/>
        <v>5.1120011038663469</v>
      </c>
      <c r="I14" s="23">
        <f t="shared" si="6"/>
        <v>3.1183206733584714</v>
      </c>
      <c r="J14" s="23">
        <f t="shared" si="7"/>
        <v>2.8688550194897937</v>
      </c>
      <c r="K14" s="23">
        <f t="shared" si="8"/>
        <v>2.2377069152020392</v>
      </c>
      <c r="L14" s="23">
        <f t="shared" si="9"/>
        <v>1.3650012182732438</v>
      </c>
      <c r="M14" s="4">
        <f>$M$6*'Eurostat Collected Portables'!M7</f>
        <v>1.9929017786789358</v>
      </c>
      <c r="N14" s="4">
        <f>$N$6*'Eurostat Collected Portables'!N7</f>
        <v>1.7496317763909763</v>
      </c>
      <c r="O14" s="4">
        <f>$O$6*'Eurostat Collected Portables'!O7</f>
        <v>2.3455970124341392</v>
      </c>
      <c r="P14" s="4">
        <f>$P$6*'Eurostat Collected Portables'!P7</f>
        <v>2.3129821252034519</v>
      </c>
      <c r="Q14" s="4">
        <f>$Q$6*'Eurostat Collected Portables'!Q7</f>
        <v>3.1330469309050941</v>
      </c>
      <c r="R14" s="4">
        <f>$R$6*'Eurostat Collected Portables'!R7</f>
        <v>3.153821288386383</v>
      </c>
      <c r="S14" s="4">
        <f>$S$6*'Eurostat Collected Portables'!S7</f>
        <v>3.9564071327120067</v>
      </c>
      <c r="T14" s="4">
        <f>$T$6*'Eurostat Collected Portables'!T7</f>
        <v>4.1477268647186429</v>
      </c>
      <c r="U14" s="4">
        <f>$U$6*'Eurostat Collected Portables'!U7</f>
        <v>3.2631414550745124</v>
      </c>
      <c r="V14" s="4">
        <f>$V$6*'Eurostat Collected Portables'!V7</f>
        <v>3.9249944131808308</v>
      </c>
      <c r="W14" s="4">
        <f>$W$6*'Eurostat Collected Portables'!W7</f>
        <v>3.5931218831590437</v>
      </c>
      <c r="X14" s="67">
        <f>X$6*'Eurostat Collected Portables'!X7</f>
        <v>2.8896349254706677</v>
      </c>
      <c r="Y14" s="67">
        <f>Y$6*'Eurostat Collected Portables'!Y7</f>
        <v>2.6750770062061084</v>
      </c>
      <c r="Z14" s="67">
        <f>Z$6*'Eurostat Collected Portables'!Z7</f>
        <v>2.5322132665946224</v>
      </c>
      <c r="AA14" s="67">
        <f>AA$6*'Eurostat Collected Portables'!AA7</f>
        <v>2.4010169213324839</v>
      </c>
      <c r="AB14" s="67">
        <f>AB$6*'Eurostat Collected Portables'!AB7</f>
        <v>2.2712042012677074</v>
      </c>
      <c r="AC14" s="67">
        <f>AC$6*'Eurostat Collected Portables'!AC7</f>
        <v>2.1461778275576684</v>
      </c>
      <c r="AD14" s="67">
        <f>AD$6*'Eurostat Collected Portables'!AD7</f>
        <v>2.0301372172904184</v>
      </c>
      <c r="AE14" s="67">
        <f>AE$6*'Eurostat Collected Portables'!AE7</f>
        <v>1.9313659465513822</v>
      </c>
      <c r="AF14" s="67">
        <f>AF$6*'Eurostat Collected Portables'!AF7</f>
        <v>1.8450244543022487</v>
      </c>
      <c r="AG14" s="67">
        <f>AG$6*'Eurostat Collected Portables'!AG7</f>
        <v>1.7559783622179248</v>
      </c>
      <c r="AH14" s="67">
        <f>AH$6*'Eurostat Collected Portables'!AH7</f>
        <v>1.6633610898751863</v>
      </c>
      <c r="AI14" s="67">
        <f>AI$6*'Eurostat Collected Portables'!AI7</f>
        <v>1.5682623283242991</v>
      </c>
      <c r="AJ14" s="67">
        <f>AJ$6*'Eurostat Collected Portables'!AJ7</f>
        <v>1.479064124954736</v>
      </c>
      <c r="AK14" s="67">
        <f>AK$6*'Eurostat Collected Portables'!AK7</f>
        <v>0</v>
      </c>
      <c r="AL14" s="67">
        <f>AL$6*'Eurostat Collected Portables'!AL7</f>
        <v>0</v>
      </c>
      <c r="AM14" s="67">
        <f>AM$6*'Eurostat Collected Portables'!AM7</f>
        <v>0</v>
      </c>
      <c r="AN14" s="67">
        <f>AN$6*'Eurostat Collected Portables'!AN7</f>
        <v>0</v>
      </c>
      <c r="AO14" s="67">
        <f>AO$6*'Eurostat Collected Portables'!AO7</f>
        <v>0</v>
      </c>
      <c r="AP14" s="67">
        <f>AP$6*'Eurostat Collected Portables'!AP7</f>
        <v>0</v>
      </c>
      <c r="AQ14" s="67">
        <f>AQ$6*'Eurostat Collected Portables'!AQ7</f>
        <v>0</v>
      </c>
      <c r="AR14" s="67">
        <f>AR$6*'Eurostat Collected Portables'!AR7</f>
        <v>0</v>
      </c>
      <c r="AS14" s="67">
        <f>AS$6*'Eurostat Collected Portables'!AS7</f>
        <v>0</v>
      </c>
      <c r="AT14" s="67">
        <f>AT$6*'Eurostat Collected Portables'!AT7</f>
        <v>0</v>
      </c>
      <c r="AU14" s="67">
        <f>AU$6*'Eurostat Collected Portables'!AU7</f>
        <v>0</v>
      </c>
      <c r="AV14" s="67">
        <f>AV$6*'Eurostat Collected Portables'!AV7</f>
        <v>0</v>
      </c>
      <c r="AW14" s="67">
        <f>AW$6*'Eurostat Collected Portables'!AW7</f>
        <v>0</v>
      </c>
      <c r="AX14" s="67">
        <f>AX$6*'Eurostat Collected Portables'!AX7</f>
        <v>0</v>
      </c>
      <c r="AY14" s="67">
        <f>AY$6*'Eurostat Collected Portables'!AY7</f>
        <v>0</v>
      </c>
      <c r="AZ14" s="67">
        <f>AZ$6*'Eurostat Collected Portables'!AZ7</f>
        <v>0</v>
      </c>
    </row>
    <row r="15" spans="1:52" x14ac:dyDescent="0.35">
      <c r="A15" s="1" t="s">
        <v>5</v>
      </c>
      <c r="B15" s="23">
        <f t="shared" ref="B15:C15" si="13">C15/1.1</f>
        <v>74.076762738264406</v>
      </c>
      <c r="C15" s="23">
        <f t="shared" si="13"/>
        <v>81.48443901209086</v>
      </c>
      <c r="D15" s="23">
        <f t="shared" si="1"/>
        <v>89.632882913299952</v>
      </c>
      <c r="E15" s="23">
        <f t="shared" si="2"/>
        <v>99.492500033762951</v>
      </c>
      <c r="F15" s="23">
        <f t="shared" si="3"/>
        <v>122.37577504152843</v>
      </c>
      <c r="G15" s="23">
        <f t="shared" si="4"/>
        <v>96.676862282807463</v>
      </c>
      <c r="H15" s="23">
        <f t="shared" si="5"/>
        <v>132.44730132744624</v>
      </c>
      <c r="I15" s="23">
        <f t="shared" si="6"/>
        <v>80.792853809742198</v>
      </c>
      <c r="J15" s="23">
        <f t="shared" si="7"/>
        <v>74.329425504962828</v>
      </c>
      <c r="K15" s="23">
        <f t="shared" si="8"/>
        <v>57.976951893871004</v>
      </c>
      <c r="L15" s="23">
        <f t="shared" si="9"/>
        <v>35.365940655261312</v>
      </c>
      <c r="M15" s="4">
        <f>$M$6*'Eurostat Collected Portables'!M8</f>
        <v>51.634273356681518</v>
      </c>
      <c r="N15" s="4">
        <f>$N$6*'Eurostat Collected Portables'!N8</f>
        <v>57.004132069512458</v>
      </c>
      <c r="O15" s="4">
        <f>$O$6*'Eurostat Collected Portables'!O8</f>
        <v>66.999873637221313</v>
      </c>
      <c r="P15" s="4">
        <f>$P$6*'Eurostat Collected Portables'!P8</f>
        <v>67.414966819954259</v>
      </c>
      <c r="Q15" s="4">
        <f>$Q$6*'Eurostat Collected Portables'!Q8</f>
        <v>80.149036941517593</v>
      </c>
      <c r="R15" s="4">
        <f>$R$6*'Eurostat Collected Portables'!R8</f>
        <v>115.19747232316578</v>
      </c>
      <c r="S15" s="4">
        <f>$S$6*'Eurostat Collected Portables'!S8</f>
        <v>116.83764813790145</v>
      </c>
      <c r="T15" s="4">
        <f>$T$6*'Eurostat Collected Portables'!T8</f>
        <v>103.47770528733135</v>
      </c>
      <c r="U15" s="4">
        <f>$U$6*'Eurostat Collected Portables'!U8</f>
        <v>79.325414895978028</v>
      </c>
      <c r="V15" s="4">
        <f>$V$6*'Eurostat Collected Portables'!V8</f>
        <v>105.68047457489386</v>
      </c>
      <c r="W15" s="4">
        <f>$W$6*'Eurostat Collected Portables'!W8</f>
        <v>98.225455525010702</v>
      </c>
      <c r="X15" s="67">
        <f>X$6*'Eurostat Collected Portables'!X8</f>
        <v>80.628431767414256</v>
      </c>
      <c r="Y15" s="67">
        <f>Y$6*'Eurostat Collected Portables'!Y8</f>
        <v>76.299532911542201</v>
      </c>
      <c r="Z15" s="67">
        <f>Z$6*'Eurostat Collected Portables'!Z8</f>
        <v>71.978173673758192</v>
      </c>
      <c r="AA15" s="67">
        <f>AA$6*'Eurostat Collected Portables'!AA8</f>
        <v>68.019671270115509</v>
      </c>
      <c r="AB15" s="67">
        <f>AB$6*'Eurostat Collected Portables'!AB8</f>
        <v>64.129446538373955</v>
      </c>
      <c r="AC15" s="67">
        <f>AC$6*'Eurostat Collected Portables'!AC8</f>
        <v>60.402051935620996</v>
      </c>
      <c r="AD15" s="67">
        <f>AD$6*'Eurostat Collected Portables'!AD8</f>
        <v>56.95320913877778</v>
      </c>
      <c r="AE15" s="67">
        <f>AE$6*'Eurostat Collected Portables'!AE8</f>
        <v>54.011446992810434</v>
      </c>
      <c r="AF15" s="67">
        <f>AF$6*'Eurostat Collected Portables'!AF8</f>
        <v>51.436678376634298</v>
      </c>
      <c r="AG15" s="67">
        <f>AG$6*'Eurostat Collected Portables'!AG8</f>
        <v>48.804527821131565</v>
      </c>
      <c r="AH15" s="67">
        <f>AH$6*'Eurostat Collected Portables'!AH8</f>
        <v>46.091177769540401</v>
      </c>
      <c r="AI15" s="67">
        <f>AI$6*'Eurostat Collected Portables'!AI8</f>
        <v>43.327135381303712</v>
      </c>
      <c r="AJ15" s="67">
        <f>AJ$6*'Eurostat Collected Portables'!AJ8</f>
        <v>40.743422438787483</v>
      </c>
      <c r="AK15" s="67">
        <f>AK$6*'Eurostat Collected Portables'!AK8</f>
        <v>0</v>
      </c>
      <c r="AL15" s="67">
        <f>AL$6*'Eurostat Collected Portables'!AL8</f>
        <v>0</v>
      </c>
      <c r="AM15" s="67">
        <f>AM$6*'Eurostat Collected Portables'!AM8</f>
        <v>0</v>
      </c>
      <c r="AN15" s="67">
        <f>AN$6*'Eurostat Collected Portables'!AN8</f>
        <v>0</v>
      </c>
      <c r="AO15" s="67">
        <f>AO$6*'Eurostat Collected Portables'!AO8</f>
        <v>0</v>
      </c>
      <c r="AP15" s="67">
        <f>AP$6*'Eurostat Collected Portables'!AP8</f>
        <v>0</v>
      </c>
      <c r="AQ15" s="67">
        <f>AQ$6*'Eurostat Collected Portables'!AQ8</f>
        <v>0</v>
      </c>
      <c r="AR15" s="67">
        <f>AR$6*'Eurostat Collected Portables'!AR8</f>
        <v>0</v>
      </c>
      <c r="AS15" s="67">
        <f>AS$6*'Eurostat Collected Portables'!AS8</f>
        <v>0</v>
      </c>
      <c r="AT15" s="67">
        <f>AT$6*'Eurostat Collected Portables'!AT8</f>
        <v>0</v>
      </c>
      <c r="AU15" s="67">
        <f>AU$6*'Eurostat Collected Portables'!AU8</f>
        <v>0</v>
      </c>
      <c r="AV15" s="67">
        <f>AV$6*'Eurostat Collected Portables'!AV8</f>
        <v>0</v>
      </c>
      <c r="AW15" s="67">
        <f>AW$6*'Eurostat Collected Portables'!AW8</f>
        <v>0</v>
      </c>
      <c r="AX15" s="67">
        <f>AX$6*'Eurostat Collected Portables'!AX8</f>
        <v>0</v>
      </c>
      <c r="AY15" s="67">
        <f>AY$6*'Eurostat Collected Portables'!AY8</f>
        <v>0</v>
      </c>
      <c r="AZ15" s="67">
        <f>AZ$6*'Eurostat Collected Portables'!AZ8</f>
        <v>0</v>
      </c>
    </row>
    <row r="16" spans="1:52" x14ac:dyDescent="0.35">
      <c r="A16" s="1" t="s">
        <v>6</v>
      </c>
      <c r="B16" s="23">
        <f t="shared" ref="B16:C16" si="14">C16/1.1</f>
        <v>137.67014735801419</v>
      </c>
      <c r="C16" s="23">
        <f t="shared" si="14"/>
        <v>151.43716209381563</v>
      </c>
      <c r="D16" s="23">
        <f t="shared" si="1"/>
        <v>166.58087830319721</v>
      </c>
      <c r="E16" s="23">
        <f t="shared" si="2"/>
        <v>184.90477491654892</v>
      </c>
      <c r="F16" s="23">
        <f t="shared" si="3"/>
        <v>227.43287314735517</v>
      </c>
      <c r="G16" s="23">
        <f t="shared" si="4"/>
        <v>179.67196978641059</v>
      </c>
      <c r="H16" s="23">
        <f t="shared" si="5"/>
        <v>246.15059860738253</v>
      </c>
      <c r="I16" s="23">
        <f t="shared" si="6"/>
        <v>150.15186515050334</v>
      </c>
      <c r="J16" s="23">
        <f t="shared" si="7"/>
        <v>138.13971593846307</v>
      </c>
      <c r="K16" s="23">
        <f t="shared" si="8"/>
        <v>107.74897843200119</v>
      </c>
      <c r="L16" s="23">
        <f t="shared" si="9"/>
        <v>65.726876843520728</v>
      </c>
      <c r="M16" s="4">
        <f>$M$6*'Eurostat Collected Portables'!M9</f>
        <v>95.96124019154027</v>
      </c>
      <c r="N16" s="4">
        <f>$N$6*'Eurostat Collected Portables'!N9</f>
        <v>85.280439165379519</v>
      </c>
      <c r="O16" s="4">
        <f>$O$6*'Eurostat Collected Portables'!O9</f>
        <v>84.381348934489679</v>
      </c>
      <c r="P16" s="4">
        <f>$P$6*'Eurostat Collected Portables'!P9</f>
        <v>87.103521983271449</v>
      </c>
      <c r="Q16" s="4">
        <f>$Q$6*'Eurostat Collected Portables'!Q9</f>
        <v>90.630503037636458</v>
      </c>
      <c r="R16" s="4">
        <f>$R$6*'Eurostat Collected Portables'!R9</f>
        <v>93.120723304461094</v>
      </c>
      <c r="S16" s="4">
        <f>$S$6*'Eurostat Collected Portables'!S9</f>
        <v>122.71043997552083</v>
      </c>
      <c r="T16" s="4">
        <f>$T$6*'Eurostat Collected Portables'!T9</f>
        <v>106.60196708153501</v>
      </c>
      <c r="U16" s="4">
        <f>$U$6*'Eurostat Collected Portables'!U9</f>
        <v>87.366727767411646</v>
      </c>
      <c r="V16" s="4">
        <f>$V$6*'Eurostat Collected Portables'!V9</f>
        <v>130.26075208743882</v>
      </c>
      <c r="W16" s="4">
        <f>$W$6*'Eurostat Collected Portables'!W9</f>
        <v>105.7346765392532</v>
      </c>
      <c r="X16" s="67">
        <f>X$6*'Eurostat Collected Portables'!X9</f>
        <v>87.554040259964196</v>
      </c>
      <c r="Y16" s="67">
        <f>Y$6*'Eurostat Collected Portables'!Y9</f>
        <v>82.229133928380193</v>
      </c>
      <c r="Z16" s="67">
        <f>Z$6*'Eurostat Collected Portables'!Z9</f>
        <v>77.275430960120957</v>
      </c>
      <c r="AA16" s="67">
        <f>AA$6*'Eurostat Collected Portables'!AA9</f>
        <v>72.748954061788083</v>
      </c>
      <c r="AB16" s="67">
        <f>AB$6*'Eurostat Collected Portables'!AB9</f>
        <v>68.330713524389608</v>
      </c>
      <c r="AC16" s="67">
        <f>AC$6*'Eurostat Collected Portables'!AC9</f>
        <v>64.119601841279348</v>
      </c>
      <c r="AD16" s="67">
        <f>AD$6*'Eurostat Collected Portables'!AD9</f>
        <v>60.235456441653547</v>
      </c>
      <c r="AE16" s="67">
        <f>AE$6*'Eurostat Collected Portables'!AE9</f>
        <v>56.915259673591649</v>
      </c>
      <c r="AF16" s="67">
        <f>AF$6*'Eurostat Collected Portables'!AF9</f>
        <v>54.005570484515523</v>
      </c>
      <c r="AG16" s="67">
        <f>AG$6*'Eurostat Collected Portables'!AG9</f>
        <v>51.057803924879153</v>
      </c>
      <c r="AH16" s="67">
        <f>AH$6*'Eurostat Collected Portables'!AH9</f>
        <v>48.047373090809124</v>
      </c>
      <c r="AI16" s="67">
        <f>AI$6*'Eurostat Collected Portables'!AI9</f>
        <v>45.006466385268759</v>
      </c>
      <c r="AJ16" s="67">
        <f>AJ$6*'Eurostat Collected Portables'!AJ9</f>
        <v>42.174373157555088</v>
      </c>
      <c r="AK16" s="67">
        <f>AK$6*'Eurostat Collected Portables'!AK9</f>
        <v>0</v>
      </c>
      <c r="AL16" s="67">
        <f>AL$6*'Eurostat Collected Portables'!AL9</f>
        <v>0</v>
      </c>
      <c r="AM16" s="67">
        <f>AM$6*'Eurostat Collected Portables'!AM9</f>
        <v>0</v>
      </c>
      <c r="AN16" s="67">
        <f>AN$6*'Eurostat Collected Portables'!AN9</f>
        <v>0</v>
      </c>
      <c r="AO16" s="67">
        <f>AO$6*'Eurostat Collected Portables'!AO9</f>
        <v>0</v>
      </c>
      <c r="AP16" s="67">
        <f>AP$6*'Eurostat Collected Portables'!AP9</f>
        <v>0</v>
      </c>
      <c r="AQ16" s="67">
        <f>AQ$6*'Eurostat Collected Portables'!AQ9</f>
        <v>0</v>
      </c>
      <c r="AR16" s="67">
        <f>AR$6*'Eurostat Collected Portables'!AR9</f>
        <v>0</v>
      </c>
      <c r="AS16" s="67">
        <f>AS$6*'Eurostat Collected Portables'!AS9</f>
        <v>0</v>
      </c>
      <c r="AT16" s="67">
        <f>AT$6*'Eurostat Collected Portables'!AT9</f>
        <v>0</v>
      </c>
      <c r="AU16" s="67">
        <f>AU$6*'Eurostat Collected Portables'!AU9</f>
        <v>0</v>
      </c>
      <c r="AV16" s="67">
        <f>AV$6*'Eurostat Collected Portables'!AV9</f>
        <v>0</v>
      </c>
      <c r="AW16" s="67">
        <f>AW$6*'Eurostat Collected Portables'!AW9</f>
        <v>0</v>
      </c>
      <c r="AX16" s="67">
        <f>AX$6*'Eurostat Collected Portables'!AX9</f>
        <v>0</v>
      </c>
      <c r="AY16" s="67">
        <f>AY$6*'Eurostat Collected Portables'!AY9</f>
        <v>0</v>
      </c>
      <c r="AZ16" s="67">
        <f>AZ$6*'Eurostat Collected Portables'!AZ9</f>
        <v>0</v>
      </c>
    </row>
    <row r="17" spans="1:52" x14ac:dyDescent="0.35">
      <c r="A17" s="1" t="s">
        <v>7</v>
      </c>
      <c r="B17" s="23">
        <f t="shared" ref="B17:C17" si="15">C17/1.1</f>
        <v>6.2380431779591072</v>
      </c>
      <c r="C17" s="23">
        <f t="shared" si="15"/>
        <v>6.8618474957550184</v>
      </c>
      <c r="D17" s="23">
        <f t="shared" si="1"/>
        <v>7.5480322453305213</v>
      </c>
      <c r="E17" s="23">
        <f t="shared" si="2"/>
        <v>8.3783157923168794</v>
      </c>
      <c r="F17" s="23">
        <f t="shared" si="3"/>
        <v>10.305328424549762</v>
      </c>
      <c r="G17" s="23">
        <f t="shared" si="4"/>
        <v>8.1412094553943124</v>
      </c>
      <c r="H17" s="23">
        <f t="shared" si="5"/>
        <v>11.153456953890208</v>
      </c>
      <c r="I17" s="23">
        <f t="shared" si="6"/>
        <v>6.8036087418730267</v>
      </c>
      <c r="J17" s="23">
        <f t="shared" si="7"/>
        <v>6.2593200425231847</v>
      </c>
      <c r="K17" s="23">
        <f t="shared" si="8"/>
        <v>4.8822696331680842</v>
      </c>
      <c r="L17" s="23">
        <f t="shared" si="9"/>
        <v>2.9781844762325314</v>
      </c>
      <c r="M17" s="4">
        <f>$M$6*'Eurostat Collected Portables'!M10</f>
        <v>4.348149335299496</v>
      </c>
      <c r="N17" s="4">
        <f>$N$6*'Eurostat Collected Portables'!N10</f>
        <v>6.942087370841616</v>
      </c>
      <c r="O17" s="4">
        <f>$O$6*'Eurostat Collected Portables'!O10</f>
        <v>17.622049349825712</v>
      </c>
      <c r="P17" s="4">
        <f>$P$6*'Eurostat Collected Portables'!P10</f>
        <v>6.036319204799252</v>
      </c>
      <c r="Q17" s="4">
        <f>$Q$6*'Eurostat Collected Portables'!Q10</f>
        <v>9.8548567099378417</v>
      </c>
      <c r="R17" s="4">
        <f>$R$6*'Eurostat Collected Portables'!R10</f>
        <v>7.0269351513170291</v>
      </c>
      <c r="S17" s="4">
        <f>$S$6*'Eurostat Collected Portables'!S10</f>
        <v>9.6437423859855169</v>
      </c>
      <c r="T17" s="4">
        <f>$T$6*'Eurostat Collected Portables'!T10</f>
        <v>8.7802529733654406</v>
      </c>
      <c r="U17" s="4">
        <f>$U$6*'Eurostat Collected Portables'!U10</f>
        <v>5.4385690917908542</v>
      </c>
      <c r="V17" s="4">
        <f>$V$6*'Eurostat Collected Portables'!V10</f>
        <v>9.6162363122930348</v>
      </c>
      <c r="W17" s="4">
        <f>$W$6*'Eurostat Collected Portables'!W10</f>
        <v>9.2452237218361901</v>
      </c>
      <c r="X17" s="67">
        <f>X$6*'Eurostat Collected Portables'!X10</f>
        <v>7.3830632411222297</v>
      </c>
      <c r="Y17" s="67">
        <f>Y$6*'Eurostat Collected Portables'!Y10</f>
        <v>6.8200083575772057</v>
      </c>
      <c r="Z17" s="67">
        <f>Z$6*'Eurostat Collected Portables'!Z10</f>
        <v>6.4663846838424197</v>
      </c>
      <c r="AA17" s="67">
        <f>AA$6*'Eurostat Collected Portables'!AA10</f>
        <v>6.1412132975940441</v>
      </c>
      <c r="AB17" s="67">
        <f>AB$6*'Eurostat Collected Portables'!AB10</f>
        <v>5.8183303717586279</v>
      </c>
      <c r="AC17" s="67">
        <f>AC$6*'Eurostat Collected Portables'!AC10</f>
        <v>5.5065185737161793</v>
      </c>
      <c r="AD17" s="67">
        <f>AD$6*'Eurostat Collected Portables'!AD10</f>
        <v>5.2166585613549401</v>
      </c>
      <c r="AE17" s="67">
        <f>AE$6*'Eurostat Collected Portables'!AE10</f>
        <v>4.9702017676832089</v>
      </c>
      <c r="AF17" s="67">
        <f>AF$6*'Eurostat Collected Portables'!AF10</f>
        <v>4.7548981273156938</v>
      </c>
      <c r="AG17" s="67">
        <f>AG$6*'Eurostat Collected Portables'!AG10</f>
        <v>4.5318495024145875</v>
      </c>
      <c r="AH17" s="67">
        <f>AH$6*'Eurostat Collected Portables'!AH10</f>
        <v>4.2988079038541525</v>
      </c>
      <c r="AI17" s="67">
        <f>AI$6*'Eurostat Collected Portables'!AI10</f>
        <v>4.0585761159625049</v>
      </c>
      <c r="AJ17" s="67">
        <f>AJ$6*'Eurostat Collected Portables'!AJ10</f>
        <v>3.8328701963275247</v>
      </c>
      <c r="AK17" s="67">
        <f>AK$6*'Eurostat Collected Portables'!AK10</f>
        <v>0</v>
      </c>
      <c r="AL17" s="67">
        <f>AL$6*'Eurostat Collected Portables'!AL10</f>
        <v>0</v>
      </c>
      <c r="AM17" s="67">
        <f>AM$6*'Eurostat Collected Portables'!AM10</f>
        <v>0</v>
      </c>
      <c r="AN17" s="67">
        <f>AN$6*'Eurostat Collected Portables'!AN10</f>
        <v>0</v>
      </c>
      <c r="AO17" s="67">
        <f>AO$6*'Eurostat Collected Portables'!AO10</f>
        <v>0</v>
      </c>
      <c r="AP17" s="67">
        <f>AP$6*'Eurostat Collected Portables'!AP10</f>
        <v>0</v>
      </c>
      <c r="AQ17" s="67">
        <f>AQ$6*'Eurostat Collected Portables'!AQ10</f>
        <v>0</v>
      </c>
      <c r="AR17" s="67">
        <f>AR$6*'Eurostat Collected Portables'!AR10</f>
        <v>0</v>
      </c>
      <c r="AS17" s="67">
        <f>AS$6*'Eurostat Collected Portables'!AS10</f>
        <v>0</v>
      </c>
      <c r="AT17" s="67">
        <f>AT$6*'Eurostat Collected Portables'!AT10</f>
        <v>0</v>
      </c>
      <c r="AU17" s="67">
        <f>AU$6*'Eurostat Collected Portables'!AU10</f>
        <v>0</v>
      </c>
      <c r="AV17" s="67">
        <f>AV$6*'Eurostat Collected Portables'!AV10</f>
        <v>0</v>
      </c>
      <c r="AW17" s="67">
        <f>AW$6*'Eurostat Collected Portables'!AW10</f>
        <v>0</v>
      </c>
      <c r="AX17" s="67">
        <f>AX$6*'Eurostat Collected Portables'!AX10</f>
        <v>0</v>
      </c>
      <c r="AY17" s="67">
        <f>AY$6*'Eurostat Collected Portables'!AY10</f>
        <v>0</v>
      </c>
      <c r="AZ17" s="67">
        <f>AZ$6*'Eurostat Collected Portables'!AZ10</f>
        <v>0</v>
      </c>
    </row>
    <row r="18" spans="1:52" x14ac:dyDescent="0.35">
      <c r="A18" s="1" t="s">
        <v>8</v>
      </c>
      <c r="B18" s="23">
        <f t="shared" ref="B18:C18" si="16">C18/1.1</f>
        <v>83.867024948116878</v>
      </c>
      <c r="C18" s="23">
        <f t="shared" si="16"/>
        <v>92.253727442928579</v>
      </c>
      <c r="D18" s="23">
        <f t="shared" si="1"/>
        <v>101.47910018722145</v>
      </c>
      <c r="E18" s="23">
        <f t="shared" si="2"/>
        <v>112.64180120781582</v>
      </c>
      <c r="F18" s="23">
        <f t="shared" si="3"/>
        <v>138.54941548561345</v>
      </c>
      <c r="G18" s="23">
        <f t="shared" si="4"/>
        <v>109.45403823363463</v>
      </c>
      <c r="H18" s="23">
        <f t="shared" si="5"/>
        <v>149.95203238007946</v>
      </c>
      <c r="I18" s="23">
        <f t="shared" si="6"/>
        <v>91.47073975184847</v>
      </c>
      <c r="J18" s="23">
        <f t="shared" si="7"/>
        <v>84.153080571700599</v>
      </c>
      <c r="K18" s="23">
        <f t="shared" si="8"/>
        <v>65.639402845926469</v>
      </c>
      <c r="L18" s="23">
        <f t="shared" si="9"/>
        <v>40.040035736015149</v>
      </c>
      <c r="M18" s="4">
        <f>$M$6*'Eurostat Collected Portables'!M11</f>
        <v>58.458452174582114</v>
      </c>
      <c r="N18" s="4">
        <f>$N$6*'Eurostat Collected Portables'!N11</f>
        <v>51.924555944506395</v>
      </c>
      <c r="O18" s="4">
        <f>$O$6*'Eurostat Collected Portables'!O11</f>
        <v>67.781739308032698</v>
      </c>
      <c r="P18" s="4">
        <f>$P$6*'Eurostat Collected Portables'!P11</f>
        <v>70.630576115968822</v>
      </c>
      <c r="Q18" s="4">
        <f>$Q$6*'Eurostat Collected Portables'!Q11</f>
        <v>73.655085121096121</v>
      </c>
      <c r="R18" s="4">
        <f>$R$6*'Eurostat Collected Portables'!R11</f>
        <v>72.261238642677483</v>
      </c>
      <c r="S18" s="4">
        <f>$S$6*'Eurostat Collected Portables'!S11</f>
        <v>84.691840184616396</v>
      </c>
      <c r="T18" s="4">
        <f>$T$6*'Eurostat Collected Portables'!T11</f>
        <v>78.968410177630275</v>
      </c>
      <c r="U18" s="4">
        <f>$U$6*'Eurostat Collected Portables'!U11</f>
        <v>65.223982179406036</v>
      </c>
      <c r="V18" s="4">
        <f>$V$6*'Eurostat Collected Portables'!V11</f>
        <v>85.761127928001144</v>
      </c>
      <c r="W18" s="4">
        <f>$W$6*'Eurostat Collected Portables'!W11</f>
        <v>84.539294644213896</v>
      </c>
      <c r="X18" s="67">
        <f>X$6*'Eurostat Collected Portables'!X11</f>
        <v>67.637140568586105</v>
      </c>
      <c r="Y18" s="67">
        <f>Y$6*'Eurostat Collected Portables'!Y11</f>
        <v>65.107940400507985</v>
      </c>
      <c r="Z18" s="67">
        <f>Z$6*'Eurostat Collected Portables'!Z11</f>
        <v>61.195696687526848</v>
      </c>
      <c r="AA18" s="67">
        <f>AA$6*'Eurostat Collected Portables'!AA11</f>
        <v>57.620501075050008</v>
      </c>
      <c r="AB18" s="67">
        <f>AB$6*'Eurostat Collected Portables'!AB11</f>
        <v>54.129833074284463</v>
      </c>
      <c r="AC18" s="67">
        <f>AC$6*'Eurostat Collected Portables'!AC11</f>
        <v>50.802096235214087</v>
      </c>
      <c r="AD18" s="67">
        <f>AD$6*'Eurostat Collected Portables'!AD11</f>
        <v>47.732341285738734</v>
      </c>
      <c r="AE18" s="67">
        <f>AE$6*'Eurostat Collected Portables'!AE11</f>
        <v>45.108522612139332</v>
      </c>
      <c r="AF18" s="67">
        <f>AF$6*'Eurostat Collected Portables'!AF11</f>
        <v>42.809231095802815</v>
      </c>
      <c r="AG18" s="67">
        <f>AG$6*'Eurostat Collected Portables'!AG11</f>
        <v>40.478986339425106</v>
      </c>
      <c r="AH18" s="67">
        <f>AH$6*'Eurostat Collected Portables'!AH11</f>
        <v>38.09828415964261</v>
      </c>
      <c r="AI18" s="67">
        <f>AI$6*'Eurostat Collected Portables'!AI11</f>
        <v>35.692634241945932</v>
      </c>
      <c r="AJ18" s="67">
        <f>AJ$6*'Eurostat Collected Portables'!AJ11</f>
        <v>33.451830472370474</v>
      </c>
      <c r="AK18" s="67">
        <f>AK$6*'Eurostat Collected Portables'!AK11</f>
        <v>0</v>
      </c>
      <c r="AL18" s="67">
        <f>AL$6*'Eurostat Collected Portables'!AL11</f>
        <v>0</v>
      </c>
      <c r="AM18" s="67">
        <f>AM$6*'Eurostat Collected Portables'!AM11</f>
        <v>0</v>
      </c>
      <c r="AN18" s="67">
        <f>AN$6*'Eurostat Collected Portables'!AN11</f>
        <v>0</v>
      </c>
      <c r="AO18" s="67">
        <f>AO$6*'Eurostat Collected Portables'!AO11</f>
        <v>0</v>
      </c>
      <c r="AP18" s="67">
        <f>AP$6*'Eurostat Collected Portables'!AP11</f>
        <v>0</v>
      </c>
      <c r="AQ18" s="67">
        <f>AQ$6*'Eurostat Collected Portables'!AQ11</f>
        <v>0</v>
      </c>
      <c r="AR18" s="67">
        <f>AR$6*'Eurostat Collected Portables'!AR11</f>
        <v>0</v>
      </c>
      <c r="AS18" s="67">
        <f>AS$6*'Eurostat Collected Portables'!AS11</f>
        <v>0</v>
      </c>
      <c r="AT18" s="67">
        <f>AT$6*'Eurostat Collected Portables'!AT11</f>
        <v>0</v>
      </c>
      <c r="AU18" s="67">
        <f>AU$6*'Eurostat Collected Portables'!AU11</f>
        <v>0</v>
      </c>
      <c r="AV18" s="67">
        <f>AV$6*'Eurostat Collected Portables'!AV11</f>
        <v>0</v>
      </c>
      <c r="AW18" s="67">
        <f>AW$6*'Eurostat Collected Portables'!AW11</f>
        <v>0</v>
      </c>
      <c r="AX18" s="67">
        <f>AX$6*'Eurostat Collected Portables'!AX11</f>
        <v>0</v>
      </c>
      <c r="AY18" s="67">
        <f>AY$6*'Eurostat Collected Portables'!AY11</f>
        <v>0</v>
      </c>
      <c r="AZ18" s="67">
        <f>AZ$6*'Eurostat Collected Portables'!AZ11</f>
        <v>0</v>
      </c>
    </row>
    <row r="19" spans="1:52" x14ac:dyDescent="0.35">
      <c r="A19" s="1" t="s">
        <v>9</v>
      </c>
      <c r="B19" s="23">
        <f t="shared" ref="B19:C19" si="17">C19/1.1</f>
        <v>1006.8374968203166</v>
      </c>
      <c r="C19" s="23">
        <f t="shared" si="17"/>
        <v>1107.5212465023483</v>
      </c>
      <c r="D19" s="23">
        <f t="shared" si="1"/>
        <v>1218.2733711525832</v>
      </c>
      <c r="E19" s="23">
        <f t="shared" si="2"/>
        <v>1352.2834419793676</v>
      </c>
      <c r="F19" s="23">
        <f t="shared" si="3"/>
        <v>1663.3086336346221</v>
      </c>
      <c r="G19" s="23">
        <f t="shared" si="4"/>
        <v>1314.0138205713515</v>
      </c>
      <c r="H19" s="23">
        <f t="shared" si="5"/>
        <v>1800.1989341827516</v>
      </c>
      <c r="I19" s="23">
        <f t="shared" si="6"/>
        <v>1098.1213498514785</v>
      </c>
      <c r="J19" s="23">
        <f t="shared" si="7"/>
        <v>1010.2716418633603</v>
      </c>
      <c r="K19" s="23">
        <f t="shared" si="8"/>
        <v>788.01188065342103</v>
      </c>
      <c r="L19" s="23">
        <f t="shared" si="9"/>
        <v>480.68724719858682</v>
      </c>
      <c r="M19" s="4">
        <f>$M$6*'Eurostat Collected Portables'!M12</f>
        <v>701.80338090993678</v>
      </c>
      <c r="N19" s="4">
        <f>$N$6*'Eurostat Collected Portables'!N12</f>
        <v>664.63431608968187</v>
      </c>
      <c r="O19" s="4">
        <f>$O$6*'Eurostat Collected Portables'!O12</f>
        <v>683.59117034170322</v>
      </c>
      <c r="P19" s="4">
        <f>$P$6*'Eurostat Collected Portables'!P12</f>
        <v>676.3498219283947</v>
      </c>
      <c r="Q19" s="4">
        <f>$Q$6*'Eurostat Collected Portables'!Q12</f>
        <v>700.43536477107341</v>
      </c>
      <c r="R19" s="4">
        <f>$R$6*'Eurostat Collected Portables'!R12</f>
        <v>756.80644881664819</v>
      </c>
      <c r="S19" s="4">
        <f>$S$6*'Eurostat Collected Portables'!S12</f>
        <v>864.28950191322758</v>
      </c>
      <c r="T19" s="4">
        <f>$T$6*'Eurostat Collected Portables'!T12</f>
        <v>775.67879028504501</v>
      </c>
      <c r="U19" s="4">
        <f>$U$6*'Eurostat Collected Portables'!U12</f>
        <v>603.0596184354373</v>
      </c>
      <c r="V19" s="4">
        <f>$V$6*'Eurostat Collected Portables'!V12</f>
        <v>742.02019381183607</v>
      </c>
      <c r="W19" s="4">
        <f>$W$6*'Eurostat Collected Portables'!W12</f>
        <v>809.8654491704541</v>
      </c>
      <c r="X19" s="67">
        <f>X$6*'Eurostat Collected Portables'!X12</f>
        <v>649.16712264630132</v>
      </c>
      <c r="Y19" s="67">
        <f>Y$6*'Eurostat Collected Portables'!Y12</f>
        <v>614.81636095526505</v>
      </c>
      <c r="Z19" s="67">
        <f>Z$6*'Eurostat Collected Portables'!Z12</f>
        <v>577.36270168358908</v>
      </c>
      <c r="AA19" s="67">
        <f>AA$6*'Eurostat Collected Portables'!AA12</f>
        <v>543.91192347315632</v>
      </c>
      <c r="AB19" s="67">
        <f>AB$6*'Eurostat Collected Portables'!AB12</f>
        <v>510.87160510227739</v>
      </c>
      <c r="AC19" s="67">
        <f>AC$6*'Eurostat Collected Portables'!AC12</f>
        <v>479.1558753205702</v>
      </c>
      <c r="AD19" s="67">
        <f>AD$6*'Eurostat Collected Portables'!AD12</f>
        <v>449.84788196893049</v>
      </c>
      <c r="AE19" s="67">
        <f>AE$6*'Eurostat Collected Portables'!AE12</f>
        <v>424.78667474200188</v>
      </c>
      <c r="AF19" s="67">
        <f>AF$6*'Eurostat Collected Portables'!AF12</f>
        <v>402.81962142191725</v>
      </c>
      <c r="AG19" s="67">
        <f>AG$6*'Eurostat Collected Portables'!AG12</f>
        <v>380.59693345145894</v>
      </c>
      <c r="AH19" s="67">
        <f>AH$6*'Eurostat Collected Portables'!AH12</f>
        <v>357.93575855476621</v>
      </c>
      <c r="AI19" s="67">
        <f>AI$6*'Eurostat Collected Portables'!AI12</f>
        <v>335.07638707615052</v>
      </c>
      <c r="AJ19" s="67">
        <f>AJ$6*'Eurostat Collected Portables'!AJ12</f>
        <v>313.79945703045166</v>
      </c>
      <c r="AK19" s="67">
        <f>AK$6*'Eurostat Collected Portables'!AK12</f>
        <v>0</v>
      </c>
      <c r="AL19" s="67">
        <f>AL$6*'Eurostat Collected Portables'!AL12</f>
        <v>0</v>
      </c>
      <c r="AM19" s="67">
        <f>AM$6*'Eurostat Collected Portables'!AM12</f>
        <v>0</v>
      </c>
      <c r="AN19" s="67">
        <f>AN$6*'Eurostat Collected Portables'!AN12</f>
        <v>0</v>
      </c>
      <c r="AO19" s="67">
        <f>AO$6*'Eurostat Collected Portables'!AO12</f>
        <v>0</v>
      </c>
      <c r="AP19" s="67">
        <f>AP$6*'Eurostat Collected Portables'!AP12</f>
        <v>0</v>
      </c>
      <c r="AQ19" s="67">
        <f>AQ$6*'Eurostat Collected Portables'!AQ12</f>
        <v>0</v>
      </c>
      <c r="AR19" s="67">
        <f>AR$6*'Eurostat Collected Portables'!AR12</f>
        <v>0</v>
      </c>
      <c r="AS19" s="67">
        <f>AS$6*'Eurostat Collected Portables'!AS12</f>
        <v>0</v>
      </c>
      <c r="AT19" s="67">
        <f>AT$6*'Eurostat Collected Portables'!AT12</f>
        <v>0</v>
      </c>
      <c r="AU19" s="67">
        <f>AU$6*'Eurostat Collected Portables'!AU12</f>
        <v>0</v>
      </c>
      <c r="AV19" s="67">
        <f>AV$6*'Eurostat Collected Portables'!AV12</f>
        <v>0</v>
      </c>
      <c r="AW19" s="67">
        <f>AW$6*'Eurostat Collected Portables'!AW12</f>
        <v>0</v>
      </c>
      <c r="AX19" s="67">
        <f>AX$6*'Eurostat Collected Portables'!AX12</f>
        <v>0</v>
      </c>
      <c r="AY19" s="67">
        <f>AY$6*'Eurostat Collected Portables'!AY12</f>
        <v>0</v>
      </c>
      <c r="AZ19" s="67">
        <f>AZ$6*'Eurostat Collected Portables'!AZ12</f>
        <v>0</v>
      </c>
    </row>
    <row r="20" spans="1:52" x14ac:dyDescent="0.35">
      <c r="A20" s="1" t="s">
        <v>10</v>
      </c>
      <c r="B20" s="23">
        <f t="shared" ref="B20:C20" si="18">C20/1.1</f>
        <v>1554.1838872164585</v>
      </c>
      <c r="C20" s="23">
        <f t="shared" si="18"/>
        <v>1709.6022759381044</v>
      </c>
      <c r="D20" s="23">
        <f t="shared" si="1"/>
        <v>1880.5625035319151</v>
      </c>
      <c r="E20" s="23">
        <f t="shared" si="2"/>
        <v>2087.4243789204261</v>
      </c>
      <c r="F20" s="23">
        <f t="shared" si="3"/>
        <v>2567.5319860721238</v>
      </c>
      <c r="G20" s="23">
        <f t="shared" si="4"/>
        <v>2028.3502689969778</v>
      </c>
      <c r="H20" s="23">
        <f t="shared" si="5"/>
        <v>2778.8398685258599</v>
      </c>
      <c r="I20" s="23">
        <f t="shared" si="6"/>
        <v>1695.0923198007745</v>
      </c>
      <c r="J20" s="23">
        <f t="shared" si="7"/>
        <v>1559.4849342167126</v>
      </c>
      <c r="K20" s="23">
        <f t="shared" si="8"/>
        <v>1216.3982486890359</v>
      </c>
      <c r="L20" s="23">
        <f t="shared" si="9"/>
        <v>742.00293170031182</v>
      </c>
      <c r="M20" s="4">
        <f>M4*'Eurostat Collected Portables'!M13</f>
        <v>1083.3242802824552</v>
      </c>
      <c r="N20" s="4">
        <f>N4*'Eurostat Collected Portables'!N13</f>
        <v>1038.5438632761354</v>
      </c>
      <c r="O20" s="4">
        <f>O4*'Eurostat Collected Portables'!O13</f>
        <v>1132.0803023145961</v>
      </c>
      <c r="P20" s="4">
        <f>P4*'Eurostat Collected Portables'!P13</f>
        <v>1091.133515349271</v>
      </c>
      <c r="Q20" s="4">
        <f>Q4*'Eurostat Collected Portables'!Q13</f>
        <v>1134.5804732189288</v>
      </c>
      <c r="R20" s="4">
        <f>R4*'Eurostat Collected Portables'!R13</f>
        <v>1128.7942871460787</v>
      </c>
      <c r="S20" s="4">
        <f>S4*'Eurostat Collected Portables'!S13</f>
        <v>1324.058975928162</v>
      </c>
      <c r="T20" s="4">
        <f>T4*'Eurostat Collected Portables'!T13</f>
        <v>1321.5497292311627</v>
      </c>
      <c r="U20" s="4">
        <f>U4*'Eurostat Collected Portables'!U13</f>
        <v>1073.1462225765881</v>
      </c>
      <c r="V20" s="4">
        <f>V4*'Eurostat Collected Portables'!V13</f>
        <v>1292.4515978302827</v>
      </c>
      <c r="W20" s="4">
        <f>W4*'Eurostat Collected Portables'!W13</f>
        <v>1195.9847490640843</v>
      </c>
      <c r="X20" s="67">
        <f>X$6*'Eurostat Collected Portables'!X13</f>
        <v>961.73209629171902</v>
      </c>
      <c r="Y20" s="67">
        <f>Y$6*'Eurostat Collected Portables'!Y13</f>
        <v>888.14589595087045</v>
      </c>
      <c r="Z20" s="67">
        <f>Z$6*'Eurostat Collected Portables'!Z13</f>
        <v>839.63122990473391</v>
      </c>
      <c r="AA20" s="67">
        <f>AA$6*'Eurostat Collected Portables'!AA13</f>
        <v>794.73008806827397</v>
      </c>
      <c r="AB20" s="67">
        <f>AB$6*'Eurostat Collected Portables'!AB13</f>
        <v>748.85947539936456</v>
      </c>
      <c r="AC20" s="67">
        <f>AC$6*'Eurostat Collected Portables'!AC13</f>
        <v>703.90916811669717</v>
      </c>
      <c r="AD20" s="67">
        <f>AD$6*'Eurostat Collected Portables'!AD13</f>
        <v>662.14641783553645</v>
      </c>
      <c r="AE20" s="67">
        <f>AE$6*'Eurostat Collected Portables'!AE13</f>
        <v>627.53510292161639</v>
      </c>
      <c r="AF20" s="67">
        <f>AF$6*'Eurostat Collected Portables'!AF13</f>
        <v>597.92595611477509</v>
      </c>
      <c r="AG20" s="67">
        <f>AG$6*'Eurostat Collected Portables'!AG13</f>
        <v>567.89090943999577</v>
      </c>
      <c r="AH20" s="67">
        <f>AH$6*'Eurostat Collected Portables'!AH13</f>
        <v>536.9046214094011</v>
      </c>
      <c r="AI20" s="67">
        <f>AI$6*'Eurostat Collected Portables'!AI13</f>
        <v>505.31684113303982</v>
      </c>
      <c r="AJ20" s="67">
        <f>AJ$6*'Eurostat Collected Portables'!AJ13</f>
        <v>475.7504971554286</v>
      </c>
      <c r="AK20" s="67">
        <f>AK$6*'Eurostat Collected Portables'!AK13</f>
        <v>0</v>
      </c>
      <c r="AL20" s="67">
        <f>AL$6*'Eurostat Collected Portables'!AL13</f>
        <v>0</v>
      </c>
      <c r="AM20" s="67">
        <f>AM$6*'Eurostat Collected Portables'!AM13</f>
        <v>0</v>
      </c>
      <c r="AN20" s="67">
        <f>AN$6*'Eurostat Collected Portables'!AN13</f>
        <v>0</v>
      </c>
      <c r="AO20" s="67">
        <f>AO$6*'Eurostat Collected Portables'!AO13</f>
        <v>0</v>
      </c>
      <c r="AP20" s="67">
        <f>AP$6*'Eurostat Collected Portables'!AP13</f>
        <v>0</v>
      </c>
      <c r="AQ20" s="67">
        <f>AQ$6*'Eurostat Collected Portables'!AQ13</f>
        <v>0</v>
      </c>
      <c r="AR20" s="67">
        <f>AR$6*'Eurostat Collected Portables'!AR13</f>
        <v>0</v>
      </c>
      <c r="AS20" s="67">
        <f>AS$6*'Eurostat Collected Portables'!AS13</f>
        <v>0</v>
      </c>
      <c r="AT20" s="67">
        <f>AT$6*'Eurostat Collected Portables'!AT13</f>
        <v>0</v>
      </c>
      <c r="AU20" s="67">
        <f>AU$6*'Eurostat Collected Portables'!AU13</f>
        <v>0</v>
      </c>
      <c r="AV20" s="67">
        <f>AV$6*'Eurostat Collected Portables'!AV13</f>
        <v>0</v>
      </c>
      <c r="AW20" s="67">
        <f>AW$6*'Eurostat Collected Portables'!AW13</f>
        <v>0</v>
      </c>
      <c r="AX20" s="67">
        <f>AX$6*'Eurostat Collected Portables'!AX13</f>
        <v>0</v>
      </c>
      <c r="AY20" s="67">
        <f>AY$6*'Eurostat Collected Portables'!AY13</f>
        <v>0</v>
      </c>
      <c r="AZ20" s="67">
        <f>AZ$6*'Eurostat Collected Portables'!AZ13</f>
        <v>0</v>
      </c>
    </row>
    <row r="21" spans="1:52" x14ac:dyDescent="0.35">
      <c r="A21" s="1" t="s">
        <v>11</v>
      </c>
      <c r="B21" s="23">
        <f t="shared" ref="B21:C21" si="19">C21/1.1</f>
        <v>37.4069459754893</v>
      </c>
      <c r="C21" s="23">
        <f t="shared" si="19"/>
        <v>41.147640573038231</v>
      </c>
      <c r="D21" s="23">
        <f t="shared" si="1"/>
        <v>45.262404630342061</v>
      </c>
      <c r="E21" s="23">
        <f t="shared" si="2"/>
        <v>50.241269139679694</v>
      </c>
      <c r="F21" s="23">
        <f t="shared" si="3"/>
        <v>61.796761041806022</v>
      </c>
      <c r="G21" s="23">
        <f t="shared" si="4"/>
        <v>48.819441223026757</v>
      </c>
      <c r="H21" s="23">
        <f t="shared" si="5"/>
        <v>66.882634475546666</v>
      </c>
      <c r="I21" s="23">
        <f t="shared" si="6"/>
        <v>40.798407030083467</v>
      </c>
      <c r="J21" s="23">
        <f t="shared" si="7"/>
        <v>37.534534467676792</v>
      </c>
      <c r="K21" s="23">
        <f t="shared" si="8"/>
        <v>29.276936884787901</v>
      </c>
      <c r="L21" s="23">
        <f t="shared" si="9"/>
        <v>17.858931499720619</v>
      </c>
      <c r="M21" s="4">
        <f>$M$6*'Eurostat Collected Portables'!M14</f>
        <v>26.074039989592105</v>
      </c>
      <c r="N21" s="4">
        <f>$N$6*'Eurostat Collected Portables'!N14</f>
        <v>26.086031106432042</v>
      </c>
      <c r="O21" s="4">
        <f>$O$6*'Eurostat Collected Portables'!O14</f>
        <v>29.757641570541665</v>
      </c>
      <c r="P21" s="4">
        <f>$P$6*'Eurostat Collected Portables'!P14</f>
        <v>29.880289925846299</v>
      </c>
      <c r="Q21" s="4">
        <f>$Q$6*'Eurostat Collected Portables'!Q14</f>
        <v>32.298865633148878</v>
      </c>
      <c r="R21" s="4">
        <f>$R$6*'Eurostat Collected Portables'!R14</f>
        <v>34.968685162459543</v>
      </c>
      <c r="S21" s="4">
        <f>$S$6*'Eurostat Collected Portables'!S14</f>
        <v>35.298569887164938</v>
      </c>
      <c r="T21" s="4">
        <f>$T$6*'Eurostat Collected Portables'!T14</f>
        <v>29.788220210252074</v>
      </c>
      <c r="U21" s="4">
        <f>$U$6*'Eurostat Collected Portables'!U14</f>
        <v>23.696622471374436</v>
      </c>
      <c r="V21" s="4">
        <f>$V$6*'Eurostat Collected Portables'!V14</f>
        <v>29.486520529020989</v>
      </c>
      <c r="W21" s="4">
        <f>$W$6*'Eurostat Collected Portables'!W14</f>
        <v>25.676691209990469</v>
      </c>
      <c r="X21" s="67">
        <f>X$6*'Eurostat Collected Portables'!X14</f>
        <v>23.809381308179404</v>
      </c>
      <c r="Y21" s="67">
        <f>Y$6*'Eurostat Collected Portables'!Y14</f>
        <v>25.837481275045416</v>
      </c>
      <c r="Z21" s="67">
        <f>Z$6*'Eurostat Collected Portables'!Z14</f>
        <v>25.036362860051796</v>
      </c>
      <c r="AA21" s="67">
        <f>AA$6*'Eurostat Collected Portables'!AA14</f>
        <v>24.277336750237005</v>
      </c>
      <c r="AB21" s="67">
        <f>AB$6*'Eurostat Collected Portables'!AB14</f>
        <v>23.464037928702744</v>
      </c>
      <c r="AC21" s="67">
        <f>AC$6*'Eurostat Collected Portables'!AC14</f>
        <v>22.635203237735215</v>
      </c>
      <c r="AD21" s="67">
        <f>AD$6*'Eurostat Collected Portables'!AD14</f>
        <v>21.840913363237327</v>
      </c>
      <c r="AE21" s="67">
        <f>AE$6*'Eurostat Collected Portables'!AE14</f>
        <v>21.179341042069211</v>
      </c>
      <c r="AF21" s="67">
        <f>AF$6*'Eurostat Collected Portables'!AF14</f>
        <v>20.608558322605273</v>
      </c>
      <c r="AG21" s="67">
        <f>AG$6*'Eurostat Collected Portables'!AG14</f>
        <v>19.965269158950061</v>
      </c>
      <c r="AH21" s="67">
        <f>AH$6*'Eurostat Collected Portables'!AH14</f>
        <v>19.238992422735283</v>
      </c>
      <c r="AI21" s="67">
        <f>AI$6*'Eurostat Collected Portables'!AI14</f>
        <v>18.441599020779421</v>
      </c>
      <c r="AJ21" s="67">
        <f>AJ$6*'Eurostat Collected Portables'!AJ14</f>
        <v>17.672953852439676</v>
      </c>
      <c r="AK21" s="67">
        <f>AK$6*'Eurostat Collected Portables'!AK14</f>
        <v>0</v>
      </c>
      <c r="AL21" s="67">
        <f>AL$6*'Eurostat Collected Portables'!AL14</f>
        <v>0</v>
      </c>
      <c r="AM21" s="67">
        <f>AM$6*'Eurostat Collected Portables'!AM14</f>
        <v>0</v>
      </c>
      <c r="AN21" s="67">
        <f>AN$6*'Eurostat Collected Portables'!AN14</f>
        <v>0</v>
      </c>
      <c r="AO21" s="67">
        <f>AO$6*'Eurostat Collected Portables'!AO14</f>
        <v>0</v>
      </c>
      <c r="AP21" s="67">
        <f>AP$6*'Eurostat Collected Portables'!AP14</f>
        <v>0</v>
      </c>
      <c r="AQ21" s="67">
        <f>AQ$6*'Eurostat Collected Portables'!AQ14</f>
        <v>0</v>
      </c>
      <c r="AR21" s="67">
        <f>AR$6*'Eurostat Collected Portables'!AR14</f>
        <v>0</v>
      </c>
      <c r="AS21" s="67">
        <f>AS$6*'Eurostat Collected Portables'!AS14</f>
        <v>0</v>
      </c>
      <c r="AT21" s="67">
        <f>AT$6*'Eurostat Collected Portables'!AT14</f>
        <v>0</v>
      </c>
      <c r="AU21" s="67">
        <f>AU$6*'Eurostat Collected Portables'!AU14</f>
        <v>0</v>
      </c>
      <c r="AV21" s="67">
        <f>AV$6*'Eurostat Collected Portables'!AV14</f>
        <v>0</v>
      </c>
      <c r="AW21" s="67">
        <f>AW$6*'Eurostat Collected Portables'!AW14</f>
        <v>0</v>
      </c>
      <c r="AX21" s="67">
        <f>AX$6*'Eurostat Collected Portables'!AX14</f>
        <v>0</v>
      </c>
      <c r="AY21" s="67">
        <f>AY$6*'Eurostat Collected Portables'!AY14</f>
        <v>0</v>
      </c>
      <c r="AZ21" s="67">
        <f>AZ$6*'Eurostat Collected Portables'!AZ14</f>
        <v>0</v>
      </c>
    </row>
    <row r="22" spans="1:52" x14ac:dyDescent="0.35">
      <c r="A22" s="1" t="s">
        <v>12</v>
      </c>
      <c r="B22" s="23">
        <f t="shared" ref="B22:C22" si="20">C22/1.1</f>
        <v>39.074409350827189</v>
      </c>
      <c r="C22" s="23">
        <f t="shared" si="20"/>
        <v>42.981850285909914</v>
      </c>
      <c r="D22" s="23">
        <f t="shared" si="1"/>
        <v>47.280035314500907</v>
      </c>
      <c r="E22" s="23">
        <f t="shared" si="2"/>
        <v>52.48083919909601</v>
      </c>
      <c r="F22" s="23">
        <f t="shared" si="3"/>
        <v>64.551432214888095</v>
      </c>
      <c r="G22" s="23">
        <f t="shared" si="4"/>
        <v>50.995631449761596</v>
      </c>
      <c r="H22" s="23">
        <f t="shared" si="5"/>
        <v>69.864015086173396</v>
      </c>
      <c r="I22" s="23">
        <f t="shared" si="6"/>
        <v>42.617049202565774</v>
      </c>
      <c r="J22" s="23">
        <f t="shared" si="7"/>
        <v>39.207685266360514</v>
      </c>
      <c r="K22" s="23">
        <f t="shared" si="8"/>
        <v>30.581994507761202</v>
      </c>
      <c r="L22" s="23">
        <f t="shared" si="9"/>
        <v>18.655016649734332</v>
      </c>
      <c r="M22" s="4">
        <f>$M$6*'Eurostat Collected Portables'!M15</f>
        <v>27.236324308612122</v>
      </c>
      <c r="N22" s="4">
        <f>$N$6*'Eurostat Collected Portables'!N15</f>
        <v>29.743740198646599</v>
      </c>
      <c r="O22" s="4">
        <f>$O$6*'Eurostat Collected Portables'!O15</f>
        <v>31.274626832455191</v>
      </c>
      <c r="P22" s="4">
        <f>$P$6*'Eurostat Collected Portables'!P15</f>
        <v>34.243418292646226</v>
      </c>
      <c r="Q22" s="4">
        <f>$Q$6*'Eurostat Collected Portables'!Q15</f>
        <v>42.495509281003642</v>
      </c>
      <c r="R22" s="4">
        <f>$R$6*'Eurostat Collected Portables'!R15</f>
        <v>51.014442594600794</v>
      </c>
      <c r="S22" s="4">
        <f>$S$6*'Eurostat Collected Portables'!S15</f>
        <v>61.200672834138857</v>
      </c>
      <c r="T22" s="4">
        <f>$T$6*'Eurostat Collected Portables'!T15</f>
        <v>57.583376862132852</v>
      </c>
      <c r="U22" s="4">
        <f>$U$6*'Eurostat Collected Portables'!U15</f>
        <v>56.677659320877545</v>
      </c>
      <c r="V22" s="4">
        <f>$V$6*'Eurostat Collected Portables'!V15</f>
        <v>62.309286309245685</v>
      </c>
      <c r="W22" s="4">
        <f>$W$6*'Eurostat Collected Portables'!W15</f>
        <v>53.735339623423449</v>
      </c>
      <c r="X22" s="67">
        <f>X$6*'Eurostat Collected Portables'!X15</f>
        <v>42.894755165753217</v>
      </c>
      <c r="Y22" s="67">
        <f>Y$6*'Eurostat Collected Portables'!Y15</f>
        <v>43.082539442917884</v>
      </c>
      <c r="Z22" s="67">
        <f>Z$6*'Eurostat Collected Portables'!Z15</f>
        <v>40.781865690054772</v>
      </c>
      <c r="AA22" s="67">
        <f>AA$6*'Eurostat Collected Portables'!AA15</f>
        <v>38.669076505468922</v>
      </c>
      <c r="AB22" s="67">
        <f>AB$6*'Eurostat Collected Portables'!AB15</f>
        <v>36.578551023063142</v>
      </c>
      <c r="AC22" s="67">
        <f>AC$6*'Eurostat Collected Portables'!AC15</f>
        <v>34.56509232561131</v>
      </c>
      <c r="AD22" s="67">
        <f>AD$6*'Eurostat Collected Portables'!AD15</f>
        <v>32.696335478438534</v>
      </c>
      <c r="AE22" s="67">
        <f>AE$6*'Eurostat Collected Portables'!AE15</f>
        <v>31.105694106084652</v>
      </c>
      <c r="AF22" s="67">
        <f>AF$6*'Eurostat Collected Portables'!AF15</f>
        <v>29.715227720230803</v>
      </c>
      <c r="AG22" s="67">
        <f>AG$6*'Eurostat Collected Portables'!AG15</f>
        <v>28.28118974591996</v>
      </c>
      <c r="AH22" s="67">
        <f>AH$6*'Eurostat Collected Portables'!AH15</f>
        <v>26.789623149937302</v>
      </c>
      <c r="AI22" s="67">
        <f>AI$6*'Eurostat Collected Portables'!AI15</f>
        <v>25.258077973526117</v>
      </c>
      <c r="AJ22" s="67">
        <f>AJ$6*'Eurostat Collected Portables'!AJ15</f>
        <v>23.821553954147827</v>
      </c>
      <c r="AK22" s="67">
        <f>AK$6*'Eurostat Collected Portables'!AK15</f>
        <v>0</v>
      </c>
      <c r="AL22" s="67">
        <f>AL$6*'Eurostat Collected Portables'!AL15</f>
        <v>0</v>
      </c>
      <c r="AM22" s="67">
        <f>AM$6*'Eurostat Collected Portables'!AM15</f>
        <v>0</v>
      </c>
      <c r="AN22" s="67">
        <f>AN$6*'Eurostat Collected Portables'!AN15</f>
        <v>0</v>
      </c>
      <c r="AO22" s="67">
        <f>AO$6*'Eurostat Collected Portables'!AO15</f>
        <v>0</v>
      </c>
      <c r="AP22" s="67">
        <f>AP$6*'Eurostat Collected Portables'!AP15</f>
        <v>0</v>
      </c>
      <c r="AQ22" s="67">
        <f>AQ$6*'Eurostat Collected Portables'!AQ15</f>
        <v>0</v>
      </c>
      <c r="AR22" s="67">
        <f>AR$6*'Eurostat Collected Portables'!AR15</f>
        <v>0</v>
      </c>
      <c r="AS22" s="67">
        <f>AS$6*'Eurostat Collected Portables'!AS15</f>
        <v>0</v>
      </c>
      <c r="AT22" s="67">
        <f>AT$6*'Eurostat Collected Portables'!AT15</f>
        <v>0</v>
      </c>
      <c r="AU22" s="67">
        <f>AU$6*'Eurostat Collected Portables'!AU15</f>
        <v>0</v>
      </c>
      <c r="AV22" s="67">
        <f>AV$6*'Eurostat Collected Portables'!AV15</f>
        <v>0</v>
      </c>
      <c r="AW22" s="67">
        <f>AW$6*'Eurostat Collected Portables'!AW15</f>
        <v>0</v>
      </c>
      <c r="AX22" s="67">
        <f>AX$6*'Eurostat Collected Portables'!AX15</f>
        <v>0</v>
      </c>
      <c r="AY22" s="67">
        <f>AY$6*'Eurostat Collected Portables'!AY15</f>
        <v>0</v>
      </c>
      <c r="AZ22" s="67">
        <f>AZ$6*'Eurostat Collected Portables'!AZ15</f>
        <v>0</v>
      </c>
    </row>
    <row r="23" spans="1:52" x14ac:dyDescent="0.35">
      <c r="A23" s="1" t="s">
        <v>13</v>
      </c>
      <c r="B23" s="23">
        <f t="shared" ref="B23:C23" si="21">C23/1.1</f>
        <v>3.1796692309874914</v>
      </c>
      <c r="C23" s="23">
        <f t="shared" si="21"/>
        <v>3.4976361540862406</v>
      </c>
      <c r="D23" s="23">
        <f t="shared" si="1"/>
        <v>3.847399769494865</v>
      </c>
      <c r="E23" s="23">
        <f t="shared" si="2"/>
        <v>4.2706137441393004</v>
      </c>
      <c r="F23" s="23">
        <f t="shared" si="3"/>
        <v>5.2528549052913389</v>
      </c>
      <c r="G23" s="23">
        <f t="shared" si="4"/>
        <v>4.1497553751801579</v>
      </c>
      <c r="H23" s="23">
        <f t="shared" si="5"/>
        <v>5.6851648639968166</v>
      </c>
      <c r="I23" s="23">
        <f t="shared" si="6"/>
        <v>3.4679505670380579</v>
      </c>
      <c r="J23" s="23">
        <f t="shared" si="7"/>
        <v>3.1905145216750133</v>
      </c>
      <c r="K23" s="23">
        <f t="shared" si="8"/>
        <v>2.4886013269065104</v>
      </c>
      <c r="L23" s="23">
        <f t="shared" si="9"/>
        <v>1.5180468094129713</v>
      </c>
      <c r="M23" s="4">
        <f>$M$6*'Eurostat Collected Portables'!M16</f>
        <v>2.2163483417429379</v>
      </c>
      <c r="N23" s="4">
        <f>$N$6*'Eurostat Collected Portables'!N16</f>
        <v>3.1324052770870705</v>
      </c>
      <c r="O23" s="4">
        <f>$O$6*'Eurostat Collected Portables'!O16</f>
        <v>3.8972996514290315</v>
      </c>
      <c r="P23" s="4">
        <f>$P$6*'Eurostat Collected Portables'!P16</f>
        <v>3.5202459661633019</v>
      </c>
      <c r="Q23" s="4">
        <f>$Q$6*'Eurostat Collected Portables'!Q16</f>
        <v>3.4919232157178595</v>
      </c>
      <c r="R23" s="4">
        <f>$R$6*'Eurostat Collected Portables'!R16</f>
        <v>3.2755477240784892</v>
      </c>
      <c r="S23" s="4">
        <f>$S$6*'Eurostat Collected Portables'!S16</f>
        <v>6.3426151846289356</v>
      </c>
      <c r="T23" s="4">
        <f>$T$6*'Eurostat Collected Portables'!T16</f>
        <v>4.4062864614803248</v>
      </c>
      <c r="U23" s="4">
        <f>$U$6*'Eurostat Collected Portables'!U16</f>
        <v>3.2670261472829343</v>
      </c>
      <c r="V23" s="4">
        <f>$V$6*'Eurostat Collected Portables'!V16</f>
        <v>4.8179306421794701</v>
      </c>
      <c r="W23" s="4">
        <f>$W$6*'Eurostat Collected Portables'!W16</f>
        <v>3.9322479934796726</v>
      </c>
      <c r="X23" s="67">
        <f>X$6*'Eurostat Collected Portables'!X16</f>
        <v>3.731345314794102</v>
      </c>
      <c r="Y23" s="67">
        <f>Y$6*'Eurostat Collected Portables'!Y16</f>
        <v>3.6329857473936302</v>
      </c>
      <c r="Z23" s="67">
        <f>Z$6*'Eurostat Collected Portables'!Z16</f>
        <v>3.4821688648921403</v>
      </c>
      <c r="AA23" s="67">
        <f>AA$6*'Eurostat Collected Portables'!AA16</f>
        <v>3.3419270071966181</v>
      </c>
      <c r="AB23" s="67">
        <f>AB$6*'Eurostat Collected Portables'!AB16</f>
        <v>3.1985150260507211</v>
      </c>
      <c r="AC23" s="67">
        <f>AC$6*'Eurostat Collected Portables'!AC16</f>
        <v>3.0569924182345254</v>
      </c>
      <c r="AD23" s="67">
        <f>AD$6*'Eurostat Collected Portables'!AD16</f>
        <v>2.9237730587363924</v>
      </c>
      <c r="AE23" s="67">
        <f>AE$6*'Eurostat Collected Portables'!AE16</f>
        <v>2.811462816437257</v>
      </c>
      <c r="AF23" s="67">
        <f>AF$6*'Eurostat Collected Portables'!AF16</f>
        <v>2.7138486285162591</v>
      </c>
      <c r="AG23" s="67">
        <f>AG$6*'Eurostat Collected Portables'!AG16</f>
        <v>2.6090987160283556</v>
      </c>
      <c r="AH23" s="67">
        <f>AH$6*'Eurostat Collected Portables'!AH16</f>
        <v>2.495878584044521</v>
      </c>
      <c r="AI23" s="67">
        <f>AI$6*'Eurostat Collected Portables'!AI16</f>
        <v>2.375768610554347</v>
      </c>
      <c r="AJ23" s="67">
        <f>AJ$6*'Eurostat Collected Portables'!AJ16</f>
        <v>2.2615637191994948</v>
      </c>
      <c r="AK23" s="67">
        <f>AK$6*'Eurostat Collected Portables'!AK16</f>
        <v>0</v>
      </c>
      <c r="AL23" s="67">
        <f>AL$6*'Eurostat Collected Portables'!AL16</f>
        <v>0</v>
      </c>
      <c r="AM23" s="67">
        <f>AM$6*'Eurostat Collected Portables'!AM16</f>
        <v>0</v>
      </c>
      <c r="AN23" s="67">
        <f>AN$6*'Eurostat Collected Portables'!AN16</f>
        <v>0</v>
      </c>
      <c r="AO23" s="67">
        <f>AO$6*'Eurostat Collected Portables'!AO16</f>
        <v>0</v>
      </c>
      <c r="AP23" s="67">
        <f>AP$6*'Eurostat Collected Portables'!AP16</f>
        <v>0</v>
      </c>
      <c r="AQ23" s="67">
        <f>AQ$6*'Eurostat Collected Portables'!AQ16</f>
        <v>0</v>
      </c>
      <c r="AR23" s="67">
        <f>AR$6*'Eurostat Collected Portables'!AR16</f>
        <v>0</v>
      </c>
      <c r="AS23" s="67">
        <f>AS$6*'Eurostat Collected Portables'!AS16</f>
        <v>0</v>
      </c>
      <c r="AT23" s="67">
        <f>AT$6*'Eurostat Collected Portables'!AT16</f>
        <v>0</v>
      </c>
      <c r="AU23" s="67">
        <f>AU$6*'Eurostat Collected Portables'!AU16</f>
        <v>0</v>
      </c>
      <c r="AV23" s="67">
        <f>AV$6*'Eurostat Collected Portables'!AV16</f>
        <v>0</v>
      </c>
      <c r="AW23" s="67">
        <f>AW$6*'Eurostat Collected Portables'!AW16</f>
        <v>0</v>
      </c>
      <c r="AX23" s="67">
        <f>AX$6*'Eurostat Collected Portables'!AX16</f>
        <v>0</v>
      </c>
      <c r="AY23" s="67">
        <f>AY$6*'Eurostat Collected Portables'!AY16</f>
        <v>0</v>
      </c>
      <c r="AZ23" s="67">
        <f>AZ$6*'Eurostat Collected Portables'!AZ16</f>
        <v>0</v>
      </c>
    </row>
    <row r="24" spans="1:52" x14ac:dyDescent="0.35">
      <c r="A24" s="1" t="s">
        <v>14</v>
      </c>
      <c r="B24" s="23">
        <f t="shared" ref="B24:C24" si="22">C24/1.1</f>
        <v>53.110006501235191</v>
      </c>
      <c r="C24" s="23">
        <f t="shared" si="22"/>
        <v>58.421007151358715</v>
      </c>
      <c r="D24" s="23">
        <f t="shared" si="1"/>
        <v>64.263107866494593</v>
      </c>
      <c r="E24" s="23">
        <f t="shared" si="2"/>
        <v>71.332049731809008</v>
      </c>
      <c r="F24" s="23">
        <f t="shared" si="3"/>
        <v>87.738421170125079</v>
      </c>
      <c r="G24" s="23">
        <f t="shared" si="4"/>
        <v>69.313352724398811</v>
      </c>
      <c r="H24" s="23">
        <f t="shared" si="5"/>
        <v>94.959293232426376</v>
      </c>
      <c r="I24" s="23">
        <f t="shared" si="6"/>
        <v>57.925168871780087</v>
      </c>
      <c r="J24" s="23">
        <f t="shared" si="7"/>
        <v>53.291155362037685</v>
      </c>
      <c r="K24" s="23">
        <f t="shared" si="8"/>
        <v>41.567101182389393</v>
      </c>
      <c r="L24" s="23">
        <f t="shared" si="9"/>
        <v>25.35593172125753</v>
      </c>
      <c r="M24" s="4">
        <f>$M$6*'Eurostat Collected Portables'!M17</f>
        <v>37.019660313035992</v>
      </c>
      <c r="N24" s="4">
        <f>$N$6*'Eurostat Collected Portables'!N17</f>
        <v>32.396407730594206</v>
      </c>
      <c r="O24" s="4">
        <f>$O$6*'Eurostat Collected Portables'!O17</f>
        <v>37.048404093831536</v>
      </c>
      <c r="P24" s="4">
        <f>$P$6*'Eurostat Collected Portables'!P17</f>
        <v>38.248826363120493</v>
      </c>
      <c r="Q24" s="4">
        <f>$Q$6*'Eurostat Collected Portables'!Q17</f>
        <v>44.033550501629776</v>
      </c>
      <c r="R24" s="4">
        <f>$R$6*'Eurostat Collected Portables'!R17</f>
        <v>62.467793589267131</v>
      </c>
      <c r="S24" s="4">
        <f>$S$6*'Eurostat Collected Portables'!S17</f>
        <v>82.095448003774138</v>
      </c>
      <c r="T24" s="4">
        <f>$T$6*'Eurostat Collected Portables'!T17</f>
        <v>66.094296922204876</v>
      </c>
      <c r="U24" s="4">
        <f>$U$6*'Eurostat Collected Portables'!U17</f>
        <v>48.908274904033469</v>
      </c>
      <c r="V24" s="4">
        <f>$V$6*'Eurostat Collected Portables'!V17</f>
        <v>71.680210470714925</v>
      </c>
      <c r="W24" s="4">
        <f>$W$6*'Eurostat Collected Portables'!W17</f>
        <v>64.272472336957279</v>
      </c>
      <c r="X24" s="67">
        <f>X$6*'Eurostat Collected Portables'!X17</f>
        <v>54.869353457754642</v>
      </c>
      <c r="Y24" s="67">
        <f>Y$6*'Eurostat Collected Portables'!Y17</f>
        <v>51.910292057988464</v>
      </c>
      <c r="Z24" s="67">
        <f>Z$6*'Eurostat Collected Portables'!Z17</f>
        <v>49.059888171367341</v>
      </c>
      <c r="AA24" s="67">
        <f>AA$6*'Eurostat Collected Portables'!AA17</f>
        <v>46.445420242800331</v>
      </c>
      <c r="AB24" s="67">
        <f>AB$6*'Eurostat Collected Portables'!AB17</f>
        <v>43.866930375945188</v>
      </c>
      <c r="AC24" s="67">
        <f>AC$6*'Eurostat Collected Portables'!AC17</f>
        <v>41.389656484818097</v>
      </c>
      <c r="AD24" s="67">
        <f>AD$6*'Eurostat Collected Portables'!AD17</f>
        <v>39.093804021265207</v>
      </c>
      <c r="AE24" s="67">
        <f>AE$6*'Eurostat Collected Portables'!AE17</f>
        <v>37.137665436718315</v>
      </c>
      <c r="AF24" s="67">
        <f>AF$6*'Eurostat Collected Portables'!AF17</f>
        <v>35.426678372086265</v>
      </c>
      <c r="AG24" s="67">
        <f>AG$6*'Eurostat Collected Portables'!AG17</f>
        <v>33.66946832841402</v>
      </c>
      <c r="AH24" s="67">
        <f>AH$6*'Eurostat Collected Portables'!AH17</f>
        <v>31.849504111858984</v>
      </c>
      <c r="AI24" s="67">
        <f>AI$6*'Eurostat Collected Portables'!AI17</f>
        <v>29.987749682849159</v>
      </c>
      <c r="AJ24" s="67">
        <f>AJ$6*'Eurostat Collected Portables'!AJ17</f>
        <v>28.24430832549568</v>
      </c>
      <c r="AK24" s="67">
        <f>AK$6*'Eurostat Collected Portables'!AK17</f>
        <v>0</v>
      </c>
      <c r="AL24" s="67">
        <f>AL$6*'Eurostat Collected Portables'!AL17</f>
        <v>0</v>
      </c>
      <c r="AM24" s="67">
        <f>AM$6*'Eurostat Collected Portables'!AM17</f>
        <v>0</v>
      </c>
      <c r="AN24" s="67">
        <f>AN$6*'Eurostat Collected Portables'!AN17</f>
        <v>0</v>
      </c>
      <c r="AO24" s="67">
        <f>AO$6*'Eurostat Collected Portables'!AO17</f>
        <v>0</v>
      </c>
      <c r="AP24" s="67">
        <f>AP$6*'Eurostat Collected Portables'!AP17</f>
        <v>0</v>
      </c>
      <c r="AQ24" s="67">
        <f>AQ$6*'Eurostat Collected Portables'!AQ17</f>
        <v>0</v>
      </c>
      <c r="AR24" s="67">
        <f>AR$6*'Eurostat Collected Portables'!AR17</f>
        <v>0</v>
      </c>
      <c r="AS24" s="67">
        <f>AS$6*'Eurostat Collected Portables'!AS17</f>
        <v>0</v>
      </c>
      <c r="AT24" s="67">
        <f>AT$6*'Eurostat Collected Portables'!AT17</f>
        <v>0</v>
      </c>
      <c r="AU24" s="67">
        <f>AU$6*'Eurostat Collected Portables'!AU17</f>
        <v>0</v>
      </c>
      <c r="AV24" s="67">
        <f>AV$6*'Eurostat Collected Portables'!AV17</f>
        <v>0</v>
      </c>
      <c r="AW24" s="67">
        <f>AW$6*'Eurostat Collected Portables'!AW17</f>
        <v>0</v>
      </c>
      <c r="AX24" s="67">
        <f>AX$6*'Eurostat Collected Portables'!AX17</f>
        <v>0</v>
      </c>
      <c r="AY24" s="67">
        <f>AY$6*'Eurostat Collected Portables'!AY17</f>
        <v>0</v>
      </c>
      <c r="AZ24" s="67">
        <f>AZ$6*'Eurostat Collected Portables'!AZ17</f>
        <v>0</v>
      </c>
    </row>
    <row r="25" spans="1:52" x14ac:dyDescent="0.35">
      <c r="A25" s="1" t="s">
        <v>15</v>
      </c>
      <c r="B25" s="23">
        <f t="shared" ref="B25:C25" si="23">C25/1.1</f>
        <v>645.11763198727135</v>
      </c>
      <c r="C25" s="23">
        <f t="shared" si="23"/>
        <v>709.62939518599853</v>
      </c>
      <c r="D25" s="23">
        <f t="shared" si="1"/>
        <v>780.59233470459844</v>
      </c>
      <c r="E25" s="23">
        <f t="shared" si="2"/>
        <v>866.45749152210431</v>
      </c>
      <c r="F25" s="23">
        <f t="shared" si="3"/>
        <v>1065.7427145721883</v>
      </c>
      <c r="G25" s="23">
        <f t="shared" si="4"/>
        <v>841.93674451202878</v>
      </c>
      <c r="H25" s="23">
        <f t="shared" si="5"/>
        <v>1153.4533399814795</v>
      </c>
      <c r="I25" s="23">
        <f t="shared" si="6"/>
        <v>703.60653738870246</v>
      </c>
      <c r="J25" s="23">
        <f t="shared" si="7"/>
        <v>647.31801439760625</v>
      </c>
      <c r="K25" s="23">
        <f t="shared" si="8"/>
        <v>504.90805123013286</v>
      </c>
      <c r="L25" s="23">
        <f t="shared" si="9"/>
        <v>307.99391125038102</v>
      </c>
      <c r="M25" s="4">
        <f>$M$6*'Eurostat Collected Portables'!M18</f>
        <v>449.67111042555626</v>
      </c>
      <c r="N25" s="4">
        <f>$N$6*'Eurostat Collected Portables'!N18</f>
        <v>454.33986451443093</v>
      </c>
      <c r="O25" s="4">
        <f>$O$6*'Eurostat Collected Portables'!O18</f>
        <v>506.94967225147076</v>
      </c>
      <c r="P25" s="4">
        <f>$P$6*'Eurostat Collected Portables'!P18</f>
        <v>540.73008951402642</v>
      </c>
      <c r="Q25" s="4">
        <f>$Q$6*'Eurostat Collected Portables'!Q18</f>
        <v>575.62616794174505</v>
      </c>
      <c r="R25" s="4">
        <f>$R$6*'Eurostat Collected Portables'!R18</f>
        <v>525.36023040752116</v>
      </c>
      <c r="S25" s="4">
        <f>$S$6*'Eurostat Collected Portables'!S18</f>
        <v>586.53735742455501</v>
      </c>
      <c r="T25" s="4">
        <f>$T$6*'Eurostat Collected Portables'!T18</f>
        <v>561.9361902953882</v>
      </c>
      <c r="U25" s="4">
        <f>$U$6*'Eurostat Collected Portables'!U18</f>
        <v>426.07304141972918</v>
      </c>
      <c r="V25" s="4">
        <f>$V$6*'Eurostat Collected Portables'!V18</f>
        <v>513.97801840602972</v>
      </c>
      <c r="W25" s="4">
        <f>$W$6*'Eurostat Collected Portables'!W18</f>
        <v>423.86726574479547</v>
      </c>
      <c r="X25" s="67">
        <f>X$6*'Eurostat Collected Portables'!X18</f>
        <v>357.97108938785607</v>
      </c>
      <c r="Y25" s="67">
        <f>Y$6*'Eurostat Collected Portables'!Y18</f>
        <v>353.67042480932651</v>
      </c>
      <c r="Z25" s="67">
        <f>Z$6*'Eurostat Collected Portables'!Z18</f>
        <v>338.55063987666165</v>
      </c>
      <c r="AA25" s="67">
        <f>AA$6*'Eurostat Collected Portables'!AA18</f>
        <v>324.51373566193473</v>
      </c>
      <c r="AB25" s="67">
        <f>AB$6*'Eurostat Collected Portables'!AB18</f>
        <v>310.21938436939837</v>
      </c>
      <c r="AC25" s="67">
        <f>AC$6*'Eurostat Collected Portables'!AC18</f>
        <v>296.15568559777307</v>
      </c>
      <c r="AD25" s="67">
        <f>AD$6*'Eurostat Collected Portables'!AD18</f>
        <v>282.93982718743877</v>
      </c>
      <c r="AE25" s="67">
        <f>AE$6*'Eurostat Collected Portables'!AE18</f>
        <v>271.78524694013322</v>
      </c>
      <c r="AF25" s="67">
        <f>AF$6*'Eurostat Collected Portables'!AF18</f>
        <v>262.0834618345487</v>
      </c>
      <c r="AG25" s="67">
        <f>AG$6*'Eurostat Collected Portables'!AG18</f>
        <v>251.72210249707038</v>
      </c>
      <c r="AH25" s="67">
        <f>AH$6*'Eurostat Collected Portables'!AH18</f>
        <v>240.57285312289133</v>
      </c>
      <c r="AI25" s="67">
        <f>AI$6*'Eurostat Collected Portables'!AI18</f>
        <v>228.78854498653979</v>
      </c>
      <c r="AJ25" s="67">
        <f>AJ$6*'Eurostat Collected Portables'!AJ18</f>
        <v>217.60045975016524</v>
      </c>
      <c r="AK25" s="67">
        <f>AK$6*'Eurostat Collected Portables'!AK18</f>
        <v>0</v>
      </c>
      <c r="AL25" s="67">
        <f>AL$6*'Eurostat Collected Portables'!AL18</f>
        <v>0</v>
      </c>
      <c r="AM25" s="67">
        <f>AM$6*'Eurostat Collected Portables'!AM18</f>
        <v>0</v>
      </c>
      <c r="AN25" s="67">
        <f>AN$6*'Eurostat Collected Portables'!AN18</f>
        <v>0</v>
      </c>
      <c r="AO25" s="67">
        <f>AO$6*'Eurostat Collected Portables'!AO18</f>
        <v>0</v>
      </c>
      <c r="AP25" s="67">
        <f>AP$6*'Eurostat Collected Portables'!AP18</f>
        <v>0</v>
      </c>
      <c r="AQ25" s="67">
        <f>AQ$6*'Eurostat Collected Portables'!AQ18</f>
        <v>0</v>
      </c>
      <c r="AR25" s="67">
        <f>AR$6*'Eurostat Collected Portables'!AR18</f>
        <v>0</v>
      </c>
      <c r="AS25" s="67">
        <f>AS$6*'Eurostat Collected Portables'!AS18</f>
        <v>0</v>
      </c>
      <c r="AT25" s="67">
        <f>AT$6*'Eurostat Collected Portables'!AT18</f>
        <v>0</v>
      </c>
      <c r="AU25" s="67">
        <f>AU$6*'Eurostat Collected Portables'!AU18</f>
        <v>0</v>
      </c>
      <c r="AV25" s="67">
        <f>AV$6*'Eurostat Collected Portables'!AV18</f>
        <v>0</v>
      </c>
      <c r="AW25" s="67">
        <f>AW$6*'Eurostat Collected Portables'!AW18</f>
        <v>0</v>
      </c>
      <c r="AX25" s="67">
        <f>AX$6*'Eurostat Collected Portables'!AX18</f>
        <v>0</v>
      </c>
      <c r="AY25" s="67">
        <f>AY$6*'Eurostat Collected Portables'!AY18</f>
        <v>0</v>
      </c>
      <c r="AZ25" s="67">
        <f>AZ$6*'Eurostat Collected Portables'!AZ18</f>
        <v>0</v>
      </c>
    </row>
    <row r="26" spans="1:52" x14ac:dyDescent="0.35">
      <c r="A26" s="1" t="s">
        <v>16</v>
      </c>
      <c r="B26" s="23">
        <f t="shared" ref="B26:C26" si="24">C26/1.1</f>
        <v>11.003215050011207</v>
      </c>
      <c r="C26" s="23">
        <f t="shared" si="24"/>
        <v>12.103536555012328</v>
      </c>
      <c r="D26" s="23">
        <f t="shared" si="1"/>
        <v>13.313890210513561</v>
      </c>
      <c r="E26" s="23">
        <f t="shared" si="2"/>
        <v>14.778418133670053</v>
      </c>
      <c r="F26" s="23">
        <f t="shared" si="3"/>
        <v>18.177454304414166</v>
      </c>
      <c r="G26" s="23">
        <f t="shared" si="4"/>
        <v>14.360188900487191</v>
      </c>
      <c r="H26" s="23">
        <f t="shared" si="5"/>
        <v>19.673458793667454</v>
      </c>
      <c r="I26" s="23">
        <f t="shared" si="6"/>
        <v>12.000809864137146</v>
      </c>
      <c r="J26" s="23">
        <f t="shared" si="7"/>
        <v>11.040745075006175</v>
      </c>
      <c r="K26" s="23">
        <f t="shared" si="8"/>
        <v>8.611781158504817</v>
      </c>
      <c r="L26" s="23">
        <f t="shared" si="9"/>
        <v>5.2531865066879382</v>
      </c>
      <c r="M26" s="4">
        <f>$M$6*'Eurostat Collected Portables'!M19</f>
        <v>7.6696522997643894</v>
      </c>
      <c r="N26" s="4">
        <f>$N$6*'Eurostat Collected Portables'!N19</f>
        <v>7.280725779175353</v>
      </c>
      <c r="O26" s="4">
        <f>$O$6*'Eurostat Collected Portables'!O19</f>
        <v>7.9990872475318087</v>
      </c>
      <c r="P26" s="4">
        <f>$P$6*'Eurostat Collected Portables'!P19</f>
        <v>8.2928871318270101</v>
      </c>
      <c r="Q26" s="4">
        <f>$Q$6*'Eurostat Collected Portables'!Q19</f>
        <v>7.4053836548665863</v>
      </c>
      <c r="R26" s="4">
        <f>$R$6*'Eurostat Collected Portables'!R19</f>
        <v>9.3508034690754158</v>
      </c>
      <c r="S26" s="4">
        <f>$S$6*'Eurostat Collected Portables'!S19</f>
        <v>13.909243825940649</v>
      </c>
      <c r="T26" s="4">
        <f>$T$6*'Eurostat Collected Portables'!T19</f>
        <v>12.497047176814613</v>
      </c>
      <c r="U26" s="4">
        <f>$U$6*'Eurostat Collected Portables'!U19</f>
        <v>10.333281274402623</v>
      </c>
      <c r="V26" s="4">
        <f>$V$6*'Eurostat Collected Portables'!V19</f>
        <v>15.209353351075718</v>
      </c>
      <c r="W26" s="4">
        <f>$W$6*'Eurostat Collected Portables'!W19</f>
        <v>12.797973449004683</v>
      </c>
      <c r="X26" s="67">
        <f>X$6*'Eurostat Collected Portables'!X19</f>
        <v>10.505492589438292</v>
      </c>
      <c r="Y26" s="67">
        <f>Y$6*'Eurostat Collected Portables'!Y19</f>
        <v>9.8828582561364442</v>
      </c>
      <c r="Z26" s="67">
        <f>Z$6*'Eurostat Collected Portables'!Z19</f>
        <v>9.3295032094675641</v>
      </c>
      <c r="AA26" s="67">
        <f>AA$6*'Eurostat Collected Portables'!AA19</f>
        <v>8.8223699215119389</v>
      </c>
      <c r="AB26" s="67">
        <f>AB$6*'Eurostat Collected Portables'!AB19</f>
        <v>8.3233350438868836</v>
      </c>
      <c r="AC26" s="67">
        <f>AC$6*'Eurostat Collected Portables'!AC19</f>
        <v>7.8447103894595918</v>
      </c>
      <c r="AD26" s="67">
        <f>AD$6*'Eurostat Collected Portables'!AD19</f>
        <v>7.4015899720983489</v>
      </c>
      <c r="AE26" s="67">
        <f>AE$6*'Eurostat Collected Portables'!AE19</f>
        <v>7.023774664093982</v>
      </c>
      <c r="AF26" s="67">
        <f>AF$6*'Eurostat Collected Portables'!AF19</f>
        <v>6.6931724538894812</v>
      </c>
      <c r="AG26" s="67">
        <f>AG$6*'Eurostat Collected Portables'!AG19</f>
        <v>6.3546265467391301</v>
      </c>
      <c r="AH26" s="67">
        <f>AH$6*'Eurostat Collected Portables'!AH19</f>
        <v>6.005028656676962</v>
      </c>
      <c r="AI26" s="67">
        <f>AI$6*'Eurostat Collected Portables'!AI19</f>
        <v>5.6483451220702703</v>
      </c>
      <c r="AJ26" s="67">
        <f>AJ$6*'Eurostat Collected Portables'!AJ19</f>
        <v>5.3147078852518419</v>
      </c>
      <c r="AK26" s="67">
        <f>AK$6*'Eurostat Collected Portables'!AK19</f>
        <v>0</v>
      </c>
      <c r="AL26" s="67">
        <f>AL$6*'Eurostat Collected Portables'!AL19</f>
        <v>0</v>
      </c>
      <c r="AM26" s="67">
        <f>AM$6*'Eurostat Collected Portables'!AM19</f>
        <v>0</v>
      </c>
      <c r="AN26" s="67">
        <f>AN$6*'Eurostat Collected Portables'!AN19</f>
        <v>0</v>
      </c>
      <c r="AO26" s="67">
        <f>AO$6*'Eurostat Collected Portables'!AO19</f>
        <v>0</v>
      </c>
      <c r="AP26" s="67">
        <f>AP$6*'Eurostat Collected Portables'!AP19</f>
        <v>0</v>
      </c>
      <c r="AQ26" s="67">
        <f>AQ$6*'Eurostat Collected Portables'!AQ19</f>
        <v>0</v>
      </c>
      <c r="AR26" s="67">
        <f>AR$6*'Eurostat Collected Portables'!AR19</f>
        <v>0</v>
      </c>
      <c r="AS26" s="67">
        <f>AS$6*'Eurostat Collected Portables'!AS19</f>
        <v>0</v>
      </c>
      <c r="AT26" s="67">
        <f>AT$6*'Eurostat Collected Portables'!AT19</f>
        <v>0</v>
      </c>
      <c r="AU26" s="67">
        <f>AU$6*'Eurostat Collected Portables'!AU19</f>
        <v>0</v>
      </c>
      <c r="AV26" s="67">
        <f>AV$6*'Eurostat Collected Portables'!AV19</f>
        <v>0</v>
      </c>
      <c r="AW26" s="67">
        <f>AW$6*'Eurostat Collected Portables'!AW19</f>
        <v>0</v>
      </c>
      <c r="AX26" s="67">
        <f>AX$6*'Eurostat Collected Portables'!AX19</f>
        <v>0</v>
      </c>
      <c r="AY26" s="67">
        <f>AY$6*'Eurostat Collected Portables'!AY19</f>
        <v>0</v>
      </c>
      <c r="AZ26" s="67">
        <f>AZ$6*'Eurostat Collected Portables'!AZ19</f>
        <v>0</v>
      </c>
    </row>
    <row r="27" spans="1:52" x14ac:dyDescent="0.35">
      <c r="A27" s="1" t="s">
        <v>17</v>
      </c>
      <c r="B27" s="23">
        <f t="shared" ref="B27:C27" si="25">C27/1.1</f>
        <v>18.45421106812903</v>
      </c>
      <c r="C27" s="23">
        <f t="shared" si="25"/>
        <v>20.299632174941934</v>
      </c>
      <c r="D27" s="23">
        <f t="shared" si="1"/>
        <v>22.329595392436129</v>
      </c>
      <c r="E27" s="23">
        <f t="shared" si="2"/>
        <v>24.785850885604106</v>
      </c>
      <c r="F27" s="23">
        <f t="shared" si="3"/>
        <v>30.48659658929305</v>
      </c>
      <c r="G27" s="23">
        <f t="shared" si="4"/>
        <v>24.084411305541511</v>
      </c>
      <c r="H27" s="23">
        <f t="shared" si="5"/>
        <v>32.995643488591874</v>
      </c>
      <c r="I27" s="23">
        <f t="shared" si="6"/>
        <v>20.127342528041041</v>
      </c>
      <c r="J27" s="23">
        <f t="shared" si="7"/>
        <v>18.517155125797757</v>
      </c>
      <c r="K27" s="23">
        <f t="shared" si="8"/>
        <v>14.443380998122251</v>
      </c>
      <c r="L27" s="23">
        <f t="shared" si="9"/>
        <v>8.8104624088545727</v>
      </c>
      <c r="M27" s="4">
        <f>$M$6*'Eurostat Collected Portables'!M20</f>
        <v>12.863275116927676</v>
      </c>
      <c r="N27" s="4">
        <f>$N$6*'Eurostat Collected Portables'!N20</f>
        <v>14.279252884739259</v>
      </c>
      <c r="O27" s="4">
        <f>$O$6*'Eurostat Collected Portables'!O20</f>
        <v>16.599609626456985</v>
      </c>
      <c r="P27" s="4">
        <f>$P$6*'Eurostat Collected Portables'!P20</f>
        <v>13.990721147572097</v>
      </c>
      <c r="Q27" s="4">
        <f>$Q$6*'Eurostat Collected Portables'!Q20</f>
        <v>17.602027302721346</v>
      </c>
      <c r="R27" s="4">
        <f>$R$6*'Eurostat Collected Portables'!R20</f>
        <v>20.748824265699888</v>
      </c>
      <c r="S27" s="4">
        <f>$S$6*'Eurostat Collected Portables'!S20</f>
        <v>21.45114492267291</v>
      </c>
      <c r="T27" s="4">
        <f>$T$6*'Eurostat Collected Portables'!T20</f>
        <v>19.553569505102175</v>
      </c>
      <c r="U27" s="4">
        <f>$U$6*'Eurostat Collected Portables'!U20</f>
        <v>13.751810417814017</v>
      </c>
      <c r="V27" s="4">
        <f>$V$6*'Eurostat Collected Portables'!V20</f>
        <v>17.368100278325176</v>
      </c>
      <c r="W27" s="4">
        <f>$W$6*'Eurostat Collected Portables'!W20</f>
        <v>15.987373772258216</v>
      </c>
      <c r="X27" s="67">
        <f>X$6*'Eurostat Collected Portables'!X20</f>
        <v>13.266198067127908</v>
      </c>
      <c r="Y27" s="67">
        <f>Y$6*'Eurostat Collected Portables'!Y20</f>
        <v>12.902835636476507</v>
      </c>
      <c r="Z27" s="67">
        <f>Z$6*'Eurostat Collected Portables'!Z20</f>
        <v>12.201095018812994</v>
      </c>
      <c r="AA27" s="67">
        <f>AA$6*'Eurostat Collected Portables'!AA20</f>
        <v>11.557174508918255</v>
      </c>
      <c r="AB27" s="67">
        <f>AB$6*'Eurostat Collected Portables'!AB20</f>
        <v>10.921407096789492</v>
      </c>
      <c r="AC27" s="67">
        <f>AC$6*'Eurostat Collected Portables'!AC20</f>
        <v>10.310076879798624</v>
      </c>
      <c r="AD27" s="67">
        <f>AD$6*'Eurostat Collected Portables'!AD20</f>
        <v>9.7432308890079504</v>
      </c>
      <c r="AE27" s="67">
        <f>AE$6*'Eurostat Collected Portables'!AE20</f>
        <v>9.2604264036581014</v>
      </c>
      <c r="AF27" s="67">
        <f>AF$6*'Eurostat Collected Portables'!AF20</f>
        <v>8.8382151963467468</v>
      </c>
      <c r="AG27" s="67">
        <f>AG$6*'Eurostat Collected Portables'!AG20</f>
        <v>8.4039732888116063</v>
      </c>
      <c r="AH27" s="67">
        <f>AH$6*'Eurostat Collected Portables'!AH20</f>
        <v>7.9535670364031796</v>
      </c>
      <c r="AI27" s="67">
        <f>AI$6*'Eurostat Collected Portables'!AI20</f>
        <v>7.4922229606166617</v>
      </c>
      <c r="AJ27" s="67">
        <f>AJ$6*'Eurostat Collected Portables'!AJ20</f>
        <v>7.0599570932811782</v>
      </c>
      <c r="AK27" s="67">
        <f>AK$6*'Eurostat Collected Portables'!AK20</f>
        <v>0</v>
      </c>
      <c r="AL27" s="67">
        <f>AL$6*'Eurostat Collected Portables'!AL20</f>
        <v>0</v>
      </c>
      <c r="AM27" s="67">
        <f>AM$6*'Eurostat Collected Portables'!AM20</f>
        <v>0</v>
      </c>
      <c r="AN27" s="67">
        <f>AN$6*'Eurostat Collected Portables'!AN20</f>
        <v>0</v>
      </c>
      <c r="AO27" s="67">
        <f>AO$6*'Eurostat Collected Portables'!AO20</f>
        <v>0</v>
      </c>
      <c r="AP27" s="67">
        <f>AP$6*'Eurostat Collected Portables'!AP20</f>
        <v>0</v>
      </c>
      <c r="AQ27" s="67">
        <f>AQ$6*'Eurostat Collected Portables'!AQ20</f>
        <v>0</v>
      </c>
      <c r="AR27" s="67">
        <f>AR$6*'Eurostat Collected Portables'!AR20</f>
        <v>0</v>
      </c>
      <c r="AS27" s="67">
        <f>AS$6*'Eurostat Collected Portables'!AS20</f>
        <v>0</v>
      </c>
      <c r="AT27" s="67">
        <f>AT$6*'Eurostat Collected Portables'!AT20</f>
        <v>0</v>
      </c>
      <c r="AU27" s="67">
        <f>AU$6*'Eurostat Collected Portables'!AU20</f>
        <v>0</v>
      </c>
      <c r="AV27" s="67">
        <f>AV$6*'Eurostat Collected Portables'!AV20</f>
        <v>0</v>
      </c>
      <c r="AW27" s="67">
        <f>AW$6*'Eurostat Collected Portables'!AW20</f>
        <v>0</v>
      </c>
      <c r="AX27" s="67">
        <f>AX$6*'Eurostat Collected Portables'!AX20</f>
        <v>0</v>
      </c>
      <c r="AY27" s="67">
        <f>AY$6*'Eurostat Collected Portables'!AY20</f>
        <v>0</v>
      </c>
      <c r="AZ27" s="67">
        <f>AZ$6*'Eurostat Collected Portables'!AZ20</f>
        <v>0</v>
      </c>
    </row>
    <row r="28" spans="1:52" x14ac:dyDescent="0.35">
      <c r="A28" s="1" t="s">
        <v>18</v>
      </c>
      <c r="B28" s="23">
        <f t="shared" ref="B28:C28" si="26">C28/1.1</f>
        <v>11.523051981507797</v>
      </c>
      <c r="C28" s="23">
        <f t="shared" si="26"/>
        <v>12.675357179658578</v>
      </c>
      <c r="D28" s="23">
        <f t="shared" si="1"/>
        <v>13.942892897624438</v>
      </c>
      <c r="E28" s="23">
        <f t="shared" si="2"/>
        <v>15.476611116363127</v>
      </c>
      <c r="F28" s="23">
        <f t="shared" si="3"/>
        <v>19.036231673126647</v>
      </c>
      <c r="G28" s="23">
        <f t="shared" si="4"/>
        <v>15.038623021770052</v>
      </c>
      <c r="H28" s="23">
        <f t="shared" si="5"/>
        <v>20.602913539824971</v>
      </c>
      <c r="I28" s="23">
        <f t="shared" si="6"/>
        <v>12.567777259293232</v>
      </c>
      <c r="J28" s="23">
        <f t="shared" si="7"/>
        <v>11.562355078549773</v>
      </c>
      <c r="K28" s="23">
        <f t="shared" si="8"/>
        <v>9.0186369612688235</v>
      </c>
      <c r="L28" s="23">
        <f t="shared" si="9"/>
        <v>5.5013685463739819</v>
      </c>
      <c r="M28" s="4">
        <f>$M$6*'Eurostat Collected Portables'!M21</f>
        <v>8.0319980777060138</v>
      </c>
      <c r="N28" s="4">
        <f>$N$6*'Eurostat Collected Portables'!N21</f>
        <v>7.2242860444530637</v>
      </c>
      <c r="O28" s="4">
        <f>$O$6*'Eurostat Collected Portables'!O21</f>
        <v>7.0367910373024181</v>
      </c>
      <c r="P28" s="4">
        <f>$P$6*'Eurostat Collected Portables'!P21</f>
        <v>6.8261179792589672</v>
      </c>
      <c r="Q28" s="4">
        <f>$Q$6*'Eurostat Collected Portables'!Q21</f>
        <v>6.0382359031989088</v>
      </c>
      <c r="R28" s="4">
        <f>$R$6*'Eurostat Collected Portables'!R21</f>
        <v>6.307642576772766</v>
      </c>
      <c r="S28" s="4">
        <f>$S$6*'Eurostat Collected Portables'!S21</f>
        <v>6.7382558979001361</v>
      </c>
      <c r="T28" s="4">
        <f>$T$6*'Eurostat Collected Portables'!T21</f>
        <v>7.5413215722157156</v>
      </c>
      <c r="U28" s="4">
        <f>$U$6*'Eurostat Collected Portables'!U21</f>
        <v>6.06011984513838</v>
      </c>
      <c r="V28" s="4">
        <f>$V$6*'Eurostat Collected Portables'!V21</f>
        <v>7.9971761168559423</v>
      </c>
      <c r="W28" s="4">
        <f>$W$6*'Eurostat Collected Portables'!W21</f>
        <v>6.6614057384409238</v>
      </c>
      <c r="X28" s="67">
        <f>X$6*'Eurostat Collected Portables'!X21</f>
        <v>5.3898171734356053</v>
      </c>
      <c r="Y28" s="67">
        <f>Y$6*'Eurostat Collected Portables'!Y21</f>
        <v>5.1320116363504296</v>
      </c>
      <c r="Z28" s="67">
        <f>Z$6*'Eurostat Collected Portables'!Z21</f>
        <v>4.8104327282389123</v>
      </c>
      <c r="AA28" s="67">
        <f>AA$6*'Eurostat Collected Portables'!AA21</f>
        <v>4.5170316533259678</v>
      </c>
      <c r="AB28" s="67">
        <f>AB$6*'Eurostat Collected Portables'!AB21</f>
        <v>4.2318363867565489</v>
      </c>
      <c r="AC28" s="67">
        <f>AC$6*'Eurostat Collected Portables'!AC21</f>
        <v>3.9608929915087274</v>
      </c>
      <c r="AD28" s="67">
        <f>AD$6*'Eurostat Collected Portables'!AD21</f>
        <v>3.7114764667592817</v>
      </c>
      <c r="AE28" s="67">
        <f>AE$6*'Eurostat Collected Portables'!AE21</f>
        <v>3.4979875437991912</v>
      </c>
      <c r="AF28" s="67">
        <f>AF$6*'Eurostat Collected Portables'!AF21</f>
        <v>3.3107465161905707</v>
      </c>
      <c r="AG28" s="67">
        <f>AG$6*'Eurostat Collected Portables'!AG21</f>
        <v>3.122123868891856</v>
      </c>
      <c r="AH28" s="67">
        <f>AH$6*'Eurostat Collected Portables'!AH21</f>
        <v>2.9306303861065683</v>
      </c>
      <c r="AI28" s="67">
        <f>AI$6*'Eurostat Collected Portables'!AI21</f>
        <v>2.7382461125680848</v>
      </c>
      <c r="AJ28" s="67">
        <f>AJ$6*'Eurostat Collected Portables'!AJ21</f>
        <v>2.5594998677857443</v>
      </c>
      <c r="AK28" s="67">
        <f>AK$6*'Eurostat Collected Portables'!AK21</f>
        <v>0</v>
      </c>
      <c r="AL28" s="67">
        <f>AL$6*'Eurostat Collected Portables'!AL21</f>
        <v>0</v>
      </c>
      <c r="AM28" s="67">
        <f>AM$6*'Eurostat Collected Portables'!AM21</f>
        <v>0</v>
      </c>
      <c r="AN28" s="67">
        <f>AN$6*'Eurostat Collected Portables'!AN21</f>
        <v>0</v>
      </c>
      <c r="AO28" s="67">
        <f>AO$6*'Eurostat Collected Portables'!AO21</f>
        <v>0</v>
      </c>
      <c r="AP28" s="67">
        <f>AP$6*'Eurostat Collected Portables'!AP21</f>
        <v>0</v>
      </c>
      <c r="AQ28" s="67">
        <f>AQ$6*'Eurostat Collected Portables'!AQ21</f>
        <v>0</v>
      </c>
      <c r="AR28" s="67">
        <f>AR$6*'Eurostat Collected Portables'!AR21</f>
        <v>0</v>
      </c>
      <c r="AS28" s="67">
        <f>AS$6*'Eurostat Collected Portables'!AS21</f>
        <v>0</v>
      </c>
      <c r="AT28" s="67">
        <f>AT$6*'Eurostat Collected Portables'!AT21</f>
        <v>0</v>
      </c>
      <c r="AU28" s="67">
        <f>AU$6*'Eurostat Collected Portables'!AU21</f>
        <v>0</v>
      </c>
      <c r="AV28" s="67">
        <f>AV$6*'Eurostat Collected Portables'!AV21</f>
        <v>0</v>
      </c>
      <c r="AW28" s="67">
        <f>AW$6*'Eurostat Collected Portables'!AW21</f>
        <v>0</v>
      </c>
      <c r="AX28" s="67">
        <f>AX$6*'Eurostat Collected Portables'!AX21</f>
        <v>0</v>
      </c>
      <c r="AY28" s="67">
        <f>AY$6*'Eurostat Collected Portables'!AY21</f>
        <v>0</v>
      </c>
      <c r="AZ28" s="67">
        <f>AZ$6*'Eurostat Collected Portables'!AZ21</f>
        <v>0</v>
      </c>
    </row>
    <row r="29" spans="1:52" x14ac:dyDescent="0.35">
      <c r="A29" s="1" t="s">
        <v>19</v>
      </c>
      <c r="B29" s="23">
        <f t="shared" ref="B29:C29" si="27">C29/1.1</f>
        <v>1.5595107944897768</v>
      </c>
      <c r="C29" s="23">
        <f t="shared" si="27"/>
        <v>1.7154618739387546</v>
      </c>
      <c r="D29" s="23">
        <f t="shared" si="1"/>
        <v>1.8870080613326303</v>
      </c>
      <c r="E29" s="23">
        <f t="shared" si="2"/>
        <v>2.0945789480792198</v>
      </c>
      <c r="F29" s="23">
        <f t="shared" si="3"/>
        <v>2.5763321061374405</v>
      </c>
      <c r="G29" s="23">
        <f t="shared" si="4"/>
        <v>2.0353023638485781</v>
      </c>
      <c r="H29" s="23">
        <f t="shared" si="5"/>
        <v>2.788364238472552</v>
      </c>
      <c r="I29" s="23">
        <f t="shared" si="6"/>
        <v>1.7009021854682567</v>
      </c>
      <c r="J29" s="23">
        <f t="shared" si="7"/>
        <v>1.5648300106307962</v>
      </c>
      <c r="K29" s="23">
        <f t="shared" si="8"/>
        <v>1.220567408292021</v>
      </c>
      <c r="L29" s="23">
        <f t="shared" si="9"/>
        <v>0.74454611905813284</v>
      </c>
      <c r="M29" s="4">
        <f>$M$6*'Eurostat Collected Portables'!M22</f>
        <v>1.087037333824874</v>
      </c>
      <c r="N29" s="4">
        <f>$N$6*'Eurostat Collected Portables'!N22</f>
        <v>1.1287946944457912</v>
      </c>
      <c r="O29" s="4">
        <f>$O$6*'Eurostat Collected Portables'!O22</f>
        <v>2.3455970124341392</v>
      </c>
      <c r="P29" s="4">
        <f>$P$6*'Eurostat Collected Portables'!P22</f>
        <v>1.1846981616895729</v>
      </c>
      <c r="Q29" s="4">
        <f>$Q$6*'Eurostat Collected Portables'!Q22</f>
        <v>1.9937571378486962</v>
      </c>
      <c r="R29" s="4">
        <f>$R$6*'Eurostat Collected Portables'!R22</f>
        <v>1.2725945549629265</v>
      </c>
      <c r="S29" s="4">
        <f>$S$6*'Eurostat Collected Portables'!S22</f>
        <v>1.4218338133183774</v>
      </c>
      <c r="T29" s="4">
        <f>$T$6*'Eurostat Collected Portables'!T22</f>
        <v>1.4005311491257757</v>
      </c>
      <c r="U29" s="4">
        <f>$U$6*'Eurostat Collected Portables'!U22</f>
        <v>1.1654076625266117</v>
      </c>
      <c r="V29" s="4">
        <f>$V$6*'Eurostat Collected Portables'!V22</f>
        <v>1.7171850557666135</v>
      </c>
      <c r="W29" s="4">
        <f>$W$6*'Eurostat Collected Portables'!W22</f>
        <v>1.4130254596692868</v>
      </c>
      <c r="X29" s="67">
        <f>X$6*'Eurostat Collected Portables'!X22</f>
        <v>1.1309996511923956</v>
      </c>
      <c r="Y29" s="67">
        <f>Y$6*'Eurostat Collected Portables'!Y22</f>
        <v>1.1545939186154079</v>
      </c>
      <c r="Z29" s="67">
        <f>Z$6*'Eurostat Collected Portables'!Z22</f>
        <v>1.1400868719584409</v>
      </c>
      <c r="AA29" s="67">
        <f>AA$6*'Eurostat Collected Portables'!AA22</f>
        <v>1.1248634400065582</v>
      </c>
      <c r="AB29" s="67">
        <f>AB$6*'Eurostat Collected Portables'!AB22</f>
        <v>1.1047263439621839</v>
      </c>
      <c r="AC29" s="67">
        <f>AC$6*'Eurostat Collected Portables'!AC22</f>
        <v>1.0816226189411373</v>
      </c>
      <c r="AD29" s="67">
        <f>AD$6*'Eurostat Collected Portables'!AD22</f>
        <v>1.0581404645127817</v>
      </c>
      <c r="AE29" s="67">
        <f>AE$6*'Eurostat Collected Portables'!AE22</f>
        <v>1.0393352074741695</v>
      </c>
      <c r="AF29" s="67">
        <f>AF$6*'Eurostat Collected Portables'!AF22</f>
        <v>1.0235103840875597</v>
      </c>
      <c r="AG29" s="67">
        <f>AG$6*'Eurostat Collected Portables'!AG22</f>
        <v>1.002738992169133</v>
      </c>
      <c r="AH29" s="67">
        <f>AH$6*'Eurostat Collected Portables'!AH22</f>
        <v>0.97647499219735046</v>
      </c>
      <c r="AI29" s="67">
        <f>AI$6*'Eurostat Collected Portables'!AI22</f>
        <v>0.94529837785152393</v>
      </c>
      <c r="AJ29" s="67">
        <f>AJ$6*'Eurostat Collected Portables'!AJ22</f>
        <v>0.91436735757805776</v>
      </c>
      <c r="AK29" s="67">
        <f>AK$6*'Eurostat Collected Portables'!AK22</f>
        <v>0</v>
      </c>
      <c r="AL29" s="67">
        <f>AL$6*'Eurostat Collected Portables'!AL22</f>
        <v>0</v>
      </c>
      <c r="AM29" s="67">
        <f>AM$6*'Eurostat Collected Portables'!AM22</f>
        <v>0</v>
      </c>
      <c r="AN29" s="67">
        <f>AN$6*'Eurostat Collected Portables'!AN22</f>
        <v>0</v>
      </c>
      <c r="AO29" s="67">
        <f>AO$6*'Eurostat Collected Portables'!AO22</f>
        <v>0</v>
      </c>
      <c r="AP29" s="67">
        <f>AP$6*'Eurostat Collected Portables'!AP22</f>
        <v>0</v>
      </c>
      <c r="AQ29" s="67">
        <f>AQ$6*'Eurostat Collected Portables'!AQ22</f>
        <v>0</v>
      </c>
      <c r="AR29" s="67">
        <f>AR$6*'Eurostat Collected Portables'!AR22</f>
        <v>0</v>
      </c>
      <c r="AS29" s="67">
        <f>AS$6*'Eurostat Collected Portables'!AS22</f>
        <v>0</v>
      </c>
      <c r="AT29" s="67">
        <f>AT$6*'Eurostat Collected Portables'!AT22</f>
        <v>0</v>
      </c>
      <c r="AU29" s="67">
        <f>AU$6*'Eurostat Collected Portables'!AU22</f>
        <v>0</v>
      </c>
      <c r="AV29" s="67">
        <f>AV$6*'Eurostat Collected Portables'!AV22</f>
        <v>0</v>
      </c>
      <c r="AW29" s="67">
        <f>AW$6*'Eurostat Collected Portables'!AW22</f>
        <v>0</v>
      </c>
      <c r="AX29" s="67">
        <f>AX$6*'Eurostat Collected Portables'!AX22</f>
        <v>0</v>
      </c>
      <c r="AY29" s="67">
        <f>AY$6*'Eurostat Collected Portables'!AY22</f>
        <v>0</v>
      </c>
      <c r="AZ29" s="67">
        <f>AZ$6*'Eurostat Collected Portables'!AZ22</f>
        <v>0</v>
      </c>
    </row>
    <row r="30" spans="1:52" x14ac:dyDescent="0.35">
      <c r="A30" s="1" t="s">
        <v>20</v>
      </c>
      <c r="B30" s="23">
        <f t="shared" ref="B30:C30" si="28">C30/1.1</f>
        <v>287.72974158336382</v>
      </c>
      <c r="C30" s="23">
        <f t="shared" si="28"/>
        <v>316.50271574170023</v>
      </c>
      <c r="D30" s="23">
        <f t="shared" si="1"/>
        <v>348.15298731587029</v>
      </c>
      <c r="E30" s="23">
        <f t="shared" si="2"/>
        <v>386.44981592061606</v>
      </c>
      <c r="F30" s="23">
        <f t="shared" si="3"/>
        <v>475.33327358235778</v>
      </c>
      <c r="G30" s="23">
        <f t="shared" si="4"/>
        <v>375.51328613006268</v>
      </c>
      <c r="H30" s="23">
        <f t="shared" si="5"/>
        <v>514.45320199818593</v>
      </c>
      <c r="I30" s="23">
        <f t="shared" si="6"/>
        <v>313.8164532188934</v>
      </c>
      <c r="J30" s="23">
        <f t="shared" si="7"/>
        <v>288.71113696138195</v>
      </c>
      <c r="K30" s="23">
        <f t="shared" si="8"/>
        <v>225.19468682987792</v>
      </c>
      <c r="L30" s="23">
        <f t="shared" si="9"/>
        <v>137.36875896622553</v>
      </c>
      <c r="M30" s="4">
        <f>$M$6*'Eurostat Collected Portables'!M23</f>
        <v>200.55838809068928</v>
      </c>
      <c r="N30" s="4">
        <f>$N$6*'Eurostat Collected Portables'!N23</f>
        <v>186.13824511411096</v>
      </c>
      <c r="O30" s="4">
        <f>$O$6*'Eurostat Collected Portables'!O23</f>
        <v>189.87307098088661</v>
      </c>
      <c r="P30" s="4">
        <f>$P$6*'Eurostat Collected Portables'!P23</f>
        <v>183.96670025093795</v>
      </c>
      <c r="Q30" s="4">
        <f>$Q$6*'Eurostat Collected Portables'!Q23</f>
        <v>195.38819950917224</v>
      </c>
      <c r="R30" s="4">
        <f>$R$6*'Eurostat Collected Portables'!R23</f>
        <v>218.22230107712096</v>
      </c>
      <c r="S30" s="4">
        <f>$S$6*'Eurostat Collected Portables'!S23</f>
        <v>247.27544579450043</v>
      </c>
      <c r="T30" s="4">
        <f>$T$6*'Eurostat Collected Portables'!T23</f>
        <v>232.11110467626798</v>
      </c>
      <c r="U30" s="4">
        <f>$U$6*'Eurostat Collected Portables'!U23</f>
        <v>178.50160697699269</v>
      </c>
      <c r="V30" s="4">
        <f>$V$6*'Eurostat Collected Portables'!V23</f>
        <v>229.75936046157287</v>
      </c>
      <c r="W30" s="4">
        <f>$W$6*'Eurostat Collected Portables'!W23</f>
        <v>183.61256544502618</v>
      </c>
      <c r="X30" s="67">
        <f>X$6*'Eurostat Collected Portables'!X23</f>
        <v>156.83927524728068</v>
      </c>
      <c r="Y30" s="67">
        <f>Y$6*'Eurostat Collected Portables'!Y23</f>
        <v>151.219271978698</v>
      </c>
      <c r="Z30" s="67">
        <f>Z$6*'Eurostat Collected Portables'!Z23</f>
        <v>143.58208488761272</v>
      </c>
      <c r="AA30" s="67">
        <f>AA$6*'Eurostat Collected Portables'!AA23</f>
        <v>136.55092232719724</v>
      </c>
      <c r="AB30" s="67">
        <f>AB$6*'Eurostat Collected Portables'!AB23</f>
        <v>129.54669901195356</v>
      </c>
      <c r="AC30" s="67">
        <f>AC$6*'Eurostat Collected Portables'!AC23</f>
        <v>122.76621826042241</v>
      </c>
      <c r="AD30" s="67">
        <f>AD$6*'Eurostat Collected Portables'!AD23</f>
        <v>116.45408600367547</v>
      </c>
      <c r="AE30" s="67">
        <f>AE$6*'Eurostat Collected Portables'!AE23</f>
        <v>111.09233503803115</v>
      </c>
      <c r="AF30" s="67">
        <f>AF$6*'Eurostat Collected Portables'!AF23</f>
        <v>106.41104067877667</v>
      </c>
      <c r="AG30" s="67">
        <f>AG$6*'Eurostat Collected Portables'!AG23</f>
        <v>101.54169435915485</v>
      </c>
      <c r="AH30" s="67">
        <f>AH$6*'Eurostat Collected Portables'!AH23</f>
        <v>96.433708708928194</v>
      </c>
      <c r="AI30" s="67">
        <f>AI$6*'Eurostat Collected Portables'!AI23</f>
        <v>91.149703237181015</v>
      </c>
      <c r="AJ30" s="67">
        <f>AJ$6*'Eurostat Collected Portables'!AJ23</f>
        <v>86.177839026228654</v>
      </c>
      <c r="AK30" s="67">
        <f>AK$6*'Eurostat Collected Portables'!AK23</f>
        <v>0</v>
      </c>
      <c r="AL30" s="67">
        <f>AL$6*'Eurostat Collected Portables'!AL23</f>
        <v>0</v>
      </c>
      <c r="AM30" s="67">
        <f>AM$6*'Eurostat Collected Portables'!AM23</f>
        <v>0</v>
      </c>
      <c r="AN30" s="67">
        <f>AN$6*'Eurostat Collected Portables'!AN23</f>
        <v>0</v>
      </c>
      <c r="AO30" s="67">
        <f>AO$6*'Eurostat Collected Portables'!AO23</f>
        <v>0</v>
      </c>
      <c r="AP30" s="67">
        <f>AP$6*'Eurostat Collected Portables'!AP23</f>
        <v>0</v>
      </c>
      <c r="AQ30" s="67">
        <f>AQ$6*'Eurostat Collected Portables'!AQ23</f>
        <v>0</v>
      </c>
      <c r="AR30" s="67">
        <f>AR$6*'Eurostat Collected Portables'!AR23</f>
        <v>0</v>
      </c>
      <c r="AS30" s="67">
        <f>AS$6*'Eurostat Collected Portables'!AS23</f>
        <v>0</v>
      </c>
      <c r="AT30" s="67">
        <f>AT$6*'Eurostat Collected Portables'!AT23</f>
        <v>0</v>
      </c>
      <c r="AU30" s="67">
        <f>AU$6*'Eurostat Collected Portables'!AU23</f>
        <v>0</v>
      </c>
      <c r="AV30" s="67">
        <f>AV$6*'Eurostat Collected Portables'!AV23</f>
        <v>0</v>
      </c>
      <c r="AW30" s="67">
        <f>AW$6*'Eurostat Collected Portables'!AW23</f>
        <v>0</v>
      </c>
      <c r="AX30" s="67">
        <f>AX$6*'Eurostat Collected Portables'!AX23</f>
        <v>0</v>
      </c>
      <c r="AY30" s="67">
        <f>AY$6*'Eurostat Collected Portables'!AY23</f>
        <v>0</v>
      </c>
      <c r="AZ30" s="67">
        <f>AZ$6*'Eurostat Collected Portables'!AZ23</f>
        <v>0</v>
      </c>
    </row>
    <row r="31" spans="1:52" x14ac:dyDescent="0.35">
      <c r="A31" s="1" t="s">
        <v>21</v>
      </c>
      <c r="B31" s="23">
        <f t="shared" ref="B31:C31" si="29">C31/1.1</f>
        <v>39.334327816575474</v>
      </c>
      <c r="C31" s="23">
        <f t="shared" si="29"/>
        <v>43.267760598233025</v>
      </c>
      <c r="D31" s="23">
        <f t="shared" si="1"/>
        <v>47.594536658056334</v>
      </c>
      <c r="E31" s="23">
        <f t="shared" si="2"/>
        <v>52.829935690442539</v>
      </c>
      <c r="F31" s="23">
        <f t="shared" si="3"/>
        <v>64.980820899244321</v>
      </c>
      <c r="G31" s="23">
        <f t="shared" si="4"/>
        <v>51.33484851040302</v>
      </c>
      <c r="H31" s="23">
        <f t="shared" si="5"/>
        <v>70.32874245925214</v>
      </c>
      <c r="I31" s="23">
        <f t="shared" si="6"/>
        <v>42.900532900143808</v>
      </c>
      <c r="J31" s="23">
        <f t="shared" si="7"/>
        <v>39.468490268132307</v>
      </c>
      <c r="K31" s="23">
        <f t="shared" si="8"/>
        <v>30.785422409143202</v>
      </c>
      <c r="L31" s="23">
        <f t="shared" si="9"/>
        <v>18.779107669577353</v>
      </c>
      <c r="M31" s="4">
        <f>$M$6*'Eurostat Collected Portables'!M24</f>
        <v>27.417497197582936</v>
      </c>
      <c r="N31" s="4">
        <f>$N$6*'Eurostat Collected Portables'!N24</f>
        <v>37.475983855600269</v>
      </c>
      <c r="O31" s="4">
        <f>$O$6*'Eurostat Collected Portables'!O24</f>
        <v>49.016963208559581</v>
      </c>
      <c r="P31" s="4">
        <f>$P$6*'Eurostat Collected Portables'!P24</f>
        <v>49.58808019643498</v>
      </c>
      <c r="Q31" s="4">
        <f>$Q$6*'Eurostat Collected Portables'!Q24</f>
        <v>37.026918274332935</v>
      </c>
      <c r="R31" s="4">
        <f>$R$6*'Eurostat Collected Portables'!R24</f>
        <v>98.32176192039654</v>
      </c>
      <c r="S31" s="4">
        <f>$S$6*'Eurostat Collected Portables'!S24</f>
        <v>65.466174274093987</v>
      </c>
      <c r="T31" s="4">
        <f>$T$6*'Eurostat Collected Portables'!T24</f>
        <v>63.023901710659906</v>
      </c>
      <c r="U31" s="4">
        <f>$U$6*'Eurostat Collected Portables'!U24</f>
        <v>75.401875765471772</v>
      </c>
      <c r="V31" s="4">
        <f>$V$6*'Eurostat Collected Portables'!V24</f>
        <v>113.87390041240884</v>
      </c>
      <c r="W31" s="4">
        <f>$W$6*'Eurostat Collected Portables'!W24</f>
        <v>93.784518366050094</v>
      </c>
      <c r="X31" s="67">
        <f>X$6*'Eurostat Collected Portables'!X24</f>
        <v>66.658234995860454</v>
      </c>
      <c r="Y31" s="67">
        <f>Y$6*'Eurostat Collected Portables'!Y24</f>
        <v>61.7346206886088</v>
      </c>
      <c r="Z31" s="67">
        <f>Z$6*'Eurostat Collected Portables'!Z24</f>
        <v>57.866244441543344</v>
      </c>
      <c r="AA31" s="67">
        <f>AA$6*'Eurostat Collected Portables'!AA24</f>
        <v>54.336828424423494</v>
      </c>
      <c r="AB31" s="67">
        <f>AB$6*'Eurostat Collected Portables'!AB24</f>
        <v>50.906122718469497</v>
      </c>
      <c r="AC31" s="67">
        <f>AC$6*'Eurostat Collected Portables'!AC24</f>
        <v>47.646857362320958</v>
      </c>
      <c r="AD31" s="67">
        <f>AD$6*'Eurostat Collected Portables'!AD24</f>
        <v>44.646545663918836</v>
      </c>
      <c r="AE31" s="67">
        <f>AE$6*'Eurostat Collected Portables'!AE24</f>
        <v>42.078418657579199</v>
      </c>
      <c r="AF31" s="67">
        <f>AF$6*'Eurostat Collected Portables'!AF24</f>
        <v>39.826036037304448</v>
      </c>
      <c r="AG31" s="67">
        <f>AG$6*'Eurostat Collected Portables'!AG24</f>
        <v>37.557033468840231</v>
      </c>
      <c r="AH31" s="67">
        <f>AH$6*'Eurostat Collected Portables'!AH24</f>
        <v>35.253496695783085</v>
      </c>
      <c r="AI31" s="67">
        <f>AI$6*'Eurostat Collected Portables'!AI24</f>
        <v>32.939244313885148</v>
      </c>
      <c r="AJ31" s="67">
        <f>AJ$6*'Eurostat Collected Portables'!AJ24</f>
        <v>30.789048171890776</v>
      </c>
      <c r="AK31" s="67">
        <f>AK$6*'Eurostat Collected Portables'!AK24</f>
        <v>0</v>
      </c>
      <c r="AL31" s="67">
        <f>AL$6*'Eurostat Collected Portables'!AL24</f>
        <v>0</v>
      </c>
      <c r="AM31" s="67">
        <f>AM$6*'Eurostat Collected Portables'!AM24</f>
        <v>0</v>
      </c>
      <c r="AN31" s="67">
        <f>AN$6*'Eurostat Collected Portables'!AN24</f>
        <v>0</v>
      </c>
      <c r="AO31" s="67">
        <f>AO$6*'Eurostat Collected Portables'!AO24</f>
        <v>0</v>
      </c>
      <c r="AP31" s="67">
        <f>AP$6*'Eurostat Collected Portables'!AP24</f>
        <v>0</v>
      </c>
      <c r="AQ31" s="67">
        <f>AQ$6*'Eurostat Collected Portables'!AQ24</f>
        <v>0</v>
      </c>
      <c r="AR31" s="67">
        <f>AR$6*'Eurostat Collected Portables'!AR24</f>
        <v>0</v>
      </c>
      <c r="AS31" s="67">
        <f>AS$6*'Eurostat Collected Portables'!AS24</f>
        <v>0</v>
      </c>
      <c r="AT31" s="67">
        <f>AT$6*'Eurostat Collected Portables'!AT24</f>
        <v>0</v>
      </c>
      <c r="AU31" s="67">
        <f>AU$6*'Eurostat Collected Portables'!AU24</f>
        <v>0</v>
      </c>
      <c r="AV31" s="67">
        <f>AV$6*'Eurostat Collected Portables'!AV24</f>
        <v>0</v>
      </c>
      <c r="AW31" s="67">
        <f>AW$6*'Eurostat Collected Portables'!AW24</f>
        <v>0</v>
      </c>
      <c r="AX31" s="67">
        <f>AX$6*'Eurostat Collected Portables'!AX24</f>
        <v>0</v>
      </c>
      <c r="AY31" s="67">
        <f>AY$6*'Eurostat Collected Portables'!AY24</f>
        <v>0</v>
      </c>
      <c r="AZ31" s="67">
        <f>AZ$6*'Eurostat Collected Portables'!AZ24</f>
        <v>0</v>
      </c>
    </row>
    <row r="32" spans="1:52" x14ac:dyDescent="0.35">
      <c r="A32" s="1" t="s">
        <v>22</v>
      </c>
      <c r="B32" s="23">
        <f t="shared" ref="B32:C32" si="30">C32/1.1</f>
        <v>193.20605953956684</v>
      </c>
      <c r="C32" s="23">
        <f t="shared" si="30"/>
        <v>212.52666549352352</v>
      </c>
      <c r="D32" s="23">
        <f t="shared" si="1"/>
        <v>233.77933204287589</v>
      </c>
      <c r="E32" s="23">
        <f t="shared" si="2"/>
        <v>259.49505856759225</v>
      </c>
      <c r="F32" s="23">
        <f t="shared" si="3"/>
        <v>319.17892203813847</v>
      </c>
      <c r="G32" s="23">
        <f t="shared" si="4"/>
        <v>252.1513484101294</v>
      </c>
      <c r="H32" s="23">
        <f t="shared" si="5"/>
        <v>345.44734732187732</v>
      </c>
      <c r="I32" s="23">
        <f t="shared" si="6"/>
        <v>210.72288186634515</v>
      </c>
      <c r="J32" s="23">
        <f t="shared" si="7"/>
        <v>193.86505131703754</v>
      </c>
      <c r="K32" s="23">
        <f t="shared" si="8"/>
        <v>151.21474002728928</v>
      </c>
      <c r="L32" s="23">
        <f t="shared" si="9"/>
        <v>92.240991416646466</v>
      </c>
      <c r="M32" s="4">
        <f>$M$6*'Eurostat Collected Portables'!M25</f>
        <v>134.67184746830384</v>
      </c>
      <c r="N32" s="4">
        <f>$N$6*'Eurostat Collected Portables'!N25</f>
        <v>165.53774194047529</v>
      </c>
      <c r="O32" s="4">
        <f>$O$6*'Eurostat Collected Portables'!O25</f>
        <v>190.65493665169799</v>
      </c>
      <c r="P32" s="4">
        <f>$P$6*'Eurostat Collected Portables'!P25</f>
        <v>209.29667523182454</v>
      </c>
      <c r="Q32" s="4">
        <f>$Q$6*'Eurostat Collected Portables'!Q25</f>
        <v>368.78810601235602</v>
      </c>
      <c r="R32" s="4">
        <f>$R$6*'Eurostat Collected Portables'!R25</f>
        <v>531.99985417254516</v>
      </c>
      <c r="S32" s="4">
        <f>$S$6*'Eurostat Collected Portables'!S25</f>
        <v>513.77655749952328</v>
      </c>
      <c r="T32" s="4">
        <f>$T$6*'Eurostat Collected Portables'!T25</f>
        <v>576.69563394386751</v>
      </c>
      <c r="U32" s="4">
        <f>$U$6*'Eurostat Collected Portables'!U25</f>
        <v>434.23089505741547</v>
      </c>
      <c r="V32" s="4">
        <f>$V$6*'Eurostat Collected Portables'!V25</f>
        <v>538.41110862808046</v>
      </c>
      <c r="W32" s="4">
        <f>$W$6*'Eurostat Collected Portables'!W25</f>
        <v>366.65992070618466</v>
      </c>
      <c r="X32" s="67">
        <f>X$6*'Eurostat Collected Portables'!X25</f>
        <v>291.23868508987653</v>
      </c>
      <c r="Y32" s="67">
        <f>Y$6*'Eurostat Collected Portables'!Y25</f>
        <v>278.20011999357297</v>
      </c>
      <c r="Z32" s="67">
        <f>Z$6*'Eurostat Collected Portables'!Z25</f>
        <v>263.55682140612316</v>
      </c>
      <c r="AA32" s="67">
        <f>AA$6*'Eurostat Collected Portables'!AA25</f>
        <v>250.10077926651684</v>
      </c>
      <c r="AB32" s="67">
        <f>AB$6*'Eurostat Collected Portables'!AB25</f>
        <v>236.76360761377379</v>
      </c>
      <c r="AC32" s="67">
        <f>AC$6*'Eurostat Collected Portables'!AC25</f>
        <v>223.90135154272866</v>
      </c>
      <c r="AD32" s="67">
        <f>AD$6*'Eurostat Collected Portables'!AD25</f>
        <v>211.95426009543047</v>
      </c>
      <c r="AE32" s="67">
        <f>AE$6*'Eurostat Collected Portables'!AE25</f>
        <v>201.79052099489417</v>
      </c>
      <c r="AF32" s="67">
        <f>AF$6*'Eurostat Collected Portables'!AF25</f>
        <v>192.90861564358963</v>
      </c>
      <c r="AG32" s="67">
        <f>AG$6*'Eurostat Collected Portables'!AG25</f>
        <v>183.72827998826426</v>
      </c>
      <c r="AH32" s="67">
        <f>AH$6*'Eurostat Collected Portables'!AH25</f>
        <v>174.15861117989849</v>
      </c>
      <c r="AI32" s="67">
        <f>AI$6*'Eurostat Collected Portables'!AI25</f>
        <v>164.31343184179568</v>
      </c>
      <c r="AJ32" s="67">
        <f>AJ$6*'Eurostat Collected Portables'!AJ25</f>
        <v>155.07144458366139</v>
      </c>
      <c r="AK32" s="67">
        <f>AK$6*'Eurostat Collected Portables'!AK25</f>
        <v>0</v>
      </c>
      <c r="AL32" s="67">
        <f>AL$6*'Eurostat Collected Portables'!AL25</f>
        <v>0</v>
      </c>
      <c r="AM32" s="67">
        <f>AM$6*'Eurostat Collected Portables'!AM25</f>
        <v>0</v>
      </c>
      <c r="AN32" s="67">
        <f>AN$6*'Eurostat Collected Portables'!AN25</f>
        <v>0</v>
      </c>
      <c r="AO32" s="67">
        <f>AO$6*'Eurostat Collected Portables'!AO25</f>
        <v>0</v>
      </c>
      <c r="AP32" s="67">
        <f>AP$6*'Eurostat Collected Portables'!AP25</f>
        <v>0</v>
      </c>
      <c r="AQ32" s="67">
        <f>AQ$6*'Eurostat Collected Portables'!AQ25</f>
        <v>0</v>
      </c>
      <c r="AR32" s="67">
        <f>AR$6*'Eurostat Collected Portables'!AR25</f>
        <v>0</v>
      </c>
      <c r="AS32" s="67">
        <f>AS$6*'Eurostat Collected Portables'!AS25</f>
        <v>0</v>
      </c>
      <c r="AT32" s="67">
        <f>AT$6*'Eurostat Collected Portables'!AT25</f>
        <v>0</v>
      </c>
      <c r="AU32" s="67">
        <f>AU$6*'Eurostat Collected Portables'!AU25</f>
        <v>0</v>
      </c>
      <c r="AV32" s="67">
        <f>AV$6*'Eurostat Collected Portables'!AV25</f>
        <v>0</v>
      </c>
      <c r="AW32" s="67">
        <f>AW$6*'Eurostat Collected Portables'!AW25</f>
        <v>0</v>
      </c>
      <c r="AX32" s="67">
        <f>AX$6*'Eurostat Collected Portables'!AX25</f>
        <v>0</v>
      </c>
      <c r="AY32" s="67">
        <f>AY$6*'Eurostat Collected Portables'!AY25</f>
        <v>0</v>
      </c>
      <c r="AZ32" s="67">
        <f>AZ$6*'Eurostat Collected Portables'!AZ25</f>
        <v>0</v>
      </c>
    </row>
    <row r="33" spans="1:52" x14ac:dyDescent="0.35">
      <c r="A33" s="1" t="s">
        <v>23</v>
      </c>
      <c r="B33" s="23">
        <f t="shared" ref="B33:C33" si="31">C33/1.1</f>
        <v>35.608829807516578</v>
      </c>
      <c r="C33" s="23">
        <f t="shared" si="31"/>
        <v>39.169712788268242</v>
      </c>
      <c r="D33" s="23">
        <f t="shared" si="1"/>
        <v>43.086684067095071</v>
      </c>
      <c r="E33" s="23">
        <f t="shared" si="2"/>
        <v>47.82621931447553</v>
      </c>
      <c r="F33" s="23">
        <f t="shared" si="3"/>
        <v>58.826249756804899</v>
      </c>
      <c r="G33" s="23">
        <f t="shared" si="4"/>
        <v>46.472737307875875</v>
      </c>
      <c r="H33" s="23">
        <f t="shared" si="5"/>
        <v>63.667650111789953</v>
      </c>
      <c r="I33" s="23">
        <f t="shared" si="6"/>
        <v>38.837266568191872</v>
      </c>
      <c r="J33" s="23">
        <f t="shared" si="7"/>
        <v>35.730285242736521</v>
      </c>
      <c r="K33" s="23">
        <f t="shared" si="8"/>
        <v>27.869622489334485</v>
      </c>
      <c r="L33" s="23">
        <f t="shared" si="9"/>
        <v>17.000469718494035</v>
      </c>
      <c r="M33" s="4">
        <f>$M$6*'Eurostat Collected Portables'!M26</f>
        <v>24.820685789001292</v>
      </c>
      <c r="N33" s="4">
        <f>$N$6*'Eurostat Collected Portables'!N26</f>
        <v>25.285001155585721</v>
      </c>
      <c r="O33" s="4">
        <f>$O$6*'Eurostat Collected Portables'!O26</f>
        <v>29.229747385717737</v>
      </c>
      <c r="P33" s="4">
        <f>$P$6*'Eurostat Collected Portables'!P26</f>
        <v>27.586542907914339</v>
      </c>
      <c r="Q33" s="4">
        <f>$Q$6*'Eurostat Collected Portables'!Q26</f>
        <v>30.020286047036084</v>
      </c>
      <c r="R33" s="4">
        <f>$R$6*'Eurostat Collected Portables'!R26</f>
        <v>39.339770807766989</v>
      </c>
      <c r="S33" s="4">
        <f>$S$6*'Eurostat Collected Portables'!S26</f>
        <v>45.251406580393578</v>
      </c>
      <c r="T33" s="4">
        <f>$T$6*'Eurostat Collected Portables'!T26</f>
        <v>36.03674379865938</v>
      </c>
      <c r="U33" s="4">
        <f>$U$6*'Eurostat Collected Portables'!U26</f>
        <v>29.251732329417951</v>
      </c>
      <c r="V33" s="4">
        <f>$V$6*'Eurostat Collected Portables'!V26</f>
        <v>19.03622290392703</v>
      </c>
      <c r="W33" s="4">
        <f>$W$6*'Eurostat Collected Portables'!W26</f>
        <v>17.238910607965298</v>
      </c>
      <c r="X33" s="67">
        <f>X$6*'Eurostat Collected Portables'!X26</f>
        <v>14.98072571651624</v>
      </c>
      <c r="Y33" s="67">
        <f>Y$6*'Eurostat Collected Portables'!Y26</f>
        <v>15.843543974508094</v>
      </c>
      <c r="Z33" s="67">
        <f>Z$6*'Eurostat Collected Portables'!Z26</f>
        <v>16.014417194610331</v>
      </c>
      <c r="AA33" s="67">
        <f>AA$6*'Eurostat Collected Portables'!AA26</f>
        <v>16.130332616807237</v>
      </c>
      <c r="AB33" s="67">
        <f>AB$6*'Eurostat Collected Portables'!AB26</f>
        <v>16.135587610145574</v>
      </c>
      <c r="AC33" s="67">
        <f>AC$6*'Eurostat Collected Portables'!AC26</f>
        <v>16.060652782277522</v>
      </c>
      <c r="AD33" s="67">
        <f>AD$6*'Eurostat Collected Portables'!AD26</f>
        <v>15.947129330179585</v>
      </c>
      <c r="AE33" s="67">
        <f>AE$6*'Eurostat Collected Portables'!AE26</f>
        <v>15.875998701069273</v>
      </c>
      <c r="AF33" s="67">
        <f>AF$6*'Eurostat Collected Portables'!AF26</f>
        <v>15.827059788277923</v>
      </c>
      <c r="AG33" s="67">
        <f>AG$6*'Eurostat Collected Portables'!AG26</f>
        <v>15.680593995010071</v>
      </c>
      <c r="AH33" s="67">
        <f>AH$6*'Eurostat Collected Portables'!AH26</f>
        <v>15.427758973363709</v>
      </c>
      <c r="AI33" s="67">
        <f>AI$6*'Eurostat Collected Portables'!AI26</f>
        <v>15.077373897574208</v>
      </c>
      <c r="AJ33" s="67">
        <f>AJ$6*'Eurostat Collected Portables'!AJ26</f>
        <v>14.71230567640364</v>
      </c>
      <c r="AK33" s="67">
        <f>AK$6*'Eurostat Collected Portables'!AK26</f>
        <v>0</v>
      </c>
      <c r="AL33" s="67">
        <f>AL$6*'Eurostat Collected Portables'!AL26</f>
        <v>0</v>
      </c>
      <c r="AM33" s="67">
        <f>AM$6*'Eurostat Collected Portables'!AM26</f>
        <v>0</v>
      </c>
      <c r="AN33" s="67">
        <f>AN$6*'Eurostat Collected Portables'!AN26</f>
        <v>0</v>
      </c>
      <c r="AO33" s="67">
        <f>AO$6*'Eurostat Collected Portables'!AO26</f>
        <v>0</v>
      </c>
      <c r="AP33" s="67">
        <f>AP$6*'Eurostat Collected Portables'!AP26</f>
        <v>0</v>
      </c>
      <c r="AQ33" s="67">
        <f>AQ$6*'Eurostat Collected Portables'!AQ26</f>
        <v>0</v>
      </c>
      <c r="AR33" s="67">
        <f>AR$6*'Eurostat Collected Portables'!AR26</f>
        <v>0</v>
      </c>
      <c r="AS33" s="67">
        <f>AS$6*'Eurostat Collected Portables'!AS26</f>
        <v>0</v>
      </c>
      <c r="AT33" s="67">
        <f>AT$6*'Eurostat Collected Portables'!AT26</f>
        <v>0</v>
      </c>
      <c r="AU33" s="67">
        <f>AU$6*'Eurostat Collected Portables'!AU26</f>
        <v>0</v>
      </c>
      <c r="AV33" s="67">
        <f>AV$6*'Eurostat Collected Portables'!AV26</f>
        <v>0</v>
      </c>
      <c r="AW33" s="67">
        <f>AW$6*'Eurostat Collected Portables'!AW26</f>
        <v>0</v>
      </c>
      <c r="AX33" s="67">
        <f>AX$6*'Eurostat Collected Portables'!AX26</f>
        <v>0</v>
      </c>
      <c r="AY33" s="67">
        <f>AY$6*'Eurostat Collected Portables'!AY26</f>
        <v>0</v>
      </c>
      <c r="AZ33" s="67">
        <f>AZ$6*'Eurostat Collected Portables'!AZ26</f>
        <v>0</v>
      </c>
    </row>
    <row r="34" spans="1:52" x14ac:dyDescent="0.35">
      <c r="A34" s="1" t="s">
        <v>24</v>
      </c>
      <c r="B34" s="23">
        <f t="shared" ref="B34:C34" si="32">C34/1.1</f>
        <v>13.775678684659699</v>
      </c>
      <c r="C34" s="23">
        <f t="shared" si="32"/>
        <v>15.153246553125669</v>
      </c>
      <c r="D34" s="23">
        <f t="shared" si="1"/>
        <v>16.668571208438237</v>
      </c>
      <c r="E34" s="23">
        <f t="shared" si="2"/>
        <v>18.502114041366443</v>
      </c>
      <c r="F34" s="23">
        <f t="shared" si="3"/>
        <v>22.757600270880726</v>
      </c>
      <c r="G34" s="23">
        <f t="shared" si="4"/>
        <v>17.978504213995773</v>
      </c>
      <c r="H34" s="23">
        <f t="shared" si="5"/>
        <v>24.63055077317421</v>
      </c>
      <c r="I34" s="23">
        <f t="shared" si="6"/>
        <v>15.024635971636268</v>
      </c>
      <c r="J34" s="23">
        <f t="shared" si="7"/>
        <v>13.822665093905368</v>
      </c>
      <c r="K34" s="23">
        <f t="shared" si="8"/>
        <v>10.781678773246187</v>
      </c>
      <c r="L34" s="23">
        <f t="shared" si="9"/>
        <v>6.5768240516801741</v>
      </c>
      <c r="M34" s="4">
        <f>$M$6*'Eurostat Collected Portables'!M27</f>
        <v>9.6021631154530542</v>
      </c>
      <c r="N34" s="4">
        <f>$N$6*'Eurostat Collected Portables'!N27</f>
        <v>17.609197233354344</v>
      </c>
      <c r="O34" s="4">
        <f>$O$6*'Eurostat Collected Portables'!O27</f>
        <v>28.087020636070335</v>
      </c>
      <c r="P34" s="4">
        <f>$P$6*'Eurostat Collected Portables'!P27</f>
        <v>43.94666037886558</v>
      </c>
      <c r="Q34" s="4">
        <f>$Q$6*'Eurostat Collected Portables'!Q27</f>
        <v>28.824031764326868</v>
      </c>
      <c r="R34" s="4">
        <f>$R$6*'Eurostat Collected Portables'!R27</f>
        <v>42.382931700069641</v>
      </c>
      <c r="S34" s="4">
        <f>$S$6*'Eurostat Collected Portables'!S27</f>
        <v>86.979138058215526</v>
      </c>
      <c r="T34" s="4">
        <f>$T$6*'Eurostat Collected Portables'!T27</f>
        <v>82.954537294372869</v>
      </c>
      <c r="U34" s="4">
        <f>$U$6*'Eurostat Collected Portables'!U27</f>
        <v>73.071060440418549</v>
      </c>
      <c r="V34" s="4">
        <f>$V$6*'Eurostat Collected Portables'!V27</f>
        <v>102.63860390467872</v>
      </c>
      <c r="W34" s="4">
        <f>$W$6*'Eurostat Collected Portables'!W27</f>
        <v>128.66606114188619</v>
      </c>
      <c r="X34" s="67">
        <f>X$6*'Eurostat Collected Portables'!X27</f>
        <v>114.78869667734591</v>
      </c>
      <c r="Y34" s="67">
        <f>Y$6*'Eurostat Collected Portables'!Y27</f>
        <v>117.00639393880139</v>
      </c>
      <c r="Z34" s="67">
        <f>Z$6*'Eurostat Collected Portables'!Z27</f>
        <v>109.71706187197097</v>
      </c>
      <c r="AA34" s="67">
        <f>AA$6*'Eurostat Collected Portables'!AA27</f>
        <v>103.06498712443451</v>
      </c>
      <c r="AB34" s="67">
        <f>AB$6*'Eurostat Collected Portables'!AB27</f>
        <v>96.595038274593747</v>
      </c>
      <c r="AC34" s="67">
        <f>AC$6*'Eurostat Collected Portables'!AC27</f>
        <v>90.445492117614393</v>
      </c>
      <c r="AD34" s="67">
        <f>AD$6*'Eurostat Collected Portables'!AD27</f>
        <v>84.782911999467785</v>
      </c>
      <c r="AE34" s="67">
        <f>AE$6*'Eurostat Collected Portables'!AE27</f>
        <v>79.936957215250004</v>
      </c>
      <c r="AF34" s="67">
        <f>AF$6*'Eurostat Collected Portables'!AF27</f>
        <v>75.687290203838828</v>
      </c>
      <c r="AG34" s="67">
        <f>AG$6*'Eurostat Collected Portables'!AG27</f>
        <v>71.402721056048605</v>
      </c>
      <c r="AH34" s="67">
        <f>AH$6*'Eurostat Collected Portables'!AH27</f>
        <v>67.049141809009285</v>
      </c>
      <c r="AI34" s="67">
        <f>AI$6*'Eurostat Collected Portables'!AI27</f>
        <v>62.671794870953768</v>
      </c>
      <c r="AJ34" s="67">
        <f>AJ$6*'Eurostat Collected Portables'!AJ27</f>
        <v>58.603314217299122</v>
      </c>
      <c r="AK34" s="67">
        <f>AK$6*'Eurostat Collected Portables'!AK27</f>
        <v>0</v>
      </c>
      <c r="AL34" s="67">
        <f>AL$6*'Eurostat Collected Portables'!AL27</f>
        <v>0</v>
      </c>
      <c r="AM34" s="67">
        <f>AM$6*'Eurostat Collected Portables'!AM27</f>
        <v>0</v>
      </c>
      <c r="AN34" s="67">
        <f>AN$6*'Eurostat Collected Portables'!AN27</f>
        <v>0</v>
      </c>
      <c r="AO34" s="67">
        <f>AO$6*'Eurostat Collected Portables'!AO27</f>
        <v>0</v>
      </c>
      <c r="AP34" s="67">
        <f>AP$6*'Eurostat Collected Portables'!AP27</f>
        <v>0</v>
      </c>
      <c r="AQ34" s="67">
        <f>AQ$6*'Eurostat Collected Portables'!AQ27</f>
        <v>0</v>
      </c>
      <c r="AR34" s="67">
        <f>AR$6*'Eurostat Collected Portables'!AR27</f>
        <v>0</v>
      </c>
      <c r="AS34" s="67">
        <f>AS$6*'Eurostat Collected Portables'!AS27</f>
        <v>0</v>
      </c>
      <c r="AT34" s="67">
        <f>AT$6*'Eurostat Collected Portables'!AT27</f>
        <v>0</v>
      </c>
      <c r="AU34" s="67">
        <f>AU$6*'Eurostat Collected Portables'!AU27</f>
        <v>0</v>
      </c>
      <c r="AV34" s="67">
        <f>AV$6*'Eurostat Collected Portables'!AV27</f>
        <v>0</v>
      </c>
      <c r="AW34" s="67">
        <f>AW$6*'Eurostat Collected Portables'!AW27</f>
        <v>0</v>
      </c>
      <c r="AX34" s="67">
        <f>AX$6*'Eurostat Collected Portables'!AX27</f>
        <v>0</v>
      </c>
      <c r="AY34" s="67">
        <f>AY$6*'Eurostat Collected Portables'!AY27</f>
        <v>0</v>
      </c>
      <c r="AZ34" s="67">
        <f>AZ$6*'Eurostat Collected Portables'!AZ27</f>
        <v>0</v>
      </c>
    </row>
    <row r="35" spans="1:52" x14ac:dyDescent="0.35">
      <c r="A35" s="1" t="s">
        <v>25</v>
      </c>
      <c r="B35" s="23">
        <f t="shared" ref="B35:C35" si="33">C35/1.1</f>
        <v>36.561864181926993</v>
      </c>
      <c r="C35" s="23">
        <f t="shared" si="33"/>
        <v>40.218050600119696</v>
      </c>
      <c r="D35" s="23">
        <f t="shared" si="1"/>
        <v>44.239855660131667</v>
      </c>
      <c r="E35" s="23">
        <f t="shared" si="2"/>
        <v>49.106239782746158</v>
      </c>
      <c r="F35" s="23">
        <f t="shared" si="3"/>
        <v>60.400674932777775</v>
      </c>
      <c r="G35" s="23">
        <f t="shared" si="4"/>
        <v>47.716533196894446</v>
      </c>
      <c r="H35" s="23">
        <f t="shared" si="5"/>
        <v>65.371650479745398</v>
      </c>
      <c r="I35" s="23">
        <f t="shared" si="6"/>
        <v>39.87670679264469</v>
      </c>
      <c r="J35" s="23">
        <f t="shared" si="7"/>
        <v>36.686570249233114</v>
      </c>
      <c r="K35" s="23">
        <f t="shared" si="8"/>
        <v>28.615524794401829</v>
      </c>
      <c r="L35" s="23">
        <f t="shared" si="9"/>
        <v>17.455470124585116</v>
      </c>
      <c r="M35" s="4">
        <f>$M$6*'Eurostat Collected Portables'!M28</f>
        <v>25.48498638189427</v>
      </c>
      <c r="N35" s="4">
        <f>$N$6*'Eurostat Collected Portables'!N28</f>
        <v>33.412322955595421</v>
      </c>
      <c r="O35" s="4">
        <f>$O$6*'Eurostat Collected Portables'!O28</f>
        <v>28.147164149209672</v>
      </c>
      <c r="P35" s="4">
        <f>$P$6*'Eurostat Collected Portables'!P28</f>
        <v>34.807560274403166</v>
      </c>
      <c r="Q35" s="4">
        <f>$Q$6*'Eurostat Collected Portables'!Q28</f>
        <v>27.456884012659188</v>
      </c>
      <c r="R35" s="4">
        <f>$R$6*'Eurostat Collected Portables'!R28</f>
        <v>26.447834664012124</v>
      </c>
      <c r="S35" s="4">
        <f>$S$6*'Eurostat Collected Portables'!S28</f>
        <v>68.248023039282117</v>
      </c>
      <c r="T35" s="4">
        <f>$T$6*'Eurostat Collected Portables'!T28</f>
        <v>43.793531701509835</v>
      </c>
      <c r="U35" s="4">
        <f>$U$6*'Eurostat Collected Portables'!U28</f>
        <v>34.612607577040365</v>
      </c>
      <c r="V35" s="4">
        <f>$V$6*'Eurostat Collected Portables'!V28</f>
        <v>45.235560611909072</v>
      </c>
      <c r="W35" s="4">
        <f>$W$6*'Eurostat Collected Portables'!W28</f>
        <v>38.515036814985706</v>
      </c>
      <c r="X35" s="67">
        <f>X$6*'Eurostat Collected Portables'!X28</f>
        <v>32.400726072461261</v>
      </c>
      <c r="Y35" s="67">
        <f>Y$6*'Eurostat Collected Portables'!Y28</f>
        <v>31.361653852854516</v>
      </c>
      <c r="Z35" s="67">
        <f>Z$6*'Eurostat Collected Portables'!Z28</f>
        <v>29.663149859901718</v>
      </c>
      <c r="AA35" s="67">
        <f>AA$6*'Eurostat Collected Portables'!AA28</f>
        <v>28.104311575647834</v>
      </c>
      <c r="AB35" s="67">
        <f>AB$6*'Eurostat Collected Portables'!AB28</f>
        <v>26.564454862165942</v>
      </c>
      <c r="AC35" s="67">
        <f>AC$6*'Eurostat Collected Portables'!AC28</f>
        <v>25.083232389184712</v>
      </c>
      <c r="AD35" s="67">
        <f>AD$6*'Eurostat Collected Portables'!AD28</f>
        <v>23.709488085755364</v>
      </c>
      <c r="AE35" s="67">
        <f>AE$6*'Eurostat Collected Portables'!AE28</f>
        <v>22.539594292714572</v>
      </c>
      <c r="AF35" s="67">
        <f>AF$6*'Eurostat Collected Portables'!AF28</f>
        <v>21.516617183160765</v>
      </c>
      <c r="AG35" s="67">
        <f>AG$6*'Eurostat Collected Portables'!AG28</f>
        <v>20.463825358843387</v>
      </c>
      <c r="AH35" s="67">
        <f>AH$6*'Eurostat Collected Portables'!AH28</f>
        <v>19.371145501519624</v>
      </c>
      <c r="AI35" s="67">
        <f>AI$6*'Eurostat Collected Portables'!AI28</f>
        <v>18.251297827466921</v>
      </c>
      <c r="AJ35" s="67">
        <f>AJ$6*'Eurostat Collected Portables'!AJ28</f>
        <v>17.201778875075064</v>
      </c>
      <c r="AK35" s="67">
        <f>AK$6*'Eurostat Collected Portables'!AK28</f>
        <v>0</v>
      </c>
      <c r="AL35" s="67">
        <f>AL$6*'Eurostat Collected Portables'!AL28</f>
        <v>0</v>
      </c>
      <c r="AM35" s="67">
        <f>AM$6*'Eurostat Collected Portables'!AM28</f>
        <v>0</v>
      </c>
      <c r="AN35" s="67">
        <f>AN$6*'Eurostat Collected Portables'!AN28</f>
        <v>0</v>
      </c>
      <c r="AO35" s="67">
        <f>AO$6*'Eurostat Collected Portables'!AO28</f>
        <v>0</v>
      </c>
      <c r="AP35" s="67">
        <f>AP$6*'Eurostat Collected Portables'!AP28</f>
        <v>0</v>
      </c>
      <c r="AQ35" s="67">
        <f>AQ$6*'Eurostat Collected Portables'!AQ28</f>
        <v>0</v>
      </c>
      <c r="AR35" s="67">
        <f>AR$6*'Eurostat Collected Portables'!AR28</f>
        <v>0</v>
      </c>
      <c r="AS35" s="67">
        <f>AS$6*'Eurostat Collected Portables'!AS28</f>
        <v>0</v>
      </c>
      <c r="AT35" s="67">
        <f>AT$6*'Eurostat Collected Portables'!AT28</f>
        <v>0</v>
      </c>
      <c r="AU35" s="67">
        <f>AU$6*'Eurostat Collected Portables'!AU28</f>
        <v>0</v>
      </c>
      <c r="AV35" s="67">
        <f>AV$6*'Eurostat Collected Portables'!AV28</f>
        <v>0</v>
      </c>
      <c r="AW35" s="67">
        <f>AW$6*'Eurostat Collected Portables'!AW28</f>
        <v>0</v>
      </c>
      <c r="AX35" s="67">
        <f>AX$6*'Eurostat Collected Portables'!AX28</f>
        <v>0</v>
      </c>
      <c r="AY35" s="67">
        <f>AY$6*'Eurostat Collected Portables'!AY28</f>
        <v>0</v>
      </c>
      <c r="AZ35" s="67">
        <f>AZ$6*'Eurostat Collected Portables'!AZ28</f>
        <v>0</v>
      </c>
    </row>
    <row r="36" spans="1:52" x14ac:dyDescent="0.35">
      <c r="A36" s="1" t="s">
        <v>26</v>
      </c>
      <c r="B36" s="23">
        <f t="shared" ref="B36:C36" si="34">C36/1.1</f>
        <v>22.266348565770709</v>
      </c>
      <c r="C36" s="23">
        <f t="shared" si="34"/>
        <v>24.49298342234778</v>
      </c>
      <c r="D36" s="23">
        <f t="shared" si="1"/>
        <v>26.94228176458256</v>
      </c>
      <c r="E36" s="23">
        <f t="shared" si="2"/>
        <v>29.905932758686646</v>
      </c>
      <c r="F36" s="23">
        <f t="shared" si="3"/>
        <v>36.784297293184572</v>
      </c>
      <c r="G36" s="23">
        <f t="shared" si="4"/>
        <v>29.059594861615814</v>
      </c>
      <c r="H36" s="23">
        <f t="shared" si="5"/>
        <v>39.811644960413666</v>
      </c>
      <c r="I36" s="23">
        <f t="shared" si="6"/>
        <v>24.285103425852334</v>
      </c>
      <c r="J36" s="23">
        <f t="shared" si="7"/>
        <v>22.34229515178415</v>
      </c>
      <c r="K36" s="23">
        <f t="shared" si="8"/>
        <v>17.426990218391637</v>
      </c>
      <c r="L36" s="23">
        <f t="shared" si="9"/>
        <v>10.630464033218898</v>
      </c>
      <c r="M36" s="4">
        <f>$M$6*'Eurostat Collected Portables'!M29</f>
        <v>15.520477488499591</v>
      </c>
      <c r="N36" s="4">
        <f>$N$6*'Eurostat Collected Portables'!N29</f>
        <v>15.40804757918505</v>
      </c>
      <c r="O36" s="4">
        <f>$O$6*'Eurostat Collected Portables'!O29</f>
        <v>13.712720995768814</v>
      </c>
      <c r="P36" s="4">
        <f>$P$6*'Eurostat Collected Portables'!P29</f>
        <v>11.846981616895729</v>
      </c>
      <c r="Q36" s="4">
        <f>$Q$6*'Eurostat Collected Portables'!Q29</f>
        <v>14.070228944246514</v>
      </c>
      <c r="R36" s="4">
        <f>$R$6*'Eurostat Collected Portables'!R29</f>
        <v>14.828493075220187</v>
      </c>
      <c r="S36" s="4">
        <f>$S$6*'Eurostat Collected Portables'!S29</f>
        <v>16.752911452577404</v>
      </c>
      <c r="T36" s="4">
        <f>$T$6*'Eurostat Collected Portables'!T29</f>
        <v>17.237306450778778</v>
      </c>
      <c r="U36" s="4">
        <f>$U$6*'Eurostat Collected Portables'!U29</f>
        <v>11.926005079855658</v>
      </c>
      <c r="V36" s="4">
        <f>$V$6*'Eurostat Collected Portables'!V29</f>
        <v>16.828413546512813</v>
      </c>
      <c r="W36" s="4">
        <f>$W$6*'Eurostat Collected Portables'!W29</f>
        <v>13.968765972730663</v>
      </c>
      <c r="X36" s="67">
        <f>X$6*'Eurostat Collected Portables'!X29</f>
        <v>11.10859487319364</v>
      </c>
      <c r="Y36" s="67">
        <f>Y$6*'Eurostat Collected Portables'!Y29</f>
        <v>10.678719291695714</v>
      </c>
      <c r="Z36" s="67">
        <f>Z$6*'Eurostat Collected Portables'!Z29</f>
        <v>10.166688287644623</v>
      </c>
      <c r="AA36" s="67">
        <f>AA$6*'Eurostat Collected Portables'!AA29</f>
        <v>9.6941244953361743</v>
      </c>
      <c r="AB36" s="67">
        <f>AB$6*'Eurostat Collected Portables'!AB29</f>
        <v>9.2202740337548637</v>
      </c>
      <c r="AC36" s="67">
        <f>AC$6*'Eurostat Collected Portables'!AC29</f>
        <v>8.7593114837735335</v>
      </c>
      <c r="AD36" s="67">
        <f>AD$6*'Eurostat Collected Portables'!AD29</f>
        <v>8.3289591687960485</v>
      </c>
      <c r="AE36" s="67">
        <f>AE$6*'Eurostat Collected Portables'!AE29</f>
        <v>7.9641134932113582</v>
      </c>
      <c r="AF36" s="67">
        <f>AF$6*'Eurostat Collected Portables'!AF29</f>
        <v>7.645940109339822</v>
      </c>
      <c r="AG36" s="67">
        <f>AG$6*'Eurostat Collected Portables'!AG29</f>
        <v>7.3122999890771299</v>
      </c>
      <c r="AH36" s="67">
        <f>AH$6*'Eurostat Collected Portables'!AH29</f>
        <v>6.9595212396756798</v>
      </c>
      <c r="AI36" s="67">
        <f>AI$6*'Eurostat Collected Portables'!AI29</f>
        <v>6.5920893558845508</v>
      </c>
      <c r="AJ36" s="67">
        <f>AJ$6*'Eurostat Collected Portables'!AJ29</f>
        <v>6.2453684472214475</v>
      </c>
      <c r="AK36" s="67">
        <f>AK$6*'Eurostat Collected Portables'!AK29</f>
        <v>0</v>
      </c>
      <c r="AL36" s="67">
        <f>AL$6*'Eurostat Collected Portables'!AL29</f>
        <v>0</v>
      </c>
      <c r="AM36" s="67">
        <f>AM$6*'Eurostat Collected Portables'!AM29</f>
        <v>0</v>
      </c>
      <c r="AN36" s="67">
        <f>AN$6*'Eurostat Collected Portables'!AN29</f>
        <v>0</v>
      </c>
      <c r="AO36" s="67">
        <f>AO$6*'Eurostat Collected Portables'!AO29</f>
        <v>0</v>
      </c>
      <c r="AP36" s="67">
        <f>AP$6*'Eurostat Collected Portables'!AP29</f>
        <v>0</v>
      </c>
      <c r="AQ36" s="67">
        <f>AQ$6*'Eurostat Collected Portables'!AQ29</f>
        <v>0</v>
      </c>
      <c r="AR36" s="67">
        <f>AR$6*'Eurostat Collected Portables'!AR29</f>
        <v>0</v>
      </c>
      <c r="AS36" s="67">
        <f>AS$6*'Eurostat Collected Portables'!AS29</f>
        <v>0</v>
      </c>
      <c r="AT36" s="67">
        <f>AT$6*'Eurostat Collected Portables'!AT29</f>
        <v>0</v>
      </c>
      <c r="AU36" s="67">
        <f>AU$6*'Eurostat Collected Portables'!AU29</f>
        <v>0</v>
      </c>
      <c r="AV36" s="67">
        <f>AV$6*'Eurostat Collected Portables'!AV29</f>
        <v>0</v>
      </c>
      <c r="AW36" s="67">
        <f>AW$6*'Eurostat Collected Portables'!AW29</f>
        <v>0</v>
      </c>
      <c r="AX36" s="67">
        <f>AX$6*'Eurostat Collected Portables'!AX29</f>
        <v>0</v>
      </c>
      <c r="AY36" s="67">
        <f>AY$6*'Eurostat Collected Portables'!AY29</f>
        <v>0</v>
      </c>
      <c r="AZ36" s="67">
        <f>AZ$6*'Eurostat Collected Portables'!AZ29</f>
        <v>0</v>
      </c>
    </row>
    <row r="37" spans="1:52" x14ac:dyDescent="0.35">
      <c r="A37" s="1" t="s">
        <v>27</v>
      </c>
      <c r="B37" s="23">
        <f t="shared" ref="B37:C37" si="35">C37/1.1</f>
        <v>314.15478560110733</v>
      </c>
      <c r="C37" s="23">
        <f t="shared" si="35"/>
        <v>345.57026416121812</v>
      </c>
      <c r="D37" s="23">
        <f t="shared" si="1"/>
        <v>380.12729057733998</v>
      </c>
      <c r="E37" s="23">
        <f t="shared" si="2"/>
        <v>421.94129254084743</v>
      </c>
      <c r="F37" s="23">
        <f t="shared" si="3"/>
        <v>518.98778982524232</v>
      </c>
      <c r="G37" s="23">
        <f t="shared" si="4"/>
        <v>410.00035396194141</v>
      </c>
      <c r="H37" s="23">
        <f t="shared" si="5"/>
        <v>561.70048492785975</v>
      </c>
      <c r="I37" s="23">
        <f t="shared" si="6"/>
        <v>342.63729580599443</v>
      </c>
      <c r="J37" s="23">
        <f t="shared" si="7"/>
        <v>315.22631214151488</v>
      </c>
      <c r="K37" s="23">
        <f t="shared" si="8"/>
        <v>245.87652347038161</v>
      </c>
      <c r="L37" s="23">
        <f t="shared" si="9"/>
        <v>149.98467931693278</v>
      </c>
      <c r="M37" s="4">
        <f>$M$6*'Eurostat Collected Portables'!M30</f>
        <v>218.97763180272185</v>
      </c>
      <c r="N37" s="4">
        <f>$N$6*'Eurostat Collected Portables'!N30</f>
        <v>223.55778923498895</v>
      </c>
      <c r="O37" s="4">
        <f>$O$6*'Eurostat Collected Portables'!O30</f>
        <v>222.35056807612855</v>
      </c>
      <c r="P37" s="4">
        <f>$P$6*'Eurostat Collected Portables'!P30</f>
        <v>218.66143212898973</v>
      </c>
      <c r="Q37" s="4">
        <f>$Q$6*'Eurostat Collected Portables'!Q30</f>
        <v>268.30274626478172</v>
      </c>
      <c r="R37" s="4">
        <f>$R$6*'Eurostat Collected Portables'!R30</f>
        <v>249.59452336685919</v>
      </c>
      <c r="S37" s="4">
        <f>$S$6*'Eurostat Collected Portables'!S30</f>
        <v>288.69408296507925</v>
      </c>
      <c r="T37" s="4">
        <f>$T$6*'Eurostat Collected Portables'!T30</f>
        <v>247.35534756867546</v>
      </c>
      <c r="U37" s="4">
        <f>$U$6*'Eurostat Collected Portables'!U30</f>
        <v>222.98133276342503</v>
      </c>
      <c r="V37" s="4">
        <f>$V$6*'Eurostat Collected Portables'!V30</f>
        <v>268.96024216321644</v>
      </c>
      <c r="W37" s="4">
        <f>$W$6*'Eurostat Collected Portables'!W30</f>
        <v>301.70112171738799</v>
      </c>
      <c r="X37" s="67">
        <f>X$6*'Eurostat Collected Portables'!X30</f>
        <v>246.61555774451415</v>
      </c>
      <c r="Y37" s="67">
        <f>Y$6*'Eurostat Collected Portables'!Y30</f>
        <v>234.86271006467581</v>
      </c>
      <c r="Z37" s="67">
        <f>Z$6*'Eurostat Collected Portables'!Z30</f>
        <v>220.56623343192851</v>
      </c>
      <c r="AA37" s="67">
        <f>AA$6*'Eurostat Collected Portables'!AA30</f>
        <v>207.59922983899685</v>
      </c>
      <c r="AB37" s="67">
        <f>AB$6*'Eurostat Collected Portables'!AB30</f>
        <v>195.91973425243336</v>
      </c>
      <c r="AC37" s="67">
        <f>AC$6*'Eurostat Collected Portables'!AC30</f>
        <v>185.3277515871946</v>
      </c>
      <c r="AD37" s="67">
        <f>AD$6*'Eurostat Collected Portables'!AD30</f>
        <v>175.62220391212654</v>
      </c>
      <c r="AE37" s="67">
        <f>AE$6*'Eurostat Collected Portables'!AE30</f>
        <v>166.83041648257594</v>
      </c>
      <c r="AF37" s="67">
        <f>AF$6*'Eurostat Collected Portables'!AF30</f>
        <v>158.78852219567216</v>
      </c>
      <c r="AG37" s="67">
        <f>AG$6*'Eurostat Collected Portables'!AG30</f>
        <v>150.47974730678638</v>
      </c>
      <c r="AH37" s="67">
        <f>AH$6*'Eurostat Collected Portables'!AH30</f>
        <v>141.94440946035854</v>
      </c>
      <c r="AI37" s="67">
        <f>AI$6*'Eurostat Collected Portables'!AI30</f>
        <v>133.2731143995274</v>
      </c>
      <c r="AJ37" s="67">
        <f>AJ$6*'Eurostat Collected Portables'!AJ30</f>
        <v>125.17528626947112</v>
      </c>
      <c r="AK37" s="67">
        <f>AK$6*'Eurostat Collected Portables'!AK30</f>
        <v>0</v>
      </c>
      <c r="AL37" s="67">
        <f>AL$6*'Eurostat Collected Portables'!AL30</f>
        <v>0</v>
      </c>
      <c r="AM37" s="67">
        <f>AM$6*'Eurostat Collected Portables'!AM30</f>
        <v>0</v>
      </c>
      <c r="AN37" s="67">
        <f>AN$6*'Eurostat Collected Portables'!AN30</f>
        <v>0</v>
      </c>
      <c r="AO37" s="67">
        <f>AO$6*'Eurostat Collected Portables'!AO30</f>
        <v>0</v>
      </c>
      <c r="AP37" s="67">
        <f>AP$6*'Eurostat Collected Portables'!AP30</f>
        <v>0</v>
      </c>
      <c r="AQ37" s="67">
        <f>AQ$6*'Eurostat Collected Portables'!AQ30</f>
        <v>0</v>
      </c>
      <c r="AR37" s="67">
        <f>AR$6*'Eurostat Collected Portables'!AR30</f>
        <v>0</v>
      </c>
      <c r="AS37" s="67">
        <f>AS$6*'Eurostat Collected Portables'!AS30</f>
        <v>0</v>
      </c>
      <c r="AT37" s="67">
        <f>AT$6*'Eurostat Collected Portables'!AT30</f>
        <v>0</v>
      </c>
      <c r="AU37" s="67">
        <f>AU$6*'Eurostat Collected Portables'!AU30</f>
        <v>0</v>
      </c>
      <c r="AV37" s="67">
        <f>AV$6*'Eurostat Collected Portables'!AV30</f>
        <v>0</v>
      </c>
      <c r="AW37" s="67">
        <f>AW$6*'Eurostat Collected Portables'!AW30</f>
        <v>0</v>
      </c>
      <c r="AX37" s="67">
        <f>AX$6*'Eurostat Collected Portables'!AX30</f>
        <v>0</v>
      </c>
      <c r="AY37" s="67">
        <f>AY$6*'Eurostat Collected Portables'!AY30</f>
        <v>0</v>
      </c>
      <c r="AZ37" s="67">
        <f>AZ$6*'Eurostat Collected Portables'!AZ30</f>
        <v>0</v>
      </c>
    </row>
    <row r="38" spans="1:52" x14ac:dyDescent="0.35">
      <c r="A38" s="1" t="s">
        <v>28</v>
      </c>
      <c r="B38" s="23">
        <f t="shared" ref="B38:C38" si="36">C38/1.1</f>
        <v>235.87872323359883</v>
      </c>
      <c r="C38" s="23">
        <f t="shared" si="36"/>
        <v>259.46659555695874</v>
      </c>
      <c r="D38" s="23">
        <f t="shared" si="1"/>
        <v>285.41325511265461</v>
      </c>
      <c r="E38" s="23">
        <f t="shared" si="2"/>
        <v>316.80871317504665</v>
      </c>
      <c r="F38" s="23">
        <f t="shared" si="3"/>
        <v>389.67471720530739</v>
      </c>
      <c r="G38" s="23">
        <f t="shared" si="4"/>
        <v>307.84302659219287</v>
      </c>
      <c r="H38" s="23">
        <f t="shared" si="5"/>
        <v>421.74494643130424</v>
      </c>
      <c r="I38" s="23">
        <f t="shared" si="6"/>
        <v>257.26441732309559</v>
      </c>
      <c r="J38" s="23">
        <f t="shared" si="7"/>
        <v>236.68326393724794</v>
      </c>
      <c r="K38" s="23">
        <f t="shared" si="8"/>
        <v>184.6129458710534</v>
      </c>
      <c r="L38" s="23">
        <f t="shared" si="9"/>
        <v>112.61389698134258</v>
      </c>
      <c r="M38" s="4">
        <f>M5*'Eurostat Collected Portables'!M31</f>
        <v>164.41628959276017</v>
      </c>
      <c r="N38" s="4">
        <f>N5*'Eurostat Collected Portables'!N31</f>
        <v>179.37018102581294</v>
      </c>
      <c r="O38" s="4">
        <f>O5*'Eurostat Collected Portables'!O31</f>
        <v>195.69459407198696</v>
      </c>
      <c r="P38" s="4">
        <f>P5*'Eurostat Collected Portables'!P31</f>
        <v>174.13605301304619</v>
      </c>
      <c r="Q38" s="4">
        <f>Q5*'Eurostat Collected Portables'!Q31</f>
        <v>180.8</v>
      </c>
      <c r="R38" s="4">
        <f>R5*'Eurostat Collected Portables'!R31</f>
        <v>170.23484848484847</v>
      </c>
      <c r="S38" s="4">
        <f>S5*'Eurostat Collected Portables'!S31</f>
        <v>182.81578265749565</v>
      </c>
      <c r="T38" s="4">
        <f>T5*'Eurostat Collected Portables'!T31</f>
        <v>114.59640988690832</v>
      </c>
      <c r="U38" s="4">
        <f>$U$6*'Eurostat Collected Portables'!U31</f>
        <v>143.57822402327855</v>
      </c>
      <c r="V38" s="4">
        <f>$V$6*'Eurostat Collected Portables'!V31</f>
        <v>168.62757247628144</v>
      </c>
      <c r="W38" s="4">
        <f>$W$6*'Eurostat Collected Portables'!W31</f>
        <v>150.265164596831</v>
      </c>
      <c r="X38" s="67">
        <f>X$6*'Eurostat Collected Portables'!X31</f>
        <v>124.99224592363574</v>
      </c>
      <c r="Y38" s="67">
        <f>Y$6*'Eurostat Collected Portables'!Y31</f>
        <v>124.1456596190838</v>
      </c>
      <c r="Z38" s="67">
        <f>Z$6*'Eurostat Collected Portables'!Z31</f>
        <v>118.92667491014427</v>
      </c>
      <c r="AA38" s="67">
        <f>AA$6*'Eurostat Collected Portables'!AA31</f>
        <v>113.29089002863915</v>
      </c>
      <c r="AB38" s="67">
        <f>AB$6*'Eurostat Collected Portables'!AB31</f>
        <v>107.5676497447066</v>
      </c>
      <c r="AC38" s="67">
        <f>AC$6*'Eurostat Collected Portables'!AC31</f>
        <v>101.9779284914116</v>
      </c>
      <c r="AD38" s="67">
        <f>AD$6*'Eurostat Collected Portables'!AD31</f>
        <v>96.789888039160218</v>
      </c>
      <c r="AE38" s="67">
        <f>AE$6*'Eurostat Collected Portables'!AE31</f>
        <v>92.506461199535394</v>
      </c>
      <c r="AF38" s="67">
        <f>AF$6*'Eurostat Collected Portables'!AF31</f>
        <v>88.853491020933305</v>
      </c>
      <c r="AG38" s="67">
        <f>AG$6*'Eurostat Collected Portables'!AG31</f>
        <v>84.953795952837339</v>
      </c>
      <c r="AH38" s="67">
        <f>AH$6*'Eurostat Collected Portables'!AH31</f>
        <v>80.763009892321207</v>
      </c>
      <c r="AI38" s="67">
        <f>AI$6*'Eurostat Collected Portables'!AI31</f>
        <v>76.346891905800788</v>
      </c>
      <c r="AJ38" s="67">
        <f>AJ$6*'Eurostat Collected Portables'!AJ31</f>
        <v>72.197226909678491</v>
      </c>
      <c r="AK38" s="67">
        <f>AK$6*'Eurostat Collected Portables'!AK31</f>
        <v>0</v>
      </c>
      <c r="AL38" s="67">
        <f>AL$6*'Eurostat Collected Portables'!AL31</f>
        <v>0</v>
      </c>
      <c r="AM38" s="67">
        <f>AM$6*'Eurostat Collected Portables'!AM31</f>
        <v>0</v>
      </c>
      <c r="AN38" s="67">
        <f>AN$6*'Eurostat Collected Portables'!AN31</f>
        <v>0</v>
      </c>
      <c r="AO38" s="67">
        <f>AO$6*'Eurostat Collected Portables'!AO31</f>
        <v>0</v>
      </c>
      <c r="AP38" s="67">
        <f>AP$6*'Eurostat Collected Portables'!AP31</f>
        <v>0</v>
      </c>
      <c r="AQ38" s="67">
        <f>AQ$6*'Eurostat Collected Portables'!AQ31</f>
        <v>0</v>
      </c>
      <c r="AR38" s="67">
        <f>AR$6*'Eurostat Collected Portables'!AR31</f>
        <v>0</v>
      </c>
      <c r="AS38" s="67">
        <f>AS$6*'Eurostat Collected Portables'!AS31</f>
        <v>0</v>
      </c>
      <c r="AT38" s="67">
        <f>AT$6*'Eurostat Collected Portables'!AT31</f>
        <v>0</v>
      </c>
      <c r="AU38" s="67">
        <f>AU$6*'Eurostat Collected Portables'!AU31</f>
        <v>0</v>
      </c>
      <c r="AV38" s="67">
        <f>AV$6*'Eurostat Collected Portables'!AV31</f>
        <v>0</v>
      </c>
      <c r="AW38" s="67">
        <f>AW$6*'Eurostat Collected Portables'!AW31</f>
        <v>0</v>
      </c>
      <c r="AX38" s="67">
        <f>AX$6*'Eurostat Collected Portables'!AX31</f>
        <v>0</v>
      </c>
      <c r="AY38" s="67">
        <f>AY$6*'Eurostat Collected Portables'!AY31</f>
        <v>0</v>
      </c>
      <c r="AZ38" s="67">
        <f>AZ$6*'Eurostat Collected Portables'!AZ31</f>
        <v>0</v>
      </c>
    </row>
    <row r="39" spans="1:52" x14ac:dyDescent="0.35">
      <c r="A39" s="1" t="s">
        <v>29</v>
      </c>
      <c r="B39" s="23">
        <f t="shared" ref="B39:C39" si="37">C39/1.1</f>
        <v>205.68214589548501</v>
      </c>
      <c r="C39" s="23">
        <f t="shared" si="37"/>
        <v>226.25036048503353</v>
      </c>
      <c r="D39" s="23">
        <f t="shared" si="1"/>
        <v>248.8753965335369</v>
      </c>
      <c r="E39" s="23">
        <f t="shared" si="2"/>
        <v>276.25169015222599</v>
      </c>
      <c r="F39" s="23">
        <f t="shared" si="3"/>
        <v>339.78957888723795</v>
      </c>
      <c r="G39" s="23">
        <f t="shared" si="4"/>
        <v>268.43376732091798</v>
      </c>
      <c r="H39" s="23">
        <f t="shared" si="5"/>
        <v>367.75426122965769</v>
      </c>
      <c r="I39" s="23">
        <f t="shared" si="6"/>
        <v>224.33009935009119</v>
      </c>
      <c r="J39" s="23">
        <f t="shared" si="7"/>
        <v>206.38369140208391</v>
      </c>
      <c r="K39" s="23">
        <f t="shared" si="8"/>
        <v>160.97927929362547</v>
      </c>
      <c r="L39" s="23">
        <f t="shared" si="9"/>
        <v>98.197360369111536</v>
      </c>
      <c r="M39" s="4">
        <f>$M$6*'Eurostat Collected Portables'!M32</f>
        <v>143.36814613890283</v>
      </c>
      <c r="N39" s="4">
        <f>$N$6*'Eurostat Collected Portables'!N32</f>
        <v>145.16299770572874</v>
      </c>
      <c r="O39" s="4">
        <f>$O$6*'Eurostat Collected Portables'!O32</f>
        <v>151.86237067682569</v>
      </c>
      <c r="P39" s="4">
        <f>$P$6*'Eurostat Collected Portables'!P32</f>
        <v>154.23641781234724</v>
      </c>
      <c r="Q39" s="4">
        <f>$Q$6*'Eurostat Collected Portables'!Q32</f>
        <v>155.1712698142814</v>
      </c>
      <c r="R39" s="4">
        <f>$R$6*'Eurostat Collected Portables'!R32</f>
        <v>155.14587530939329</v>
      </c>
      <c r="S39" s="4">
        <f>$S$6*'Eurostat Collected Portables'!S32</f>
        <v>171.79461596572918</v>
      </c>
      <c r="T39" s="4">
        <f>$T$6*'Eurostat Collected Portables'!T32</f>
        <v>154.32775931712874</v>
      </c>
      <c r="U39" s="4">
        <f>$U$6*'Eurostat Collected Portables'!U32</f>
        <v>120.85277460400962</v>
      </c>
      <c r="V39" s="4">
        <f>$V$6*'Eurostat Collected Portables'!V32</f>
        <v>155.7732157731142</v>
      </c>
      <c r="W39" s="4">
        <f>$W$6*'Eurostat Collected Portables'!W32</f>
        <v>132.05732224509248</v>
      </c>
      <c r="X39" s="67">
        <f>X$6*'Eurostat Collected Portables'!X32</f>
        <v>111.71113141214472</v>
      </c>
      <c r="Y39" s="67">
        <f>Y$6*'Eurostat Collected Portables'!Y32</f>
        <v>108.2086978315123</v>
      </c>
      <c r="Z39" s="67">
        <f>Z$6*'Eurostat Collected Portables'!Z32</f>
        <v>101.62141532431288</v>
      </c>
      <c r="AA39" s="67">
        <f>AA$6*'Eurostat Collected Portables'!AA32</f>
        <v>95.604693296902639</v>
      </c>
      <c r="AB39" s="67">
        <f>AB$6*'Eurostat Collected Portables'!AB32</f>
        <v>89.738409522343147</v>
      </c>
      <c r="AC39" s="67">
        <f>AC$6*'Eurostat Collected Portables'!AC32</f>
        <v>84.152005756623595</v>
      </c>
      <c r="AD39" s="67">
        <f>AD$6*'Eurostat Collected Portables'!AD32</f>
        <v>79.002054170338724</v>
      </c>
      <c r="AE39" s="67">
        <f>AE$6*'Eurostat Collected Portables'!AE32</f>
        <v>74.598259533891337</v>
      </c>
      <c r="AF39" s="67">
        <f>AF$6*'Eurostat Collected Portables'!AF32</f>
        <v>70.738132499465664</v>
      </c>
      <c r="AG39" s="67">
        <f>AG$6*'Eurostat Collected Portables'!AG32</f>
        <v>66.833387951127932</v>
      </c>
      <c r="AH39" s="67">
        <f>AH$6*'Eurostat Collected Portables'!AH32</f>
        <v>62.851920854016221</v>
      </c>
      <c r="AI39" s="67">
        <f>AI$6*'Eurostat Collected Portables'!AI32</f>
        <v>58.835929933298452</v>
      </c>
      <c r="AJ39" s="67">
        <f>AJ$6*'Eurostat Collected Portables'!AJ32</f>
        <v>55.098068123088268</v>
      </c>
      <c r="AK39" s="67">
        <f>AK$6*'Eurostat Collected Portables'!AK32</f>
        <v>0</v>
      </c>
      <c r="AL39" s="67">
        <f>AL$6*'Eurostat Collected Portables'!AL32</f>
        <v>0</v>
      </c>
      <c r="AM39" s="67">
        <f>AM$6*'Eurostat Collected Portables'!AM32</f>
        <v>0</v>
      </c>
      <c r="AN39" s="67">
        <f>AN$6*'Eurostat Collected Portables'!AN32</f>
        <v>0</v>
      </c>
      <c r="AO39" s="67">
        <f>AO$6*'Eurostat Collected Portables'!AO32</f>
        <v>0</v>
      </c>
      <c r="AP39" s="67">
        <f>AP$6*'Eurostat Collected Portables'!AP32</f>
        <v>0</v>
      </c>
      <c r="AQ39" s="67">
        <f>AQ$6*'Eurostat Collected Portables'!AQ32</f>
        <v>0</v>
      </c>
      <c r="AR39" s="67">
        <f>AR$6*'Eurostat Collected Portables'!AR32</f>
        <v>0</v>
      </c>
      <c r="AS39" s="67">
        <f>AS$6*'Eurostat Collected Portables'!AS32</f>
        <v>0</v>
      </c>
      <c r="AT39" s="67">
        <f>AT$6*'Eurostat Collected Portables'!AT32</f>
        <v>0</v>
      </c>
      <c r="AU39" s="67">
        <f>AU$6*'Eurostat Collected Portables'!AU32</f>
        <v>0</v>
      </c>
      <c r="AV39" s="67">
        <f>AV$6*'Eurostat Collected Portables'!AV32</f>
        <v>0</v>
      </c>
      <c r="AW39" s="67">
        <f>AW$6*'Eurostat Collected Portables'!AW32</f>
        <v>0</v>
      </c>
      <c r="AX39" s="67">
        <f>AX$6*'Eurostat Collected Portables'!AX32</f>
        <v>0</v>
      </c>
      <c r="AY39" s="67">
        <f>AY$6*'Eurostat Collected Portables'!AY32</f>
        <v>0</v>
      </c>
      <c r="AZ39" s="67">
        <f>AZ$6*'Eurostat Collected Portables'!AZ32</f>
        <v>0</v>
      </c>
    </row>
    <row r="40" spans="1:52" x14ac:dyDescent="0.35">
      <c r="A40" s="1" t="s">
        <v>30</v>
      </c>
      <c r="B40" s="23">
        <f t="shared" ref="B40:C40" si="38">C40/1.1</f>
        <v>691.38311889046781</v>
      </c>
      <c r="C40" s="23">
        <f t="shared" si="38"/>
        <v>760.52143077951462</v>
      </c>
      <c r="D40" s="23">
        <f t="shared" si="1"/>
        <v>836.57357385746616</v>
      </c>
      <c r="E40" s="23">
        <f t="shared" si="2"/>
        <v>928.59666698178751</v>
      </c>
      <c r="F40" s="23">
        <f t="shared" si="3"/>
        <v>1142.1739003875987</v>
      </c>
      <c r="G40" s="23">
        <f t="shared" si="4"/>
        <v>902.31738130620306</v>
      </c>
      <c r="H40" s="23">
        <f t="shared" si="5"/>
        <v>1236.1748123894984</v>
      </c>
      <c r="I40" s="23">
        <f t="shared" si="6"/>
        <v>754.06663555759394</v>
      </c>
      <c r="J40" s="23">
        <f t="shared" si="7"/>
        <v>693.74130471298645</v>
      </c>
      <c r="K40" s="23">
        <f t="shared" si="8"/>
        <v>541.11821767612946</v>
      </c>
      <c r="L40" s="23">
        <f t="shared" si="9"/>
        <v>330.08211278243897</v>
      </c>
      <c r="M40" s="4">
        <f>$M$6*'Eurostat Collected Portables'!M33</f>
        <v>481.91988466236086</v>
      </c>
      <c r="N40" s="4">
        <f>$N$6*'Eurostat Collected Portables'!N33</f>
        <v>615.64462635073448</v>
      </c>
      <c r="O40" s="4">
        <f>$O$6*'Eurostat Collected Portables'!O33</f>
        <v>732.96899462909892</v>
      </c>
      <c r="P40" s="4">
        <f>$P$6*'Eurostat Collected Portables'!P33</f>
        <v>742.80574737936217</v>
      </c>
      <c r="Q40" s="4">
        <f>$Q$6*'Eurostat Collected Portables'!Q33</f>
        <v>868.02489332966957</v>
      </c>
      <c r="R40" s="4">
        <f>$R$6*'Eurostat Collected Portables'!R33</f>
        <v>953.50530285548314</v>
      </c>
      <c r="S40" s="4">
        <f>$S$6*'Eurostat Collected Portables'!S33</f>
        <v>1077.3172984651897</v>
      </c>
      <c r="T40" s="4">
        <f>$T$6*'Eurostat Collected Portables'!T33</f>
        <v>959.43488717368314</v>
      </c>
      <c r="U40" s="4">
        <f>$U$6*'Eurostat Collected Portables'!U33</f>
        <v>686.64300561414461</v>
      </c>
      <c r="V40" s="4">
        <f>$V$6*'Eurostat Collected Portables'!V33</f>
        <v>869.78975194522911</v>
      </c>
      <c r="W40" s="4">
        <f>$W$6*'Eurostat Collected Portables'!W33</f>
        <v>738.4970859522856</v>
      </c>
      <c r="X40" s="67">
        <f>X$6*'Eurostat Collected Portables'!X33</f>
        <v>599.98865538318341</v>
      </c>
      <c r="Y40" s="67">
        <f>Y$6*'Eurostat Collected Portables'!Y33</f>
        <v>575.22160316660791</v>
      </c>
      <c r="Z40" s="67">
        <f>Z$6*'Eurostat Collected Portables'!Z33</f>
        <v>545.16603945916972</v>
      </c>
      <c r="AA40" s="67">
        <f>AA$6*'Eurostat Collected Portables'!AA33</f>
        <v>517.53826575946061</v>
      </c>
      <c r="AB40" s="67">
        <f>AB$6*'Eurostat Collected Portables'!AB33</f>
        <v>490.13036412658403</v>
      </c>
      <c r="AC40" s="67">
        <f>AC$6*'Eurostat Collected Portables'!AC33</f>
        <v>463.68076189980252</v>
      </c>
      <c r="AD40" s="67">
        <f>AD$6*'Eurostat Collected Portables'!AD33</f>
        <v>439.10338890451908</v>
      </c>
      <c r="AE40" s="67">
        <f>AE$6*'Eurostat Collected Portables'!AE33</f>
        <v>418.20031586418781</v>
      </c>
      <c r="AF40" s="67">
        <f>AF$6*'Eurostat Collected Portables'!AF33</f>
        <v>399.93642055986356</v>
      </c>
      <c r="AG40" s="67">
        <f>AG$6*'Eurostat Collected Portables'!AG33</f>
        <v>381.03770540268295</v>
      </c>
      <c r="AH40" s="67">
        <f>AH$6*'Eurostat Collected Portables'!AH33</f>
        <v>361.31540597477402</v>
      </c>
      <c r="AI40" s="67">
        <f>AI$6*'Eurostat Collected Portables'!AI33</f>
        <v>341.00538373336559</v>
      </c>
      <c r="AJ40" s="67">
        <f>AJ$6*'Eurostat Collected Portables'!AJ33</f>
        <v>321.93173444655912</v>
      </c>
      <c r="AK40" s="67">
        <f>AK$6*'Eurostat Collected Portables'!AK33</f>
        <v>0</v>
      </c>
      <c r="AL40" s="67">
        <f>AL$6*'Eurostat Collected Portables'!AL33</f>
        <v>0</v>
      </c>
      <c r="AM40" s="67">
        <f>AM$6*'Eurostat Collected Portables'!AM33</f>
        <v>0</v>
      </c>
      <c r="AN40" s="67">
        <f>AN$6*'Eurostat Collected Portables'!AN33</f>
        <v>0</v>
      </c>
      <c r="AO40" s="67">
        <f>AO$6*'Eurostat Collected Portables'!AO33</f>
        <v>0</v>
      </c>
      <c r="AP40" s="67">
        <f>AP$6*'Eurostat Collected Portables'!AP33</f>
        <v>0</v>
      </c>
      <c r="AQ40" s="67">
        <f>AQ$6*'Eurostat Collected Portables'!AQ33</f>
        <v>0</v>
      </c>
      <c r="AR40" s="67">
        <f>AR$6*'Eurostat Collected Portables'!AR33</f>
        <v>0</v>
      </c>
      <c r="AS40" s="67">
        <f>AS$6*'Eurostat Collected Portables'!AS33</f>
        <v>0</v>
      </c>
      <c r="AT40" s="67">
        <f>AT$6*'Eurostat Collected Portables'!AT33</f>
        <v>0</v>
      </c>
      <c r="AU40" s="67">
        <f>AU$6*'Eurostat Collected Portables'!AU33</f>
        <v>0</v>
      </c>
      <c r="AV40" s="67">
        <f>AV$6*'Eurostat Collected Portables'!AV33</f>
        <v>0</v>
      </c>
      <c r="AW40" s="67">
        <f>AW$6*'Eurostat Collected Portables'!AW33</f>
        <v>0</v>
      </c>
      <c r="AX40" s="67">
        <f>AX$6*'Eurostat Collected Portables'!AX33</f>
        <v>0</v>
      </c>
      <c r="AY40" s="67">
        <f>AY$6*'Eurostat Collected Portables'!AY33</f>
        <v>0</v>
      </c>
      <c r="AZ40" s="67">
        <f>AZ$6*'Eurostat Collected Portables'!AZ33</f>
        <v>0</v>
      </c>
    </row>
    <row r="41" spans="1:52" x14ac:dyDescent="0.35">
      <c r="A41" s="1" t="s">
        <v>31</v>
      </c>
      <c r="B41" s="4">
        <f t="shared" ref="B41" si="39">SUM(B10:B40)</f>
        <v>6120.6182305469119</v>
      </c>
      <c r="C41" s="4">
        <f t="shared" ref="C41" si="40">SUM(C10:C40)</f>
        <v>6732.6800536016026</v>
      </c>
      <c r="D41" s="4">
        <f t="shared" ref="D41:M41" si="41">SUM(D10:D40)</f>
        <v>7405.948058961766</v>
      </c>
      <c r="E41" s="4">
        <f t="shared" si="41"/>
        <v>8220.6023454475617</v>
      </c>
      <c r="F41" s="4">
        <f t="shared" si="41"/>
        <v>10111.340884900501</v>
      </c>
      <c r="G41" s="4">
        <f t="shared" si="41"/>
        <v>7987.9592990713945</v>
      </c>
      <c r="H41" s="4">
        <f t="shared" si="41"/>
        <v>10943.504239727808</v>
      </c>
      <c r="I41" s="4">
        <f t="shared" si="41"/>
        <v>6675.5375862339652</v>
      </c>
      <c r="J41" s="4">
        <f t="shared" si="41"/>
        <v>6141.4945793352481</v>
      </c>
      <c r="K41" s="4">
        <f t="shared" si="41"/>
        <v>4790.3657718814929</v>
      </c>
      <c r="L41" s="4">
        <f t="shared" si="41"/>
        <v>2922.1231208477102</v>
      </c>
      <c r="M41" s="4">
        <f t="shared" si="41"/>
        <v>4266.2997564376583</v>
      </c>
      <c r="N41" s="4">
        <f t="shared" ref="N41:AO41" si="42">SUM(N10:N40)</f>
        <v>4381.0869560640049</v>
      </c>
      <c r="O41" s="4">
        <f t="shared" si="42"/>
        <v>4805.7886915852396</v>
      </c>
      <c r="P41" s="4">
        <f t="shared" si="42"/>
        <v>4800.4122134160016</v>
      </c>
      <c r="Q41" s="4">
        <f t="shared" si="42"/>
        <v>5291.0632244154294</v>
      </c>
      <c r="R41" s="4">
        <f t="shared" si="42"/>
        <v>5725.3453846237599</v>
      </c>
      <c r="S41" s="4">
        <f t="shared" si="42"/>
        <v>6463.7336174376342</v>
      </c>
      <c r="T41" s="4">
        <f t="shared" si="42"/>
        <v>6017.8824704410672</v>
      </c>
      <c r="U41" s="4">
        <f t="shared" si="42"/>
        <v>4782.1224979573708</v>
      </c>
      <c r="V41" s="4">
        <f t="shared" si="42"/>
        <v>5965.7669983544283</v>
      </c>
      <c r="W41" s="4">
        <f t="shared" si="42"/>
        <v>5377.1124695050348</v>
      </c>
      <c r="X41" s="4">
        <f t="shared" si="42"/>
        <v>4378.7576619065749</v>
      </c>
      <c r="Y41" s="4">
        <f t="shared" si="42"/>
        <v>4174.9991700788232</v>
      </c>
      <c r="Z41" s="4">
        <f t="shared" si="42"/>
        <v>3947.9174435534915</v>
      </c>
      <c r="AA41" s="4">
        <f t="shared" si="42"/>
        <v>3739.2176245503947</v>
      </c>
      <c r="AB41" s="4">
        <f t="shared" si="42"/>
        <v>3532.1296053196265</v>
      </c>
      <c r="AC41" s="4">
        <f t="shared" si="42"/>
        <v>3332.4400467182095</v>
      </c>
      <c r="AD41" s="4">
        <f t="shared" si="42"/>
        <v>3147.2292496664995</v>
      </c>
      <c r="AE41" s="4">
        <f t="shared" si="42"/>
        <v>2990.0534566779929</v>
      </c>
      <c r="AF41" s="4">
        <f t="shared" si="42"/>
        <v>2853.0042378004187</v>
      </c>
      <c r="AG41" s="4">
        <f t="shared" si="42"/>
        <v>2712.2666075595093</v>
      </c>
      <c r="AH41" s="4">
        <f t="shared" si="42"/>
        <v>2566.3719854986607</v>
      </c>
      <c r="AI41" s="4">
        <f t="shared" si="42"/>
        <v>2417.0134764364293</v>
      </c>
      <c r="AJ41" s="4">
        <f t="shared" si="42"/>
        <v>2277.1065283191606</v>
      </c>
      <c r="AK41" s="4">
        <f t="shared" si="42"/>
        <v>0</v>
      </c>
      <c r="AL41" s="4">
        <f t="shared" si="42"/>
        <v>0</v>
      </c>
      <c r="AM41" s="4">
        <f t="shared" si="42"/>
        <v>0</v>
      </c>
      <c r="AN41" s="4">
        <f t="shared" si="42"/>
        <v>0</v>
      </c>
      <c r="AO41" s="4">
        <f t="shared" si="42"/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</row>
    <row r="42" spans="1:52" x14ac:dyDescent="0.35">
      <c r="A42" s="1" t="s">
        <v>68</v>
      </c>
      <c r="B42" s="45">
        <f>_xlfn.RRI(1,B41,C41)</f>
        <v>9.9999999999999867E-2</v>
      </c>
      <c r="C42" s="45">
        <f t="shared" ref="C42:W42" si="43">_xlfn.RRI(1,C41,D41)</f>
        <v>0.10000000000000053</v>
      </c>
      <c r="D42" s="45">
        <f t="shared" si="43"/>
        <v>0.1100000000000001</v>
      </c>
      <c r="E42" s="45">
        <f t="shared" si="43"/>
        <v>0.22999999999999998</v>
      </c>
      <c r="F42" s="45">
        <f t="shared" si="43"/>
        <v>-0.21000000000000008</v>
      </c>
      <c r="G42" s="45">
        <f t="shared" si="43"/>
        <v>0.36999999999999966</v>
      </c>
      <c r="H42" s="45">
        <f t="shared" si="43"/>
        <v>-0.38999999999999979</v>
      </c>
      <c r="I42" s="45">
        <f t="shared" si="43"/>
        <v>-7.999999999999996E-2</v>
      </c>
      <c r="J42" s="45">
        <f t="shared" si="43"/>
        <v>-0.22000000000000008</v>
      </c>
      <c r="K42" s="45">
        <f t="shared" si="43"/>
        <v>-0.39000000000000012</v>
      </c>
      <c r="L42" s="45">
        <f t="shared" si="43"/>
        <v>0.46000000000000041</v>
      </c>
      <c r="M42" s="45">
        <f t="shared" si="43"/>
        <v>2.690556364520269E-2</v>
      </c>
      <c r="N42" s="45">
        <f t="shared" si="43"/>
        <v>9.6939809636371388E-2</v>
      </c>
      <c r="O42" s="45">
        <f t="shared" si="43"/>
        <v>-1.1187504308401985E-3</v>
      </c>
      <c r="P42" s="45">
        <f t="shared" si="43"/>
        <v>0.10221018303973484</v>
      </c>
      <c r="Q42" s="45">
        <f t="shared" si="43"/>
        <v>8.2078429568626321E-2</v>
      </c>
      <c r="R42" s="45">
        <f t="shared" si="43"/>
        <v>0.12896832998004326</v>
      </c>
      <c r="S42" s="45">
        <f t="shared" si="43"/>
        <v>-6.897733931883665E-2</v>
      </c>
      <c r="T42" s="45">
        <f t="shared" si="43"/>
        <v>-0.205347973901711</v>
      </c>
      <c r="U42" s="45">
        <f t="shared" si="43"/>
        <v>0.24751446682987277</v>
      </c>
      <c r="V42" s="45">
        <f t="shared" si="43"/>
        <v>-9.8672061616178697E-2</v>
      </c>
      <c r="W42" s="45">
        <f t="shared" si="43"/>
        <v>-0.1856674587448901</v>
      </c>
      <c r="X42" s="45">
        <f t="shared" ref="X42" si="44">_xlfn.RRI(1,X41,Y41)</f>
        <v>-4.6533402293615911E-2</v>
      </c>
      <c r="Y42" s="45">
        <f t="shared" ref="Y42" si="45">_xlfn.RRI(1,Y41,Z41)</f>
        <v>-5.4390843512681308E-2</v>
      </c>
      <c r="Z42" s="45">
        <f t="shared" ref="Z42" si="46">_xlfn.RRI(1,Z41,AA41)</f>
        <v>-5.2863268289431997E-2</v>
      </c>
      <c r="AA42" s="45">
        <f t="shared" ref="AA42" si="47">_xlfn.RRI(1,AA41,AB41)</f>
        <v>-5.5382713718265753E-2</v>
      </c>
      <c r="AB42" s="45">
        <f t="shared" ref="AB42" si="48">_xlfn.RRI(1,AB41,AC41)</f>
        <v>-5.6535173086704082E-2</v>
      </c>
      <c r="AC42" s="45">
        <f t="shared" ref="AC42" si="49">_xlfn.RRI(1,AC41,AD41)</f>
        <v>-5.5578133276277808E-2</v>
      </c>
      <c r="AD42" s="45">
        <f t="shared" ref="AD42" si="50">_xlfn.RRI(1,AD41,AE41)</f>
        <v>-4.9941005411398565E-2</v>
      </c>
      <c r="AE42" s="45">
        <f t="shared" ref="AE42" si="51">_xlfn.RRI(1,AE41,AF41)</f>
        <v>-4.5835039695189428E-2</v>
      </c>
      <c r="AF42" s="45">
        <f t="shared" ref="AF42" si="52">_xlfn.RRI(1,AF41,AG41)</f>
        <v>-4.9329625373922936E-2</v>
      </c>
      <c r="AG42" s="45">
        <f t="shared" ref="AG42" si="53">_xlfn.RRI(1,AG41,AH41)</f>
        <v>-5.3790664108837039E-2</v>
      </c>
      <c r="AH42" s="45">
        <f t="shared" ref="AH42" si="54">_xlfn.RRI(1,AH41,AI41)</f>
        <v>-5.8198308704344059E-2</v>
      </c>
      <c r="AI42" s="45">
        <f t="shared" ref="AI42" si="55">_xlfn.RRI(1,AI41,AJ41)</f>
        <v>-5.7884223435751503E-2</v>
      </c>
      <c r="AJ42" s="45">
        <f t="shared" ref="AJ42" si="56">_xlfn.RRI(1,AJ41,AK41)</f>
        <v>-1</v>
      </c>
      <c r="AK42" s="45">
        <f t="shared" ref="AK42" si="57">_xlfn.RRI(1,AK41,AL41)</f>
        <v>0</v>
      </c>
      <c r="AL42" s="45">
        <f t="shared" ref="AL42" si="58">_xlfn.RRI(1,AL41,AM41)</f>
        <v>0</v>
      </c>
      <c r="AM42" s="45">
        <f t="shared" ref="AM42" si="59">_xlfn.RRI(1,AM41,AN41)</f>
        <v>0</v>
      </c>
      <c r="AN42" s="45">
        <f t="shared" ref="AN42" si="60">_xlfn.RRI(1,AN41,AO41)</f>
        <v>0</v>
      </c>
      <c r="AO42" s="45">
        <f t="shared" ref="AO42" si="61">_xlfn.RRI(1,AO41,AP41)</f>
        <v>0</v>
      </c>
      <c r="AP42" s="45">
        <f t="shared" ref="AP42" si="62">_xlfn.RRI(1,AP41,AQ41)</f>
        <v>0</v>
      </c>
      <c r="AQ42" s="45">
        <f t="shared" ref="AQ42" si="63">_xlfn.RRI(1,AQ41,AR41)</f>
        <v>0</v>
      </c>
      <c r="AR42" s="45">
        <f t="shared" ref="AR42" si="64">_xlfn.RRI(1,AR41,AS41)</f>
        <v>0</v>
      </c>
      <c r="AS42" s="45">
        <f t="shared" ref="AS42" si="65">_xlfn.RRI(1,AS41,AT41)</f>
        <v>0</v>
      </c>
    </row>
    <row r="43" spans="1:52" x14ac:dyDescent="0.35"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52" x14ac:dyDescent="0.35">
      <c r="A44" s="24" t="s">
        <v>65</v>
      </c>
      <c r="B44" s="24"/>
      <c r="C44" s="24"/>
      <c r="D44" s="24"/>
      <c r="E44" s="24"/>
      <c r="F44" s="24"/>
      <c r="G44" s="6"/>
      <c r="H44" s="6"/>
      <c r="I44" s="6"/>
      <c r="J44" s="6"/>
      <c r="K44" s="6"/>
      <c r="L44" s="6"/>
    </row>
  </sheetData>
  <mergeCells count="1">
    <mergeCell ref="X8:AZ8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4A8F-C679-48BD-B820-DE487F53E3CA}">
  <sheetPr>
    <tabColor theme="7" tint="0.79998168889431442"/>
  </sheetPr>
  <dimension ref="A1:AZ44"/>
  <sheetViews>
    <sheetView zoomScale="70" zoomScaleNormal="70" workbookViewId="0"/>
  </sheetViews>
  <sheetFormatPr baseColWidth="10" defaultRowHeight="14.5" x14ac:dyDescent="0.35"/>
  <cols>
    <col min="1" max="1" width="32.08984375" customWidth="1"/>
    <col min="2" max="12" width="10.08984375" customWidth="1"/>
    <col min="13" max="22" width="11.26953125" bestFit="1" customWidth="1"/>
  </cols>
  <sheetData>
    <row r="1" spans="1:52" x14ac:dyDescent="0.35">
      <c r="A1" s="1" t="s">
        <v>66</v>
      </c>
      <c r="B1" s="1" t="s">
        <v>69</v>
      </c>
      <c r="C1" s="1" t="s">
        <v>77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52" x14ac:dyDescent="0.35">
      <c r="A2" s="1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1"/>
      <c r="N2" s="1"/>
      <c r="O2" s="1"/>
      <c r="P2" s="1"/>
      <c r="Q2" s="1"/>
      <c r="R2" s="1"/>
      <c r="S2" s="1"/>
      <c r="T2" s="1"/>
      <c r="U2" s="1"/>
      <c r="V2" s="1"/>
    </row>
    <row r="3" spans="1:52" x14ac:dyDescent="0.35">
      <c r="A3" t="s">
        <v>38</v>
      </c>
      <c r="B3" s="1">
        <v>2000</v>
      </c>
      <c r="C3" s="1">
        <v>2001</v>
      </c>
      <c r="D3" s="1">
        <v>2002</v>
      </c>
      <c r="E3" s="1">
        <v>2003</v>
      </c>
      <c r="F3" s="1">
        <v>2004</v>
      </c>
      <c r="G3" s="1">
        <v>2005</v>
      </c>
      <c r="H3" s="1">
        <v>2006</v>
      </c>
      <c r="I3" s="1">
        <v>2007</v>
      </c>
      <c r="J3" s="1">
        <v>2008</v>
      </c>
      <c r="K3" s="1">
        <v>2009</v>
      </c>
      <c r="L3" s="1">
        <v>2010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  <c r="Z3" s="10">
        <v>2024</v>
      </c>
      <c r="AA3" s="10">
        <v>2025</v>
      </c>
      <c r="AB3" s="10">
        <v>2026</v>
      </c>
      <c r="AC3" s="10">
        <v>2027</v>
      </c>
      <c r="AD3" s="10">
        <v>2028</v>
      </c>
      <c r="AE3" s="10">
        <v>2029</v>
      </c>
      <c r="AF3" s="10">
        <v>2030</v>
      </c>
      <c r="AG3" s="10">
        <v>2031</v>
      </c>
      <c r="AH3" s="10">
        <v>2032</v>
      </c>
      <c r="AI3" s="10">
        <v>2033</v>
      </c>
      <c r="AJ3" s="10">
        <v>2034</v>
      </c>
      <c r="AK3" s="10">
        <v>2035</v>
      </c>
      <c r="AL3" s="10">
        <v>2036</v>
      </c>
      <c r="AM3" s="10">
        <v>2037</v>
      </c>
      <c r="AN3" s="10">
        <v>2038</v>
      </c>
      <c r="AO3" s="10">
        <v>2039</v>
      </c>
      <c r="AP3" s="10">
        <v>2040</v>
      </c>
      <c r="AQ3" s="10">
        <v>2041</v>
      </c>
      <c r="AR3" s="10">
        <v>2042</v>
      </c>
      <c r="AS3" s="10">
        <v>2043</v>
      </c>
      <c r="AT3" s="10">
        <v>2044</v>
      </c>
      <c r="AU3" s="10">
        <v>2045</v>
      </c>
      <c r="AV3" s="10">
        <v>2046</v>
      </c>
      <c r="AW3" s="10">
        <v>2047</v>
      </c>
      <c r="AX3" s="10">
        <v>2048</v>
      </c>
      <c r="AY3" s="10">
        <v>2049</v>
      </c>
      <c r="AZ3" s="10">
        <v>2050</v>
      </c>
    </row>
    <row r="4" spans="1:52" x14ac:dyDescent="0.35">
      <c r="A4" s="8" t="s">
        <v>10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12">
        <v>6.653992395437262E-3</v>
      </c>
      <c r="N4" s="12">
        <v>9.0276342085314591E-3</v>
      </c>
      <c r="O4" s="12">
        <v>9.4473311289560696E-3</v>
      </c>
      <c r="P4" s="12">
        <v>9.9886794965705541E-3</v>
      </c>
      <c r="Q4" s="12">
        <v>8.7103484139365566E-3</v>
      </c>
      <c r="R4" s="12">
        <v>1.0022550739163118E-2</v>
      </c>
      <c r="S4" s="12">
        <v>8.407375273976482E-3</v>
      </c>
      <c r="T4" s="12">
        <v>9.177830744363168E-3</v>
      </c>
      <c r="U4" s="12">
        <v>2.5551345175370097E-2</v>
      </c>
      <c r="V4" s="12">
        <v>1.3403287081242511E-2</v>
      </c>
      <c r="W4" s="12">
        <v>8.0744311981102088E-3</v>
      </c>
    </row>
    <row r="5" spans="1:52" x14ac:dyDescent="0.35">
      <c r="A5" s="8" t="s">
        <v>28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2">
        <v>8.2570928427519235E-4</v>
      </c>
      <c r="N5" s="12">
        <v>7.8221030282713151E-4</v>
      </c>
      <c r="O5" s="12">
        <v>6.3810391978122161E-3</v>
      </c>
      <c r="P5" s="12">
        <v>1.0354110581901016E-3</v>
      </c>
      <c r="Q5" s="12">
        <v>4.2468856172140431E-4</v>
      </c>
      <c r="R5" s="12">
        <v>9.2137592137592141E-4</v>
      </c>
      <c r="S5" s="12">
        <v>3.4535355570265063E-4</v>
      </c>
      <c r="T5" s="12">
        <v>4.6991009053601085E-4</v>
      </c>
      <c r="U5" s="13"/>
      <c r="V5" s="13"/>
      <c r="W5" s="13"/>
    </row>
    <row r="6" spans="1:52" x14ac:dyDescent="0.35">
      <c r="A6" s="14" t="s">
        <v>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15">
        <v>6.040192651367412E-3</v>
      </c>
      <c r="N6" s="15">
        <v>8.1549775624301657E-3</v>
      </c>
      <c r="O6" s="15">
        <v>9.1211386120278598E-3</v>
      </c>
      <c r="P6" s="15">
        <v>9.0313216848654006E-3</v>
      </c>
      <c r="Q6" s="15">
        <v>7.8228585008893008E-3</v>
      </c>
      <c r="R6" s="15">
        <v>9.0437925883560793E-3</v>
      </c>
      <c r="S6" s="15">
        <v>7.5328065193794314E-3</v>
      </c>
      <c r="T6" s="15">
        <v>8.2259183244776813E-3</v>
      </c>
      <c r="U6" s="15">
        <v>2.5551345175370093E-2</v>
      </c>
      <c r="V6" s="16">
        <v>1.3403287081242511E-2</v>
      </c>
      <c r="W6" s="16">
        <v>8.0744311981102088E-3</v>
      </c>
      <c r="X6" s="43">
        <f>'Weighted Average'!X44</f>
        <v>9.0010375506709671E-3</v>
      </c>
      <c r="Y6" s="43">
        <f>'Weighted Average'!Y44</f>
        <v>9.0286000000000012E-3</v>
      </c>
      <c r="Z6" s="43">
        <f>'Weighted Average'!Z44</f>
        <v>9.2091720000000016E-3</v>
      </c>
      <c r="AA6" s="43">
        <f>'Weighted Average'!AA44</f>
        <v>9.3933554400000008E-3</v>
      </c>
      <c r="AB6" s="43">
        <f>'Weighted Average'!AB44</f>
        <v>9.5812225488000006E-3</v>
      </c>
      <c r="AC6" s="43">
        <f>'Weighted Average'!AC44</f>
        <v>9.7728469997759998E-3</v>
      </c>
      <c r="AD6" s="43">
        <f>'Weighted Average'!AD44</f>
        <v>9.9683039397715206E-3</v>
      </c>
      <c r="AE6" s="43">
        <f>'Weighted Average'!AE44</f>
        <v>1.016767001856695E-2</v>
      </c>
      <c r="AF6" s="43">
        <f>'Weighted Average'!AF44</f>
        <v>1.0371023418938289E-2</v>
      </c>
      <c r="AG6" s="43">
        <f>'Weighted Average'!AG44</f>
        <v>1.0578443887317055E-2</v>
      </c>
      <c r="AH6" s="43">
        <f>'Weighted Average'!AH44</f>
        <v>1.0790012765063396E-2</v>
      </c>
      <c r="AI6" s="43">
        <f>'Weighted Average'!AI44</f>
        <v>1.1005813020364665E-2</v>
      </c>
      <c r="AJ6" s="43">
        <f>'Weighted Average'!AJ44</f>
        <v>1.1225929280771959E-2</v>
      </c>
      <c r="AK6" s="43">
        <f>'Weighted Average'!AK44</f>
        <v>1.1450447866387398E-2</v>
      </c>
      <c r="AL6" s="43">
        <f>'Weighted Average'!AL44</f>
        <v>1.1679456823715146E-2</v>
      </c>
      <c r="AM6" s="43">
        <f>'Weighted Average'!AM44</f>
        <v>1.1913045960189449E-2</v>
      </c>
      <c r="AN6" s="43">
        <f>'Weighted Average'!AN44</f>
        <v>1.2151306879393238E-2</v>
      </c>
      <c r="AO6" s="43">
        <f>'Weighted Average'!AO44</f>
        <v>1.2394333016981103E-2</v>
      </c>
      <c r="AP6" s="43">
        <f>'Weighted Average'!AP44</f>
        <v>1.2642219677320725E-2</v>
      </c>
      <c r="AQ6" s="43">
        <f>'Weighted Average'!AQ44</f>
        <v>1.289506407086714E-2</v>
      </c>
      <c r="AR6" s="43">
        <f>'Weighted Average'!AR44</f>
        <v>1.3152965352284482E-2</v>
      </c>
      <c r="AS6" s="43">
        <f>'Weighted Average'!AS44</f>
        <v>1.3416024659330172E-2</v>
      </c>
      <c r="AT6" s="43">
        <f>'Weighted Average'!AT44</f>
        <v>1.3684345152516776E-2</v>
      </c>
      <c r="AU6" s="43">
        <f>'Weighted Average'!AU44</f>
        <v>1.3958032055567112E-2</v>
      </c>
      <c r="AV6" s="43">
        <f>'Weighted Average'!AV44</f>
        <v>1.4237192696678454E-2</v>
      </c>
      <c r="AW6" s="43">
        <f>'Weighted Average'!AW44</f>
        <v>1.4521936550612022E-2</v>
      </c>
      <c r="AX6" s="43">
        <f>'Weighted Average'!AX44</f>
        <v>1.4812375281624263E-2</v>
      </c>
      <c r="AY6" s="43">
        <f>'Weighted Average'!AY44</f>
        <v>1.5108622787256748E-2</v>
      </c>
      <c r="AZ6" s="43">
        <f>'Weighted Average'!AZ44</f>
        <v>1.5410795243001882E-2</v>
      </c>
    </row>
    <row r="7" spans="1:52" x14ac:dyDescent="0.35">
      <c r="A7" s="1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1"/>
      <c r="N7" s="1"/>
      <c r="O7" s="1"/>
      <c r="P7" s="1"/>
      <c r="Q7" s="1"/>
      <c r="R7" s="1"/>
      <c r="S7" s="1"/>
      <c r="T7" s="1"/>
      <c r="U7" s="1"/>
      <c r="V7" s="7"/>
      <c r="X7" s="6" t="s">
        <v>78</v>
      </c>
    </row>
    <row r="8" spans="1:52" x14ac:dyDescent="0.35">
      <c r="A8" s="1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1"/>
      <c r="N8" s="1"/>
      <c r="O8" s="1"/>
      <c r="P8" s="1"/>
      <c r="Q8" s="1"/>
      <c r="R8" s="1"/>
      <c r="S8" s="1"/>
      <c r="T8" s="1"/>
      <c r="U8" s="1"/>
      <c r="V8" s="7"/>
      <c r="X8" s="105" t="s">
        <v>79</v>
      </c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</row>
    <row r="9" spans="1:52" x14ac:dyDescent="0.35">
      <c r="A9" s="1"/>
      <c r="B9" s="1">
        <v>2000</v>
      </c>
      <c r="C9" s="1">
        <v>2001</v>
      </c>
      <c r="D9" s="1">
        <v>2002</v>
      </c>
      <c r="E9" s="1">
        <v>2003</v>
      </c>
      <c r="F9" s="1">
        <v>2004</v>
      </c>
      <c r="G9" s="1">
        <v>2005</v>
      </c>
      <c r="H9" s="1">
        <v>2006</v>
      </c>
      <c r="I9" s="1">
        <v>2007</v>
      </c>
      <c r="J9" s="1">
        <v>2008</v>
      </c>
      <c r="K9" s="1">
        <v>2009</v>
      </c>
      <c r="L9" s="1">
        <v>2010</v>
      </c>
      <c r="M9" s="1">
        <v>2011</v>
      </c>
      <c r="N9" s="1">
        <v>2012</v>
      </c>
      <c r="O9" s="1">
        <v>2013</v>
      </c>
      <c r="P9" s="1">
        <v>2014</v>
      </c>
      <c r="Q9" s="1">
        <v>2015</v>
      </c>
      <c r="R9" s="1">
        <v>2016</v>
      </c>
      <c r="S9" s="1">
        <v>2017</v>
      </c>
      <c r="T9" s="1">
        <v>2018</v>
      </c>
      <c r="U9" s="1">
        <v>2019</v>
      </c>
      <c r="V9" s="1">
        <v>2020</v>
      </c>
      <c r="W9" s="1">
        <v>2021</v>
      </c>
      <c r="X9" s="47">
        <v>2022</v>
      </c>
      <c r="Y9" s="47">
        <v>2023</v>
      </c>
      <c r="Z9" s="47">
        <v>2024</v>
      </c>
      <c r="AA9" s="47">
        <v>2025</v>
      </c>
      <c r="AB9" s="47">
        <v>2026</v>
      </c>
      <c r="AC9" s="47">
        <v>2027</v>
      </c>
      <c r="AD9" s="47">
        <v>2028</v>
      </c>
      <c r="AE9" s="47">
        <v>2029</v>
      </c>
      <c r="AF9" s="47">
        <v>2030</v>
      </c>
      <c r="AG9" s="47">
        <v>2031</v>
      </c>
      <c r="AH9" s="47">
        <v>2032</v>
      </c>
      <c r="AI9" s="47">
        <v>2033</v>
      </c>
      <c r="AJ9" s="47">
        <v>2034</v>
      </c>
      <c r="AK9" s="47">
        <v>2035</v>
      </c>
      <c r="AL9" s="47">
        <v>2036</v>
      </c>
      <c r="AM9" s="47">
        <v>2037</v>
      </c>
      <c r="AN9" s="47">
        <v>2038</v>
      </c>
      <c r="AO9" s="47">
        <v>2039</v>
      </c>
      <c r="AP9" s="47">
        <v>2040</v>
      </c>
      <c r="AQ9" s="47">
        <v>2041</v>
      </c>
      <c r="AR9" s="47">
        <v>2042</v>
      </c>
      <c r="AS9" s="47">
        <v>2043</v>
      </c>
      <c r="AT9" s="47">
        <v>2044</v>
      </c>
      <c r="AU9" s="47">
        <v>2045</v>
      </c>
      <c r="AV9" s="47">
        <v>2046</v>
      </c>
      <c r="AW9" s="47">
        <v>2047</v>
      </c>
      <c r="AX9" s="47">
        <v>2048</v>
      </c>
      <c r="AY9" s="47">
        <v>2049</v>
      </c>
      <c r="AZ9" s="47">
        <v>2050</v>
      </c>
    </row>
    <row r="10" spans="1:52" x14ac:dyDescent="0.35">
      <c r="A10" s="1" t="s">
        <v>0</v>
      </c>
      <c r="B10" s="23">
        <f t="shared" ref="B10:K10" si="0">C10/1.02</f>
        <v>8.4430366279890201</v>
      </c>
      <c r="C10" s="23">
        <f t="shared" si="0"/>
        <v>8.6118973605488005</v>
      </c>
      <c r="D10" s="23">
        <f t="shared" si="0"/>
        <v>8.7841353077597759</v>
      </c>
      <c r="E10" s="23">
        <f t="shared" si="0"/>
        <v>8.9598180139149708</v>
      </c>
      <c r="F10" s="23">
        <f t="shared" si="0"/>
        <v>9.1390143741932697</v>
      </c>
      <c r="G10" s="23">
        <f t="shared" si="0"/>
        <v>9.321794661677135</v>
      </c>
      <c r="H10" s="23">
        <f t="shared" si="0"/>
        <v>9.5082305549106785</v>
      </c>
      <c r="I10" s="23">
        <f t="shared" si="0"/>
        <v>9.6983951660088916</v>
      </c>
      <c r="J10" s="23">
        <f t="shared" si="0"/>
        <v>9.8923630693290701</v>
      </c>
      <c r="K10" s="23">
        <f t="shared" si="0"/>
        <v>10.090210330715651</v>
      </c>
      <c r="L10" s="23">
        <f>M10/1.02</f>
        <v>10.292014537329964</v>
      </c>
      <c r="M10" s="4">
        <f>$M$6*'Eurostat Collected Portables'!M3</f>
        <v>10.497854828076562</v>
      </c>
      <c r="N10" s="4">
        <f>$N$6*'Eurostat Collected Portables'!N3</f>
        <v>15.567852166679186</v>
      </c>
      <c r="O10" s="4">
        <f>$O$6*'Eurostat Collected Portables'!O3</f>
        <v>18.023369897367051</v>
      </c>
      <c r="P10" s="4">
        <f>$P$6*'Eurostat Collected Portables'!P3</f>
        <v>18.938681573162746</v>
      </c>
      <c r="Q10" s="4">
        <f>$Q$6*'Eurostat Collected Portables'!Q3</f>
        <v>17.984751693544503</v>
      </c>
      <c r="R10" s="4">
        <f>$R$6*'Eurostat Collected Portables'!R3</f>
        <v>19.7878181833231</v>
      </c>
      <c r="S10" s="4">
        <f>$S$6*'Eurostat Collected Portables'!S3</f>
        <v>15.946951401526256</v>
      </c>
      <c r="T10" s="4">
        <f>$T$6*'Eurostat Collected Portables'!T3</f>
        <v>18.672834596564336</v>
      </c>
      <c r="U10" s="4">
        <f>$U$6*'Eurostat Collected Portables'!U3</f>
        <v>60.709996136679344</v>
      </c>
      <c r="V10" s="4">
        <f>$V$6*'Eurostat Collected Portables'!V3</f>
        <v>37.917899152835062</v>
      </c>
      <c r="W10" s="4">
        <f>$W$6*'Eurostat Collected Portables'!W3</f>
        <v>22.366174418765279</v>
      </c>
      <c r="X10" s="67">
        <f>X$6*'Eurostat Collected Portables'!X3</f>
        <v>26.0669940933182</v>
      </c>
      <c r="Y10" s="67">
        <f>Y$6*'Eurostat Collected Portables'!Y3</f>
        <v>26.850103288783941</v>
      </c>
      <c r="Z10" s="67">
        <f>Z$6*'Eurostat Collected Portables'!Z3</f>
        <v>28.828849638121547</v>
      </c>
      <c r="AA10" s="67">
        <f>AA$6*'Eurostat Collected Portables'!AA3</f>
        <v>31.005044542845958</v>
      </c>
      <c r="AB10" s="67">
        <f>AB$6*'Eurostat Collected Portables'!AB3</f>
        <v>33.265678767042139</v>
      </c>
      <c r="AC10" s="67">
        <f>AC$6*'Eurostat Collected Portables'!AC3</f>
        <v>35.653498299975553</v>
      </c>
      <c r="AD10" s="67">
        <f>AD$6*'Eurostat Collected Portables'!AD3</f>
        <v>38.251762302244693</v>
      </c>
      <c r="AE10" s="67">
        <f>AE$6*'Eurostat Collected Portables'!AE3</f>
        <v>41.273737707236286</v>
      </c>
      <c r="AF10" s="67">
        <f>AF$6*'Eurostat Collected Portables'!AF3</f>
        <v>44.718608532198921</v>
      </c>
      <c r="AG10" s="67">
        <f>AG$6*'Eurostat Collected Portables'!AG3</f>
        <v>48.269874288382752</v>
      </c>
      <c r="AH10" s="67">
        <f>AH$6*'Eurostat Collected Portables'!AH3</f>
        <v>51.857132534632051</v>
      </c>
      <c r="AI10" s="67">
        <f>AI$6*'Eurostat Collected Portables'!AI3</f>
        <v>55.44978784076325</v>
      </c>
      <c r="AJ10" s="67">
        <f>AJ$6*'Eurostat Collected Portables'!AJ3</f>
        <v>59.309166965898029</v>
      </c>
      <c r="AK10" s="67">
        <f>AK$6*'Eurostat Collected Portables'!AK3</f>
        <v>63.457121308962591</v>
      </c>
      <c r="AL10" s="67">
        <f>AL$6*'Eurostat Collected Portables'!AL3</f>
        <v>67.916508285169826</v>
      </c>
      <c r="AM10" s="67">
        <f>AM$6*'Eurostat Collected Portables'!AM3</f>
        <v>72.712068936666554</v>
      </c>
      <c r="AN10" s="67">
        <f>AN$6*'Eurostat Collected Portables'!AN3</f>
        <v>77.870586867398558</v>
      </c>
      <c r="AO10" s="67">
        <f>AO$6*'Eurostat Collected Portables'!AO3</f>
        <v>83.404303073198221</v>
      </c>
      <c r="AP10" s="67">
        <f>AP$6*'Eurostat Collected Portables'!AP3</f>
        <v>89.215800064122746</v>
      </c>
      <c r="AQ10" s="67">
        <f>AQ$6*'Eurostat Collected Portables'!AQ3</f>
        <v>94.644156814571446</v>
      </c>
      <c r="AR10" s="67">
        <f>AR$6*'Eurostat Collected Portables'!AR3</f>
        <v>99.606211993064349</v>
      </c>
      <c r="AS10" s="67">
        <f>AS$6*'Eurostat Collected Portables'!AS3</f>
        <v>104.13201966794315</v>
      </c>
      <c r="AT10" s="67">
        <f>AT$6*'Eurostat Collected Portables'!AT3</f>
        <v>108.85532879470553</v>
      </c>
      <c r="AU10" s="67">
        <f>AU$6*'Eurostat Collected Portables'!AU3</f>
        <v>113.78826408106301</v>
      </c>
      <c r="AV10" s="67">
        <f>AV$6*'Eurostat Collected Portables'!AV3</f>
        <v>118.91486983941466</v>
      </c>
      <c r="AW10" s="67">
        <f>AW$6*'Eurostat Collected Portables'!AW3</f>
        <v>124.24157617970096</v>
      </c>
      <c r="AX10" s="67">
        <f>AX$6*'Eurostat Collected Portables'!AX3</f>
        <v>129.77497069496636</v>
      </c>
      <c r="AY10" s="67">
        <f>AY$6*'Eurostat Collected Portables'!AY3</f>
        <v>135.54921936162344</v>
      </c>
      <c r="AZ10" s="67">
        <f>AZ$6*'Eurostat Collected Portables'!AZ3</f>
        <v>141.57470166064834</v>
      </c>
    </row>
    <row r="11" spans="1:52" x14ac:dyDescent="0.35">
      <c r="A11" s="1" t="s">
        <v>1</v>
      </c>
      <c r="B11" s="23">
        <f t="shared" ref="B11:B40" si="1">C11/1.02</f>
        <v>10.82826734395139</v>
      </c>
      <c r="C11" s="23">
        <f t="shared" ref="C11:C40" si="2">D11/1.02</f>
        <v>11.044832690830418</v>
      </c>
      <c r="D11" s="23">
        <f t="shared" ref="D11:D40" si="3">E11/1.02</f>
        <v>11.265729344647026</v>
      </c>
      <c r="E11" s="23">
        <f t="shared" ref="E11:E40" si="4">F11/1.02</f>
        <v>11.491043931539966</v>
      </c>
      <c r="F11" s="23">
        <f t="shared" ref="F11:F40" si="5">G11/1.02</f>
        <v>11.720864810170767</v>
      </c>
      <c r="G11" s="23">
        <f t="shared" ref="G11:G40" si="6">H11/1.02</f>
        <v>11.955282106374183</v>
      </c>
      <c r="H11" s="23">
        <f t="shared" ref="H11:H40" si="7">I11/1.02</f>
        <v>12.194387748501667</v>
      </c>
      <c r="I11" s="23">
        <f t="shared" ref="I11:I40" si="8">J11/1.02</f>
        <v>12.438275503471701</v>
      </c>
      <c r="J11" s="23">
        <f t="shared" ref="J11:J40" si="9">K11/1.02</f>
        <v>12.687041013541135</v>
      </c>
      <c r="K11" s="23">
        <f t="shared" ref="K11:K40" si="10">L11/1.02</f>
        <v>12.940781833811958</v>
      </c>
      <c r="L11" s="23">
        <f t="shared" ref="L11:L40" si="11">M11/1.02</f>
        <v>13.199597470488197</v>
      </c>
      <c r="M11" s="4">
        <f>$M$6*'Eurostat Collected Portables'!M4</f>
        <v>13.463589419897961</v>
      </c>
      <c r="N11" s="4">
        <f>$N$6*'Eurostat Collected Portables'!N4</f>
        <v>18.536263999403765</v>
      </c>
      <c r="O11" s="4">
        <f>$O$6*'Eurostat Collected Portables'!O4</f>
        <v>20.960376530440023</v>
      </c>
      <c r="P11" s="4">
        <f>$P$6*'Eurostat Collected Portables'!P4</f>
        <v>21.160386707639635</v>
      </c>
      <c r="Q11" s="4">
        <f>$Q$6*'Eurostat Collected Portables'!Q4</f>
        <v>19.072129025168117</v>
      </c>
      <c r="R11" s="4">
        <f>$R$6*'Eurostat Collected Portables'!R4</f>
        <v>28.515078031086716</v>
      </c>
      <c r="S11" s="4">
        <f>$S$6*'Eurostat Collected Portables'!S4</f>
        <v>21.189784739014339</v>
      </c>
      <c r="T11" s="4">
        <f>$T$6*'Eurostat Collected Portables'!T4</f>
        <v>24.143070282341995</v>
      </c>
      <c r="U11" s="4">
        <f>$U$6*'Eurostat Collected Portables'!U4</f>
        <v>86.491303418627766</v>
      </c>
      <c r="V11" s="4">
        <f>$V$6*'Eurostat Collected Portables'!V4</f>
        <v>42.206951018832669</v>
      </c>
      <c r="W11" s="4">
        <f>$W$6*'Eurostat Collected Portables'!W4</f>
        <v>27.388470623989829</v>
      </c>
      <c r="X11" s="67">
        <f>X$6*'Eurostat Collected Portables'!X4</f>
        <v>32.452509016203152</v>
      </c>
      <c r="Y11" s="67">
        <f>Y$6*'Eurostat Collected Portables'!Y4</f>
        <v>34.604362225052</v>
      </c>
      <c r="Z11" s="67">
        <f>Z$6*'Eurostat Collected Portables'!Z4</f>
        <v>36.783424768677399</v>
      </c>
      <c r="AA11" s="67">
        <f>AA$6*'Eurostat Collected Portables'!AA4</f>
        <v>39.169297826256589</v>
      </c>
      <c r="AB11" s="67">
        <f>AB$6*'Eurostat Collected Portables'!AB4</f>
        <v>41.614625651296542</v>
      </c>
      <c r="AC11" s="67">
        <f>AC$6*'Eurostat Collected Portables'!AC4</f>
        <v>44.170726363585025</v>
      </c>
      <c r="AD11" s="67">
        <f>AD$6*'Eurostat Collected Portables'!AD4</f>
        <v>46.936671314931601</v>
      </c>
      <c r="AE11" s="67">
        <f>AE$6*'Eurostat Collected Portables'!AE4</f>
        <v>50.165808379179694</v>
      </c>
      <c r="AF11" s="67">
        <f>AF$6*'Eurostat Collected Portables'!AF4</f>
        <v>53.844246585683699</v>
      </c>
      <c r="AG11" s="67">
        <f>AG$6*'Eurostat Collected Portables'!AG4</f>
        <v>57.582054698105793</v>
      </c>
      <c r="AH11" s="67">
        <f>AH$6*'Eurostat Collected Portables'!AH4</f>
        <v>61.294508668675526</v>
      </c>
      <c r="AI11" s="67">
        <f>AI$6*'Eurostat Collected Portables'!AI4</f>
        <v>64.946586287429795</v>
      </c>
      <c r="AJ11" s="67">
        <f>AJ$6*'Eurostat Collected Portables'!AJ4</f>
        <v>68.843370848186751</v>
      </c>
      <c r="AK11" s="67">
        <f>AK$6*'Eurostat Collected Portables'!AK4</f>
        <v>73.003595472625577</v>
      </c>
      <c r="AL11" s="67">
        <f>AL$6*'Eurostat Collected Portables'!AL4</f>
        <v>77.446496772826407</v>
      </c>
      <c r="AM11" s="67">
        <f>AM$6*'Eurostat Collected Portables'!AM4</f>
        <v>82.192786910622289</v>
      </c>
      <c r="AN11" s="67">
        <f>AN$6*'Eurostat Collected Portables'!AN4</f>
        <v>87.264770054102655</v>
      </c>
      <c r="AO11" s="67">
        <f>AO$6*'Eurostat Collected Portables'!AO4</f>
        <v>92.667849251817657</v>
      </c>
      <c r="AP11" s="67">
        <f>AP$6*'Eurostat Collected Portables'!AP4</f>
        <v>98.286456992027468</v>
      </c>
      <c r="AQ11" s="67">
        <f>AQ$6*'Eurostat Collected Portables'!AQ4</f>
        <v>103.39332255384727</v>
      </c>
      <c r="AR11" s="67">
        <f>AR$6*'Eurostat Collected Portables'!AR4</f>
        <v>107.91125704428731</v>
      </c>
      <c r="AS11" s="67">
        <f>AS$6*'Eurostat Collected Portables'!AS4</f>
        <v>111.88722512871409</v>
      </c>
      <c r="AT11" s="67">
        <f>AT$6*'Eurostat Collected Portables'!AT4</f>
        <v>116.01000016871293</v>
      </c>
      <c r="AU11" s="67">
        <f>AU$6*'Eurostat Collected Portables'!AU4</f>
        <v>120.288961945523</v>
      </c>
      <c r="AV11" s="67">
        <f>AV$6*'Eurostat Collected Portables'!AV4</f>
        <v>124.70375127865512</v>
      </c>
      <c r="AW11" s="67">
        <f>AW$6*'Eurostat Collected Portables'!AW4</f>
        <v>129.25795228867901</v>
      </c>
      <c r="AX11" s="67">
        <f>AX$6*'Eurostat Collected Portables'!AX4</f>
        <v>133.95520661210512</v>
      </c>
      <c r="AY11" s="67">
        <f>AY$6*'Eurostat Collected Portables'!AY4</f>
        <v>138.82729551837585</v>
      </c>
      <c r="AZ11" s="67">
        <f>AZ$6*'Eurostat Collected Portables'!AZ4</f>
        <v>143.88085415552769</v>
      </c>
    </row>
    <row r="12" spans="1:52" x14ac:dyDescent="0.35">
      <c r="A12" s="1" t="s">
        <v>2</v>
      </c>
      <c r="B12" s="23">
        <f t="shared" si="1"/>
        <v>0.52465359943775258</v>
      </c>
      <c r="C12" s="23">
        <f t="shared" si="2"/>
        <v>0.53514667142650763</v>
      </c>
      <c r="D12" s="23">
        <f t="shared" si="3"/>
        <v>0.54584960485503775</v>
      </c>
      <c r="E12" s="23">
        <f t="shared" si="4"/>
        <v>0.55676659695213848</v>
      </c>
      <c r="F12" s="23">
        <f t="shared" si="5"/>
        <v>0.5679019288911813</v>
      </c>
      <c r="G12" s="23">
        <f t="shared" si="6"/>
        <v>0.57925996746900488</v>
      </c>
      <c r="H12" s="23">
        <f t="shared" si="7"/>
        <v>0.59084516681838495</v>
      </c>
      <c r="I12" s="23">
        <f t="shared" si="8"/>
        <v>0.6026620701547527</v>
      </c>
      <c r="J12" s="23">
        <f t="shared" si="9"/>
        <v>0.61471531155784775</v>
      </c>
      <c r="K12" s="23">
        <f t="shared" si="10"/>
        <v>0.62700961778900477</v>
      </c>
      <c r="L12" s="23">
        <f t="shared" si="11"/>
        <v>0.63954981014478485</v>
      </c>
      <c r="M12" s="4">
        <f>$M$6*'Eurostat Collected Portables'!M5</f>
        <v>0.65234080634768055</v>
      </c>
      <c r="N12" s="4">
        <f>$N$6*'Eurostat Collected Portables'!N5</f>
        <v>2.1284491437942732</v>
      </c>
      <c r="O12" s="4">
        <f>$O$6*'Eurostat Collected Portables'!O5</f>
        <v>2.2529212371708813</v>
      </c>
      <c r="P12" s="4">
        <f>$P$6*'Eurostat Collected Portables'!P5</f>
        <v>2.7364904705142163</v>
      </c>
      <c r="Q12" s="4">
        <f>$Q$6*'Eurostat Collected Portables'!Q5</f>
        <v>2.518960437286355</v>
      </c>
      <c r="R12" s="4">
        <f>$R$6*'Eurostat Collected Portables'!R5</f>
        <v>3.2738529169849007</v>
      </c>
      <c r="S12" s="4">
        <f>$S$6*'Eurostat Collected Portables'!S5</f>
        <v>2.9227289295192191</v>
      </c>
      <c r="T12" s="4">
        <f>$T$6*'Eurostat Collected Portables'!T5</f>
        <v>3.3068191664400279</v>
      </c>
      <c r="U12" s="4">
        <f>$U$6*'Eurostat Collected Portables'!U5</f>
        <v>10.016127308745077</v>
      </c>
      <c r="V12" s="4">
        <f>$V$6*'Eurostat Collected Portables'!V5</f>
        <v>5.4685411291469448</v>
      </c>
      <c r="W12" s="4">
        <f>$W$6*'Eurostat Collected Portables'!W5</f>
        <v>3.6173451767533735</v>
      </c>
      <c r="X12" s="67">
        <f>X$6*'Eurostat Collected Portables'!X5</f>
        <v>4.2136042992907541</v>
      </c>
      <c r="Y12" s="67">
        <f>Y$6*'Eurostat Collected Portables'!Y5</f>
        <v>4.4752650039435578</v>
      </c>
      <c r="Z12" s="67">
        <f>Z$6*'Eurostat Collected Portables'!Z5</f>
        <v>4.8003659023941889</v>
      </c>
      <c r="AA12" s="67">
        <f>AA$6*'Eurostat Collected Portables'!AA5</f>
        <v>5.157772075983484</v>
      </c>
      <c r="AB12" s="67">
        <f>AB$6*'Eurostat Collected Portables'!AB5</f>
        <v>5.5286259199037744</v>
      </c>
      <c r="AC12" s="67">
        <f>AC$6*'Eurostat Collected Portables'!AC5</f>
        <v>5.9200042969089868</v>
      </c>
      <c r="AD12" s="67">
        <f>AD$6*'Eurostat Collected Portables'!AD5</f>
        <v>6.3456800570900329</v>
      </c>
      <c r="AE12" s="67">
        <f>AE$6*'Eurostat Collected Portables'!AE5</f>
        <v>6.8409267732202359</v>
      </c>
      <c r="AF12" s="67">
        <f>AF$6*'Eurostat Collected Portables'!AF5</f>
        <v>7.4054455569336204</v>
      </c>
      <c r="AG12" s="67">
        <f>AG$6*'Eurostat Collected Portables'!AG5</f>
        <v>7.9867114294888246</v>
      </c>
      <c r="AH12" s="67">
        <f>AH$6*'Eurostat Collected Portables'!AH5</f>
        <v>8.5730662518254945</v>
      </c>
      <c r="AI12" s="67">
        <f>AI$6*'Eurostat Collected Portables'!AI5</f>
        <v>9.1594664387015161</v>
      </c>
      <c r="AJ12" s="67">
        <f>AJ$6*'Eurostat Collected Portables'!AJ5</f>
        <v>9.7890665264060726</v>
      </c>
      <c r="AK12" s="67">
        <f>AK$6*'Eurostat Collected Portables'!AK5</f>
        <v>10.465388998259469</v>
      </c>
      <c r="AL12" s="67">
        <f>AL$6*'Eurostat Collected Portables'!AL5</f>
        <v>11.192113955226914</v>
      </c>
      <c r="AM12" s="67">
        <f>AM$6*'Eurostat Collected Portables'!AM5</f>
        <v>11.973223375290745</v>
      </c>
      <c r="AN12" s="67">
        <f>AN$6*'Eurostat Collected Portables'!AN5</f>
        <v>12.813026482865348</v>
      </c>
      <c r="AO12" s="67">
        <f>AO$6*'Eurostat Collected Portables'!AO5</f>
        <v>13.713431960272926</v>
      </c>
      <c r="AP12" s="67">
        <f>AP$6*'Eurostat Collected Portables'!AP5</f>
        <v>14.658329319788471</v>
      </c>
      <c r="AQ12" s="67">
        <f>AQ$6*'Eurostat Collected Portables'!AQ5</f>
        <v>15.539138695157927</v>
      </c>
      <c r="AR12" s="67">
        <f>AR$6*'Eurostat Collected Portables'!AR5</f>
        <v>16.342379550092144</v>
      </c>
      <c r="AS12" s="67">
        <f>AS$6*'Eurostat Collected Portables'!AS5</f>
        <v>17.073165594815748</v>
      </c>
      <c r="AT12" s="67">
        <f>AT$6*'Eurostat Collected Portables'!AT5</f>
        <v>17.83550364290646</v>
      </c>
      <c r="AU12" s="67">
        <f>AU$6*'Eurostat Collected Portables'!AU5</f>
        <v>18.631335345626958</v>
      </c>
      <c r="AV12" s="67">
        <f>AV$6*'Eurostat Collected Portables'!AV5</f>
        <v>19.458003868550364</v>
      </c>
      <c r="AW12" s="67">
        <f>AW$6*'Eurostat Collected Portables'!AW5</f>
        <v>20.31652129240204</v>
      </c>
      <c r="AX12" s="67">
        <f>AX$6*'Eurostat Collected Portables'!AX5</f>
        <v>21.207924101347082</v>
      </c>
      <c r="AY12" s="67">
        <f>AY$6*'Eurostat Collected Portables'!AY5</f>
        <v>22.137751510314786</v>
      </c>
      <c r="AZ12" s="67">
        <f>AZ$6*'Eurostat Collected Portables'!AZ5</f>
        <v>23.107647998691906</v>
      </c>
    </row>
    <row r="13" spans="1:52" x14ac:dyDescent="0.35">
      <c r="A13" s="1" t="s">
        <v>3</v>
      </c>
      <c r="B13" s="23">
        <f t="shared" si="1"/>
        <v>0.32630533545255747</v>
      </c>
      <c r="C13" s="23">
        <f t="shared" si="2"/>
        <v>0.33283144216160859</v>
      </c>
      <c r="D13" s="23">
        <f t="shared" si="3"/>
        <v>0.3394880710048408</v>
      </c>
      <c r="E13" s="23">
        <f t="shared" si="4"/>
        <v>0.34627783242493759</v>
      </c>
      <c r="F13" s="23">
        <f t="shared" si="5"/>
        <v>0.35320338907343635</v>
      </c>
      <c r="G13" s="23">
        <f t="shared" si="6"/>
        <v>0.36026745685490508</v>
      </c>
      <c r="H13" s="23">
        <f t="shared" si="7"/>
        <v>0.36747280599200316</v>
      </c>
      <c r="I13" s="23">
        <f t="shared" si="8"/>
        <v>0.37482226211184322</v>
      </c>
      <c r="J13" s="23">
        <f t="shared" si="9"/>
        <v>0.38231870735408008</v>
      </c>
      <c r="K13" s="23">
        <f t="shared" si="10"/>
        <v>0.38996508150116171</v>
      </c>
      <c r="L13" s="23">
        <f t="shared" si="11"/>
        <v>0.39776438313118495</v>
      </c>
      <c r="M13" s="4">
        <f>$M$6*'Eurostat Collected Portables'!M6</f>
        <v>0.40571967079380866</v>
      </c>
      <c r="N13" s="4">
        <f>$N$6*'Eurostat Collected Portables'!N6</f>
        <v>0.58266268190720361</v>
      </c>
      <c r="O13" s="4">
        <f>$O$6*'Eurostat Collected Portables'!O6</f>
        <v>0.6932065345141174</v>
      </c>
      <c r="P13" s="4">
        <f>$P$6*'Eurostat Collected Portables'!P6</f>
        <v>0.6502551613103088</v>
      </c>
      <c r="Q13" s="4">
        <f>$Q$6*'Eurostat Collected Portables'!Q6</f>
        <v>0.76664013308715151</v>
      </c>
      <c r="R13" s="4">
        <f>$R$6*'Eurostat Collected Portables'!R6</f>
        <v>3.0477581022759987</v>
      </c>
      <c r="S13" s="4">
        <f>$S$6*'Eurostat Collected Portables'!S6</f>
        <v>3.5856159032246095</v>
      </c>
      <c r="T13" s="4">
        <f>$T$6*'Eurostat Collected Portables'!T6</f>
        <v>4.3186071203507828</v>
      </c>
      <c r="U13" s="4">
        <f>$U$6*'Eurostat Collected Portables'!U6</f>
        <v>16.633925709165929</v>
      </c>
      <c r="V13" s="4">
        <f>$V$6*'Eurostat Collected Portables'!V6</f>
        <v>7.9883591004205368</v>
      </c>
      <c r="W13" s="4">
        <f>$W$6*'Eurostat Collected Portables'!W6</f>
        <v>5.9508557930072241</v>
      </c>
      <c r="X13" s="67">
        <f>X$6*'Eurostat Collected Portables'!X6</f>
        <v>7.0415468447263914</v>
      </c>
      <c r="Y13" s="67">
        <f>Y$6*'Eurostat Collected Portables'!Y6</f>
        <v>7.2485488542366561</v>
      </c>
      <c r="Z13" s="67">
        <f>Z$6*'Eurostat Collected Portables'!Z6</f>
        <v>7.7002574545048761</v>
      </c>
      <c r="AA13" s="67">
        <f>AA$6*'Eurostat Collected Portables'!AA6</f>
        <v>8.1946780624225344</v>
      </c>
      <c r="AB13" s="67">
        <f>AB$6*'Eurostat Collected Portables'!AB6</f>
        <v>8.7009223591231031</v>
      </c>
      <c r="AC13" s="67">
        <f>AC$6*'Eurostat Collected Portables'!AC6</f>
        <v>9.2296917479450666</v>
      </c>
      <c r="AD13" s="67">
        <f>AD$6*'Eurostat Collected Portables'!AD6</f>
        <v>9.8016335281532552</v>
      </c>
      <c r="AE13" s="67">
        <f>AE$6*'Eurostat Collected Portables'!AE6</f>
        <v>10.469541687006499</v>
      </c>
      <c r="AF13" s="67">
        <f>AF$6*'Eurostat Collected Portables'!AF6</f>
        <v>11.230342588894695</v>
      </c>
      <c r="AG13" s="67">
        <f>AG$6*'Eurostat Collected Portables'!AG6</f>
        <v>12.0025870938699</v>
      </c>
      <c r="AH13" s="67">
        <f>AH$6*'Eurostat Collected Portables'!AH6</f>
        <v>12.768604850355665</v>
      </c>
      <c r="AI13" s="67">
        <f>AI$6*'Eurostat Collected Portables'!AI6</f>
        <v>13.521116069377545</v>
      </c>
      <c r="AJ13" s="67">
        <f>AJ$6*'Eurostat Collected Portables'!AJ6</f>
        <v>14.323621453936783</v>
      </c>
      <c r="AK13" s="67">
        <f>AK$6*'Eurostat Collected Portables'!AK6</f>
        <v>15.179924648453463</v>
      </c>
      <c r="AL13" s="67">
        <f>AL$6*'Eurostat Collected Portables'!AL6</f>
        <v>16.093924639000157</v>
      </c>
      <c r="AM13" s="67">
        <f>AM$6*'Eurostat Collected Portables'!AM6</f>
        <v>17.069817340005546</v>
      </c>
      <c r="AN13" s="67">
        <f>AN$6*'Eurostat Collected Portables'!AN6</f>
        <v>18.112118860083104</v>
      </c>
      <c r="AO13" s="67">
        <f>AO$6*'Eurostat Collected Portables'!AO6</f>
        <v>19.221828550048784</v>
      </c>
      <c r="AP13" s="67">
        <f>AP$6*'Eurostat Collected Portables'!AP6</f>
        <v>20.374866026683758</v>
      </c>
      <c r="AQ13" s="67">
        <f>AQ$6*'Eurostat Collected Portables'!AQ6</f>
        <v>21.420480097831103</v>
      </c>
      <c r="AR13" s="67">
        <f>AR$6*'Eurostat Collected Portables'!AR6</f>
        <v>22.342884904135129</v>
      </c>
      <c r="AS13" s="67">
        <f>AS$6*'Eurostat Collected Portables'!AS6</f>
        <v>23.152023173609582</v>
      </c>
      <c r="AT13" s="67">
        <f>AT$6*'Eurostat Collected Portables'!AT6</f>
        <v>23.990537686321339</v>
      </c>
      <c r="AU13" s="67">
        <f>AU$6*'Eurostat Collected Portables'!AU6</f>
        <v>24.86031347573606</v>
      </c>
      <c r="AV13" s="67">
        <f>AV$6*'Eurostat Collected Portables'!AV6</f>
        <v>25.757088530494133</v>
      </c>
      <c r="AW13" s="67">
        <f>AW$6*'Eurostat Collected Portables'!AW6</f>
        <v>26.681553575923083</v>
      </c>
      <c r="AX13" s="67">
        <f>AX$6*'Eurostat Collected Portables'!AX6</f>
        <v>27.634409528405179</v>
      </c>
      <c r="AY13" s="67">
        <f>AY$6*'Eurostat Collected Portables'!AY6</f>
        <v>28.622157181616355</v>
      </c>
      <c r="AZ13" s="67">
        <f>AZ$6*'Eurostat Collected Portables'!AZ6</f>
        <v>29.646100328794844</v>
      </c>
    </row>
    <row r="14" spans="1:52" x14ac:dyDescent="0.35">
      <c r="A14" s="1" t="s">
        <v>4</v>
      </c>
      <c r="B14" s="23">
        <f t="shared" si="1"/>
        <v>0.16031082205042438</v>
      </c>
      <c r="C14" s="23">
        <f t="shared" si="2"/>
        <v>0.16351703849143287</v>
      </c>
      <c r="D14" s="23">
        <f t="shared" si="3"/>
        <v>0.16678737926126153</v>
      </c>
      <c r="E14" s="23">
        <f t="shared" si="4"/>
        <v>0.17012312684648676</v>
      </c>
      <c r="F14" s="23">
        <f t="shared" si="5"/>
        <v>0.1735255893834165</v>
      </c>
      <c r="G14" s="23">
        <f t="shared" si="6"/>
        <v>0.17699610117108483</v>
      </c>
      <c r="H14" s="23">
        <f t="shared" si="7"/>
        <v>0.18053602319450654</v>
      </c>
      <c r="I14" s="23">
        <f t="shared" si="8"/>
        <v>0.18414674365839667</v>
      </c>
      <c r="J14" s="23">
        <f t="shared" si="9"/>
        <v>0.1878296785315646</v>
      </c>
      <c r="K14" s="23">
        <f t="shared" si="10"/>
        <v>0.19158627210219589</v>
      </c>
      <c r="L14" s="23">
        <f t="shared" si="11"/>
        <v>0.1954179975442398</v>
      </c>
      <c r="M14" s="4">
        <f>$M$6*'Eurostat Collected Portables'!M7</f>
        <v>0.19932635749512459</v>
      </c>
      <c r="N14" s="4">
        <f>$N$6*'Eurostat Collected Portables'!N7</f>
        <v>0.25280430443533514</v>
      </c>
      <c r="O14" s="4">
        <f>$O$6*'Eurostat Collected Portables'!O7</f>
        <v>0.35572440586908655</v>
      </c>
      <c r="P14" s="4">
        <f>$P$6*'Eurostat Collected Portables'!P7</f>
        <v>0.37028418907948141</v>
      </c>
      <c r="Q14" s="4">
        <f>$Q$6*'Eurostat Collected Portables'!Q7</f>
        <v>0.43025721754891155</v>
      </c>
      <c r="R14" s="4">
        <f>$R$6*'Eurostat Collected Portables'!R7</f>
        <v>0.51549617753629651</v>
      </c>
      <c r="S14" s="4">
        <f>$S$6*'Eurostat Collected Portables'!S7</f>
        <v>0.48209961724028361</v>
      </c>
      <c r="T14" s="4">
        <f>$T$6*'Eurostat Collected Portables'!T7</f>
        <v>0.63339571098478142</v>
      </c>
      <c r="U14" s="4">
        <f>$U$6*'Eurostat Collected Portables'!U7</f>
        <v>2.1463129947310877</v>
      </c>
      <c r="V14" s="4">
        <f>$V$6*'Eurostat Collected Portables'!V7</f>
        <v>1.0722629664994008</v>
      </c>
      <c r="W14" s="4">
        <f>$W$6*'Eurostat Collected Portables'!W7</f>
        <v>0.71862437663180856</v>
      </c>
      <c r="X14" s="67">
        <f>X$6*'Eurostat Collected Portables'!X7</f>
        <v>0.85117945047281152</v>
      </c>
      <c r="Y14" s="67">
        <f>Y$6*'Eurostat Collected Portables'!Y7</f>
        <v>0.8769862112647957</v>
      </c>
      <c r="Z14" s="67">
        <f>Z$6*'Eurostat Collected Portables'!Z7</f>
        <v>0.94083706579325965</v>
      </c>
      <c r="AA14" s="67">
        <f>AA$6*'Eurostat Collected Portables'!AA7</f>
        <v>1.0110369366008831</v>
      </c>
      <c r="AB14" s="67">
        <f>AB$6*'Eurostat Collected Portables'!AB7</f>
        <v>1.0838910907549089</v>
      </c>
      <c r="AC14" s="67">
        <f>AC$6*'Eurostat Collected Portables'!AC7</f>
        <v>1.1607877861397669</v>
      </c>
      <c r="AD14" s="67">
        <f>AD$6*'Eurostat Collected Portables'!AD7</f>
        <v>1.2444291660554518</v>
      </c>
      <c r="AE14" s="67">
        <f>AE$6*'Eurostat Collected Portables'!AE7</f>
        <v>1.3417358391234044</v>
      </c>
      <c r="AF14" s="67">
        <f>AF$6*'Eurostat Collected Portables'!AF7</f>
        <v>1.452654185323571</v>
      </c>
      <c r="AG14" s="67">
        <f>AG$6*'Eurostat Collected Portables'!AG7</f>
        <v>1.5668843229155252</v>
      </c>
      <c r="AH14" s="67">
        <f>AH$6*'Eurostat Collected Portables'!AH7</f>
        <v>1.6821393706423584</v>
      </c>
      <c r="AI14" s="67">
        <f>AI$6*'Eurostat Collected Portables'!AI7</f>
        <v>1.7974292723515057</v>
      </c>
      <c r="AJ14" s="67">
        <f>AJ$6*'Eurostat Collected Portables'!AJ7</f>
        <v>1.9212229484688002</v>
      </c>
      <c r="AK14" s="67">
        <f>AK$6*'Eurostat Collected Portables'!AK7</f>
        <v>2.0542143112059317</v>
      </c>
      <c r="AL14" s="67">
        <f>AL$6*'Eurostat Collected Portables'!AL7</f>
        <v>2.1971284658119195</v>
      </c>
      <c r="AM14" s="67">
        <f>AM$6*'Eurostat Collected Portables'!AM7</f>
        <v>2.3507500413818736</v>
      </c>
      <c r="AN14" s="67">
        <f>AN$6*'Eurostat Collected Portables'!AN7</f>
        <v>2.5159281964028235</v>
      </c>
      <c r="AO14" s="67">
        <f>AO$6*'Eurostat Collected Portables'!AO7</f>
        <v>2.693040961952188</v>
      </c>
      <c r="AP14" s="67">
        <f>AP$6*'Eurostat Collected Portables'!AP7</f>
        <v>2.8789274290848987</v>
      </c>
      <c r="AQ14" s="67">
        <f>AQ$6*'Eurostat Collected Portables'!AQ7</f>
        <v>3.0522619471097086</v>
      </c>
      <c r="AR14" s="67">
        <f>AR$6*'Eurostat Collected Portables'!AR7</f>
        <v>3.2103912658358364</v>
      </c>
      <c r="AS14" s="67">
        <f>AS$6*'Eurostat Collected Portables'!AS7</f>
        <v>3.354314309088005</v>
      </c>
      <c r="AT14" s="67">
        <f>AT$6*'Eurostat Collected Portables'!AT7</f>
        <v>3.5044619197684526</v>
      </c>
      <c r="AU14" s="67">
        <f>AU$6*'Eurostat Collected Portables'!AU7</f>
        <v>3.6612169983681118</v>
      </c>
      <c r="AV14" s="67">
        <f>AV$6*'Eurostat Collected Portables'!AV7</f>
        <v>3.8240588248778851</v>
      </c>
      <c r="AW14" s="67">
        <f>AW$6*'Eurostat Collected Portables'!AW7</f>
        <v>3.9931875431817425</v>
      </c>
      <c r="AX14" s="67">
        <f>AX$6*'Eurostat Collected Portables'!AX7</f>
        <v>4.1688081354209547</v>
      </c>
      <c r="AY14" s="67">
        <f>AY$6*'Eurostat Collected Portables'!AY7</f>
        <v>4.3520108070521824</v>
      </c>
      <c r="AZ14" s="67">
        <f>AZ$6*'Eurostat Collected Portables'!AZ7</f>
        <v>4.5431204149124795</v>
      </c>
    </row>
    <row r="15" spans="1:52" x14ac:dyDescent="0.35">
      <c r="A15" s="1" t="s">
        <v>5</v>
      </c>
      <c r="B15" s="23">
        <f t="shared" si="1"/>
        <v>4.1535076622155405</v>
      </c>
      <c r="C15" s="23">
        <f t="shared" si="2"/>
        <v>4.2365778154598512</v>
      </c>
      <c r="D15" s="23">
        <f t="shared" si="3"/>
        <v>4.3213093717690487</v>
      </c>
      <c r="E15" s="23">
        <f t="shared" si="4"/>
        <v>4.4077355592044301</v>
      </c>
      <c r="F15" s="23">
        <f t="shared" si="5"/>
        <v>4.4958902703885189</v>
      </c>
      <c r="G15" s="23">
        <f t="shared" si="6"/>
        <v>4.5858080757962894</v>
      </c>
      <c r="H15" s="23">
        <f t="shared" si="7"/>
        <v>4.6775242373122152</v>
      </c>
      <c r="I15" s="23">
        <f t="shared" si="8"/>
        <v>4.7710747220584597</v>
      </c>
      <c r="J15" s="23">
        <f t="shared" si="9"/>
        <v>4.8664962164996286</v>
      </c>
      <c r="K15" s="23">
        <f t="shared" si="10"/>
        <v>4.9638261408296209</v>
      </c>
      <c r="L15" s="23">
        <f t="shared" si="11"/>
        <v>5.0631026636462133</v>
      </c>
      <c r="M15" s="4">
        <f>$M$6*'Eurostat Collected Portables'!M8</f>
        <v>5.1643647169191373</v>
      </c>
      <c r="N15" s="4">
        <f>$N$6*'Eurostat Collected Portables'!N8</f>
        <v>8.2365273380544668</v>
      </c>
      <c r="O15" s="4">
        <f>$O$6*'Eurostat Collected Portables'!O8</f>
        <v>10.160948413799035</v>
      </c>
      <c r="P15" s="4">
        <f>$P$6*'Eurostat Collected Portables'!P8</f>
        <v>10.792429413414153</v>
      </c>
      <c r="Q15" s="4">
        <f>$Q$6*'Eurostat Collected Portables'!Q8</f>
        <v>11.006761910751246</v>
      </c>
      <c r="R15" s="4">
        <f>$R$6*'Eurostat Collected Portables'!R8</f>
        <v>18.829176168957357</v>
      </c>
      <c r="S15" s="4">
        <f>$S$6*'Eurostat Collected Portables'!S8</f>
        <v>14.237004321627126</v>
      </c>
      <c r="T15" s="4">
        <f>$T$6*'Eurostat Collected Portables'!T8</f>
        <v>15.801989101321626</v>
      </c>
      <c r="U15" s="4">
        <f>$U$6*'Eurostat Collected Portables'!U8</f>
        <v>52.175846848105728</v>
      </c>
      <c r="V15" s="4">
        <f>$V$6*'Eurostat Collected Portables'!V8</f>
        <v>28.870680372996368</v>
      </c>
      <c r="W15" s="4">
        <f>$W$6*'Eurostat Collected Portables'!W8</f>
        <v>19.645091105002138</v>
      </c>
      <c r="X15" s="67">
        <f>X$6*'Eurostat Collected Portables'!X8</f>
        <v>23.750150456495408</v>
      </c>
      <c r="Y15" s="67">
        <f>Y$6*'Eurostat Collected Portables'!Y8</f>
        <v>25.013724141072984</v>
      </c>
      <c r="Z15" s="67">
        <f>Z$6*'Eurostat Collected Portables'!Z8</f>
        <v>26.743297894275443</v>
      </c>
      <c r="AA15" s="67">
        <f>AA$6*'Eurostat Collected Portables'!AA8</f>
        <v>28.642197170093834</v>
      </c>
      <c r="AB15" s="67">
        <f>AB$6*'Eurostat Collected Portables'!AB8</f>
        <v>30.604617462044615</v>
      </c>
      <c r="AC15" s="67">
        <f>AC$6*'Eurostat Collected Portables'!AC8</f>
        <v>32.669223977790224</v>
      </c>
      <c r="AD15" s="67">
        <f>AD$6*'Eurostat Collected Portables'!AD8</f>
        <v>34.911056232615309</v>
      </c>
      <c r="AE15" s="67">
        <f>AE$6*'Eurostat Collected Portables'!AE8</f>
        <v>37.522197324938602</v>
      </c>
      <c r="AF15" s="67">
        <f>AF$6*'Eurostat Collected Portables'!AF8</f>
        <v>40.497948928930448</v>
      </c>
      <c r="AG15" s="67">
        <f>AG$6*'Eurostat Collected Portables'!AG8</f>
        <v>43.548970292343064</v>
      </c>
      <c r="AH15" s="67">
        <f>AH$6*'Eurostat Collected Portables'!AH8</f>
        <v>46.611517629787478</v>
      </c>
      <c r="AI15" s="67">
        <f>AI$6*'Eurostat Collected Portables'!AI8</f>
        <v>49.658440437515708</v>
      </c>
      <c r="AJ15" s="67">
        <f>AJ$6*'Eurostat Collected Portables'!AJ8</f>
        <v>52.923464823374502</v>
      </c>
      <c r="AK15" s="67">
        <f>AK$6*'Eurostat Collected Portables'!AK8</f>
        <v>56.424055596982498</v>
      </c>
      <c r="AL15" s="67">
        <f>AL$6*'Eurostat Collected Portables'!AL8</f>
        <v>60.17837152683223</v>
      </c>
      <c r="AM15" s="67">
        <f>AM$6*'Eurostat Collected Portables'!AM8</f>
        <v>64.206034157400822</v>
      </c>
      <c r="AN15" s="67">
        <f>AN$6*'Eurostat Collected Portables'!AN8</f>
        <v>68.528248765938997</v>
      </c>
      <c r="AO15" s="67">
        <f>AO$6*'Eurostat Collected Portables'!AO8</f>
        <v>73.153237439034115</v>
      </c>
      <c r="AP15" s="67">
        <f>AP$6*'Eurostat Collected Portables'!AP8</f>
        <v>77.993307770499158</v>
      </c>
      <c r="AQ15" s="67">
        <f>AQ$6*'Eurostat Collected Portables'!AQ8</f>
        <v>82.470935994198214</v>
      </c>
      <c r="AR15" s="67">
        <f>AR$6*'Eurostat Collected Portables'!AR8</f>
        <v>86.517846968917596</v>
      </c>
      <c r="AS15" s="67">
        <f>AS$6*'Eurostat Collected Portables'!AS8</f>
        <v>90.164563922357573</v>
      </c>
      <c r="AT15" s="67">
        <f>AT$6*'Eurostat Collected Portables'!AT8</f>
        <v>93.962230144508652</v>
      </c>
      <c r="AU15" s="67">
        <f>AU$6*'Eurostat Collected Portables'!AU8</f>
        <v>97.920225122131171</v>
      </c>
      <c r="AV15" s="67">
        <f>AV$6*'Eurostat Collected Portables'!AV8</f>
        <v>102.02374715593463</v>
      </c>
      <c r="AW15" s="67">
        <f>AW$6*'Eurostat Collected Portables'!AW8</f>
        <v>106.27734404863126</v>
      </c>
      <c r="AX15" s="67">
        <f>AX$6*'Eurostat Collected Portables'!AX8</f>
        <v>110.68566570256992</v>
      </c>
      <c r="AY15" s="67">
        <f>AY$6*'Eurostat Collected Portables'!AY8</f>
        <v>115.27678342270367</v>
      </c>
      <c r="AZ15" s="67">
        <f>AZ$6*'Eurostat Collected Portables'!AZ8</f>
        <v>120.05829888342319</v>
      </c>
    </row>
    <row r="16" spans="1:52" x14ac:dyDescent="0.35">
      <c r="A16" s="1" t="s">
        <v>6</v>
      </c>
      <c r="B16" s="23">
        <f t="shared" si="1"/>
        <v>7.7192089769128565</v>
      </c>
      <c r="C16" s="23">
        <f t="shared" si="2"/>
        <v>7.8735931564511139</v>
      </c>
      <c r="D16" s="23">
        <f t="shared" si="3"/>
        <v>8.0310650195801365</v>
      </c>
      <c r="E16" s="23">
        <f t="shared" si="4"/>
        <v>8.1916863199717387</v>
      </c>
      <c r="F16" s="23">
        <f t="shared" si="5"/>
        <v>8.3555200463711738</v>
      </c>
      <c r="G16" s="23">
        <f t="shared" si="6"/>
        <v>8.5226304472985976</v>
      </c>
      <c r="H16" s="23">
        <f t="shared" si="7"/>
        <v>8.6930830562445696</v>
      </c>
      <c r="I16" s="23">
        <f t="shared" si="8"/>
        <v>8.8669447173694618</v>
      </c>
      <c r="J16" s="23">
        <f t="shared" si="9"/>
        <v>9.0442836117168515</v>
      </c>
      <c r="K16" s="23">
        <f t="shared" si="10"/>
        <v>9.225169283951189</v>
      </c>
      <c r="L16" s="23">
        <f t="shared" si="11"/>
        <v>9.4096726696302131</v>
      </c>
      <c r="M16" s="4">
        <f>$M$6*'Eurostat Collected Portables'!M9</f>
        <v>9.5978661230228184</v>
      </c>
      <c r="N16" s="4">
        <f>$N$6*'Eurostat Collected Portables'!N9</f>
        <v>12.32217109683198</v>
      </c>
      <c r="O16" s="4">
        <f>$O$6*'Eurostat Collected Portables'!O9</f>
        <v>12.796957472675087</v>
      </c>
      <c r="P16" s="4">
        <f>$P$6*'Eurostat Collected Portables'!P9</f>
        <v>13.944360681432178</v>
      </c>
      <c r="Q16" s="4">
        <f>$Q$6*'Eurostat Collected Portables'!Q9</f>
        <v>12.446167874914877</v>
      </c>
      <c r="R16" s="4">
        <f>$R$6*'Eurostat Collected Portables'!R9</f>
        <v>15.220702926203282</v>
      </c>
      <c r="S16" s="4">
        <f>$S$6*'Eurostat Collected Portables'!S9</f>
        <v>14.952620940968171</v>
      </c>
      <c r="T16" s="4">
        <f>$T$6*'Eurostat Collected Portables'!T9</f>
        <v>16.279092364141331</v>
      </c>
      <c r="U16" s="4">
        <f>$U$6*'Eurostat Collected Portables'!U9</f>
        <v>57.464975299407342</v>
      </c>
      <c r="V16" s="4">
        <f>$V$6*'Eurostat Collected Portables'!V9</f>
        <v>35.585727200698869</v>
      </c>
      <c r="W16" s="4">
        <f>$W$6*'Eurostat Collected Portables'!W9</f>
        <v>21.146935307850637</v>
      </c>
      <c r="X16" s="67">
        <f>X$6*'Eurostat Collected Portables'!X9</f>
        <v>25.790178274168021</v>
      </c>
      <c r="Y16" s="67">
        <f>Y$6*'Eurostat Collected Portables'!Y9</f>
        <v>26.95766007936723</v>
      </c>
      <c r="Z16" s="67">
        <f>Z$6*'Eurostat Collected Portables'!Z9</f>
        <v>28.711479669405271</v>
      </c>
      <c r="AA16" s="67">
        <f>AA$6*'Eurostat Collected Portables'!AA9</f>
        <v>30.633636523781668</v>
      </c>
      <c r="AB16" s="67">
        <f>AB$6*'Eurostat Collected Portables'!AB9</f>
        <v>32.609596078006739</v>
      </c>
      <c r="AC16" s="67">
        <f>AC$6*'Eurostat Collected Portables'!AC9</f>
        <v>34.679908493044969</v>
      </c>
      <c r="AD16" s="67">
        <f>AD$6*'Eurostat Collected Portables'!AD9</f>
        <v>36.92300115885876</v>
      </c>
      <c r="AE16" s="67">
        <f>AE$6*'Eurostat Collected Portables'!AE9</f>
        <v>39.539499924097541</v>
      </c>
      <c r="AF16" s="67">
        <f>AF$6*'Eurostat Collected Portables'!AF9</f>
        <v>42.52053018169201</v>
      </c>
      <c r="AG16" s="67">
        <f>AG$6*'Eurostat Collected Portables'!AG9</f>
        <v>45.55960042203489</v>
      </c>
      <c r="AH16" s="67">
        <f>AH$6*'Eurostat Collected Portables'!AH9</f>
        <v>48.589797142637813</v>
      </c>
      <c r="AI16" s="67">
        <f>AI$6*'Eurostat Collected Portables'!AI9</f>
        <v>51.58316862232104</v>
      </c>
      <c r="AJ16" s="67">
        <f>AJ$6*'Eurostat Collected Portables'!AJ9</f>
        <v>54.782191103486511</v>
      </c>
      <c r="AK16" s="67">
        <f>AK$6*'Eurostat Collected Portables'!AK9</f>
        <v>58.202887844663735</v>
      </c>
      <c r="AL16" s="67">
        <f>AL$6*'Eurostat Collected Portables'!AL9</f>
        <v>61.86179458643057</v>
      </c>
      <c r="AM16" s="67">
        <f>AM$6*'Eurostat Collected Portables'!AM9</f>
        <v>65.776740919287775</v>
      </c>
      <c r="AN16" s="67">
        <f>AN$6*'Eurostat Collected Portables'!AN9</f>
        <v>69.966954406840941</v>
      </c>
      <c r="AO16" s="67">
        <f>AO$6*'Eurostat Collected Portables'!AO9</f>
        <v>74.438217016562874</v>
      </c>
      <c r="AP16" s="67">
        <f>AP$6*'Eurostat Collected Portables'!AP9</f>
        <v>79.098984927724686</v>
      </c>
      <c r="AQ16" s="67">
        <f>AQ$6*'Eurostat Collected Portables'!AQ9</f>
        <v>83.363814929205844</v>
      </c>
      <c r="AR16" s="67">
        <f>AR$6*'Eurostat Collected Portables'!AR9</f>
        <v>87.168027731232357</v>
      </c>
      <c r="AS16" s="67">
        <f>AS$6*'Eurostat Collected Portables'!AS9</f>
        <v>90.546961920254674</v>
      </c>
      <c r="AT16" s="67">
        <f>AT$6*'Eurostat Collected Portables'!AT9</f>
        <v>94.056597675613972</v>
      </c>
      <c r="AU16" s="67">
        <f>AU$6*'Eurostat Collected Portables'!AU9</f>
        <v>97.705189228968734</v>
      </c>
      <c r="AV16" s="67">
        <f>AV$6*'Eurostat Collected Portables'!AV9</f>
        <v>101.47684526677226</v>
      </c>
      <c r="AW16" s="67">
        <f>AW$6*'Eurostat Collected Portables'!AW9</f>
        <v>105.37507101457477</v>
      </c>
      <c r="AX16" s="67">
        <f>AX$6*'Eurostat Collected Portables'!AX9</f>
        <v>109.40343855829326</v>
      </c>
      <c r="AY16" s="67">
        <f>AY$6*'Eurostat Collected Portables'!AY9</f>
        <v>113.58856401319066</v>
      </c>
      <c r="AZ16" s="67">
        <f>AZ$6*'Eurostat Collected Portables'!AZ9</f>
        <v>117.93663858813413</v>
      </c>
    </row>
    <row r="17" spans="1:52" x14ac:dyDescent="0.35">
      <c r="A17" s="1" t="s">
        <v>7</v>
      </c>
      <c r="B17" s="23">
        <f t="shared" si="1"/>
        <v>0.34976906629183496</v>
      </c>
      <c r="C17" s="23">
        <f t="shared" si="2"/>
        <v>0.35676444761767168</v>
      </c>
      <c r="D17" s="23">
        <f t="shared" si="3"/>
        <v>0.36389973657002511</v>
      </c>
      <c r="E17" s="23">
        <f t="shared" si="4"/>
        <v>0.37117773130142562</v>
      </c>
      <c r="F17" s="23">
        <f t="shared" si="5"/>
        <v>0.37860128592745412</v>
      </c>
      <c r="G17" s="23">
        <f t="shared" si="6"/>
        <v>0.38617331164600321</v>
      </c>
      <c r="H17" s="23">
        <f t="shared" si="7"/>
        <v>0.3938967778789233</v>
      </c>
      <c r="I17" s="23">
        <f t="shared" si="8"/>
        <v>0.40177471343650178</v>
      </c>
      <c r="J17" s="23">
        <f t="shared" si="9"/>
        <v>0.4098102077052318</v>
      </c>
      <c r="K17" s="23">
        <f t="shared" si="10"/>
        <v>0.41800641185933646</v>
      </c>
      <c r="L17" s="23">
        <f t="shared" si="11"/>
        <v>0.42636654009652319</v>
      </c>
      <c r="M17" s="4">
        <f>$M$6*'Eurostat Collected Portables'!M10</f>
        <v>0.43489387089845366</v>
      </c>
      <c r="N17" s="4">
        <f>$N$6*'Eurostat Collected Portables'!N10</f>
        <v>1.0030622401789104</v>
      </c>
      <c r="O17" s="4">
        <f>$O$6*'Eurostat Collected Portables'!O10</f>
        <v>2.6724936133241628</v>
      </c>
      <c r="P17" s="4">
        <f>$P$6*'Eurostat Collected Portables'!P10</f>
        <v>0.96635142028059784</v>
      </c>
      <c r="Q17" s="4">
        <f>$Q$6*'Eurostat Collected Portables'!Q10</f>
        <v>1.3533545206538491</v>
      </c>
      <c r="R17" s="4">
        <f>$R$6*'Eurostat Collected Portables'!R10</f>
        <v>1.1485616587212222</v>
      </c>
      <c r="S17" s="4">
        <f>$S$6*'Eurostat Collected Portables'!S10</f>
        <v>1.1751178170231913</v>
      </c>
      <c r="T17" s="4">
        <f>$T$6*'Eurostat Collected Portables'!T10</f>
        <v>1.3408246868898621</v>
      </c>
      <c r="U17" s="4">
        <f>$U$6*'Eurostat Collected Portables'!U10</f>
        <v>3.577188324551813</v>
      </c>
      <c r="V17" s="4">
        <f>$V$6*'Eurostat Collected Portables'!V10</f>
        <v>2.627044267923532</v>
      </c>
      <c r="W17" s="4">
        <f>$W$6*'Eurostat Collected Portables'!W10</f>
        <v>1.8490447443672378</v>
      </c>
      <c r="X17" s="67">
        <f>X$6*'Eurostat Collected Portables'!X10</f>
        <v>2.1747770477825457</v>
      </c>
      <c r="Y17" s="67">
        <f>Y$6*'Eurostat Collected Portables'!Y10</f>
        <v>2.2358434080327365</v>
      </c>
      <c r="Z17" s="67">
        <f>Z$6*'Eurostat Collected Portables'!Z10</f>
        <v>2.4025679323678877</v>
      </c>
      <c r="AA17" s="67">
        <f>AA$6*'Eurostat Collected Portables'!AA10</f>
        <v>2.5859848900882825</v>
      </c>
      <c r="AB17" s="67">
        <f>AB$6*'Eurostat Collected Portables'!AB10</f>
        <v>2.7766928440418699</v>
      </c>
      <c r="AC17" s="67">
        <f>AC$6*'Eurostat Collected Portables'!AC10</f>
        <v>2.9782711490386777</v>
      </c>
      <c r="AD17" s="67">
        <f>AD$6*'Eurostat Collected Portables'!AD10</f>
        <v>3.1976961989630337</v>
      </c>
      <c r="AE17" s="67">
        <f>AE$6*'Eurostat Collected Portables'!AE10</f>
        <v>3.4528401265863593</v>
      </c>
      <c r="AF17" s="67">
        <f>AF$6*'Eurostat Collected Portables'!AF10</f>
        <v>3.7437025017885337</v>
      </c>
      <c r="AG17" s="67">
        <f>AG$6*'Eurostat Collected Portables'!AG10</f>
        <v>4.0438333933551558</v>
      </c>
      <c r="AH17" s="67">
        <f>AH$6*'Eurostat Collected Portables'!AH10</f>
        <v>4.3473386902685256</v>
      </c>
      <c r="AI17" s="67">
        <f>AI$6*'Eurostat Collected Portables'!AI10</f>
        <v>4.6516474846988487</v>
      </c>
      <c r="AJ17" s="67">
        <f>AJ$6*'Eurostat Collected Portables'!AJ10</f>
        <v>4.9786875737466154</v>
      </c>
      <c r="AK17" s="67">
        <f>AK$6*'Eurostat Collected Portables'!AK10</f>
        <v>5.3303281357255639</v>
      </c>
      <c r="AL17" s="67">
        <f>AL$6*'Eurostat Collected Portables'!AL10</f>
        <v>5.7085262916982424</v>
      </c>
      <c r="AM17" s="67">
        <f>AM$6*'Eurostat Collected Portables'!AM10</f>
        <v>6.11540102141627</v>
      </c>
      <c r="AN17" s="67">
        <f>AN$6*'Eurostat Collected Portables'!AN10</f>
        <v>6.5532468627887521</v>
      </c>
      <c r="AO17" s="67">
        <f>AO$6*'Eurostat Collected Portables'!AO10</f>
        <v>7.0231376884840993</v>
      </c>
      <c r="AP17" s="67">
        <f>AP$6*'Eurostat Collected Portables'!AP10</f>
        <v>7.5169089136239506</v>
      </c>
      <c r="AQ17" s="67">
        <f>AQ$6*'Eurostat Collected Portables'!AQ10</f>
        <v>7.9788699495412612</v>
      </c>
      <c r="AR17" s="67">
        <f>AR$6*'Eurostat Collected Portables'!AR10</f>
        <v>8.4019381390742822</v>
      </c>
      <c r="AS17" s="67">
        <f>AS$6*'Eurostat Collected Portables'!AS10</f>
        <v>8.7885728396844272</v>
      </c>
      <c r="AT17" s="67">
        <f>AT$6*'Eurostat Collected Portables'!AT10</f>
        <v>9.192220275936247</v>
      </c>
      <c r="AU17" s="67">
        <f>AU$6*'Eurostat Collected Portables'!AU10</f>
        <v>9.6139229365758094</v>
      </c>
      <c r="AV17" s="67">
        <f>AV$6*'Eurostat Collected Portables'!AV10</f>
        <v>10.052351095225049</v>
      </c>
      <c r="AW17" s="67">
        <f>AW$6*'Eurostat Collected Portables'!AW10</f>
        <v>10.508064927088604</v>
      </c>
      <c r="AX17" s="67">
        <f>AX$6*'Eurostat Collected Portables'!AX10</f>
        <v>10.981638486059412</v>
      </c>
      <c r="AY17" s="67">
        <f>AY$6*'Eurostat Collected Portables'!AY10</f>
        <v>11.475981245985853</v>
      </c>
      <c r="AZ17" s="67">
        <f>AZ$6*'Eurostat Collected Portables'!AZ10</f>
        <v>11.991992973373042</v>
      </c>
    </row>
    <row r="18" spans="1:52" x14ac:dyDescent="0.35">
      <c r="A18" s="1" t="s">
        <v>8</v>
      </c>
      <c r="B18" s="23">
        <f t="shared" si="1"/>
        <v>4.7024507801457816</v>
      </c>
      <c r="C18" s="23">
        <f t="shared" si="2"/>
        <v>4.796499795748697</v>
      </c>
      <c r="D18" s="23">
        <f t="shared" si="3"/>
        <v>4.8924297916636714</v>
      </c>
      <c r="E18" s="23">
        <f t="shared" si="4"/>
        <v>4.9902783874969447</v>
      </c>
      <c r="F18" s="23">
        <f t="shared" si="5"/>
        <v>5.0900839552468842</v>
      </c>
      <c r="G18" s="23">
        <f t="shared" si="6"/>
        <v>5.1918856343518218</v>
      </c>
      <c r="H18" s="23">
        <f t="shared" si="7"/>
        <v>5.2957233470388587</v>
      </c>
      <c r="I18" s="23">
        <f t="shared" si="8"/>
        <v>5.4016378139796357</v>
      </c>
      <c r="J18" s="23">
        <f t="shared" si="9"/>
        <v>5.5096705702592281</v>
      </c>
      <c r="K18" s="23">
        <f t="shared" si="10"/>
        <v>5.6198639816644125</v>
      </c>
      <c r="L18" s="23">
        <f t="shared" si="11"/>
        <v>5.7322612612977011</v>
      </c>
      <c r="M18" s="4">
        <f>$M$6*'Eurostat Collected Portables'!M11</f>
        <v>5.8469064865236549</v>
      </c>
      <c r="N18" s="4">
        <f>$N$6*'Eurostat Collected Portables'!N11</f>
        <v>7.5025793574357529</v>
      </c>
      <c r="O18" s="4">
        <f>$O$6*'Eurostat Collected Portables'!O11</f>
        <v>10.279523215755399</v>
      </c>
      <c r="P18" s="4">
        <f>$P$6*'Eurostat Collected Portables'!P11</f>
        <v>11.307214749451482</v>
      </c>
      <c r="Q18" s="4">
        <f>$Q$6*'Eurostat Collected Portables'!Q11</f>
        <v>10.114956041649865</v>
      </c>
      <c r="R18" s="4">
        <f>$R$6*'Eurostat Collected Portables'!R11</f>
        <v>11.811193120393039</v>
      </c>
      <c r="S18" s="4">
        <f>$S$6*'Eurostat Collected Portables'!S11</f>
        <v>10.319944931549822</v>
      </c>
      <c r="T18" s="4">
        <f>$T$6*'Eurostat Collected Portables'!T11</f>
        <v>12.059196263684282</v>
      </c>
      <c r="U18" s="4">
        <f>$U$6*'Eurostat Collected Portables'!U11</f>
        <v>42.900708549446385</v>
      </c>
      <c r="V18" s="4">
        <f>$V$6*'Eurostat Collected Portables'!V11</f>
        <v>23.428945818011908</v>
      </c>
      <c r="W18" s="4">
        <f>$W$6*'Eurostat Collected Portables'!W11</f>
        <v>16.907858928842778</v>
      </c>
      <c r="X18" s="67">
        <f>X$6*'Eurostat Collected Portables'!X11</f>
        <v>19.923397116105985</v>
      </c>
      <c r="Y18" s="67">
        <f>Y$6*'Eurostat Collected Portables'!Y11</f>
        <v>21.344718616558694</v>
      </c>
      <c r="Z18" s="67">
        <f>Z$6*'Eurostat Collected Portables'!Z11</f>
        <v>22.737097412057814</v>
      </c>
      <c r="AA18" s="67">
        <f>AA$6*'Eurostat Collected Portables'!AA11</f>
        <v>24.263242118258823</v>
      </c>
      <c r="AB18" s="67">
        <f>AB$6*'Eurostat Collected Portables'!AB11</f>
        <v>25.832482953544776</v>
      </c>
      <c r="AC18" s="67">
        <f>AC$6*'Eurostat Collected Portables'!AC11</f>
        <v>27.476964892159661</v>
      </c>
      <c r="AD18" s="67">
        <f>AD$6*'Eurostat Collected Portables'!AD11</f>
        <v>29.258868392829797</v>
      </c>
      <c r="AE18" s="67">
        <f>AE$6*'Eurostat Collected Portables'!AE11</f>
        <v>31.337262390219767</v>
      </c>
      <c r="AF18" s="67">
        <f>AF$6*'Eurostat Collected Portables'!AF11</f>
        <v>33.705249042522745</v>
      </c>
      <c r="AG18" s="67">
        <f>AG$6*'Eurostat Collected Portables'!AG11</f>
        <v>36.119971901388077</v>
      </c>
      <c r="AH18" s="67">
        <f>AH$6*'Eurostat Collected Portables'!AH11</f>
        <v>38.528389373147974</v>
      </c>
      <c r="AI18" s="67">
        <f>AI$6*'Eurostat Collected Portables'!AI11</f>
        <v>40.908325370768445</v>
      </c>
      <c r="AJ18" s="67">
        <f>AJ$6*'Eurostat Collected Portables'!AJ11</f>
        <v>43.452087903066996</v>
      </c>
      <c r="AK18" s="67">
        <f>AK$6*'Eurostat Collected Portables'!AK11</f>
        <v>46.172458675594299</v>
      </c>
      <c r="AL18" s="67">
        <f>AL$6*'Eurostat Collected Portables'!AL11</f>
        <v>49.082633135694081</v>
      </c>
      <c r="AM18" s="67">
        <f>AM$6*'Eurostat Collected Portables'!AM11</f>
        <v>52.196840746236632</v>
      </c>
      <c r="AN18" s="67">
        <f>AN$6*'Eurostat Collected Portables'!AN11</f>
        <v>55.530428316625049</v>
      </c>
      <c r="AO18" s="67">
        <f>AO$6*'Eurostat Collected Portables'!AO11</f>
        <v>59.088078116956083</v>
      </c>
      <c r="AP18" s="67">
        <f>AP$6*'Eurostat Collected Portables'!AP11</f>
        <v>62.797206684908716</v>
      </c>
      <c r="AQ18" s="67">
        <f>AQ$6*'Eurostat Collected Portables'!AQ11</f>
        <v>66.193017156474212</v>
      </c>
      <c r="AR18" s="67">
        <f>AR$6*'Eurostat Collected Portables'!AR11</f>
        <v>69.223996121831021</v>
      </c>
      <c r="AS18" s="67">
        <f>AS$6*'Eurostat Collected Portables'!AS11</f>
        <v>71.918041535974567</v>
      </c>
      <c r="AT18" s="67">
        <f>AT$6*'Eurostat Collected Portables'!AT11</f>
        <v>74.716656756656448</v>
      </c>
      <c r="AU18" s="67">
        <f>AU$6*'Eurostat Collected Portables'!AU11</f>
        <v>77.626440113590164</v>
      </c>
      <c r="AV18" s="67">
        <f>AV$6*'Eurostat Collected Portables'!AV11</f>
        <v>80.63480702120809</v>
      </c>
      <c r="AW18" s="67">
        <f>AW$6*'Eurostat Collected Portables'!AW11</f>
        <v>83.744580106270448</v>
      </c>
      <c r="AX18" s="67">
        <f>AX$6*'Eurostat Collected Portables'!AX11</f>
        <v>86.95863639552995</v>
      </c>
      <c r="AY18" s="67">
        <f>AY$6*'Eurostat Collected Portables'!AY11</f>
        <v>90.298173230338648</v>
      </c>
      <c r="AZ18" s="67">
        <f>AZ$6*'Eurostat Collected Portables'!AZ11</f>
        <v>93.768160441797676</v>
      </c>
    </row>
    <row r="19" spans="1:52" x14ac:dyDescent="0.35">
      <c r="A19" s="1" t="s">
        <v>9</v>
      </c>
      <c r="B19" s="23">
        <f t="shared" si="1"/>
        <v>56.453698880241852</v>
      </c>
      <c r="C19" s="23">
        <f t="shared" si="2"/>
        <v>57.582772857846692</v>
      </c>
      <c r="D19" s="23">
        <f t="shared" si="3"/>
        <v>58.734428315003626</v>
      </c>
      <c r="E19" s="23">
        <f t="shared" si="4"/>
        <v>59.909116881303703</v>
      </c>
      <c r="F19" s="23">
        <f t="shared" si="5"/>
        <v>61.107299218929775</v>
      </c>
      <c r="G19" s="23">
        <f t="shared" si="6"/>
        <v>62.329445203308374</v>
      </c>
      <c r="H19" s="23">
        <f t="shared" si="7"/>
        <v>63.576034107374547</v>
      </c>
      <c r="I19" s="23">
        <f t="shared" si="8"/>
        <v>64.847554789522036</v>
      </c>
      <c r="J19" s="23">
        <f t="shared" si="9"/>
        <v>66.144505885312483</v>
      </c>
      <c r="K19" s="23">
        <f t="shared" si="10"/>
        <v>67.467396003018735</v>
      </c>
      <c r="L19" s="23">
        <f t="shared" si="11"/>
        <v>68.816743923079116</v>
      </c>
      <c r="M19" s="4">
        <f>$M$6*'Eurostat Collected Portables'!M12</f>
        <v>70.193078801540693</v>
      </c>
      <c r="N19" s="4">
        <f>$N$6*'Eurostat Collected Portables'!N12</f>
        <v>96.033015775177631</v>
      </c>
      <c r="O19" s="4">
        <f>$O$6*'Eurostat Collected Portables'!O12</f>
        <v>103.67086146430866</v>
      </c>
      <c r="P19" s="4">
        <f>$P$6*'Eurostat Collected Portables'!P12</f>
        <v>108.27651567985129</v>
      </c>
      <c r="Q19" s="4">
        <f>$Q$6*'Eurostat Collected Portables'!Q12</f>
        <v>96.18986812693484</v>
      </c>
      <c r="R19" s="4">
        <f>$R$6*'Eurostat Collected Portables'!R12</f>
        <v>123.70099502353445</v>
      </c>
      <c r="S19" s="4">
        <f>$S$6*'Eurostat Collected Portables'!S12</f>
        <v>105.31616794744383</v>
      </c>
      <c r="T19" s="4">
        <f>$T$6*'Eurostat Collected Portables'!T12</f>
        <v>118.45322387247862</v>
      </c>
      <c r="U19" s="4">
        <f>$U$6*'Eurostat Collected Portables'!U12</f>
        <v>396.6590825024453</v>
      </c>
      <c r="V19" s="4">
        <f>$V$6*'Eurostat Collected Portables'!V12</f>
        <v>202.71131381671174</v>
      </c>
      <c r="W19" s="4">
        <f>$W$6*'Eurostat Collected Portables'!W12</f>
        <v>161.97308983409079</v>
      </c>
      <c r="X19" s="67">
        <f>X$6*'Eurostat Collected Portables'!X12</f>
        <v>191.22059670880176</v>
      </c>
      <c r="Y19" s="67">
        <f>Y$6*'Eurostat Collected Portables'!Y12</f>
        <v>201.5588597138964</v>
      </c>
      <c r="Z19" s="67">
        <f>Z$6*'Eurostat Collected Portables'!Z12</f>
        <v>214.51756742470999</v>
      </c>
      <c r="AA19" s="67">
        <f>AA$6*'Eurostat Collected Portables'!AA12</f>
        <v>229.03422295908248</v>
      </c>
      <c r="AB19" s="67">
        <f>AB$6*'Eurostat Collected Portables'!AB12</f>
        <v>243.8042255209576</v>
      </c>
      <c r="AC19" s="67">
        <f>AC$6*'Eurostat Collected Portables'!AC12</f>
        <v>259.15759662943475</v>
      </c>
      <c r="AD19" s="67">
        <f>AD$6*'Eurostat Collected Portables'!AD12</f>
        <v>275.74679181418384</v>
      </c>
      <c r="AE19" s="67">
        <f>AE$6*'Eurostat Collected Portables'!AE12</f>
        <v>295.10280353710141</v>
      </c>
      <c r="AF19" s="67">
        <f>AF$6*'Eurostat Collected Portables'!AF12</f>
        <v>317.15439197812663</v>
      </c>
      <c r="AG19" s="67">
        <f>AG$6*'Eurostat Collected Portables'!AG12</f>
        <v>339.6120255272283</v>
      </c>
      <c r="AH19" s="67">
        <f>AH$6*'Eurostat Collected Portables'!AH12</f>
        <v>361.97662389162252</v>
      </c>
      <c r="AI19" s="67">
        <f>AI$6*'Eurostat Collected Portables'!AI12</f>
        <v>384.04040939247295</v>
      </c>
      <c r="AJ19" s="67">
        <f>AJ$6*'Eurostat Collected Portables'!AJ12</f>
        <v>407.60823543225547</v>
      </c>
      <c r="AK19" s="67">
        <f>AK$6*'Eurostat Collected Portables'!AK12</f>
        <v>432.79665540834827</v>
      </c>
      <c r="AL19" s="67">
        <f>AL$6*'Eurostat Collected Portables'!AL12</f>
        <v>459.72576858603236</v>
      </c>
      <c r="AM19" s="67">
        <f>AM$6*'Eurostat Collected Portables'!AM12</f>
        <v>488.52501512281151</v>
      </c>
      <c r="AN19" s="67">
        <f>AN$6*'Eurostat Collected Portables'!AN12</f>
        <v>519.33392342774539</v>
      </c>
      <c r="AO19" s="67">
        <f>AO$6*'Eurostat Collected Portables'!AO12</f>
        <v>552.19197128359656</v>
      </c>
      <c r="AP19" s="67">
        <f>AP$6*'Eurostat Collected Portables'!AP12</f>
        <v>586.41702287370254</v>
      </c>
      <c r="AQ19" s="67">
        <f>AQ$6*'Eurostat Collected Portables'!AQ12</f>
        <v>617.66912632219498</v>
      </c>
      <c r="AR19" s="67">
        <f>AR$6*'Eurostat Collected Portables'!AR12</f>
        <v>645.47481584807542</v>
      </c>
      <c r="AS19" s="67">
        <f>AS$6*'Eurostat Collected Portables'!AS12</f>
        <v>670.10188930161246</v>
      </c>
      <c r="AT19" s="67">
        <f>AT$6*'Eurostat Collected Portables'!AT12</f>
        <v>695.66827881658105</v>
      </c>
      <c r="AU19" s="67">
        <f>AU$6*'Eurostat Collected Portables'!AU12</f>
        <v>722.23351151233294</v>
      </c>
      <c r="AV19" s="67">
        <f>AV$6*'Eurostat Collected Portables'!AV12</f>
        <v>749.67860792087788</v>
      </c>
      <c r="AW19" s="67">
        <f>AW$6*'Eurostat Collected Portables'!AW12</f>
        <v>778.02808773538584</v>
      </c>
      <c r="AX19" s="67">
        <f>AX$6*'Eurostat Collected Portables'!AX12</f>
        <v>807.30691771610725</v>
      </c>
      <c r="AY19" s="67">
        <f>AY$6*'Eurostat Collected Portables'!AY12</f>
        <v>837.70996630797174</v>
      </c>
      <c r="AZ19" s="67">
        <f>AZ$6*'Eurostat Collected Portables'!AZ12</f>
        <v>869.28112141985287</v>
      </c>
    </row>
    <row r="20" spans="1:52" x14ac:dyDescent="0.35">
      <c r="A20" s="1" t="s">
        <v>10</v>
      </c>
      <c r="B20" s="23">
        <f t="shared" si="1"/>
        <v>94.872458269316354</v>
      </c>
      <c r="C20" s="23">
        <f t="shared" si="2"/>
        <v>96.769907434702688</v>
      </c>
      <c r="D20" s="23">
        <f t="shared" si="3"/>
        <v>98.705305583396751</v>
      </c>
      <c r="E20" s="23">
        <f t="shared" si="4"/>
        <v>100.67941169506469</v>
      </c>
      <c r="F20" s="23">
        <f t="shared" si="5"/>
        <v>102.69299992896599</v>
      </c>
      <c r="G20" s="23">
        <f t="shared" si="6"/>
        <v>104.74685992754532</v>
      </c>
      <c r="H20" s="23">
        <f t="shared" si="7"/>
        <v>106.84179712609622</v>
      </c>
      <c r="I20" s="23">
        <f t="shared" si="8"/>
        <v>108.97863306861815</v>
      </c>
      <c r="J20" s="23">
        <f t="shared" si="9"/>
        <v>111.15820572999051</v>
      </c>
      <c r="K20" s="23">
        <f t="shared" si="10"/>
        <v>113.38136984459032</v>
      </c>
      <c r="L20" s="23">
        <f t="shared" si="11"/>
        <v>115.64899724148214</v>
      </c>
      <c r="M20" s="4">
        <f>M4*'Eurostat Collected Portables'!M13</f>
        <v>117.96197718631178</v>
      </c>
      <c r="N20" s="4">
        <f>N4*'Eurostat Collected Portables'!N13</f>
        <v>163.9147543243057</v>
      </c>
      <c r="O20" s="4">
        <f>O4*'Eurostat Collected Portables'!O13</f>
        <v>175.71091166745393</v>
      </c>
      <c r="P20" s="4">
        <f>P4*'Eurostat Collected Portables'!P13</f>
        <v>191.20330292335353</v>
      </c>
      <c r="Q20" s="4">
        <f>Q4*'Eurostat Collected Portables'!Q13</f>
        <v>171.40223608944356</v>
      </c>
      <c r="R20" s="4">
        <f>R4*'Eurostat Collected Portables'!R13</f>
        <v>205.70283137058382</v>
      </c>
      <c r="S20" s="4">
        <f>S4*'Eurostat Collected Portables'!S13</f>
        <v>176.86595363864325</v>
      </c>
      <c r="T20" s="4">
        <f>T4*'Eurostat Collected Portables'!T13</f>
        <v>216.31229281389551</v>
      </c>
      <c r="U20" s="4">
        <f>$U$6*'Eurostat Collected Portables'!U13</f>
        <v>705.85591046959883</v>
      </c>
      <c r="V20" s="4">
        <f>$V$6*'Eurostat Collected Portables'!V13</f>
        <v>353.08279158117148</v>
      </c>
      <c r="W20" s="4">
        <f>$W$6*'Eurostat Collected Portables'!W13</f>
        <v>239.19694981281683</v>
      </c>
      <c r="X20" s="67">
        <f>X$6*'Eurostat Collected Portables'!X13</f>
        <v>283.29066416246849</v>
      </c>
      <c r="Y20" s="67">
        <f>Y$6*'Eurostat Collected Portables'!Y13</f>
        <v>291.16608700733582</v>
      </c>
      <c r="Z20" s="67">
        <f>Z$6*'Eurostat Collected Portables'!Z13</f>
        <v>311.96273754394571</v>
      </c>
      <c r="AA20" s="67">
        <f>AA$6*'Eurostat Collected Portables'!AA13</f>
        <v>334.65048352061649</v>
      </c>
      <c r="AB20" s="67">
        <f>AB$6*'Eurostat Collected Portables'!AB13</f>
        <v>357.37962846304765</v>
      </c>
      <c r="AC20" s="67">
        <f>AC$6*'Eurostat Collected Portables'!AC13</f>
        <v>380.71829575814144</v>
      </c>
      <c r="AD20" s="67">
        <f>AD$6*'Eurostat Collected Portables'!AD13</f>
        <v>405.88109391612915</v>
      </c>
      <c r="AE20" s="67">
        <f>AE$6*'Eurostat Collected Portables'!AE13</f>
        <v>435.95380740836032</v>
      </c>
      <c r="AF20" s="67">
        <f>AF$6*'Eurostat Collected Portables'!AF13</f>
        <v>470.76863433347035</v>
      </c>
      <c r="AG20" s="67">
        <f>AG$6*'Eurostat Collected Portables'!AG13</f>
        <v>506.73708872122131</v>
      </c>
      <c r="AH20" s="67">
        <f>AH$6*'Eurostat Collected Portables'!AH13</f>
        <v>542.96593051864238</v>
      </c>
      <c r="AI20" s="67">
        <f>AI$6*'Eurostat Collected Portables'!AI13</f>
        <v>579.15775037153151</v>
      </c>
      <c r="AJ20" s="67">
        <f>AJ$6*'Eurostat Collected Portables'!AJ13</f>
        <v>617.97372910280149</v>
      </c>
      <c r="AK20" s="67">
        <f>AK$6*'Eurostat Collected Portables'!AK13</f>
        <v>659.62024087102509</v>
      </c>
      <c r="AL20" s="67">
        <f>AL$6*'Eurostat Collected Portables'!AL13</f>
        <v>704.31732860822274</v>
      </c>
      <c r="AM20" s="67">
        <f>AM$6*'Eurostat Collected Portables'!AM13</f>
        <v>752.30290404224365</v>
      </c>
      <c r="AN20" s="67">
        <f>AN$6*'Eurostat Collected Portables'!AN13</f>
        <v>803.83423729863478</v>
      </c>
      <c r="AO20" s="67">
        <f>AO$6*'Eurostat Collected Portables'!AO13</f>
        <v>858.99783523039014</v>
      </c>
      <c r="AP20" s="67">
        <f>AP$6*'Eurostat Collected Portables'!AP13</f>
        <v>916.73416066316349</v>
      </c>
      <c r="AQ20" s="67">
        <f>AQ$6*'Eurostat Collected Portables'!AQ13</f>
        <v>970.3942199270906</v>
      </c>
      <c r="AR20" s="67">
        <f>AR$6*'Eurostat Collected Portables'!AR13</f>
        <v>1019.2068219695607</v>
      </c>
      <c r="AS20" s="67">
        <f>AS$6*'Eurostat Collected Portables'!AS13</f>
        <v>1063.5655536619952</v>
      </c>
      <c r="AT20" s="67">
        <f>AT$6*'Eurostat Collected Portables'!AT13</f>
        <v>1109.8250316720366</v>
      </c>
      <c r="AU20" s="67">
        <f>AU$6*'Eurostat Collected Portables'!AU13</f>
        <v>1158.0802376960394</v>
      </c>
      <c r="AV20" s="67">
        <f>AV$6*'Eurostat Collected Portables'!AV13</f>
        <v>1208.132479953935</v>
      </c>
      <c r="AW20" s="67">
        <f>AW$6*'Eurostat Collected Portables'!AW13</f>
        <v>1260.0367244107331</v>
      </c>
      <c r="AX20" s="67">
        <f>AX$6*'Eurostat Collected Portables'!AX13</f>
        <v>1313.8490038300567</v>
      </c>
      <c r="AY20" s="67">
        <f>AY$6*'Eurostat Collected Portables'!AY13</f>
        <v>1369.9349668711754</v>
      </c>
      <c r="AZ20" s="67">
        <f>AZ$6*'Eurostat Collected Portables'!AZ13</f>
        <v>1428.3903611735882</v>
      </c>
    </row>
    <row r="21" spans="1:52" x14ac:dyDescent="0.35">
      <c r="A21" s="1" t="s">
        <v>11</v>
      </c>
      <c r="B21" s="23">
        <f t="shared" si="1"/>
        <v>2.0974193658846425</v>
      </c>
      <c r="C21" s="23">
        <f t="shared" si="2"/>
        <v>2.1393677532023352</v>
      </c>
      <c r="D21" s="23">
        <f t="shared" si="3"/>
        <v>2.1821551082663819</v>
      </c>
      <c r="E21" s="23">
        <f t="shared" si="4"/>
        <v>2.2257982104317096</v>
      </c>
      <c r="F21" s="23">
        <f t="shared" si="5"/>
        <v>2.2703141746403439</v>
      </c>
      <c r="G21" s="23">
        <f t="shared" si="6"/>
        <v>2.3157204581331507</v>
      </c>
      <c r="H21" s="23">
        <f t="shared" si="7"/>
        <v>2.3620348672958138</v>
      </c>
      <c r="I21" s="23">
        <f t="shared" si="8"/>
        <v>2.4092755646417303</v>
      </c>
      <c r="J21" s="23">
        <f t="shared" si="9"/>
        <v>2.4574610759345648</v>
      </c>
      <c r="K21" s="23">
        <f t="shared" si="10"/>
        <v>2.506610297453256</v>
      </c>
      <c r="L21" s="23">
        <f t="shared" si="11"/>
        <v>2.556742503402321</v>
      </c>
      <c r="M21" s="4">
        <f>$M$6*'Eurostat Collected Portables'!M14</f>
        <v>2.6078773534703674</v>
      </c>
      <c r="N21" s="4">
        <f>$N$6*'Eurostat Collected Portables'!N14</f>
        <v>3.7691707697165255</v>
      </c>
      <c r="O21" s="4">
        <f>$O$6*'Eurostat Collected Portables'!O14</f>
        <v>4.5129318086746109</v>
      </c>
      <c r="P21" s="4">
        <f>$P$6*'Eurostat Collected Portables'!P14</f>
        <v>4.7835211539642053</v>
      </c>
      <c r="Q21" s="4">
        <f>$Q$6*'Eurostat Collected Portables'!Q14</f>
        <v>4.4355607700042334</v>
      </c>
      <c r="R21" s="4">
        <f>$R$6*'Eurostat Collected Portables'!R14</f>
        <v>5.7156769158410423</v>
      </c>
      <c r="S21" s="4">
        <f>$S$6*'Eurostat Collected Portables'!S14</f>
        <v>4.3012325225656554</v>
      </c>
      <c r="T21" s="4">
        <f>$T$6*'Eurostat Collected Portables'!T14</f>
        <v>4.5489328334361581</v>
      </c>
      <c r="U21" s="4">
        <f>$U$6*'Eurostat Collected Portables'!U14</f>
        <v>15.586320556975757</v>
      </c>
      <c r="V21" s="4">
        <f>$V$6*'Eurostat Collected Portables'!V14</f>
        <v>8.0553755358267498</v>
      </c>
      <c r="W21" s="4">
        <f>$W$6*'Eurostat Collected Portables'!W14</f>
        <v>5.1353382419980926</v>
      </c>
      <c r="X21" s="67">
        <f>X$6*'Eurostat Collected Portables'!X14</f>
        <v>7.0133621099879306</v>
      </c>
      <c r="Y21" s="67">
        <f>Y$6*'Eurostat Collected Portables'!Y14</f>
        <v>8.47045328394608</v>
      </c>
      <c r="Z21" s="67">
        <f>Z$6*'Eurostat Collected Portables'!Z14</f>
        <v>9.3021936509573528</v>
      </c>
      <c r="AA21" s="67">
        <f>AA$6*'Eurostat Collected Portables'!AA14</f>
        <v>10.222870134195411</v>
      </c>
      <c r="AB21" s="67">
        <f>AB$6*'Eurostat Collected Portables'!AB14</f>
        <v>11.197787345523865</v>
      </c>
      <c r="AC21" s="67">
        <f>AC$6*'Eurostat Collected Portables'!AC14</f>
        <v>12.242539792266275</v>
      </c>
      <c r="AD21" s="67">
        <f>AD$6*'Eurostat Collected Portables'!AD14</f>
        <v>13.387996324100037</v>
      </c>
      <c r="AE21" s="67">
        <f>AE$6*'Eurostat Collected Portables'!AE14</f>
        <v>14.713462757227651</v>
      </c>
      <c r="AF21" s="67">
        <f>AF$6*'Eurostat Collected Portables'!AF14</f>
        <v>16.22586000473315</v>
      </c>
      <c r="AG21" s="67">
        <f>AG$6*'Eurostat Collected Portables'!AG14</f>
        <v>17.815291988242212</v>
      </c>
      <c r="AH21" s="67">
        <f>AH$6*'Eurostat Collected Portables'!AH14</f>
        <v>19.456188318197004</v>
      </c>
      <c r="AI21" s="67">
        <f>AI$6*'Eurostat Collected Portables'!AI14</f>
        <v>21.136431903160062</v>
      </c>
      <c r="AJ21" s="67">
        <f>AJ$6*'Eurostat Collected Portables'!AJ14</f>
        <v>22.956195026078589</v>
      </c>
      <c r="AK21" s="67">
        <f>AK$6*'Eurostat Collected Portables'!AK14</f>
        <v>24.927642796655785</v>
      </c>
      <c r="AL21" s="67">
        <f>AL$6*'Eurostat Collected Portables'!AL14</f>
        <v>27.063701086578131</v>
      </c>
      <c r="AM21" s="67">
        <f>AM$6*'Eurostat Collected Portables'!AM14</f>
        <v>29.378422288207318</v>
      </c>
      <c r="AN21" s="67">
        <f>AN$6*'Eurostat Collected Portables'!AN14</f>
        <v>31.887084865501436</v>
      </c>
      <c r="AO21" s="67">
        <f>AO$6*'Eurostat Collected Portables'!AO14</f>
        <v>34.599350010139041</v>
      </c>
      <c r="AP21" s="67">
        <f>AP$6*'Eurostat Collected Portables'!AP14</f>
        <v>37.478903314033943</v>
      </c>
      <c r="AQ21" s="67">
        <f>AQ$6*'Eurostat Collected Portables'!AQ14</f>
        <v>40.247623272251658</v>
      </c>
      <c r="AR21" s="67">
        <f>AR$6*'Eurostat Collected Portables'!AR14</f>
        <v>42.862508142208412</v>
      </c>
      <c r="AS21" s="67">
        <f>AS$6*'Eurostat Collected Portables'!AS14</f>
        <v>45.328437253141622</v>
      </c>
      <c r="AT21" s="67">
        <f>AT$6*'Eurostat Collected Portables'!AT14</f>
        <v>47.916904623638302</v>
      </c>
      <c r="AU21" s="67">
        <f>AU$6*'Eurostat Collected Portables'!AU14</f>
        <v>50.635227619692344</v>
      </c>
      <c r="AV21" s="67">
        <f>AV$6*'Eurostat Collected Portables'!AV14</f>
        <v>53.478258347861001</v>
      </c>
      <c r="AW21" s="67">
        <f>AW$6*'Eurostat Collected Portables'!AW14</f>
        <v>56.450654719728988</v>
      </c>
      <c r="AX21" s="67">
        <f>AX$6*'Eurostat Collected Portables'!AX14</f>
        <v>59.55720564677322</v>
      </c>
      <c r="AY21" s="67">
        <f>AY$6*'Eurostat Collected Portables'!AY14</f>
        <v>62.815539370432411</v>
      </c>
      <c r="AZ21" s="67">
        <f>AZ$6*'Eurostat Collected Portables'!AZ14</f>
        <v>66.232699652937285</v>
      </c>
    </row>
    <row r="22" spans="1:52" x14ac:dyDescent="0.35">
      <c r="A22" s="1" t="s">
        <v>12</v>
      </c>
      <c r="B22" s="23">
        <f t="shared" si="1"/>
        <v>2.1909145680224662</v>
      </c>
      <c r="C22" s="23">
        <f t="shared" si="2"/>
        <v>2.2347328593829157</v>
      </c>
      <c r="D22" s="23">
        <f t="shared" si="3"/>
        <v>2.279427516570574</v>
      </c>
      <c r="E22" s="23">
        <f t="shared" si="4"/>
        <v>2.3250160669019855</v>
      </c>
      <c r="F22" s="23">
        <f t="shared" si="5"/>
        <v>2.3715163882400252</v>
      </c>
      <c r="G22" s="23">
        <f t="shared" si="6"/>
        <v>2.4189467160048257</v>
      </c>
      <c r="H22" s="23">
        <f t="shared" si="7"/>
        <v>2.4673256503249221</v>
      </c>
      <c r="I22" s="23">
        <f t="shared" si="8"/>
        <v>2.5166721633314206</v>
      </c>
      <c r="J22" s="23">
        <f t="shared" si="9"/>
        <v>2.5670056065980491</v>
      </c>
      <c r="K22" s="23">
        <f t="shared" si="10"/>
        <v>2.6183457187300103</v>
      </c>
      <c r="L22" s="23">
        <f t="shared" si="11"/>
        <v>2.6707126331046105</v>
      </c>
      <c r="M22" s="4">
        <f>$M$6*'Eurostat Collected Portables'!M15</f>
        <v>2.7241268857667027</v>
      </c>
      <c r="N22" s="4">
        <f>$N$6*'Eurostat Collected Portables'!N15</f>
        <v>4.2976731754006972</v>
      </c>
      <c r="O22" s="4">
        <f>$O$6*'Eurostat Collected Portables'!O15</f>
        <v>4.7429920782544874</v>
      </c>
      <c r="P22" s="4">
        <f>$P$6*'Eurostat Collected Portables'!P15</f>
        <v>5.4820122627132983</v>
      </c>
      <c r="Q22" s="4">
        <f>$Q$6*'Eurostat Collected Portables'!Q15</f>
        <v>5.8358524416634188</v>
      </c>
      <c r="R22" s="4">
        <f>$R$6*'Eurostat Collected Portables'!R15</f>
        <v>8.3383767664643056</v>
      </c>
      <c r="S22" s="4">
        <f>$S$6*'Eurostat Collected Portables'!S15</f>
        <v>7.4574784541856367</v>
      </c>
      <c r="T22" s="4">
        <f>$T$6*'Eurostat Collected Portables'!T15</f>
        <v>8.7935066888666409</v>
      </c>
      <c r="U22" s="4">
        <f>$U$6*'Eurostat Collected Portables'!U15</f>
        <v>37.279412610864966</v>
      </c>
      <c r="V22" s="4">
        <f>$V$6*'Eurostat Collected Portables'!V15</f>
        <v>17.02217459317799</v>
      </c>
      <c r="W22" s="4">
        <f>$W$6*'Eurostat Collected Portables'!W15</f>
        <v>10.747067924684687</v>
      </c>
      <c r="X22" s="67">
        <f>X$6*'Eurostat Collected Portables'!X15</f>
        <v>12.635206547486145</v>
      </c>
      <c r="Y22" s="67">
        <f>Y$6*'Eurostat Collected Portables'!Y15</f>
        <v>14.124002019401903</v>
      </c>
      <c r="Z22" s="67">
        <f>Z$6*'Eurostat Collected Portables'!Z15</f>
        <v>15.152393109844795</v>
      </c>
      <c r="AA22" s="67">
        <f>AA$6*'Eurostat Collected Portables'!AA15</f>
        <v>16.283044198446376</v>
      </c>
      <c r="AB22" s="67">
        <f>AB$6*'Eurostat Collected Portables'!AB15</f>
        <v>17.456451315338501</v>
      </c>
      <c r="AC22" s="67">
        <f>AC$6*'Eurostat Collected Portables'!AC15</f>
        <v>18.69497321385634</v>
      </c>
      <c r="AD22" s="67">
        <f>AD$6*'Eurostat Collected Portables'!AD15</f>
        <v>20.042129736830464</v>
      </c>
      <c r="AE22" s="67">
        <f>AE$6*'Eurostat Collected Portables'!AE15</f>
        <v>21.609382032165328</v>
      </c>
      <c r="AF22" s="67">
        <f>AF$6*'Eurostat Collected Portables'!AF15</f>
        <v>23.395868718694448</v>
      </c>
      <c r="AG22" s="67">
        <f>AG$6*'Eurostat Collected Portables'!AG15</f>
        <v>25.235705518780076</v>
      </c>
      <c r="AH22" s="67">
        <f>AH$6*'Eurostat Collected Portables'!AH15</f>
        <v>27.09206082761197</v>
      </c>
      <c r="AI22" s="67">
        <f>AI$6*'Eurostat Collected Portables'!AI15</f>
        <v>28.948988885974508</v>
      </c>
      <c r="AJ22" s="67">
        <f>AJ$6*'Eurostat Collected Portables'!AJ15</f>
        <v>30.942888379702328</v>
      </c>
      <c r="AK22" s="67">
        <f>AK$6*'Eurostat Collected Portables'!AK15</f>
        <v>33.084936474315398</v>
      </c>
      <c r="AL22" s="67">
        <f>AL$6*'Eurostat Collected Portables'!AL15</f>
        <v>35.386812838663097</v>
      </c>
      <c r="AM22" s="67">
        <f>AM$6*'Eurostat Collected Portables'!AM15</f>
        <v>37.861155944062169</v>
      </c>
      <c r="AN22" s="67">
        <f>AN$6*'Eurostat Collected Portables'!AN15</f>
        <v>40.521643694396559</v>
      </c>
      <c r="AO22" s="67">
        <f>AO$6*'Eurostat Collected Portables'!AO15</f>
        <v>43.374366099573493</v>
      </c>
      <c r="AP22" s="67">
        <f>AP$6*'Eurostat Collected Portables'!AP15</f>
        <v>46.368414526280155</v>
      </c>
      <c r="AQ22" s="67">
        <f>AQ$6*'Eurostat Collected Portables'!AQ15</f>
        <v>49.16031486682008</v>
      </c>
      <c r="AR22" s="67">
        <f>AR$6*'Eurostat Collected Portables'!AR15</f>
        <v>51.707331019404528</v>
      </c>
      <c r="AS22" s="67">
        <f>AS$6*'Eurostat Collected Portables'!AS15</f>
        <v>54.025549414538006</v>
      </c>
      <c r="AT22" s="67">
        <f>AT$6*'Eurostat Collected Portables'!AT15</f>
        <v>56.444033728495057</v>
      </c>
      <c r="AU22" s="67">
        <f>AU$6*'Eurostat Collected Portables'!AU15</f>
        <v>58.96895169392036</v>
      </c>
      <c r="AV22" s="67">
        <f>AV$6*'Eurostat Collected Portables'!AV15</f>
        <v>61.591916997799977</v>
      </c>
      <c r="AW22" s="67">
        <f>AW$6*'Eurostat Collected Portables'!AW15</f>
        <v>64.316153786831649</v>
      </c>
      <c r="AX22" s="67">
        <f>AX$6*'Eurostat Collected Portables'!AX15</f>
        <v>67.144964153284675</v>
      </c>
      <c r="AY22" s="67">
        <f>AY$6*'Eurostat Collected Portables'!AY15</f>
        <v>70.09590810704249</v>
      </c>
      <c r="AZ22" s="67">
        <f>AZ$6*'Eurostat Collected Portables'!AZ15</f>
        <v>73.174218662524368</v>
      </c>
    </row>
    <row r="23" spans="1:52" x14ac:dyDescent="0.35">
      <c r="A23" s="1" t="s">
        <v>13</v>
      </c>
      <c r="B23" s="23">
        <f t="shared" si="1"/>
        <v>0.17828506573486588</v>
      </c>
      <c r="C23" s="23">
        <f t="shared" si="2"/>
        <v>0.18185076704956321</v>
      </c>
      <c r="D23" s="23">
        <f t="shared" si="3"/>
        <v>0.18548778239055447</v>
      </c>
      <c r="E23" s="23">
        <f t="shared" si="4"/>
        <v>0.18919753803836556</v>
      </c>
      <c r="F23" s="23">
        <f t="shared" si="5"/>
        <v>0.19298148879913288</v>
      </c>
      <c r="G23" s="23">
        <f t="shared" si="6"/>
        <v>0.19684111857511555</v>
      </c>
      <c r="H23" s="23">
        <f t="shared" si="7"/>
        <v>0.20077794094661786</v>
      </c>
      <c r="I23" s="23">
        <f t="shared" si="8"/>
        <v>0.20479349976555022</v>
      </c>
      <c r="J23" s="23">
        <f t="shared" si="9"/>
        <v>0.20888936976086123</v>
      </c>
      <c r="K23" s="23">
        <f t="shared" si="10"/>
        <v>0.21306715715607846</v>
      </c>
      <c r="L23" s="23">
        <f t="shared" si="11"/>
        <v>0.21732850029920003</v>
      </c>
      <c r="M23" s="4">
        <f>$M$6*'Eurostat Collected Portables'!M16</f>
        <v>0.22167507030518405</v>
      </c>
      <c r="N23" s="4">
        <f>$N$6*'Eurostat Collected Portables'!N16</f>
        <v>0.45260125471487422</v>
      </c>
      <c r="O23" s="4">
        <f>$O$6*'Eurostat Collected Portables'!O16</f>
        <v>0.59104978205940528</v>
      </c>
      <c r="P23" s="4">
        <f>$P$6*'Eurostat Collected Portables'!P16</f>
        <v>0.56355447313560103</v>
      </c>
      <c r="Q23" s="4">
        <f>$Q$6*'Eurostat Collected Portables'!Q16</f>
        <v>0.47954122610451411</v>
      </c>
      <c r="R23" s="4">
        <f>$R$6*'Eurostat Collected Portables'!R16</f>
        <v>0.53539252123067993</v>
      </c>
      <c r="S23" s="4">
        <f>$S$6*'Eurostat Collected Portables'!S16</f>
        <v>0.7728659488883296</v>
      </c>
      <c r="T23" s="4">
        <f>$T$6*'Eurostat Collected Portables'!T16</f>
        <v>0.67288011894227429</v>
      </c>
      <c r="U23" s="4">
        <f>$U$6*'Eurostat Collected Portables'!U16</f>
        <v>2.1488681292486245</v>
      </c>
      <c r="V23" s="4">
        <f>$V$6*'Eurostat Collected Portables'!V16</f>
        <v>1.3162027913780145</v>
      </c>
      <c r="W23" s="4">
        <f>$W$6*'Eurostat Collected Portables'!W16</f>
        <v>0.78644959869593434</v>
      </c>
      <c r="X23" s="67">
        <f>X$6*'Eurostat Collected Portables'!X16</f>
        <v>1.0991161639747367</v>
      </c>
      <c r="Y23" s="67">
        <f>Y$6*'Eurostat Collected Portables'!Y16</f>
        <v>1.1910230616891115</v>
      </c>
      <c r="Z23" s="67">
        <f>Z$6*'Eurostat Collected Portables'!Z16</f>
        <v>1.293790527307209</v>
      </c>
      <c r="AA23" s="67">
        <f>AA$6*'Eurostat Collected Portables'!AA16</f>
        <v>1.407241912241376</v>
      </c>
      <c r="AB23" s="67">
        <f>AB$6*'Eurostat Collected Portables'!AB16</f>
        <v>1.5264333953094182</v>
      </c>
      <c r="AC23" s="67">
        <f>AC$6*'Eurostat Collected Portables'!AC16</f>
        <v>1.6534135316488154</v>
      </c>
      <c r="AD23" s="67">
        <f>AD$6*'Eurostat Collected Portables'!AD16</f>
        <v>1.79220815136568</v>
      </c>
      <c r="AE23" s="67">
        <f>AE$6*'Eurostat Collected Portables'!AE16</f>
        <v>1.953146387359862</v>
      </c>
      <c r="AF23" s="67">
        <f>AF$6*'Eurostat Collected Portables'!AF16</f>
        <v>2.136710740801357</v>
      </c>
      <c r="AG23" s="67">
        <f>AG$6*'Eurostat Collected Portables'!AG16</f>
        <v>2.3281356781186222</v>
      </c>
      <c r="AH23" s="67">
        <f>AH$6*'Eurostat Collected Portables'!AH16</f>
        <v>2.5240554538157602</v>
      </c>
      <c r="AI23" s="67">
        <f>AI$6*'Eurostat Collected Portables'!AI16</f>
        <v>2.7229347844547611</v>
      </c>
      <c r="AJ23" s="67">
        <f>AJ$6*'Eurostat Collected Portables'!AJ16</f>
        <v>2.9376468832164315</v>
      </c>
      <c r="AK23" s="67">
        <f>AK$6*'Eurostat Collected Portables'!AK16</f>
        <v>3.1695419587700964</v>
      </c>
      <c r="AL23" s="67">
        <f>AL$6*'Eurostat Collected Portables'!AL16</f>
        <v>3.420046883807661</v>
      </c>
      <c r="AM23" s="67">
        <f>AM$6*'Eurostat Collected Portables'!AM16</f>
        <v>3.6907105478905602</v>
      </c>
      <c r="AN23" s="67">
        <f>AN$6*'Eurostat Collected Portables'!AN16</f>
        <v>3.983214477923374</v>
      </c>
      <c r="AO23" s="67">
        <f>AO$6*'Eurostat Collected Portables'!AO16</f>
        <v>4.2985207270292713</v>
      </c>
      <c r="AP23" s="67">
        <f>AP$6*'Eurostat Collected Portables'!AP16</f>
        <v>4.6319046852047583</v>
      </c>
      <c r="AQ23" s="67">
        <f>AQ$6*'Eurostat Collected Portables'!AQ16</f>
        <v>4.9490184543416262</v>
      </c>
      <c r="AR23" s="67">
        <f>AR$6*'Eurostat Collected Portables'!AR16</f>
        <v>5.2449616071762417</v>
      </c>
      <c r="AS23" s="67">
        <f>AS$6*'Eurostat Collected Portables'!AS16</f>
        <v>5.5207347629340049</v>
      </c>
      <c r="AT23" s="67">
        <f>AT$6*'Eurostat Collected Portables'!AT16</f>
        <v>5.8096210245287443</v>
      </c>
      <c r="AU23" s="67">
        <f>AU$6*'Eurostat Collected Portables'!AU16</f>
        <v>6.1124105758943976</v>
      </c>
      <c r="AV23" s="67">
        <f>AV$6*'Eurostat Collected Portables'!AV16</f>
        <v>6.4283873901950184</v>
      </c>
      <c r="AW23" s="67">
        <f>AW$6*'Eurostat Collected Portables'!AW16</f>
        <v>6.7580266921153136</v>
      </c>
      <c r="AX23" s="67">
        <f>AX$6*'Eurostat Collected Portables'!AX16</f>
        <v>7.1018165679703653</v>
      </c>
      <c r="AY23" s="67">
        <f>AY$6*'Eurostat Collected Portables'!AY16</f>
        <v>7.4617675199720024</v>
      </c>
      <c r="AZ23" s="67">
        <f>AZ$6*'Eurostat Collected Portables'!AZ16</f>
        <v>7.8386123300951862</v>
      </c>
    </row>
    <row r="24" spans="1:52" x14ac:dyDescent="0.35">
      <c r="A24" s="1" t="s">
        <v>14</v>
      </c>
      <c r="B24" s="23">
        <f t="shared" si="1"/>
        <v>2.9778949671790946</v>
      </c>
      <c r="C24" s="23">
        <f t="shared" si="2"/>
        <v>3.0374528665226768</v>
      </c>
      <c r="D24" s="23">
        <f t="shared" si="3"/>
        <v>3.0982019238531304</v>
      </c>
      <c r="E24" s="23">
        <f t="shared" si="4"/>
        <v>3.160165962330193</v>
      </c>
      <c r="F24" s="23">
        <f t="shared" si="5"/>
        <v>3.2233692815767969</v>
      </c>
      <c r="G24" s="23">
        <f t="shared" si="6"/>
        <v>3.287836667208333</v>
      </c>
      <c r="H24" s="23">
        <f t="shared" si="7"/>
        <v>3.3535934005524997</v>
      </c>
      <c r="I24" s="23">
        <f t="shared" si="8"/>
        <v>3.4206652685635497</v>
      </c>
      <c r="J24" s="23">
        <f t="shared" si="9"/>
        <v>3.4890785739348207</v>
      </c>
      <c r="K24" s="23">
        <f t="shared" si="10"/>
        <v>3.5588601454135174</v>
      </c>
      <c r="L24" s="23">
        <f t="shared" si="11"/>
        <v>3.6300373483217876</v>
      </c>
      <c r="M24" s="4">
        <f>$M$6*'Eurostat Collected Portables'!M17</f>
        <v>3.7026380952882234</v>
      </c>
      <c r="N24" s="4">
        <f>$N$6*'Eurostat Collected Portables'!N17</f>
        <v>4.6809571208349148</v>
      </c>
      <c r="O24" s="4">
        <f>$O$6*'Eurostat Collected Portables'!O17</f>
        <v>5.6186213850091615</v>
      </c>
      <c r="P24" s="4">
        <f>$P$6*'Eurostat Collected Portables'!P17</f>
        <v>6.1232361023387414</v>
      </c>
      <c r="Q24" s="4">
        <f>$Q$6*'Eurostat Collected Portables'!Q17</f>
        <v>6.0470696211874291</v>
      </c>
      <c r="R24" s="4">
        <f>$R$6*'Eurostat Collected Portables'!R17</f>
        <v>10.210441832254013</v>
      </c>
      <c r="S24" s="4">
        <f>$S$6*'Eurostat Collected Portables'!S17</f>
        <v>10.003567057735886</v>
      </c>
      <c r="T24" s="4">
        <f>$T$6*'Eurostat Collected Portables'!T17</f>
        <v>10.093201784134115</v>
      </c>
      <c r="U24" s="4">
        <f>$U$6*'Eurostat Collected Portables'!U17</f>
        <v>32.169143575790947</v>
      </c>
      <c r="V24" s="4">
        <f>$V$6*'Eurostat Collected Portables'!V17</f>
        <v>19.582202425695307</v>
      </c>
      <c r="W24" s="4">
        <f>$W$6*'Eurostat Collected Portables'!W17</f>
        <v>12.854494467391453</v>
      </c>
      <c r="X24" s="67">
        <f>X$6*'Eurostat Collected Portables'!X17</f>
        <v>16.162479804040611</v>
      </c>
      <c r="Y24" s="67">
        <f>Y$6*'Eurostat Collected Portables'!Y17</f>
        <v>17.018056023048462</v>
      </c>
      <c r="Z24" s="67">
        <f>Z$6*'Eurostat Collected Portables'!Z17</f>
        <v>18.228070219917992</v>
      </c>
      <c r="AA24" s="67">
        <f>AA$6*'Eurostat Collected Portables'!AA17</f>
        <v>19.55756120842387</v>
      </c>
      <c r="AB24" s="67">
        <f>AB$6*'Eurostat Collected Portables'!AB17</f>
        <v>20.934698424172428</v>
      </c>
      <c r="AC24" s="67">
        <f>AC$6*'Eurostat Collected Portables'!AC17</f>
        <v>22.386126211531963</v>
      </c>
      <c r="AD24" s="67">
        <f>AD$6*'Eurostat Collected Portables'!AD17</f>
        <v>23.963636310775957</v>
      </c>
      <c r="AE24" s="67">
        <f>AE$6*'Eurostat Collected Portables'!AE17</f>
        <v>25.79984222399349</v>
      </c>
      <c r="AF24" s="67">
        <f>AF$6*'Eurostat Collected Portables'!AF17</f>
        <v>27.892699464943036</v>
      </c>
      <c r="AG24" s="67">
        <f>AG$6*'Eurostat Collected Portables'!AG17</f>
        <v>30.043742690575044</v>
      </c>
      <c r="AH24" s="67">
        <f>AH$6*'Eurostat Collected Portables'!AH17</f>
        <v>32.209064603052489</v>
      </c>
      <c r="AI24" s="67">
        <f>AI$6*'Eurostat Collected Portables'!AI17</f>
        <v>34.369797780895603</v>
      </c>
      <c r="AJ24" s="67">
        <f>AJ$6*'Eurostat Collected Portables'!AJ17</f>
        <v>36.687803052644064</v>
      </c>
      <c r="AK24" s="67">
        <f>AK$6*'Eurostat Collected Portables'!AK17</f>
        <v>39.175808593000802</v>
      </c>
      <c r="AL24" s="67">
        <f>AL$6*'Eurostat Collected Portables'!AL17</f>
        <v>41.847085868452901</v>
      </c>
      <c r="AM24" s="67">
        <f>AM$6*'Eurostat Collected Portables'!AM17</f>
        <v>44.715986967688778</v>
      </c>
      <c r="AN24" s="67">
        <f>AN$6*'Eurostat Collected Portables'!AN17</f>
        <v>47.79803482418707</v>
      </c>
      <c r="AO24" s="67">
        <f>AO$6*'Eurostat Collected Portables'!AO17</f>
        <v>51.099754056596218</v>
      </c>
      <c r="AP24" s="67">
        <f>AP$6*'Eurostat Collected Portables'!AP17</f>
        <v>54.56058743087646</v>
      </c>
      <c r="AQ24" s="67">
        <f>AQ$6*'Eurostat Collected Portables'!AQ17</f>
        <v>57.77644449759881</v>
      </c>
      <c r="AR24" s="67">
        <f>AR$6*'Eurostat Collected Portables'!AR17</f>
        <v>60.698183551131251</v>
      </c>
      <c r="AS24" s="67">
        <f>AS$6*'Eurostat Collected Portables'!AS17</f>
        <v>63.345832498400505</v>
      </c>
      <c r="AT24" s="67">
        <f>AT$6*'Eurostat Collected Portables'!AT17</f>
        <v>66.105845933809348</v>
      </c>
      <c r="AU24" s="67">
        <f>AU$6*'Eurostat Collected Portables'!AU17</f>
        <v>68.985165650672627</v>
      </c>
      <c r="AV24" s="67">
        <f>AV$6*'Eurostat Collected Portables'!AV17</f>
        <v>71.973702984345451</v>
      </c>
      <c r="AW24" s="67">
        <f>AW$6*'Eurostat Collected Portables'!AW17</f>
        <v>75.074974004482002</v>
      </c>
      <c r="AX24" s="67">
        <f>AX$6*'Eurostat Collected Portables'!AX17</f>
        <v>78.292577294470206</v>
      </c>
      <c r="AY24" s="67">
        <f>AY$6*'Eurostat Collected Portables'!AY17</f>
        <v>81.646710426698746</v>
      </c>
      <c r="AZ24" s="67">
        <f>AZ$6*'Eurostat Collected Portables'!AZ17</f>
        <v>85.143150110948611</v>
      </c>
    </row>
    <row r="25" spans="1:52" x14ac:dyDescent="0.35">
      <c r="A25" s="1" t="s">
        <v>15</v>
      </c>
      <c r="B25" s="23">
        <f t="shared" si="1"/>
        <v>36.171950939013939</v>
      </c>
      <c r="C25" s="23">
        <f t="shared" si="2"/>
        <v>36.895389957794215</v>
      </c>
      <c r="D25" s="23">
        <f t="shared" si="3"/>
        <v>37.6332977569501</v>
      </c>
      <c r="E25" s="23">
        <f t="shared" si="4"/>
        <v>38.385963712089101</v>
      </c>
      <c r="F25" s="23">
        <f t="shared" si="5"/>
        <v>39.153682986330885</v>
      </c>
      <c r="G25" s="23">
        <f t="shared" si="6"/>
        <v>39.936756646057503</v>
      </c>
      <c r="H25" s="23">
        <f t="shared" si="7"/>
        <v>40.735491778978655</v>
      </c>
      <c r="I25" s="23">
        <f t="shared" si="8"/>
        <v>41.550201614558226</v>
      </c>
      <c r="J25" s="23">
        <f t="shared" si="9"/>
        <v>42.381205646849388</v>
      </c>
      <c r="K25" s="23">
        <f t="shared" si="10"/>
        <v>43.228829759786379</v>
      </c>
      <c r="L25" s="23">
        <f t="shared" si="11"/>
        <v>44.093406354982108</v>
      </c>
      <c r="M25" s="4">
        <f>$M$6*'Eurostat Collected Portables'!M18</f>
        <v>44.975274482081751</v>
      </c>
      <c r="N25" s="4">
        <f>$N$6*'Eurostat Collected Portables'!N18</f>
        <v>65.647569377562832</v>
      </c>
      <c r="O25" s="4">
        <f>$O$6*'Eurostat Collected Portables'!O18</f>
        <v>76.88207736078283</v>
      </c>
      <c r="P25" s="4">
        <f>$P$6*'Eurostat Collected Portables'!P18</f>
        <v>86.565218349434872</v>
      </c>
      <c r="Q25" s="4">
        <f>$Q$6*'Eurostat Collected Portables'!Q18</f>
        <v>79.049985151486382</v>
      </c>
      <c r="R25" s="4">
        <f>$R$6*'Eurostat Collected Portables'!R18</f>
        <v>85.870810626440971</v>
      </c>
      <c r="S25" s="4">
        <f>$S$6*'Eurostat Collected Portables'!S18</f>
        <v>71.471268255872047</v>
      </c>
      <c r="T25" s="4">
        <f>$T$6*'Eurostat Collected Portables'!T18</f>
        <v>85.812779960951175</v>
      </c>
      <c r="U25" s="4">
        <f>$U$6*'Eurostat Collected Portables'!U18</f>
        <v>280.24715388345919</v>
      </c>
      <c r="V25" s="4">
        <f>$V$6*'Eurostat Collected Portables'!V18</f>
        <v>140.41283546309654</v>
      </c>
      <c r="W25" s="4">
        <f>$W$6*'Eurostat Collected Portables'!W18</f>
        <v>84.773453148959078</v>
      </c>
      <c r="X25" s="67">
        <f>X$6*'Eurostat Collected Portables'!X18</f>
        <v>105.44502783536902</v>
      </c>
      <c r="Y25" s="67">
        <f>Y$6*'Eurostat Collected Portables'!Y18</f>
        <v>115.94585321109243</v>
      </c>
      <c r="Z25" s="67">
        <f>Z$6*'Eurostat Collected Portables'!Z18</f>
        <v>125.78758465804229</v>
      </c>
      <c r="AA25" s="67">
        <f>AA$6*'Eurostat Collected Portables'!AA18</f>
        <v>136.64850517024649</v>
      </c>
      <c r="AB25" s="67">
        <f>AB$6*'Eurostat Collected Portables'!AB18</f>
        <v>148.04658546764918</v>
      </c>
      <c r="AC25" s="67">
        <f>AC$6*'Eurostat Collected Portables'!AC18</f>
        <v>160.1795984580437</v>
      </c>
      <c r="AD25" s="67">
        <f>AD$6*'Eurostat Collected Portables'!AD18</f>
        <v>173.43584965191499</v>
      </c>
      <c r="AE25" s="67">
        <f>AE$6*'Eurostat Collected Portables'!AE18</f>
        <v>188.81145078472562</v>
      </c>
      <c r="AF25" s="67">
        <f>AF$6*'Eurostat Collected Portables'!AF18</f>
        <v>206.34774615062054</v>
      </c>
      <c r="AG25" s="67">
        <f>AG$6*'Eurostat Collected Portables'!AG18</f>
        <v>224.61519151968074</v>
      </c>
      <c r="AH25" s="67">
        <f>AH$6*'Eurostat Collected Portables'!AH18</f>
        <v>243.2887664675039</v>
      </c>
      <c r="AI25" s="67">
        <f>AI$6*'Eurostat Collected Portables'!AI18</f>
        <v>262.22094384994875</v>
      </c>
      <c r="AJ25" s="67">
        <f>AJ$6*'Eurostat Collected Portables'!AJ18</f>
        <v>282.65102899590164</v>
      </c>
      <c r="AK25" s="67">
        <f>AK$6*'Eurostat Collected Portables'!AK18</f>
        <v>304.70633203096321</v>
      </c>
      <c r="AL25" s="67">
        <f>AL$6*'Eurostat Collected Portables'!AL18</f>
        <v>328.5212787325836</v>
      </c>
      <c r="AM25" s="67">
        <f>AM$6*'Eurostat Collected Portables'!AM18</f>
        <v>354.24175593397695</v>
      </c>
      <c r="AN25" s="67">
        <f>AN$6*'Eurostat Collected Portables'!AN18</f>
        <v>382.02610669143439</v>
      </c>
      <c r="AO25" s="67">
        <f>AO$6*'Eurostat Collected Portables'!AO18</f>
        <v>411.9634404505897</v>
      </c>
      <c r="AP25" s="67">
        <f>AP$6*'Eurostat Collected Portables'!AP18</f>
        <v>443.59819306072978</v>
      </c>
      <c r="AQ25" s="67">
        <f>AQ$6*'Eurostat Collected Portables'!AQ18</f>
        <v>473.64117834984063</v>
      </c>
      <c r="AR25" s="67">
        <f>AR$6*'Eurostat Collected Portables'!AR18</f>
        <v>501.62848412246603</v>
      </c>
      <c r="AS25" s="67">
        <f>AS$6*'Eurostat Collected Portables'!AS18</f>
        <v>527.66112787580641</v>
      </c>
      <c r="AT25" s="67">
        <f>AT$6*'Eurostat Collected Portables'!AT18</f>
        <v>554.92311386176982</v>
      </c>
      <c r="AU25" s="67">
        <f>AU$6*'Eurostat Collected Portables'!AU18</f>
        <v>583.48862866296827</v>
      </c>
      <c r="AV25" s="67">
        <f>AV$6*'Eurostat Collected Portables'!AV18</f>
        <v>613.28805682955579</v>
      </c>
      <c r="AW25" s="67">
        <f>AW$6*'Eurostat Collected Portables'!AW18</f>
        <v>644.36560020663376</v>
      </c>
      <c r="AX25" s="67">
        <f>AX$6*'Eurostat Collected Portables'!AX18</f>
        <v>676.76664897089768</v>
      </c>
      <c r="AY25" s="67">
        <f>AY$6*'Eurostat Collected Portables'!AY18</f>
        <v>710.68155551653092</v>
      </c>
      <c r="AZ25" s="67">
        <f>AZ$6*'Eurostat Collected Portables'!AZ18</f>
        <v>746.17870124318893</v>
      </c>
    </row>
    <row r="26" spans="1:52" x14ac:dyDescent="0.35">
      <c r="A26" s="1" t="s">
        <v>16</v>
      </c>
      <c r="B26" s="23">
        <f t="shared" si="1"/>
        <v>0.6169537697092089</v>
      </c>
      <c r="C26" s="23">
        <f t="shared" si="2"/>
        <v>0.62929284510339312</v>
      </c>
      <c r="D26" s="23">
        <f t="shared" si="3"/>
        <v>0.64187870200546104</v>
      </c>
      <c r="E26" s="23">
        <f t="shared" si="4"/>
        <v>0.65471627604557026</v>
      </c>
      <c r="F26" s="23">
        <f t="shared" si="5"/>
        <v>0.66781060156648164</v>
      </c>
      <c r="G26" s="23">
        <f t="shared" si="6"/>
        <v>0.68116681359781128</v>
      </c>
      <c r="H26" s="23">
        <f t="shared" si="7"/>
        <v>0.6947901498697675</v>
      </c>
      <c r="I26" s="23">
        <f t="shared" si="8"/>
        <v>0.70868595286716285</v>
      </c>
      <c r="J26" s="23">
        <f t="shared" si="9"/>
        <v>0.72285967192450606</v>
      </c>
      <c r="K26" s="23">
        <f t="shared" si="10"/>
        <v>0.73731686536299623</v>
      </c>
      <c r="L26" s="23">
        <f t="shared" si="11"/>
        <v>0.75206320267025617</v>
      </c>
      <c r="M26" s="4">
        <f>$M$6*'Eurostat Collected Portables'!M19</f>
        <v>0.76710446672366128</v>
      </c>
      <c r="N26" s="4">
        <f>$N$6*'Eurostat Collected Portables'!N19</f>
        <v>1.0519921055534913</v>
      </c>
      <c r="O26" s="4">
        <f>$O$6*'Eurostat Collected Portables'!O19</f>
        <v>1.2131114353997055</v>
      </c>
      <c r="P26" s="4">
        <f>$P$6*'Eurostat Collected Portables'!P19</f>
        <v>1.3276042876752139</v>
      </c>
      <c r="Q26" s="4">
        <f>$Q$6*'Eurostat Collected Portables'!Q19</f>
        <v>1.016971605115609</v>
      </c>
      <c r="R26" s="4">
        <f>$R$6*'Eurostat Collected Portables'!R19</f>
        <v>1.5284009474321774</v>
      </c>
      <c r="S26" s="4">
        <f>$S$6*'Eurostat Collected Portables'!S19</f>
        <v>1.694881466860372</v>
      </c>
      <c r="T26" s="4">
        <f>$T$6*'Eurostat Collected Portables'!T19</f>
        <v>1.908413051278822</v>
      </c>
      <c r="U26" s="4">
        <f>$U$6*'Eurostat Collected Portables'!U19</f>
        <v>6.7966578166484446</v>
      </c>
      <c r="V26" s="4">
        <f>$V$6*'Eurostat Collected Portables'!V19</f>
        <v>4.1550189951851779</v>
      </c>
      <c r="W26" s="4">
        <f>$W$6*'Eurostat Collected Portables'!W19</f>
        <v>2.5595946898009361</v>
      </c>
      <c r="X26" s="67">
        <f>X$6*'Eurostat Collected Portables'!X19</f>
        <v>3.0945291152195589</v>
      </c>
      <c r="Y26" s="67">
        <f>Y$6*'Eurostat Collected Portables'!Y19</f>
        <v>3.2399554847986023</v>
      </c>
      <c r="Z26" s="67">
        <f>Z$6*'Eurostat Collected Portables'!Z19</f>
        <v>3.466351962016414</v>
      </c>
      <c r="AA26" s="67">
        <f>AA$6*'Eurostat Collected Portables'!AA19</f>
        <v>3.7149850047933213</v>
      </c>
      <c r="AB26" s="67">
        <f>AB$6*'Eurostat Collected Portables'!AB19</f>
        <v>3.9721609771598581</v>
      </c>
      <c r="AC26" s="67">
        <f>AC$6*'Eurostat Collected Portables'!AC19</f>
        <v>4.2429121617806604</v>
      </c>
      <c r="AD26" s="67">
        <f>AD$6*'Eurostat Collected Portables'!AD19</f>
        <v>4.5370107783926761</v>
      </c>
      <c r="AE26" s="67">
        <f>AE$6*'Eurostat Collected Portables'!AE19</f>
        <v>4.8794741408635103</v>
      </c>
      <c r="AF26" s="67">
        <f>AF$6*'Eurostat Collected Portables'!AF19</f>
        <v>5.2697756691317048</v>
      </c>
      <c r="AG26" s="67">
        <f>AG$6*'Eurostat Collected Portables'!AG19</f>
        <v>5.6703231248772408</v>
      </c>
      <c r="AH26" s="67">
        <f>AH$6*'Eurostat Collected Portables'!AH19</f>
        <v>6.0728215819872782</v>
      </c>
      <c r="AI26" s="67">
        <f>AI$6*'Eurostat Collected Portables'!AI19</f>
        <v>6.4737261613629222</v>
      </c>
      <c r="AJ26" s="67">
        <f>AJ$6*'Eurostat Collected Portables'!AJ19</f>
        <v>6.9035132292634067</v>
      </c>
      <c r="AK26" s="67">
        <f>AK$6*'Eurostat Collected Portables'!AK19</f>
        <v>7.3645051567294937</v>
      </c>
      <c r="AL26" s="67">
        <f>AL$6*'Eurostat Collected Portables'!AL19</f>
        <v>7.8591192650743009</v>
      </c>
      <c r="AM26" s="67">
        <f>AM$6*'Eurostat Collected Portables'!AM19</f>
        <v>8.3899684237993828</v>
      </c>
      <c r="AN26" s="67">
        <f>AN$6*'Eurostat Collected Portables'!AN19</f>
        <v>8.959877282084328</v>
      </c>
      <c r="AO26" s="67">
        <f>AO$6*'Eurostat Collected Portables'!AO19</f>
        <v>9.5699770565778763</v>
      </c>
      <c r="AP26" s="67">
        <f>AP$6*'Eurostat Collected Portables'!AP19</f>
        <v>10.208845454350167</v>
      </c>
      <c r="AQ26" s="67">
        <f>AQ$6*'Eurostat Collected Portables'!AQ19</f>
        <v>10.800882396037245</v>
      </c>
      <c r="AR26" s="67">
        <f>AR$6*'Eurostat Collected Portables'!AR19</f>
        <v>11.337052914951904</v>
      </c>
      <c r="AS26" s="67">
        <f>AS$6*'Eurostat Collected Portables'!AS19</f>
        <v>11.821258040604965</v>
      </c>
      <c r="AT26" s="67">
        <f>AT$6*'Eurostat Collected Portables'!AT19</f>
        <v>12.325703073135594</v>
      </c>
      <c r="AU26" s="67">
        <f>AU$6*'Eurostat Collected Portables'!AU19</f>
        <v>12.851642795083393</v>
      </c>
      <c r="AV26" s="67">
        <f>AV$6*'Eurostat Collected Portables'!AV19</f>
        <v>13.397158679441819</v>
      </c>
      <c r="AW26" s="67">
        <f>AW$6*'Eurostat Collected Portables'!AW19</f>
        <v>13.962869819082723</v>
      </c>
      <c r="AX26" s="67">
        <f>AX$6*'Eurostat Collected Portables'!AX19</f>
        <v>14.549409460250141</v>
      </c>
      <c r="AY26" s="67">
        <f>AY$6*'Eurostat Collected Portables'!AY19</f>
        <v>15.160491826949809</v>
      </c>
      <c r="AZ26" s="67">
        <f>AZ$6*'Eurostat Collected Portables'!AZ19</f>
        <v>15.797144589924111</v>
      </c>
    </row>
    <row r="27" spans="1:52" x14ac:dyDescent="0.35">
      <c r="A27" s="1" t="s">
        <v>17</v>
      </c>
      <c r="B27" s="23">
        <f t="shared" si="1"/>
        <v>1.0347334877800118</v>
      </c>
      <c r="C27" s="23">
        <f t="shared" si="2"/>
        <v>1.0554281575356121</v>
      </c>
      <c r="D27" s="23">
        <f t="shared" si="3"/>
        <v>1.0765367206863243</v>
      </c>
      <c r="E27" s="23">
        <f t="shared" si="4"/>
        <v>1.0980674551000509</v>
      </c>
      <c r="F27" s="23">
        <f t="shared" si="5"/>
        <v>1.1200288042020519</v>
      </c>
      <c r="G27" s="23">
        <f t="shared" si="6"/>
        <v>1.142429380286093</v>
      </c>
      <c r="H27" s="23">
        <f t="shared" si="7"/>
        <v>1.1652779678918148</v>
      </c>
      <c r="I27" s="23">
        <f t="shared" si="8"/>
        <v>1.1885835272496512</v>
      </c>
      <c r="J27" s="23">
        <f t="shared" si="9"/>
        <v>1.2123551977946443</v>
      </c>
      <c r="K27" s="23">
        <f t="shared" si="10"/>
        <v>1.2366023017505372</v>
      </c>
      <c r="L27" s="23">
        <f t="shared" si="11"/>
        <v>1.2613343477855479</v>
      </c>
      <c r="M27" s="4">
        <f>$M$6*'Eurostat Collected Portables'!M20</f>
        <v>1.2865610347412588</v>
      </c>
      <c r="N27" s="4">
        <f>$N$6*'Eurostat Collected Portables'!N20</f>
        <v>2.0632093232948319</v>
      </c>
      <c r="O27" s="4">
        <f>$O$6*'Eurostat Collected Portables'!O20</f>
        <v>2.5174342569196893</v>
      </c>
      <c r="P27" s="4">
        <f>$P$6*'Eurostat Collected Portables'!P20</f>
        <v>2.2397677778466192</v>
      </c>
      <c r="Q27" s="4">
        <f>$Q$6*'Eurostat Collected Portables'!Q20</f>
        <v>2.4172632767747939</v>
      </c>
      <c r="R27" s="4">
        <f>$R$6*'Eurostat Collected Portables'!R20</f>
        <v>3.3914222206335296</v>
      </c>
      <c r="S27" s="4">
        <f>$S$6*'Eurostat Collected Portables'!S20</f>
        <v>2.6138838622246627</v>
      </c>
      <c r="T27" s="4">
        <f>$T$6*'Eurostat Collected Portables'!T20</f>
        <v>2.9860083517853981</v>
      </c>
      <c r="U27" s="4">
        <f>$U$6*'Eurostat Collected Portables'!U20</f>
        <v>9.0451761920810121</v>
      </c>
      <c r="V27" s="4">
        <f>$V$6*'Eurostat Collected Portables'!V20</f>
        <v>4.7447636267598492</v>
      </c>
      <c r="W27" s="4">
        <f>$W$6*'Eurostat Collected Portables'!W20</f>
        <v>3.1974747544516426</v>
      </c>
      <c r="X27" s="67">
        <f>X$6*'Eurostat Collected Portables'!X20</f>
        <v>3.9077307244278154</v>
      </c>
      <c r="Y27" s="67">
        <f>Y$6*'Eurostat Collected Portables'!Y20</f>
        <v>4.2300124120367393</v>
      </c>
      <c r="Z27" s="67">
        <f>Z$6*'Eurostat Collected Portables'!Z20</f>
        <v>4.5332842175660497</v>
      </c>
      <c r="AA27" s="67">
        <f>AA$6*'Eurostat Collected Portables'!AA20</f>
        <v>4.8665755778072128</v>
      </c>
      <c r="AB27" s="67">
        <f>AB$6*'Eurostat Collected Portables'!AB20</f>
        <v>5.2120438330072734</v>
      </c>
      <c r="AC27" s="67">
        <f>AC$6*'Eurostat Collected Portables'!AC20</f>
        <v>5.5763372273077225</v>
      </c>
      <c r="AD27" s="67">
        <f>AD$6*'Eurostat Collected Portables'!AD20</f>
        <v>5.9723848154838262</v>
      </c>
      <c r="AE27" s="67">
        <f>AE$6*'Eurostat Collected Portables'!AE20</f>
        <v>6.433294536200509</v>
      </c>
      <c r="AF27" s="67">
        <f>AF$6*'Eurostat Collected Portables'!AF20</f>
        <v>6.9586450552596562</v>
      </c>
      <c r="AG27" s="67">
        <f>AG$6*'Eurostat Collected Portables'!AG20</f>
        <v>7.4989842014952561</v>
      </c>
      <c r="AH27" s="67">
        <f>AH$6*'Eurostat Collected Portables'!AH20</f>
        <v>8.0433577113319235</v>
      </c>
      <c r="AI27" s="67">
        <f>AI$6*'Eurostat Collected Portables'!AI20</f>
        <v>8.5870460707844529</v>
      </c>
      <c r="AJ27" s="67">
        <f>AJ$6*'Eurostat Collected Portables'!AJ20</f>
        <v>9.1704959602288909</v>
      </c>
      <c r="AK27" s="67">
        <f>AK$6*'Eurostat Collected Portables'!AK20</f>
        <v>9.7969348742355979</v>
      </c>
      <c r="AL27" s="67">
        <f>AL$6*'Eurostat Collected Portables'!AL20</f>
        <v>10.469730712301597</v>
      </c>
      <c r="AM27" s="67">
        <f>AM$6*'Eurostat Collected Portables'!AM20</f>
        <v>11.192526413320833</v>
      </c>
      <c r="AN27" s="67">
        <f>AN$6*'Eurostat Collected Portables'!AN20</f>
        <v>11.969262979116335</v>
      </c>
      <c r="AO27" s="67">
        <f>AO$6*'Eurostat Collected Portables'!AO20</f>
        <v>12.801632333249358</v>
      </c>
      <c r="AP27" s="67">
        <f>AP$6*'Eurostat Collected Portables'!AP20</f>
        <v>13.674514823513448</v>
      </c>
      <c r="AQ27" s="67">
        <f>AQ$6*'Eurostat Collected Portables'!AQ20</f>
        <v>14.486627363068468</v>
      </c>
      <c r="AR27" s="67">
        <f>AR$6*'Eurostat Collected Portables'!AR20</f>
        <v>15.225552432711044</v>
      </c>
      <c r="AS27" s="67">
        <f>AS$6*'Eurostat Collected Portables'!AS20</f>
        <v>15.896212500336125</v>
      </c>
      <c r="AT27" s="67">
        <f>AT$6*'Eurostat Collected Portables'!AT20</f>
        <v>16.595530605215572</v>
      </c>
      <c r="AU27" s="67">
        <f>AU$6*'Eurostat Collected Portables'!AU20</f>
        <v>17.325274452056981</v>
      </c>
      <c r="AV27" s="67">
        <f>AV$6*'Eurostat Collected Portables'!AV20</f>
        <v>18.082935016687347</v>
      </c>
      <c r="AW27" s="67">
        <f>AW$6*'Eurostat Collected Portables'!AW20</f>
        <v>18.869418064814081</v>
      </c>
      <c r="AX27" s="67">
        <f>AX$6*'Eurostat Collected Portables'!AX20</f>
        <v>19.685650855573698</v>
      </c>
      <c r="AY27" s="67">
        <f>AY$6*'Eurostat Collected Portables'!AY20</f>
        <v>20.536736572447552</v>
      </c>
      <c r="AZ27" s="67">
        <f>AZ$6*'Eurostat Collected Portables'!AZ20</f>
        <v>21.42415667742992</v>
      </c>
    </row>
    <row r="28" spans="1:52" x14ac:dyDescent="0.35">
      <c r="A28" s="1" t="s">
        <v>18</v>
      </c>
      <c r="B28" s="23">
        <f t="shared" si="1"/>
        <v>0.64610119190019522</v>
      </c>
      <c r="C28" s="23">
        <f t="shared" si="2"/>
        <v>0.65902321573819911</v>
      </c>
      <c r="D28" s="23">
        <f t="shared" si="3"/>
        <v>0.67220368005296305</v>
      </c>
      <c r="E28" s="23">
        <f t="shared" si="4"/>
        <v>0.68564775365402231</v>
      </c>
      <c r="F28" s="23">
        <f t="shared" si="5"/>
        <v>0.69936070872710276</v>
      </c>
      <c r="G28" s="23">
        <f t="shared" si="6"/>
        <v>0.71334792290164484</v>
      </c>
      <c r="H28" s="23">
        <f t="shared" si="7"/>
        <v>0.72761488135967778</v>
      </c>
      <c r="I28" s="23">
        <f t="shared" si="8"/>
        <v>0.74216717898687135</v>
      </c>
      <c r="J28" s="23">
        <f t="shared" si="9"/>
        <v>0.75701052256660883</v>
      </c>
      <c r="K28" s="23">
        <f t="shared" si="10"/>
        <v>0.77215073301794102</v>
      </c>
      <c r="L28" s="23">
        <f t="shared" si="11"/>
        <v>0.78759374767829982</v>
      </c>
      <c r="M28" s="4">
        <f>$M$6*'Eurostat Collected Portables'!M21</f>
        <v>0.80334562263186582</v>
      </c>
      <c r="N28" s="4">
        <f>$N$6*'Eurostat Collected Portables'!N21</f>
        <v>1.0438371279910612</v>
      </c>
      <c r="O28" s="4">
        <f>$O$6*'Eurostat Collected Portables'!O21</f>
        <v>1.0671732176072597</v>
      </c>
      <c r="P28" s="4">
        <f>$P$6*'Eurostat Collected Portables'!P21</f>
        <v>1.0927899238687135</v>
      </c>
      <c r="Q28" s="4">
        <f>$Q$6*'Eurostat Collected Portables'!Q21</f>
        <v>0.82922300109426583</v>
      </c>
      <c r="R28" s="4">
        <f>$R$6*'Eurostat Collected Portables'!R21</f>
        <v>1.030992355072593</v>
      </c>
      <c r="S28" s="4">
        <f>$S$6*'Eurostat Collected Portables'!S21</f>
        <v>0.82107591061235796</v>
      </c>
      <c r="T28" s="4">
        <f>$T$6*'Eurostat Collected Portables'!T21</f>
        <v>1.1516285654268754</v>
      </c>
      <c r="U28" s="4">
        <f>$U$6*'Eurostat Collected Portables'!U21</f>
        <v>3.9860098473577343</v>
      </c>
      <c r="V28" s="4">
        <f>$V$6*'Eurostat Collected Portables'!V21</f>
        <v>2.1847357942425294</v>
      </c>
      <c r="W28" s="4">
        <f>$W$6*'Eurostat Collected Portables'!W21</f>
        <v>1.3322811476881844</v>
      </c>
      <c r="X28" s="67">
        <f>X$6*'Eurostat Collected Portables'!X21</f>
        <v>1.5876405629637071</v>
      </c>
      <c r="Y28" s="67">
        <f>Y$6*'Eurostat Collected Portables'!Y21</f>
        <v>1.682457525778994</v>
      </c>
      <c r="Z28" s="67">
        <f>Z$6*'Eurostat Collected Portables'!Z21</f>
        <v>1.7873034127645202</v>
      </c>
      <c r="AA28" s="67">
        <f>AA$6*'Eurostat Collected Portables'!AA21</f>
        <v>1.9020631652914133</v>
      </c>
      <c r="AB28" s="67">
        <f>AB$6*'Eurostat Collected Portables'!AB21</f>
        <v>2.0195673090854838</v>
      </c>
      <c r="AC28" s="67">
        <f>AC$6*'Eurostat Collected Portables'!AC21</f>
        <v>2.1422997422269248</v>
      </c>
      <c r="AD28" s="67">
        <f>AD$6*'Eurostat Collected Portables'!AD21</f>
        <v>2.2750529003788866</v>
      </c>
      <c r="AE28" s="67">
        <f>AE$6*'Eurostat Collected Portables'!AE21</f>
        <v>2.4300807729902476</v>
      </c>
      <c r="AF28" s="67">
        <f>AF$6*'Eurostat Collected Portables'!AF21</f>
        <v>2.606669939834739</v>
      </c>
      <c r="AG28" s="67">
        <f>AG$6*'Eurostat Collected Portables'!AG21</f>
        <v>2.7859152764206416</v>
      </c>
      <c r="AH28" s="67">
        <f>AH$6*'Eurostat Collected Portables'!AH21</f>
        <v>2.9637153251195669</v>
      </c>
      <c r="AI28" s="67">
        <f>AI$6*'Eurostat Collected Portables'!AI21</f>
        <v>3.1383803772750052</v>
      </c>
      <c r="AJ28" s="67">
        <f>AJ$6*'Eurostat Collected Portables'!AJ21</f>
        <v>3.3246495534757958</v>
      </c>
      <c r="AK28" s="67">
        <f>AK$6*'Eurostat Collected Portables'!AK21</f>
        <v>3.5234057159759802</v>
      </c>
      <c r="AL28" s="67">
        <f>AL$6*'Eurostat Collected Portables'!AL21</f>
        <v>3.7355538567391382</v>
      </c>
      <c r="AM28" s="67">
        <f>AM$6*'Eurostat Collected Portables'!AM21</f>
        <v>3.962067887640599</v>
      </c>
      <c r="AN28" s="67">
        <f>AN$6*'Eurostat Collected Portables'!AN21</f>
        <v>4.203996040688831</v>
      </c>
      <c r="AO28" s="67">
        <f>AO$6*'Eurostat Collected Portables'!AO21</f>
        <v>4.4615702747676131</v>
      </c>
      <c r="AP28" s="67">
        <f>AP$6*'Eurostat Collected Portables'!AP21</f>
        <v>4.7292013025885646</v>
      </c>
      <c r="AQ28" s="67">
        <f>AQ$6*'Eurostat Collected Portables'!AQ21</f>
        <v>4.9718983304266304</v>
      </c>
      <c r="AR28" s="67">
        <f>AR$6*'Eurostat Collected Portables'!AR21</f>
        <v>5.1859973093241605</v>
      </c>
      <c r="AS28" s="67">
        <f>AS$6*'Eurostat Collected Portables'!AS21</f>
        <v>5.3738060415612878</v>
      </c>
      <c r="AT28" s="67">
        <f>AT$6*'Eurostat Collected Portables'!AT21</f>
        <v>5.5684332808551558</v>
      </c>
      <c r="AU28" s="67">
        <f>AU$6*'Eurostat Collected Portables'!AU21</f>
        <v>5.7703165615046119</v>
      </c>
      <c r="AV28" s="67">
        <f>AV$6*'Eurostat Collected Portables'!AV21</f>
        <v>5.9784666299044034</v>
      </c>
      <c r="AW28" s="67">
        <f>AW$6*'Eurostat Collected Portables'!AW21</f>
        <v>6.1930438100102494</v>
      </c>
      <c r="AX28" s="67">
        <f>AX$6*'Eurostat Collected Portables'!AX21</f>
        <v>6.4142107912191575</v>
      </c>
      <c r="AY28" s="67">
        <f>AY$6*'Eurostat Collected Portables'!AY21</f>
        <v>6.6434764699272986</v>
      </c>
      <c r="AZ28" s="67">
        <f>AZ$6*'Eurostat Collected Portables'!AZ21</f>
        <v>6.8811434690168287</v>
      </c>
    </row>
    <row r="29" spans="1:52" x14ac:dyDescent="0.35">
      <c r="A29" s="1" t="s">
        <v>19</v>
      </c>
      <c r="B29" s="23">
        <f t="shared" si="1"/>
        <v>8.7442266572958741E-2</v>
      </c>
      <c r="C29" s="23">
        <f t="shared" si="2"/>
        <v>8.9191111904417919E-2</v>
      </c>
      <c r="D29" s="23">
        <f t="shared" si="3"/>
        <v>9.0974934142506278E-2</v>
      </c>
      <c r="E29" s="23">
        <f t="shared" si="4"/>
        <v>9.2794432825356404E-2</v>
      </c>
      <c r="F29" s="23">
        <f t="shared" si="5"/>
        <v>9.4650321481863531E-2</v>
      </c>
      <c r="G29" s="23">
        <f t="shared" si="6"/>
        <v>9.6543327911500804E-2</v>
      </c>
      <c r="H29" s="23">
        <f t="shared" si="7"/>
        <v>9.8474194469730825E-2</v>
      </c>
      <c r="I29" s="23">
        <f t="shared" si="8"/>
        <v>0.10044367835912545</v>
      </c>
      <c r="J29" s="23">
        <f t="shared" si="9"/>
        <v>0.10245255192630795</v>
      </c>
      <c r="K29" s="23">
        <f t="shared" si="10"/>
        <v>0.10450160296483411</v>
      </c>
      <c r="L29" s="23">
        <f t="shared" si="11"/>
        <v>0.1065916350241308</v>
      </c>
      <c r="M29" s="4">
        <f>$M$6*'Eurostat Collected Portables'!M22</f>
        <v>0.10872346772461342</v>
      </c>
      <c r="N29" s="4">
        <f>$N$6*'Eurostat Collected Portables'!N22</f>
        <v>0.16309955124860331</v>
      </c>
      <c r="O29" s="4">
        <f>$O$6*'Eurostat Collected Portables'!O22</f>
        <v>0.35572440586908655</v>
      </c>
      <c r="P29" s="4">
        <f>$P$6*'Eurostat Collected Portables'!P22</f>
        <v>0.18965775538217342</v>
      </c>
      <c r="Q29" s="4">
        <f>$Q$6*'Eurostat Collected Portables'!Q22</f>
        <v>0.27380004753112552</v>
      </c>
      <c r="R29" s="4">
        <f>$R$6*'Eurostat Collected Portables'!R22</f>
        <v>0.20800722953218984</v>
      </c>
      <c r="S29" s="4">
        <f>$S$6*'Eurostat Collected Portables'!S22</f>
        <v>0.17325454994572692</v>
      </c>
      <c r="T29" s="4">
        <f>$T$6*'Eurostat Collected Portables'!T22</f>
        <v>0.21387387643641972</v>
      </c>
      <c r="U29" s="4">
        <f>$U$6*'Eurostat Collected Portables'!U22</f>
        <v>0.76654035526110276</v>
      </c>
      <c r="V29" s="4">
        <f>$V$6*'Eurostat Collected Portables'!V22</f>
        <v>0.4691150478434879</v>
      </c>
      <c r="W29" s="4">
        <f>$W$6*'Eurostat Collected Portables'!W22</f>
        <v>0.2826050919338573</v>
      </c>
      <c r="X29" s="67">
        <f>X$6*'Eurostat Collected Portables'!X22</f>
        <v>0.33315061812871799</v>
      </c>
      <c r="Y29" s="67">
        <f>Y$6*'Eurostat Collected Portables'!Y22</f>
        <v>0.37851730768377168</v>
      </c>
      <c r="Z29" s="67">
        <f>Z$6*'Eurostat Collected Portables'!Z22</f>
        <v>0.42359622766106919</v>
      </c>
      <c r="AA29" s="67">
        <f>AA$6*'Eurostat Collected Portables'!AA22</f>
        <v>0.47366533587252296</v>
      </c>
      <c r="AB29" s="67">
        <f>AB$6*'Eurostat Collected Portables'!AB22</f>
        <v>0.52721064943192042</v>
      </c>
      <c r="AC29" s="67">
        <f>AC$6*'Eurostat Collected Portables'!AC22</f>
        <v>0.58500945688557715</v>
      </c>
      <c r="AD29" s="67">
        <f>AD$6*'Eurostat Collected Portables'!AD22</f>
        <v>0.64861667704444581</v>
      </c>
      <c r="AE29" s="67">
        <f>AE$6*'Eurostat Collected Portables'!AE22</f>
        <v>0.72203473361476334</v>
      </c>
      <c r="AF29" s="67">
        <f>AF$6*'Eurostat Collected Portables'!AF22</f>
        <v>0.80584657818489991</v>
      </c>
      <c r="AG29" s="67">
        <f>AG$6*'Eurostat Collected Portables'!AG22</f>
        <v>0.89475818188409872</v>
      </c>
      <c r="AH29" s="67">
        <f>AH$6*'Eurostat Collected Portables'!AH22</f>
        <v>0.98749876910136591</v>
      </c>
      <c r="AI29" s="67">
        <f>AI$6*'Eurostat Collected Portables'!AI22</f>
        <v>1.0834328828597399</v>
      </c>
      <c r="AJ29" s="67">
        <f>AJ$6*'Eurostat Collected Portables'!AJ22</f>
        <v>1.1877129064728702</v>
      </c>
      <c r="AK29" s="67">
        <f>AK$6*'Eurostat Collected Portables'!AK22</f>
        <v>1.3010834427501252</v>
      </c>
      <c r="AL29" s="67">
        <f>AL$6*'Eurostat Collected Portables'!AL22</f>
        <v>1.424339995096976</v>
      </c>
      <c r="AM29" s="67">
        <f>AM$6*'Eurostat Collected Portables'!AM22</f>
        <v>1.5583487013529653</v>
      </c>
      <c r="AN29" s="67">
        <f>AN$6*'Eurostat Collected Portables'!AN22</f>
        <v>1.7040526662428088</v>
      </c>
      <c r="AO29" s="67">
        <f>AO$6*'Eurostat Collected Portables'!AO22</f>
        <v>1.862104726816677</v>
      </c>
      <c r="AP29" s="67">
        <f>AP$6*'Eurostat Collected Portables'!AP22</f>
        <v>2.0306692946896239</v>
      </c>
      <c r="AQ29" s="67">
        <f>AQ$6*'Eurostat Collected Portables'!AQ22</f>
        <v>2.1946637296960301</v>
      </c>
      <c r="AR29" s="67">
        <f>AR$6*'Eurostat Collected Portables'!AR22</f>
        <v>2.3515271825964912</v>
      </c>
      <c r="AS29" s="67">
        <f>AS$6*'Eurostat Collected Portables'!AS22</f>
        <v>2.5013022452870808</v>
      </c>
      <c r="AT29" s="67">
        <f>AT$6*'Eurostat Collected Portables'!AT22</f>
        <v>2.6588495335847804</v>
      </c>
      <c r="AU29" s="67">
        <f>AU$6*'Eurostat Collected Portables'!AU22</f>
        <v>2.8246291854096213</v>
      </c>
      <c r="AV29" s="67">
        <f>AV$6*'Eurostat Collected Portables'!AV22</f>
        <v>2.9984067993600396</v>
      </c>
      <c r="AW29" s="67">
        <f>AW$6*'Eurostat Collected Portables'!AW22</f>
        <v>3.1804907696904121</v>
      </c>
      <c r="AX29" s="67">
        <f>AX$6*'Eurostat Collected Portables'!AX22</f>
        <v>3.3711984449316117</v>
      </c>
      <c r="AY29" s="67">
        <f>AY$6*'Eurostat Collected Portables'!AY22</f>
        <v>3.5715787285847482</v>
      </c>
      <c r="AZ29" s="67">
        <f>AZ$6*'Eurostat Collected Portables'!AZ22</f>
        <v>3.7820900916022691</v>
      </c>
    </row>
    <row r="30" spans="1:52" x14ac:dyDescent="0.35">
      <c r="A30" s="1" t="s">
        <v>20</v>
      </c>
      <c r="B30" s="23">
        <f t="shared" si="1"/>
        <v>16.133098182710892</v>
      </c>
      <c r="C30" s="23">
        <f t="shared" si="2"/>
        <v>16.455760146365112</v>
      </c>
      <c r="D30" s="23">
        <f t="shared" si="3"/>
        <v>16.784875349292413</v>
      </c>
      <c r="E30" s="23">
        <f t="shared" si="4"/>
        <v>17.120572856278262</v>
      </c>
      <c r="F30" s="23">
        <f t="shared" si="5"/>
        <v>17.462984313403826</v>
      </c>
      <c r="G30" s="23">
        <f t="shared" si="6"/>
        <v>17.812243999671903</v>
      </c>
      <c r="H30" s="23">
        <f t="shared" si="7"/>
        <v>18.16848887966534</v>
      </c>
      <c r="I30" s="23">
        <f t="shared" si="8"/>
        <v>18.531858657258645</v>
      </c>
      <c r="J30" s="23">
        <f t="shared" si="9"/>
        <v>18.902495830403819</v>
      </c>
      <c r="K30" s="23">
        <f t="shared" si="10"/>
        <v>19.280545747011896</v>
      </c>
      <c r="L30" s="23">
        <f t="shared" si="11"/>
        <v>19.666156661952133</v>
      </c>
      <c r="M30" s="4">
        <f>$M$6*'Eurostat Collected Portables'!M23</f>
        <v>20.059479795191177</v>
      </c>
      <c r="N30" s="4">
        <f>$N$6*'Eurostat Collected Portables'!N23</f>
        <v>26.895116000894685</v>
      </c>
      <c r="O30" s="4">
        <f>$O$6*'Eurostat Collected Portables'!O23</f>
        <v>28.795434598171955</v>
      </c>
      <c r="P30" s="4">
        <f>$P$6*'Eurostat Collected Portables'!P23</f>
        <v>29.45114001434607</v>
      </c>
      <c r="Q30" s="4">
        <f>$Q$6*'Eurostat Collected Portables'!Q23</f>
        <v>26.832404658050301</v>
      </c>
      <c r="R30" s="4">
        <f>$R$6*'Eurostat Collected Portables'!R23</f>
        <v>35.668717968476379</v>
      </c>
      <c r="S30" s="4">
        <f>$S$6*'Eurostat Collected Portables'!S23</f>
        <v>30.131226077517724</v>
      </c>
      <c r="T30" s="4">
        <f>$T$6*'Eurostat Collected Portables'!T23</f>
        <v>35.445482060174328</v>
      </c>
      <c r="U30" s="4">
        <f>$U$6*'Eurostat Collected Portables'!U23</f>
        <v>117.40843108082558</v>
      </c>
      <c r="V30" s="4">
        <f>$V$6*'Eurostat Collected Portables'!V23</f>
        <v>62.767593401458676</v>
      </c>
      <c r="W30" s="4">
        <f>$W$6*'Eurostat Collected Portables'!W23</f>
        <v>36.722513089005233</v>
      </c>
      <c r="X30" s="67">
        <f>X$6*'Eurostat Collected Portables'!X23</f>
        <v>46.199042979725206</v>
      </c>
      <c r="Y30" s="67">
        <f>Y$6*'Eurostat Collected Portables'!Y23</f>
        <v>49.575102359726678</v>
      </c>
      <c r="Z30" s="67">
        <f>Z$6*'Eurostat Collected Portables'!Z23</f>
        <v>53.347539572687253</v>
      </c>
      <c r="AA30" s="67">
        <f>AA$6*'Eurostat Collected Portables'!AA23</f>
        <v>57.49981392180154</v>
      </c>
      <c r="AB30" s="67">
        <f>AB$6*'Eurostat Collected Portables'!AB23</f>
        <v>61.823816994257811</v>
      </c>
      <c r="AC30" s="67">
        <f>AC$6*'Eurostat Collected Portables'!AC23</f>
        <v>66.39968267188614</v>
      </c>
      <c r="AD30" s="67">
        <f>AD$6*'Eurostat Collected Portables'!AD23</f>
        <v>71.383776374842242</v>
      </c>
      <c r="AE30" s="67">
        <f>AE$6*'Eurostat Collected Portables'!AE23</f>
        <v>77.176760643721735</v>
      </c>
      <c r="AF30" s="67">
        <f>AF$6*'Eurostat Collected Portables'!AF23</f>
        <v>83.781243791221286</v>
      </c>
      <c r="AG30" s="67">
        <f>AG$6*'Eurostat Collected Portables'!AG23</f>
        <v>90.607089721014447</v>
      </c>
      <c r="AH30" s="67">
        <f>AH$6*'Eurostat Collected Portables'!AH23</f>
        <v>97.522383482300356</v>
      </c>
      <c r="AI30" s="67">
        <f>AI$6*'Eurostat Collected Portables'!AI23</f>
        <v>104.46922163827089</v>
      </c>
      <c r="AJ30" s="67">
        <f>AJ$6*'Eurostat Collected Portables'!AJ23</f>
        <v>111.94027303698378</v>
      </c>
      <c r="AK30" s="67">
        <f>AK$6*'Eurostat Collected Portables'!AK23</f>
        <v>119.97890524758938</v>
      </c>
      <c r="AL30" s="67">
        <f>AL$6*'Eurostat Collected Portables'!AL23</f>
        <v>128.63059748348624</v>
      </c>
      <c r="AM30" s="67">
        <f>AM$6*'Eurostat Collected Portables'!AM23</f>
        <v>137.94461195179457</v>
      </c>
      <c r="AN30" s="67">
        <f>AN$6*'Eurostat Collected Portables'!AN23</f>
        <v>147.97431562985969</v>
      </c>
      <c r="AO30" s="67">
        <f>AO$6*'Eurostat Collected Portables'!AO23</f>
        <v>158.74563438145205</v>
      </c>
      <c r="AP30" s="67">
        <f>AP$6*'Eurostat Collected Portables'!AP23</f>
        <v>170.07550013178491</v>
      </c>
      <c r="AQ30" s="67">
        <f>AQ$6*'Eurostat Collected Portables'!AQ23</f>
        <v>180.7037024014885</v>
      </c>
      <c r="AR30" s="67">
        <f>AR$6*'Eurostat Collected Portables'!AR23</f>
        <v>190.46708363479411</v>
      </c>
      <c r="AS30" s="67">
        <f>AS$6*'Eurostat Collected Portables'!AS23</f>
        <v>199.41849663492812</v>
      </c>
      <c r="AT30" s="67">
        <f>AT$6*'Eurostat Collected Portables'!AT23</f>
        <v>208.76909699976716</v>
      </c>
      <c r="AU30" s="67">
        <f>AU$6*'Eurostat Collected Portables'!AU23</f>
        <v>218.54327333531506</v>
      </c>
      <c r="AV30" s="67">
        <f>AV$6*'Eurostat Collected Portables'!AV23</f>
        <v>228.711500077452</v>
      </c>
      <c r="AW30" s="67">
        <f>AW$6*'Eurostat Collected Portables'!AW23</f>
        <v>239.28715683460814</v>
      </c>
      <c r="AX30" s="67">
        <f>AX$6*'Eurostat Collected Portables'!AX23</f>
        <v>250.28396060161563</v>
      </c>
      <c r="AY30" s="67">
        <f>AY$6*'Eurostat Collected Portables'!AY23</f>
        <v>261.76892086308419</v>
      </c>
      <c r="AZ30" s="67">
        <f>AZ$6*'Eurostat Collected Portables'!AZ23</f>
        <v>273.7633626671373</v>
      </c>
    </row>
    <row r="31" spans="1:52" x14ac:dyDescent="0.35">
      <c r="A31" s="1" t="s">
        <v>21</v>
      </c>
      <c r="B31" s="23">
        <f t="shared" si="1"/>
        <v>2.2054882791179597</v>
      </c>
      <c r="C31" s="23">
        <f t="shared" si="2"/>
        <v>2.2495980447003188</v>
      </c>
      <c r="D31" s="23">
        <f t="shared" si="3"/>
        <v>2.2945900055943254</v>
      </c>
      <c r="E31" s="23">
        <f t="shared" si="4"/>
        <v>2.340481805706212</v>
      </c>
      <c r="F31" s="23">
        <f t="shared" si="5"/>
        <v>2.3872914418203361</v>
      </c>
      <c r="G31" s="23">
        <f t="shared" si="6"/>
        <v>2.4350372706567427</v>
      </c>
      <c r="H31" s="23">
        <f t="shared" si="7"/>
        <v>2.4837380160698777</v>
      </c>
      <c r="I31" s="23">
        <f t="shared" si="8"/>
        <v>2.533412776391275</v>
      </c>
      <c r="J31" s="23">
        <f t="shared" si="9"/>
        <v>2.5840810319191005</v>
      </c>
      <c r="K31" s="23">
        <f t="shared" si="10"/>
        <v>2.6357626525574824</v>
      </c>
      <c r="L31" s="23">
        <f t="shared" si="11"/>
        <v>2.6884779056086323</v>
      </c>
      <c r="M31" s="4">
        <f>$M$6*'Eurostat Collected Portables'!M24</f>
        <v>2.7422474637208052</v>
      </c>
      <c r="N31" s="4">
        <f>$N$6*'Eurostat Collected Portables'!N24</f>
        <v>5.4149051014536305</v>
      </c>
      <c r="O31" s="4">
        <f>$O$6*'Eurostat Collected Portables'!O24</f>
        <v>7.4337279688027058</v>
      </c>
      <c r="P31" s="4">
        <f>$P$6*'Eurostat Collected Portables'!P24</f>
        <v>7.9385317609966872</v>
      </c>
      <c r="Q31" s="4">
        <f>$Q$6*'Eurostat Collected Portables'!Q24</f>
        <v>5.0848580255780451</v>
      </c>
      <c r="R31" s="4">
        <f>$R$6*'Eurostat Collected Portables'!R24</f>
        <v>16.070819429508752</v>
      </c>
      <c r="S31" s="4">
        <f>$S$6*'Eurostat Collected Portables'!S24</f>
        <v>7.9772421040228174</v>
      </c>
      <c r="T31" s="4">
        <f>$T$6*'Eurostat Collected Portables'!T24</f>
        <v>9.6243244396388867</v>
      </c>
      <c r="U31" s="4">
        <f>$U$6*'Eurostat Collected Portables'!U24</f>
        <v>49.595160985393349</v>
      </c>
      <c r="V31" s="4">
        <f>$V$6*'Eurostat Collected Portables'!V24</f>
        <v>31.109029315563866</v>
      </c>
      <c r="W31" s="4">
        <f>$W$6*'Eurostat Collected Portables'!W24</f>
        <v>18.756903673210015</v>
      </c>
      <c r="X31" s="67">
        <f>X$6*'Eurostat Collected Portables'!X24</f>
        <v>19.635047781692514</v>
      </c>
      <c r="Y31" s="67">
        <f>Y$6*'Eurostat Collected Portables'!Y24</f>
        <v>20.238823396847256</v>
      </c>
      <c r="Z31" s="67">
        <f>Z$6*'Eurostat Collected Portables'!Z24</f>
        <v>21.500048336004866</v>
      </c>
      <c r="AA31" s="67">
        <f>AA$6*'Eurostat Collected Portables'!AA24</f>
        <v>22.880530356424551</v>
      </c>
      <c r="AB31" s="67">
        <f>AB$6*'Eurostat Collected Portables'!AB24</f>
        <v>24.294025543201901</v>
      </c>
      <c r="AC31" s="67">
        <f>AC$6*'Eurostat Collected Portables'!AC24</f>
        <v>25.770413506259029</v>
      </c>
      <c r="AD31" s="67">
        <f>AD$6*'Eurostat Collected Portables'!AD24</f>
        <v>27.367343997545753</v>
      </c>
      <c r="AE31" s="67">
        <f>AE$6*'Eurostat Collected Portables'!AE24</f>
        <v>29.232224202421975</v>
      </c>
      <c r="AF31" s="67">
        <f>AF$6*'Eurostat Collected Portables'!AF24</f>
        <v>31.356472159235796</v>
      </c>
      <c r="AG31" s="67">
        <f>AG$6*'Eurostat Collected Portables'!AG24</f>
        <v>33.512672037262945</v>
      </c>
      <c r="AH31" s="67">
        <f>AH$6*'Eurostat Collected Portables'!AH24</f>
        <v>35.651486081856589</v>
      </c>
      <c r="AI31" s="67">
        <f>AI$6*'Eurostat Collected Portables'!AI24</f>
        <v>37.752588243433166</v>
      </c>
      <c r="AJ31" s="67">
        <f>AJ$6*'Eurostat Collected Portables'!AJ24</f>
        <v>39.993280150147761</v>
      </c>
      <c r="AK31" s="67">
        <f>AK$6*'Eurostat Collected Portables'!AK24</f>
        <v>42.384182036371477</v>
      </c>
      <c r="AL31" s="67">
        <f>AL$6*'Eurostat Collected Portables'!AL24</f>
        <v>44.93618034187822</v>
      </c>
      <c r="AM31" s="67">
        <f>AM$6*'Eurostat Collected Portables'!AM24</f>
        <v>47.660990566255236</v>
      </c>
      <c r="AN31" s="67">
        <f>AN$6*'Eurostat Collected Portables'!AN24</f>
        <v>50.571222229905459</v>
      </c>
      <c r="AO31" s="67">
        <f>AO$6*'Eurostat Collected Portables'!AO24</f>
        <v>53.669665640941929</v>
      </c>
      <c r="AP31" s="67">
        <f>AP$6*'Eurostat Collected Portables'!AP24</f>
        <v>56.889085462596583</v>
      </c>
      <c r="AQ31" s="67">
        <f>AQ$6*'Eurostat Collected Portables'!AQ24</f>
        <v>59.808566168702434</v>
      </c>
      <c r="AR31" s="67">
        <f>AR$6*'Eurostat Collected Portables'!AR24</f>
        <v>62.384031734376165</v>
      </c>
      <c r="AS31" s="67">
        <f>AS$6*'Eurostat Collected Portables'!AS24</f>
        <v>64.643243456451046</v>
      </c>
      <c r="AT31" s="67">
        <f>AT$6*'Eurostat Collected Portables'!AT24</f>
        <v>66.984477195745995</v>
      </c>
      <c r="AU31" s="67">
        <f>AU$6*'Eurostat Collected Portables'!AU24</f>
        <v>69.412996193245633</v>
      </c>
      <c r="AV31" s="67">
        <f>AV$6*'Eurostat Collected Portables'!AV24</f>
        <v>71.916900398752716</v>
      </c>
      <c r="AW31" s="67">
        <f>AW$6*'Eurostat Collected Portables'!AW24</f>
        <v>74.498118400761385</v>
      </c>
      <c r="AX31" s="67">
        <f>AX$6*'Eurostat Collected Portables'!AX24</f>
        <v>77.158607242420786</v>
      </c>
      <c r="AY31" s="67">
        <f>AY$6*'Eurostat Collected Portables'!AY24</f>
        <v>79.916517924406079</v>
      </c>
      <c r="AZ31" s="67">
        <f>AZ$6*'Eurostat Collected Portables'!AZ24</f>
        <v>82.77549079482344</v>
      </c>
    </row>
    <row r="32" spans="1:52" x14ac:dyDescent="0.35">
      <c r="A32" s="1" t="s">
        <v>22</v>
      </c>
      <c r="B32" s="23">
        <f t="shared" si="1"/>
        <v>10.833125247649889</v>
      </c>
      <c r="C32" s="23">
        <f t="shared" si="2"/>
        <v>11.049787752602887</v>
      </c>
      <c r="D32" s="23">
        <f t="shared" si="3"/>
        <v>11.270783507654945</v>
      </c>
      <c r="E32" s="23">
        <f t="shared" si="4"/>
        <v>11.496199177808045</v>
      </c>
      <c r="F32" s="23">
        <f t="shared" si="5"/>
        <v>11.726123161364205</v>
      </c>
      <c r="G32" s="23">
        <f t="shared" si="6"/>
        <v>11.960645624591489</v>
      </c>
      <c r="H32" s="23">
        <f t="shared" si="7"/>
        <v>12.199858537083319</v>
      </c>
      <c r="I32" s="23">
        <f t="shared" si="8"/>
        <v>12.443855707824985</v>
      </c>
      <c r="J32" s="23">
        <f t="shared" si="9"/>
        <v>12.692732821981485</v>
      </c>
      <c r="K32" s="23">
        <f t="shared" si="10"/>
        <v>12.946587478421115</v>
      </c>
      <c r="L32" s="23">
        <f t="shared" si="11"/>
        <v>13.205519227989537</v>
      </c>
      <c r="M32" s="4">
        <f>$M$6*'Eurostat Collected Portables'!M25</f>
        <v>13.469629612549328</v>
      </c>
      <c r="N32" s="4">
        <f>$N$6*'Eurostat Collected Portables'!N25</f>
        <v>23.918549190607678</v>
      </c>
      <c r="O32" s="4">
        <f>$O$6*'Eurostat Collected Portables'!O25</f>
        <v>28.914009400128315</v>
      </c>
      <c r="P32" s="4">
        <f>$P$6*'Eurostat Collected Portables'!P25</f>
        <v>33.506203450850634</v>
      </c>
      <c r="Q32" s="4">
        <f>$Q$6*'Eurostat Collected Portables'!Q25</f>
        <v>50.645185934757336</v>
      </c>
      <c r="R32" s="4">
        <f>$R$6*'Eurostat Collected Portables'!R25</f>
        <v>86.956065737043701</v>
      </c>
      <c r="S32" s="4">
        <f>$S$6*'Eurostat Collected Portables'!S25</f>
        <v>62.605154982562453</v>
      </c>
      <c r="T32" s="4">
        <f>$T$6*'Eurostat Collected Portables'!T25</f>
        <v>88.066681581858063</v>
      </c>
      <c r="U32" s="4">
        <f>$U$6*'Eurostat Collected Portables'!U25</f>
        <v>285.61293637028689</v>
      </c>
      <c r="V32" s="4">
        <f>$V$6*'Eurostat Collected Portables'!V25</f>
        <v>147.08767242955531</v>
      </c>
      <c r="W32" s="4">
        <f>$W$6*'Eurostat Collected Portables'!W25</f>
        <v>73.331984141236916</v>
      </c>
      <c r="X32" s="67">
        <f>X$6*'Eurostat Collected Portables'!X25</f>
        <v>85.788132523643156</v>
      </c>
      <c r="Y32" s="67">
        <f>Y$6*'Eurostat Collected Portables'!Y25</f>
        <v>91.203979788452187</v>
      </c>
      <c r="Z32" s="67">
        <f>Z$6*'Eurostat Collected Portables'!Z25</f>
        <v>97.92383200606271</v>
      </c>
      <c r="AA32" s="67">
        <f>AA$6*'Eurostat Collected Portables'!AA25</f>
        <v>105.31417894830304</v>
      </c>
      <c r="AB32" s="67">
        <f>AB$6*'Eurostat Collected Portables'!AB25</f>
        <v>112.99114573860017</v>
      </c>
      <c r="AC32" s="67">
        <f>AC$6*'Eurostat Collected Portables'!AC25</f>
        <v>121.09991578225922</v>
      </c>
      <c r="AD32" s="67">
        <f>AD$6*'Eurostat Collected Portables'!AD25</f>
        <v>129.92326867663388</v>
      </c>
      <c r="AE32" s="67">
        <f>AE$6*'Eurostat Collected Portables'!AE25</f>
        <v>140.18553785608555</v>
      </c>
      <c r="AF32" s="67">
        <f>AF$6*'Eurostat Collected Portables'!AF25</f>
        <v>151.88389901618609</v>
      </c>
      <c r="AG32" s="67">
        <f>AG$6*'Eurostat Collected Portables'!AG25</f>
        <v>163.94334223243587</v>
      </c>
      <c r="AH32" s="67">
        <f>AH$6*'Eurostat Collected Portables'!AH25</f>
        <v>176.12475029344617</v>
      </c>
      <c r="AI32" s="67">
        <f>AI$6*'Eurostat Collected Portables'!AI25</f>
        <v>188.32421521503522</v>
      </c>
      <c r="AJ32" s="67">
        <f>AJ$6*'Eurostat Collected Portables'!AJ25</f>
        <v>201.42927744627406</v>
      </c>
      <c r="AK32" s="67">
        <f>AK$6*'Eurostat Collected Portables'!AK25</f>
        <v>215.51412283254879</v>
      </c>
      <c r="AL32" s="67">
        <f>AL$6*'Eurostat Collected Portables'!AL25</f>
        <v>230.65635119021061</v>
      </c>
      <c r="AM32" s="67">
        <f>AM$6*'Eurostat Collected Portables'!AM25</f>
        <v>246.93995670842466</v>
      </c>
      <c r="AN32" s="67">
        <f>AN$6*'Eurostat Collected Portables'!AN25</f>
        <v>264.45586745446542</v>
      </c>
      <c r="AO32" s="67">
        <f>AO$6*'Eurostat Collected Portables'!AO25</f>
        <v>283.24562095062504</v>
      </c>
      <c r="AP32" s="67">
        <f>AP$6*'Eurostat Collected Portables'!AP25</f>
        <v>302.97835199638718</v>
      </c>
      <c r="AQ32" s="67">
        <f>AQ$6*'Eurostat Collected Portables'!AQ25</f>
        <v>321.40956518214307</v>
      </c>
      <c r="AR32" s="67">
        <f>AR$6*'Eurostat Collected Portables'!AR25</f>
        <v>338.25690232560169</v>
      </c>
      <c r="AS32" s="67">
        <f>AS$6*'Eurostat Collected Portables'!AS25</f>
        <v>353.62248429428297</v>
      </c>
      <c r="AT32" s="67">
        <f>AT$6*'Eurostat Collected Portables'!AT25</f>
        <v>369.65849462099914</v>
      </c>
      <c r="AU32" s="67">
        <f>AU$6*'Eurostat Collected Portables'!AU25</f>
        <v>386.40609272444152</v>
      </c>
      <c r="AV32" s="67">
        <f>AV$6*'Eurostat Collected Portables'!AV25</f>
        <v>403.81108143052791</v>
      </c>
      <c r="AW32" s="67">
        <f>AW$6*'Eurostat Collected Portables'!AW25</f>
        <v>421.89528316595073</v>
      </c>
      <c r="AX32" s="67">
        <f>AX$6*'Eurostat Collected Portables'!AX25</f>
        <v>440.68105469763191</v>
      </c>
      <c r="AY32" s="67">
        <f>AY$6*'Eurostat Collected Portables'!AY25</f>
        <v>460.28440025890325</v>
      </c>
      <c r="AZ32" s="67">
        <f>AZ$6*'Eurostat Collected Portables'!AZ25</f>
        <v>480.74054908256642</v>
      </c>
    </row>
    <row r="33" spans="1:52" x14ac:dyDescent="0.35">
      <c r="A33" s="1" t="s">
        <v>23</v>
      </c>
      <c r="B33" s="23">
        <f t="shared" si="1"/>
        <v>1.9965984200825584</v>
      </c>
      <c r="C33" s="23">
        <f t="shared" si="2"/>
        <v>2.0365303884842096</v>
      </c>
      <c r="D33" s="23">
        <f t="shared" si="3"/>
        <v>2.0772609962538939</v>
      </c>
      <c r="E33" s="23">
        <f t="shared" si="4"/>
        <v>2.1188062161789718</v>
      </c>
      <c r="F33" s="23">
        <f t="shared" si="5"/>
        <v>2.1611823405025512</v>
      </c>
      <c r="G33" s="23">
        <f t="shared" si="6"/>
        <v>2.2044059873126023</v>
      </c>
      <c r="H33" s="23">
        <f t="shared" si="7"/>
        <v>2.2484941070588542</v>
      </c>
      <c r="I33" s="23">
        <f t="shared" si="8"/>
        <v>2.2934639892000312</v>
      </c>
      <c r="J33" s="23">
        <f t="shared" si="9"/>
        <v>2.3393332689840318</v>
      </c>
      <c r="K33" s="23">
        <f t="shared" si="10"/>
        <v>2.3861199343637125</v>
      </c>
      <c r="L33" s="23">
        <f t="shared" si="11"/>
        <v>2.4338423330509866</v>
      </c>
      <c r="M33" s="4">
        <f>$M$6*'Eurostat Collected Portables'!M26</f>
        <v>2.4825191797120065</v>
      </c>
      <c r="N33" s="4">
        <f>$N$6*'Eurostat Collected Portables'!N26</f>
        <v>3.6534299479687142</v>
      </c>
      <c r="O33" s="4">
        <f>$O$6*'Eurostat Collected Portables'!O26</f>
        <v>4.4328733654455394</v>
      </c>
      <c r="P33" s="4">
        <f>$P$6*'Eurostat Collected Portables'!P26</f>
        <v>4.4163163038991806</v>
      </c>
      <c r="Q33" s="4">
        <f>$Q$6*'Eurostat Collected Portables'!Q26</f>
        <v>4.1226464299686612</v>
      </c>
      <c r="R33" s="4">
        <f>$R$6*'Eurostat Collected Portables'!R26</f>
        <v>6.4301365303211719</v>
      </c>
      <c r="S33" s="4">
        <f>$S$6*'Eurostat Collected Portables'!S26</f>
        <v>5.514014372185744</v>
      </c>
      <c r="T33" s="4">
        <f>$T$6*'Eurostat Collected Portables'!T26</f>
        <v>5.5031393590755684</v>
      </c>
      <c r="U33" s="4">
        <f>$U$6*'Eurostat Collected Portables'!U26</f>
        <v>19.240162917053681</v>
      </c>
      <c r="V33" s="4">
        <f>$V$6*'Eurostat Collected Portables'!V26</f>
        <v>5.2004753875220944</v>
      </c>
      <c r="W33" s="4">
        <f>$W$6*'Eurostat Collected Portables'!W26</f>
        <v>3.4477821215930593</v>
      </c>
      <c r="X33" s="67">
        <f>X$6*'Eurostat Collected Portables'!X26</f>
        <v>4.412767083714308</v>
      </c>
      <c r="Y33" s="67">
        <f>Y$6*'Eurostat Collected Portables'!Y26</f>
        <v>5.1940821034220699</v>
      </c>
      <c r="Z33" s="67">
        <f>Z$6*'Eurostat Collected Portables'!Z26</f>
        <v>5.9501138717390472</v>
      </c>
      <c r="AA33" s="67">
        <f>AA$6*'Eurostat Collected Portables'!AA26</f>
        <v>6.7922728617004084</v>
      </c>
      <c r="AB33" s="67">
        <f>AB$6*'Eurostat Collected Portables'!AB26</f>
        <v>7.7004170937030691</v>
      </c>
      <c r="AC33" s="67">
        <f>AC$6*'Eurostat Collected Portables'!AC26</f>
        <v>8.6866099107523613</v>
      </c>
      <c r="AD33" s="67">
        <f>AD$6*'Eurostat Collected Portables'!AD26</f>
        <v>9.7752372028431758</v>
      </c>
      <c r="AE33" s="67">
        <f>AE$6*'Eurostat Collected Portables'!AE26</f>
        <v>11.029187129004065</v>
      </c>
      <c r="AF33" s="67">
        <f>AF$6*'Eurostat Collected Portables'!AF26</f>
        <v>12.461214044722864</v>
      </c>
      <c r="AG33" s="67">
        <f>AG$6*'Eurostat Collected Portables'!AG26</f>
        <v>13.992015752262096</v>
      </c>
      <c r="AH33" s="67">
        <f>AH$6*'Eurostat Collected Portables'!AH26</f>
        <v>15.601928485548115</v>
      </c>
      <c r="AI33" s="67">
        <f>AI$6*'Eurostat Collected Portables'!AI26</f>
        <v>17.280599491696972</v>
      </c>
      <c r="AJ33" s="67">
        <f>AJ$6*'Eurostat Collected Portables'!AJ26</f>
        <v>19.110475883700769</v>
      </c>
      <c r="AK33" s="67">
        <f>AK$6*'Eurostat Collected Portables'!AK26</f>
        <v>21.105267192512652</v>
      </c>
      <c r="AL33" s="67">
        <f>AL$6*'Eurostat Collected Portables'!AL26</f>
        <v>23.279675122922995</v>
      </c>
      <c r="AM33" s="67">
        <f>AM$6*'Eurostat Collected Portables'!AM26</f>
        <v>25.64972323107451</v>
      </c>
      <c r="AN33" s="67">
        <f>AN$6*'Eurostat Collected Portables'!AN26</f>
        <v>28.232876550049991</v>
      </c>
      <c r="AO33" s="67">
        <f>AO$6*'Eurostat Collected Portables'!AO26</f>
        <v>31.041935066324619</v>
      </c>
      <c r="AP33" s="67">
        <f>AP$6*'Eurostat Collected Portables'!AP26</f>
        <v>34.048012991657615</v>
      </c>
      <c r="AQ33" s="67">
        <f>AQ$6*'Eurostat Collected Portables'!AQ26</f>
        <v>36.998027092387211</v>
      </c>
      <c r="AR33" s="67">
        <f>AR$6*'Eurostat Collected Portables'!AR26</f>
        <v>39.845730544843235</v>
      </c>
      <c r="AS33" s="67">
        <f>AS$6*'Eurostat Collected Portables'!AS26</f>
        <v>42.588659474202728</v>
      </c>
      <c r="AT33" s="67">
        <f>AT$6*'Eurostat Collected Portables'!AT26</f>
        <v>45.47813853542592</v>
      </c>
      <c r="AU33" s="67">
        <f>AU$6*'Eurostat Collected Portables'!AU26</f>
        <v>48.522795193585296</v>
      </c>
      <c r="AV33" s="67">
        <f>AV$6*'Eurostat Collected Portables'!AV26</f>
        <v>51.719337222734865</v>
      </c>
      <c r="AW33" s="67">
        <f>AW$6*'Eurostat Collected Portables'!AW26</f>
        <v>55.073738196273439</v>
      </c>
      <c r="AX33" s="67">
        <f>AX$6*'Eurostat Collected Portables'!AX26</f>
        <v>58.592148425790739</v>
      </c>
      <c r="AY33" s="67">
        <f>AY$6*'Eurostat Collected Portables'!AY26</f>
        <v>62.293498542886105</v>
      </c>
      <c r="AZ33" s="67">
        <f>AZ$6*'Eurostat Collected Portables'!AZ26</f>
        <v>66.186576603039654</v>
      </c>
    </row>
    <row r="34" spans="1:52" x14ac:dyDescent="0.35">
      <c r="A34" s="1" t="s">
        <v>24</v>
      </c>
      <c r="B34" s="23">
        <f t="shared" si="1"/>
        <v>0.77240668806113566</v>
      </c>
      <c r="C34" s="23">
        <f t="shared" si="2"/>
        <v>0.78785482182235833</v>
      </c>
      <c r="D34" s="23">
        <f t="shared" si="3"/>
        <v>0.80361191825880551</v>
      </c>
      <c r="E34" s="23">
        <f t="shared" si="4"/>
        <v>0.81968415662398164</v>
      </c>
      <c r="F34" s="23">
        <f t="shared" si="5"/>
        <v>0.83607783975646133</v>
      </c>
      <c r="G34" s="23">
        <f t="shared" si="6"/>
        <v>0.85279939655159054</v>
      </c>
      <c r="H34" s="23">
        <f t="shared" si="7"/>
        <v>0.86985538448262234</v>
      </c>
      <c r="I34" s="23">
        <f t="shared" si="8"/>
        <v>0.88725249217227475</v>
      </c>
      <c r="J34" s="23">
        <f t="shared" si="9"/>
        <v>0.90499754201572025</v>
      </c>
      <c r="K34" s="23">
        <f t="shared" si="10"/>
        <v>0.92309749285603471</v>
      </c>
      <c r="L34" s="23">
        <f t="shared" si="11"/>
        <v>0.94155944271315539</v>
      </c>
      <c r="M34" s="4">
        <f>$M$6*'Eurostat Collected Portables'!M27</f>
        <v>0.96039063156741855</v>
      </c>
      <c r="N34" s="4">
        <f>$N$6*'Eurostat Collected Portables'!N27</f>
        <v>2.5443529994782117</v>
      </c>
      <c r="O34" s="4">
        <f>$O$6*'Eurostat Collected Portables'!O27</f>
        <v>4.2595717318170108</v>
      </c>
      <c r="P34" s="4">
        <f>$P$6*'Eurostat Collected Portables'!P27</f>
        <v>7.0353995925101467</v>
      </c>
      <c r="Q34" s="4">
        <f>$Q$6*'Eurostat Collected Portables'!Q27</f>
        <v>3.958366401449986</v>
      </c>
      <c r="R34" s="4">
        <f>$R$6*'Eurostat Collected Portables'!R27</f>
        <v>6.9275451226807565</v>
      </c>
      <c r="S34" s="4">
        <f>$S$6*'Eurostat Collected Portables'!S27</f>
        <v>10.598658772766861</v>
      </c>
      <c r="T34" s="4">
        <f>$T$6*'Eurostat Collected Portables'!T27</f>
        <v>12.667914219695628</v>
      </c>
      <c r="U34" s="4">
        <f>$U$6*'Eurostat Collected Portables'!U27</f>
        <v>48.062080274871143</v>
      </c>
      <c r="V34" s="4">
        <f>$V$6*'Eurostat Collected Portables'!V27</f>
        <v>28.039676573959333</v>
      </c>
      <c r="W34" s="4">
        <f>$W$6*'Eurostat Collected Portables'!W27</f>
        <v>25.733212228377237</v>
      </c>
      <c r="X34" s="67">
        <f>X$6*'Eurostat Collected Portables'!X27</f>
        <v>33.812499598854721</v>
      </c>
      <c r="Y34" s="67">
        <f>Y$6*'Eurostat Collected Portables'!Y27</f>
        <v>38.358893548143151</v>
      </c>
      <c r="Z34" s="67">
        <f>Z$6*'Eurostat Collected Portables'!Z27</f>
        <v>40.765080856678075</v>
      </c>
      <c r="AA34" s="67">
        <f>AA$6*'Eurostat Collected Portables'!AA27</f>
        <v>43.399322981559344</v>
      </c>
      <c r="AB34" s="67">
        <f>AB$6*'Eurostat Collected Portables'!AB27</f>
        <v>46.098233412267604</v>
      </c>
      <c r="AC34" s="67">
        <f>AC$6*'Eurostat Collected Portables'!AC27</f>
        <v>48.918603674609201</v>
      </c>
      <c r="AD34" s="67">
        <f>AD$6*'Eurostat Collected Portables'!AD27</f>
        <v>51.97004792418295</v>
      </c>
      <c r="AE34" s="67">
        <f>AE$6*'Eurostat Collected Portables'!AE27</f>
        <v>55.532862924132409</v>
      </c>
      <c r="AF34" s="67">
        <f>AF$6*'Eurostat Collected Portables'!AF27</f>
        <v>59.591328794601871</v>
      </c>
      <c r="AG34" s="67">
        <f>AG$6*'Eurostat Collected Portables'!AG27</f>
        <v>63.71365766427823</v>
      </c>
      <c r="AH34" s="67">
        <f>AH$6*'Eurostat Collected Portables'!AH27</f>
        <v>67.806083652696387</v>
      </c>
      <c r="AI34" s="67">
        <f>AI$6*'Eurostat Collected Portables'!AI27</f>
        <v>71.829895175908916</v>
      </c>
      <c r="AJ34" s="67">
        <f>AJ$6*'Eurostat Collected Portables'!AJ27</f>
        <v>76.122481933667743</v>
      </c>
      <c r="AK34" s="67">
        <f>AK$6*'Eurostat Collected Portables'!AK27</f>
        <v>80.704373278396019</v>
      </c>
      <c r="AL34" s="67">
        <f>AL$6*'Eurostat Collected Portables'!AL27</f>
        <v>85.596636806768231</v>
      </c>
      <c r="AM34" s="67">
        <f>AM$6*'Eurostat Collected Portables'!AM27</f>
        <v>90.821951901667902</v>
      </c>
      <c r="AN34" s="67">
        <f>AN$6*'Eurostat Collected Portables'!AN27</f>
        <v>96.404736609302006</v>
      </c>
      <c r="AO34" s="67">
        <f>AO$6*'Eurostat Collected Portables'!AO27</f>
        <v>102.35072025030215</v>
      </c>
      <c r="AP34" s="67">
        <f>AP$6*'Eurostat Collected Portables'!AP27</f>
        <v>108.53204657784349</v>
      </c>
      <c r="AQ34" s="67">
        <f>AQ$6*'Eurostat Collected Portables'!AQ27</f>
        <v>114.14565744739747</v>
      </c>
      <c r="AR34" s="67">
        <f>AR$6*'Eurostat Collected Portables'!AR27</f>
        <v>119.10674060069125</v>
      </c>
      <c r="AS34" s="67">
        <f>AS$6*'Eurostat Collected Portables'!AS27</f>
        <v>123.46756258346112</v>
      </c>
      <c r="AT34" s="67">
        <f>AT$6*'Eurostat Collected Portables'!AT27</f>
        <v>127.98842010374476</v>
      </c>
      <c r="AU34" s="67">
        <f>AU$6*'Eurostat Collected Portables'!AU27</f>
        <v>132.67955409890396</v>
      </c>
      <c r="AV34" s="67">
        <f>AV$6*'Eurostat Collected Portables'!AV27</f>
        <v>137.5184015663516</v>
      </c>
      <c r="AW34" s="67">
        <f>AW$6*'Eurostat Collected Portables'!AW27</f>
        <v>142.5088176416391</v>
      </c>
      <c r="AX34" s="67">
        <f>AX$6*'Eurostat Collected Portables'!AX27</f>
        <v>147.65471757171892</v>
      </c>
      <c r="AY34" s="67">
        <f>AY$6*'Eurostat Collected Portables'!AY27</f>
        <v>152.99102382375085</v>
      </c>
      <c r="AZ34" s="67">
        <f>AZ$6*'Eurostat Collected Portables'!AZ27</f>
        <v>158.52492249801216</v>
      </c>
    </row>
    <row r="35" spans="1:52" x14ac:dyDescent="0.35">
      <c r="A35" s="1" t="s">
        <v>25</v>
      </c>
      <c r="B35" s="23">
        <f t="shared" si="1"/>
        <v>2.050035360766032</v>
      </c>
      <c r="C35" s="23">
        <f t="shared" si="2"/>
        <v>2.0910360679813529</v>
      </c>
      <c r="D35" s="23">
        <f t="shared" si="3"/>
        <v>2.13285678934098</v>
      </c>
      <c r="E35" s="23">
        <f t="shared" si="4"/>
        <v>2.1755139251277997</v>
      </c>
      <c r="F35" s="23">
        <f t="shared" si="5"/>
        <v>2.2190242036303558</v>
      </c>
      <c r="G35" s="23">
        <f t="shared" si="6"/>
        <v>2.263404687702963</v>
      </c>
      <c r="H35" s="23">
        <f t="shared" si="7"/>
        <v>2.3086727814570223</v>
      </c>
      <c r="I35" s="23">
        <f t="shared" si="8"/>
        <v>2.3548462370861629</v>
      </c>
      <c r="J35" s="23">
        <f t="shared" si="9"/>
        <v>2.4019431618278864</v>
      </c>
      <c r="K35" s="23">
        <f t="shared" si="10"/>
        <v>2.4499820250644442</v>
      </c>
      <c r="L35" s="23">
        <f t="shared" si="11"/>
        <v>2.4989816655657333</v>
      </c>
      <c r="M35" s="4">
        <f>$M$6*'Eurostat Collected Portables'!M28</f>
        <v>2.5489612988770478</v>
      </c>
      <c r="N35" s="4">
        <f>$N$6*'Eurostat Collected Portables'!N28</f>
        <v>4.8277467169586581</v>
      </c>
      <c r="O35" s="4">
        <f>$O$6*'Eurostat Collected Portables'!O28</f>
        <v>4.2686928704290388</v>
      </c>
      <c r="P35" s="4">
        <f>$P$6*'Eurostat Collected Portables'!P28</f>
        <v>5.5723254795619521</v>
      </c>
      <c r="Q35" s="4">
        <f>$Q$6*'Eurostat Collected Portables'!Q28</f>
        <v>3.7706177974286428</v>
      </c>
      <c r="R35" s="4">
        <f>$R$6*'Eurostat Collected Portables'!R28</f>
        <v>4.3229328572342061</v>
      </c>
      <c r="S35" s="4">
        <f>$S$6*'Eurostat Collected Portables'!S28</f>
        <v>8.3162183973948913</v>
      </c>
      <c r="T35" s="4">
        <f>$T$6*'Eurostat Collected Portables'!T28</f>
        <v>6.6876715978003549</v>
      </c>
      <c r="U35" s="4">
        <f>$U$6*'Eurostat Collected Portables'!U28</f>
        <v>22.766248551254751</v>
      </c>
      <c r="V35" s="4">
        <f>$V$6*'Eurostat Collected Portables'!V28</f>
        <v>12.357830688905596</v>
      </c>
      <c r="W35" s="4">
        <f>$W$6*'Eurostat Collected Portables'!W28</f>
        <v>7.7030073629971394</v>
      </c>
      <c r="X35" s="67">
        <f>X$6*'Eurostat Collected Portables'!X28</f>
        <v>9.5440541537563259</v>
      </c>
      <c r="Y35" s="67">
        <f>Y$6*'Eurostat Collected Portables'!Y28</f>
        <v>10.281475235144601</v>
      </c>
      <c r="Z35" s="67">
        <f>Z$6*'Eurostat Collected Portables'!Z28</f>
        <v>11.021263984572373</v>
      </c>
      <c r="AA35" s="67">
        <f>AA$6*'Eurostat Collected Portables'!AA28</f>
        <v>11.834359361761862</v>
      </c>
      <c r="AB35" s="67">
        <f>AB$6*'Eurostat Collected Portables'!AB28</f>
        <v>12.677405201959095</v>
      </c>
      <c r="AC35" s="67">
        <f>AC$6*'Eurostat Collected Portables'!AC28</f>
        <v>13.566587735837865</v>
      </c>
      <c r="AD35" s="67">
        <f>AD$6*'Eurostat Collected Portables'!AD28</f>
        <v>14.533391257925722</v>
      </c>
      <c r="AE35" s="67">
        <f>AE$6*'Eurostat Collected Portables'!AE28</f>
        <v>15.658441900063766</v>
      </c>
      <c r="AF35" s="67">
        <f>AF$6*'Eurostat Collected Portables'!AF28</f>
        <v>16.940807441462354</v>
      </c>
      <c r="AG35" s="67">
        <f>AG$6*'Eurostat Collected Portables'!AG28</f>
        <v>18.260160735211571</v>
      </c>
      <c r="AH35" s="67">
        <f>AH$6*'Eurostat Collected Portables'!AH28</f>
        <v>19.589833320552696</v>
      </c>
      <c r="AI35" s="67">
        <f>AI$6*'Eurostat Collected Portables'!AI28</f>
        <v>20.918322388415298</v>
      </c>
      <c r="AJ35" s="67">
        <f>AJ$6*'Eurostat Collected Portables'!AJ28</f>
        <v>22.344164645526387</v>
      </c>
      <c r="AK35" s="67">
        <f>AK$6*'Eurostat Collected Portables'!AK28</f>
        <v>23.875272316393275</v>
      </c>
      <c r="AL35" s="67">
        <f>AL$6*'Eurostat Collected Portables'!AL28</f>
        <v>25.519904568907105</v>
      </c>
      <c r="AM35" s="67">
        <f>AM$6*'Eurostat Collected Portables'!AM28</f>
        <v>27.286995894898098</v>
      </c>
      <c r="AN35" s="67">
        <f>AN$6*'Eurostat Collected Portables'!AN28</f>
        <v>29.186212703583614</v>
      </c>
      <c r="AO35" s="67">
        <f>AO$6*'Eurostat Collected Portables'!AO28</f>
        <v>31.221741614479534</v>
      </c>
      <c r="AP35" s="67">
        <f>AP$6*'Eurostat Collected Portables'!AP28</f>
        <v>33.356761333110555</v>
      </c>
      <c r="AQ35" s="67">
        <f>AQ$6*'Eurostat Collected Portables'!AQ28</f>
        <v>35.34420196601161</v>
      </c>
      <c r="AR35" s="67">
        <f>AR$6*'Eurostat Collected Portables'!AR28</f>
        <v>37.153666875093066</v>
      </c>
      <c r="AS35" s="67">
        <f>AS$6*'Eurostat Collected Portables'!AS28</f>
        <v>38.797061719943244</v>
      </c>
      <c r="AT35" s="67">
        <f>AT$6*'Eurostat Collected Portables'!AT28</f>
        <v>40.510883743091355</v>
      </c>
      <c r="AU35" s="67">
        <f>AU$6*'Eurostat Collected Portables'!AU28</f>
        <v>42.299474228962218</v>
      </c>
      <c r="AV35" s="67">
        <f>AV$6*'Eurostat Collected Portables'!AV28</f>
        <v>44.156733276009589</v>
      </c>
      <c r="AW35" s="67">
        <f>AW$6*'Eurostat Collected Portables'!AW28</f>
        <v>46.084896093226774</v>
      </c>
      <c r="AX35" s="67">
        <f>AX$6*'Eurostat Collected Portables'!AX28</f>
        <v>48.086251172358487</v>
      </c>
      <c r="AY35" s="67">
        <f>AY$6*'Eurostat Collected Portables'!AY28</f>
        <v>50.173289990112963</v>
      </c>
      <c r="AZ35" s="67">
        <f>AZ$6*'Eurostat Collected Portables'!AZ28</f>
        <v>52.349661633763091</v>
      </c>
    </row>
    <row r="36" spans="1:52" x14ac:dyDescent="0.35">
      <c r="A36" s="1" t="s">
        <v>26</v>
      </c>
      <c r="B36" s="23">
        <f t="shared" si="1"/>
        <v>1.2484812505139109</v>
      </c>
      <c r="C36" s="23">
        <f t="shared" si="2"/>
        <v>1.2734508755241891</v>
      </c>
      <c r="D36" s="23">
        <f t="shared" si="3"/>
        <v>1.2989198930346728</v>
      </c>
      <c r="E36" s="23">
        <f t="shared" si="4"/>
        <v>1.3248982908953664</v>
      </c>
      <c r="F36" s="23">
        <f t="shared" si="5"/>
        <v>1.3513962567132738</v>
      </c>
      <c r="G36" s="23">
        <f t="shared" si="6"/>
        <v>1.3784241818475393</v>
      </c>
      <c r="H36" s="23">
        <f t="shared" si="7"/>
        <v>1.4059926654844901</v>
      </c>
      <c r="I36" s="23">
        <f t="shared" si="8"/>
        <v>1.4341125187941799</v>
      </c>
      <c r="J36" s="23">
        <f t="shared" si="9"/>
        <v>1.4627947691700636</v>
      </c>
      <c r="K36" s="23">
        <f t="shared" si="10"/>
        <v>1.4920506645534648</v>
      </c>
      <c r="L36" s="23">
        <f t="shared" si="11"/>
        <v>1.5218916778445342</v>
      </c>
      <c r="M36" s="4">
        <f>$M$6*'Eurostat Collected Portables'!M29</f>
        <v>1.5523295114014248</v>
      </c>
      <c r="N36" s="4">
        <f>$N$6*'Eurostat Collected Portables'!N29</f>
        <v>2.2263088745434354</v>
      </c>
      <c r="O36" s="4">
        <f>$O$6*'Eurostat Collected Portables'!O29</f>
        <v>2.0796196035423522</v>
      </c>
      <c r="P36" s="4">
        <f>$P$6*'Eurostat Collected Portables'!P29</f>
        <v>1.8965775538217342</v>
      </c>
      <c r="Q36" s="4">
        <f>$Q$6*'Eurostat Collected Portables'!Q29</f>
        <v>1.9322460497196572</v>
      </c>
      <c r="R36" s="4">
        <f>$R$6*'Eurostat Collected Portables'!R29</f>
        <v>2.4237364136794293</v>
      </c>
      <c r="S36" s="4">
        <f>$S$6*'Eurostat Collected Portables'!S29</f>
        <v>2.0413905667518257</v>
      </c>
      <c r="T36" s="4">
        <f>$T$6*'Eurostat Collected Portables'!T29</f>
        <v>2.6322938638328579</v>
      </c>
      <c r="U36" s="4">
        <f>$U$6*'Eurostat Collected Portables'!U29</f>
        <v>7.8442629688386187</v>
      </c>
      <c r="V36" s="4">
        <f>$V$6*'Eurostat Collected Portables'!V29</f>
        <v>4.5973274688661814</v>
      </c>
      <c r="W36" s="4">
        <f>$W$6*'Eurostat Collected Portables'!W29</f>
        <v>2.7937531945461322</v>
      </c>
      <c r="X36" s="67">
        <f>X$6*'Eurostat Collected Portables'!X29</f>
        <v>3.2721807160985725</v>
      </c>
      <c r="Y36" s="67">
        <f>Y$6*'Eurostat Collected Portables'!Y29</f>
        <v>3.5008672838418273</v>
      </c>
      <c r="Z36" s="67">
        <f>Z$6*'Eurostat Collected Portables'!Z29</f>
        <v>3.7774058384291465</v>
      </c>
      <c r="AA36" s="67">
        <f>AA$6*'Eurostat Collected Portables'!AA29</f>
        <v>4.0820694955173309</v>
      </c>
      <c r="AB36" s="67">
        <f>AB$6*'Eurostat Collected Portables'!AB29</f>
        <v>4.4002088733049831</v>
      </c>
      <c r="AC36" s="67">
        <f>AC$6*'Eurostat Collected Portables'!AC29</f>
        <v>4.7375858863144025</v>
      </c>
      <c r="AD36" s="67">
        <f>AD$6*'Eurostat Collected Portables'!AD29</f>
        <v>5.1054675636006799</v>
      </c>
      <c r="AE36" s="67">
        <f>AE$6*'Eurostat Collected Portables'!AE29</f>
        <v>5.5327352746217038</v>
      </c>
      <c r="AF36" s="67">
        <f>AF$6*'Eurostat Collected Portables'!AF29</f>
        <v>6.0199239498786294</v>
      </c>
      <c r="AG36" s="67">
        <f>AG$6*'Eurostat Collected Portables'!AG29</f>
        <v>6.5248686794002699</v>
      </c>
      <c r="AH36" s="67">
        <f>AH$6*'Eurostat Collected Portables'!AH29</f>
        <v>7.0380897745772231</v>
      </c>
      <c r="AI36" s="67">
        <f>AI$6*'Eurostat Collected Portables'!AI29</f>
        <v>7.5553777963181883</v>
      </c>
      <c r="AJ36" s="67">
        <f>AJ$6*'Eurostat Collected Portables'!AJ29</f>
        <v>8.1123901121001101</v>
      </c>
      <c r="AK36" s="67">
        <f>AK$6*'Eurostat Collected Portables'!AK29</f>
        <v>8.7124468032792493</v>
      </c>
      <c r="AL36" s="67">
        <f>AL$6*'Eurostat Collected Portables'!AL29</f>
        <v>9.3590387345760728</v>
      </c>
      <c r="AM36" s="67">
        <f>AM$6*'Eurostat Collected Portables'!AM29</f>
        <v>10.055949924087834</v>
      </c>
      <c r="AN36" s="67">
        <f>AN$6*'Eurostat Collected Portables'!AN29</f>
        <v>10.807282680600208</v>
      </c>
      <c r="AO36" s="67">
        <f>AO$6*'Eurostat Collected Portables'!AO29</f>
        <v>11.61515118998186</v>
      </c>
      <c r="AP36" s="67">
        <f>AP$6*'Eurostat Collected Portables'!AP29</f>
        <v>12.466354915064588</v>
      </c>
      <c r="AQ36" s="67">
        <f>AQ$6*'Eurostat Collected Portables'!AQ29</f>
        <v>13.268499351526671</v>
      </c>
      <c r="AR36" s="67">
        <f>AR$6*'Eurostat Collected Portables'!AR29</f>
        <v>14.009243497848008</v>
      </c>
      <c r="AS36" s="67">
        <f>AS$6*'Eurostat Collected Portables'!AS29</f>
        <v>14.69209483302512</v>
      </c>
      <c r="AT36" s="67">
        <f>AT$6*'Eurostat Collected Portables'!AT29</f>
        <v>15.406078742207258</v>
      </c>
      <c r="AU36" s="67">
        <f>AU$6*'Eurostat Collected Portables'!AU29</f>
        <v>16.153088125643144</v>
      </c>
      <c r="AV36" s="67">
        <f>AV$6*'Eurostat Collected Portables'!AV29</f>
        <v>16.931032377440506</v>
      </c>
      <c r="AW36" s="67">
        <f>AW$6*'Eurostat Collected Portables'!AW29</f>
        <v>17.740984805289457</v>
      </c>
      <c r="AX36" s="67">
        <f>AX$6*'Eurostat Collected Portables'!AX29</f>
        <v>18.584046515518288</v>
      </c>
      <c r="AY36" s="67">
        <f>AY$6*'Eurostat Collected Portables'!AY29</f>
        <v>19.465284234546587</v>
      </c>
      <c r="AZ36" s="67">
        <f>AZ$6*'Eurostat Collected Portables'!AZ29</f>
        <v>20.386388054734176</v>
      </c>
    </row>
    <row r="37" spans="1:52" x14ac:dyDescent="0.35">
      <c r="A37" s="1" t="s">
        <v>27</v>
      </c>
      <c r="B37" s="23">
        <f t="shared" si="1"/>
        <v>17.614758810752697</v>
      </c>
      <c r="C37" s="23">
        <f t="shared" si="2"/>
        <v>17.967053986967752</v>
      </c>
      <c r="D37" s="23">
        <f t="shared" si="3"/>
        <v>18.326395066707107</v>
      </c>
      <c r="E37" s="23">
        <f t="shared" si="4"/>
        <v>18.692922968041248</v>
      </c>
      <c r="F37" s="23">
        <f t="shared" si="5"/>
        <v>19.066781427402073</v>
      </c>
      <c r="G37" s="23">
        <f t="shared" si="6"/>
        <v>19.448117055950114</v>
      </c>
      <c r="H37" s="23">
        <f t="shared" si="7"/>
        <v>19.837079397069115</v>
      </c>
      <c r="I37" s="23">
        <f t="shared" si="8"/>
        <v>20.233820985010496</v>
      </c>
      <c r="J37" s="23">
        <f t="shared" si="9"/>
        <v>20.638497404710705</v>
      </c>
      <c r="K37" s="23">
        <f t="shared" si="10"/>
        <v>21.051267352804921</v>
      </c>
      <c r="L37" s="23">
        <f t="shared" si="11"/>
        <v>21.472292699861018</v>
      </c>
      <c r="M37" s="4">
        <f>$M$6*'Eurostat Collected Portables'!M30</f>
        <v>21.901738553858237</v>
      </c>
      <c r="N37" s="4">
        <f>$N$6*'Eurostat Collected Portables'!N30</f>
        <v>32.301866124785889</v>
      </c>
      <c r="O37" s="4">
        <f>$O$6*'Eurostat Collected Portables'!O30</f>
        <v>33.720849448666996</v>
      </c>
      <c r="P37" s="4">
        <f>$P$6*'Eurostat Collected Portables'!P30</f>
        <v>35.005402850538296</v>
      </c>
      <c r="Q37" s="4">
        <f>$Q$6*'Eurostat Collected Portables'!Q30</f>
        <v>36.845663539188607</v>
      </c>
      <c r="R37" s="4">
        <f>$R$6*'Eurostat Collected Portables'!R30</f>
        <v>40.796548366074276</v>
      </c>
      <c r="S37" s="4">
        <f>$S$6*'Eurostat Collected Portables'!S30</f>
        <v>35.178206445501942</v>
      </c>
      <c r="T37" s="4">
        <f>$T$6*'Eurostat Collected Portables'!T30</f>
        <v>37.773416946001511</v>
      </c>
      <c r="U37" s="4">
        <f>$U$6*'Eurostat Collected Portables'!U30</f>
        <v>146.66472130662433</v>
      </c>
      <c r="V37" s="4">
        <f>$V$6*'Eurostat Collected Portables'!V30</f>
        <v>73.476819779371439</v>
      </c>
      <c r="W37" s="4">
        <f>$W$6*'Eurostat Collected Portables'!W30</f>
        <v>60.340224343477587</v>
      </c>
      <c r="X37" s="67">
        <f>X$6*'Eurostat Collected Portables'!X30</f>
        <v>72.643811530908323</v>
      </c>
      <c r="Y37" s="67">
        <f>Y$6*'Eurostat Collected Portables'!Y30</f>
        <v>76.996422080244457</v>
      </c>
      <c r="Z37" s="67">
        <f>Z$6*'Eurostat Collected Portables'!Z30</f>
        <v>81.950794039650617</v>
      </c>
      <c r="AA37" s="67">
        <f>AA$6*'Eurostat Collected Portables'!AA30</f>
        <v>87.41733034544373</v>
      </c>
      <c r="AB37" s="67">
        <f>AB$6*'Eurostat Collected Portables'!AB30</f>
        <v>93.499146549989788</v>
      </c>
      <c r="AC37" s="67">
        <f>AC$6*'Eurostat Collected Portables'!AC30</f>
        <v>100.23688983870083</v>
      </c>
      <c r="AD37" s="67">
        <f>AD$6*'Eurostat Collected Portables'!AD30</f>
        <v>107.6525226441991</v>
      </c>
      <c r="AE37" s="67">
        <f>AE$6*'Eurostat Collected Portables'!AE30</f>
        <v>115.89846515117738</v>
      </c>
      <c r="AF37" s="67">
        <f>AF$6*'Eurostat Collected Portables'!AF30</f>
        <v>125.01992090729267</v>
      </c>
      <c r="AG37" s="67">
        <f>AG$6*'Eurostat Collected Portables'!AG30</f>
        <v>134.27520637183761</v>
      </c>
      <c r="AH37" s="67">
        <f>AH$6*'Eurostat Collected Portables'!AH30</f>
        <v>143.54687088043244</v>
      </c>
      <c r="AI37" s="67">
        <f>AI$6*'Eurostat Collected Portables'!AI30</f>
        <v>152.74804011591706</v>
      </c>
      <c r="AJ37" s="67">
        <f>AJ$6*'Eurostat Collected Portables'!AJ30</f>
        <v>162.59581211153989</v>
      </c>
      <c r="AK37" s="67">
        <f>AK$6*'Eurostat Collected Portables'!AK30</f>
        <v>173.14435165640683</v>
      </c>
      <c r="AL37" s="67">
        <f>AL$6*'Eurostat Collected Portables'!AL30</f>
        <v>184.44708158694365</v>
      </c>
      <c r="AM37" s="67">
        <f>AM$6*'Eurostat Collected Portables'!AM30</f>
        <v>196.56168678826435</v>
      </c>
      <c r="AN37" s="67">
        <f>AN$6*'Eurostat Collected Portables'!AN30</f>
        <v>209.55046351106228</v>
      </c>
      <c r="AO37" s="67">
        <f>AO$6*'Eurostat Collected Portables'!AO30</f>
        <v>223.44337541016125</v>
      </c>
      <c r="AP37" s="67">
        <f>AP$6*'Eurostat Collected Portables'!AP30</f>
        <v>237.9707442327518</v>
      </c>
      <c r="AQ37" s="67">
        <f>AQ$6*'Eurostat Collected Portables'!AQ30</f>
        <v>251.37560680433128</v>
      </c>
      <c r="AR37" s="67">
        <f>AR$6*'Eurostat Collected Portables'!AR30</f>
        <v>263.43600796900131</v>
      </c>
      <c r="AS37" s="67">
        <f>AS$6*'Eurostat Collected Portables'!AS30</f>
        <v>274.24931235741201</v>
      </c>
      <c r="AT37" s="67">
        <f>AT$6*'Eurostat Collected Portables'!AT30</f>
        <v>285.4890660160396</v>
      </c>
      <c r="AU37" s="67">
        <f>AU$6*'Eurostat Collected Portables'!AU30</f>
        <v>297.19399295625692</v>
      </c>
      <c r="AV37" s="67">
        <f>AV$6*'Eurostat Collected Portables'!AV30</f>
        <v>309.32911405696632</v>
      </c>
      <c r="AW37" s="67">
        <f>AW$6*'Eurostat Collected Portables'!AW30</f>
        <v>321.90846820531124</v>
      </c>
      <c r="AX37" s="67">
        <f>AX$6*'Eurostat Collected Portables'!AX30</f>
        <v>334.94646918534846</v>
      </c>
      <c r="AY37" s="67">
        <f>AY$6*'Eurostat Collected Portables'!AY30</f>
        <v>348.5164643913368</v>
      </c>
      <c r="AZ37" s="67">
        <f>AZ$6*'Eurostat Collected Portables'!AZ30</f>
        <v>362.64034043075804</v>
      </c>
    </row>
    <row r="38" spans="1:52" x14ac:dyDescent="0.35">
      <c r="A38" s="1" t="s">
        <v>28</v>
      </c>
      <c r="B38" s="23">
        <f t="shared" si="1"/>
        <v>2.0108568239707374</v>
      </c>
      <c r="C38" s="23">
        <f t="shared" si="2"/>
        <v>2.051073960450152</v>
      </c>
      <c r="D38" s="23">
        <f t="shared" si="3"/>
        <v>2.0920954396591549</v>
      </c>
      <c r="E38" s="23">
        <f t="shared" si="4"/>
        <v>2.1339373484523381</v>
      </c>
      <c r="F38" s="23">
        <f t="shared" si="5"/>
        <v>2.1766160954213847</v>
      </c>
      <c r="G38" s="23">
        <f t="shared" si="6"/>
        <v>2.2201484173298125</v>
      </c>
      <c r="H38" s="23">
        <f t="shared" si="7"/>
        <v>2.2645513856764086</v>
      </c>
      <c r="I38" s="23">
        <f t="shared" si="8"/>
        <v>2.3098424133899367</v>
      </c>
      <c r="J38" s="23">
        <f t="shared" si="9"/>
        <v>2.3560392616577355</v>
      </c>
      <c r="K38" s="23">
        <f t="shared" si="10"/>
        <v>2.40316004689089</v>
      </c>
      <c r="L38" s="23">
        <f t="shared" si="11"/>
        <v>2.4512232478287079</v>
      </c>
      <c r="M38" s="4">
        <f>M5*'Eurostat Collected Portables'!M31</f>
        <v>2.5002477127852822</v>
      </c>
      <c r="N38" s="4">
        <f>N5*'Eurostat Collected Portables'!N31</f>
        <v>2.8042239356352665</v>
      </c>
      <c r="O38" s="4">
        <f>O5*'Eurostat Collected Portables'!O31</f>
        <v>23.099361896080222</v>
      </c>
      <c r="P38" s="4">
        <f>P5*'Eurostat Collected Portables'!P31</f>
        <v>3.5007247877407335</v>
      </c>
      <c r="Q38" s="4">
        <f>Q5*'Eurostat Collected Portables'!Q31</f>
        <v>1.5</v>
      </c>
      <c r="R38" s="4">
        <f>R5*'Eurostat Collected Portables'!R31</f>
        <v>2.7005528255528257</v>
      </c>
      <c r="S38" s="4">
        <f>S5*'Eurostat Collected Portables'!S31</f>
        <v>1.200103606066711</v>
      </c>
      <c r="T38" s="4">
        <f>T5*'Eurostat Collected Portables'!T31</f>
        <v>1.4999530089909465</v>
      </c>
      <c r="U38" s="4">
        <f>$U$6*'Eurostat Collected Portables'!U31</f>
        <v>94.437771768167863</v>
      </c>
      <c r="V38" s="4">
        <f>$V$6*'Eurostat Collected Portables'!V31</f>
        <v>46.067097698230512</v>
      </c>
      <c r="W38" s="4">
        <f>$W$6*'Eurostat Collected Portables'!W31</f>
        <v>30.053032919366196</v>
      </c>
      <c r="X38" s="67">
        <f>X$6*'Eurostat Collected Portables'!X31</f>
        <v>36.818087385662984</v>
      </c>
      <c r="Y38" s="67">
        <f>Y$6*'Eurostat Collected Portables'!Y31</f>
        <v>40.699400959944086</v>
      </c>
      <c r="Z38" s="67">
        <f>Z$6*'Eurostat Collected Portables'!Z31</f>
        <v>44.186887946243978</v>
      </c>
      <c r="AA38" s="67">
        <f>AA$6*'Eurostat Collected Portables'!AA31</f>
        <v>47.705317435154228</v>
      </c>
      <c r="AB38" s="67">
        <f>AB$6*'Eurostat Collected Portables'!AB31</f>
        <v>51.334713605520207</v>
      </c>
      <c r="AC38" s="67">
        <f>AC$6*'Eurostat Collected Portables'!AC31</f>
        <v>55.156069701537518</v>
      </c>
      <c r="AD38" s="67">
        <f>AD$6*'Eurostat Collected Portables'!AD31</f>
        <v>59.330058396708935</v>
      </c>
      <c r="AE38" s="67">
        <f>AE$6*'Eurostat Collected Portables'!AE31</f>
        <v>64.265000925133165</v>
      </c>
      <c r="AF38" s="67">
        <f>AF$6*'Eurostat Collected Portables'!AF31</f>
        <v>69.957552763701486</v>
      </c>
      <c r="AG38" s="67">
        <f>AG$6*'Eurostat Collected Portables'!AG31</f>
        <v>75.805473412858206</v>
      </c>
      <c r="AH38" s="67">
        <f>AH$6*'Eurostat Collected Portables'!AH31</f>
        <v>81.674772518362744</v>
      </c>
      <c r="AI38" s="67">
        <f>AI$6*'Eurostat Collected Portables'!AI31</f>
        <v>87.503305975073658</v>
      </c>
      <c r="AJ38" s="67">
        <f>AJ$6*'Eurostat Collected Portables'!AJ31</f>
        <v>93.780226843733629</v>
      </c>
      <c r="AK38" s="67">
        <f>AK$6*'Eurostat Collected Portables'!AK31</f>
        <v>100.54187205640505</v>
      </c>
      <c r="AL38" s="67">
        <f>AL$6*'Eurostat Collected Portables'!AL31</f>
        <v>107.82754993617804</v>
      </c>
      <c r="AM38" s="67">
        <f>AM$6*'Eurostat Collected Portables'!AM31</f>
        <v>115.67985394867129</v>
      </c>
      <c r="AN38" s="67">
        <f>AN$6*'Eurostat Collected Portables'!AN31</f>
        <v>124.14494184384922</v>
      </c>
      <c r="AO38" s="67">
        <f>AO$6*'Eurostat Collected Portables'!AO31</f>
        <v>133.24838744991783</v>
      </c>
      <c r="AP38" s="67">
        <f>AP$6*'Eurostat Collected Portables'!AP31</f>
        <v>142.8784831350801</v>
      </c>
      <c r="AQ38" s="67">
        <f>AQ$6*'Eurostat Collected Portables'!AQ31</f>
        <v>151.80835509637492</v>
      </c>
      <c r="AR38" s="67">
        <f>AR$6*'Eurostat Collected Portables'!AR31</f>
        <v>159.89164898185967</v>
      </c>
      <c r="AS38" s="67">
        <f>AS$6*'Eurostat Collected Portables'!AS31</f>
        <v>167.1151390902119</v>
      </c>
      <c r="AT38" s="67">
        <f>AT$6*'Eurostat Collected Portables'!AT31</f>
        <v>174.65957888397466</v>
      </c>
      <c r="AU38" s="67">
        <f>AU$6*'Eurostat Collected Portables'!AU31</f>
        <v>182.5394119760002</v>
      </c>
      <c r="AV38" s="67">
        <f>AV$6*'Eurostat Collected Portables'!AV31</f>
        <v>190.73292471227205</v>
      </c>
      <c r="AW38" s="67">
        <f>AW$6*'Eurostat Collected Portables'!AW31</f>
        <v>199.25102544290621</v>
      </c>
      <c r="AX38" s="67">
        <f>AX$6*'Eurostat Collected Portables'!AX31</f>
        <v>208.10493011416716</v>
      </c>
      <c r="AY38" s="67">
        <f>AY$6*'Eurostat Collected Portables'!AY31</f>
        <v>217.34583867006862</v>
      </c>
      <c r="AZ38" s="67">
        <f>AZ$6*'Eurostat Collected Portables'!AZ31</f>
        <v>226.99052894015833</v>
      </c>
    </row>
    <row r="39" spans="1:52" x14ac:dyDescent="0.35">
      <c r="A39" s="1" t="s">
        <v>29</v>
      </c>
      <c r="B39" s="23">
        <f t="shared" si="1"/>
        <v>11.53266338023356</v>
      </c>
      <c r="C39" s="23">
        <f t="shared" si="2"/>
        <v>11.763316647838231</v>
      </c>
      <c r="D39" s="23">
        <f t="shared" si="3"/>
        <v>11.998582980794996</v>
      </c>
      <c r="E39" s="23">
        <f t="shared" si="4"/>
        <v>12.238554640410896</v>
      </c>
      <c r="F39" s="23">
        <f t="shared" si="5"/>
        <v>12.483325733219115</v>
      </c>
      <c r="G39" s="23">
        <f t="shared" si="6"/>
        <v>12.732992247883496</v>
      </c>
      <c r="H39" s="23">
        <f t="shared" si="7"/>
        <v>12.987652092841167</v>
      </c>
      <c r="I39" s="23">
        <f t="shared" si="8"/>
        <v>13.24740513469799</v>
      </c>
      <c r="J39" s="23">
        <f t="shared" si="9"/>
        <v>13.512353237391951</v>
      </c>
      <c r="K39" s="23">
        <f t="shared" si="10"/>
        <v>13.782600302139789</v>
      </c>
      <c r="L39" s="23">
        <f t="shared" si="11"/>
        <v>14.058252308182585</v>
      </c>
      <c r="M39" s="4">
        <f>$M$6*'Eurostat Collected Portables'!M32</f>
        <v>14.339417354346237</v>
      </c>
      <c r="N39" s="4">
        <f>$N$6*'Eurostat Collected Portables'!N32</f>
        <v>20.974602290570385</v>
      </c>
      <c r="O39" s="4">
        <f>$O$6*'Eurostat Collected Portables'!O32</f>
        <v>23.030874995370347</v>
      </c>
      <c r="P39" s="4">
        <f>$P$6*'Eurostat Collected Portables'!P32</f>
        <v>24.691633486422006</v>
      </c>
      <c r="Q39" s="4">
        <f>$Q$6*'Eurostat Collected Portables'!Q32</f>
        <v>21.309466556422457</v>
      </c>
      <c r="R39" s="4">
        <f>$R$6*'Eurostat Collected Portables'!R32</f>
        <v>25.358794417750445</v>
      </c>
      <c r="S39" s="4">
        <f>$S$6*'Eurostat Collected Portables'!S32</f>
        <v>20.933669317355438</v>
      </c>
      <c r="T39" s="4">
        <f>$T$6*'Eurostat Collected Portables'!T32</f>
        <v>23.567255999628557</v>
      </c>
      <c r="U39" s="4">
        <f>$U$6*'Eurostat Collected Portables'!U32</f>
        <v>79.490234840576363</v>
      </c>
      <c r="V39" s="4">
        <f>$V$6*'Eurostat Collected Portables'!V32</f>
        <v>42.55543648294497</v>
      </c>
      <c r="W39" s="4">
        <f>$W$6*'Eurostat Collected Portables'!W32</f>
        <v>26.411464449018492</v>
      </c>
      <c r="X39" s="67">
        <f>X$6*'Eurostat Collected Portables'!X32</f>
        <v>32.905962829057934</v>
      </c>
      <c r="Y39" s="67">
        <f>Y$6*'Eurostat Collected Portables'!Y32</f>
        <v>35.474693146027306</v>
      </c>
      <c r="Z39" s="67">
        <f>Z$6*'Eurostat Collected Portables'!Z32</f>
        <v>37.757165036917335</v>
      </c>
      <c r="AA39" s="67">
        <f>AA$6*'Eurostat Collected Portables'!AA32</f>
        <v>40.257890469978207</v>
      </c>
      <c r="AB39" s="67">
        <f>AB$6*'Eurostat Collected Portables'!AB32</f>
        <v>42.826031461852857</v>
      </c>
      <c r="AC39" s="67">
        <f>AC$6*'Eurostat Collected Portables'!AC32</f>
        <v>45.514690911057443</v>
      </c>
      <c r="AD39" s="67">
        <f>AD$6*'Eurostat Collected Portables'!AD32</f>
        <v>48.426510065697833</v>
      </c>
      <c r="AE39" s="67">
        <f>AE$6*'Eurostat Collected Portables'!AE32</f>
        <v>51.824025649604337</v>
      </c>
      <c r="AF39" s="67">
        <f>AF$6*'Eurostat Collected Portables'!AF32</f>
        <v>55.694678733232927</v>
      </c>
      <c r="AG39" s="67">
        <f>AG$6*'Eurostat Collected Portables'!AG32</f>
        <v>59.636377122372224</v>
      </c>
      <c r="AH39" s="67">
        <f>AH$6*'Eurostat Collected Portables'!AH32</f>
        <v>63.561478762841276</v>
      </c>
      <c r="AI39" s="67">
        <f>AI$6*'Eurostat Collected Portables'!AI32</f>
        <v>67.433503195304823</v>
      </c>
      <c r="AJ39" s="67">
        <f>AJ$6*'Eurostat Collected Portables'!AJ32</f>
        <v>71.569360048952547</v>
      </c>
      <c r="AK39" s="67">
        <f>AK$6*'Eurostat Collected Portables'!AK32</f>
        <v>75.989488391451289</v>
      </c>
      <c r="AL39" s="67">
        <f>AL$6*'Eurostat Collected Portables'!AL32</f>
        <v>80.714947301734014</v>
      </c>
      <c r="AM39" s="67">
        <f>AM$6*'Eurostat Collected Portables'!AM32</f>
        <v>85.768433200289564</v>
      </c>
      <c r="AN39" s="67">
        <f>AN$6*'Eurostat Collected Portables'!AN32</f>
        <v>91.174410808503808</v>
      </c>
      <c r="AO39" s="67">
        <f>AO$6*'Eurostat Collected Portables'!AO32</f>
        <v>96.939777508458164</v>
      </c>
      <c r="AP39" s="67">
        <f>AP$6*'Eurostat Collected Portables'!AP32</f>
        <v>102.944751682701</v>
      </c>
      <c r="AQ39" s="67">
        <f>AQ$6*'Eurostat Collected Portables'!AQ32</f>
        <v>108.42746382547517</v>
      </c>
      <c r="AR39" s="67">
        <f>AR$6*'Eurostat Collected Portables'!AR32</f>
        <v>113.3048563427099</v>
      </c>
      <c r="AS39" s="67">
        <f>AS$6*'Eurostat Collected Portables'!AS32</f>
        <v>117.6239971842771</v>
      </c>
      <c r="AT39" s="67">
        <f>AT$6*'Eurostat Collected Portables'!AT32</f>
        <v>122.10774573086825</v>
      </c>
      <c r="AU39" s="67">
        <f>AU$6*'Eurostat Collected Portables'!AU32</f>
        <v>126.76653570439662</v>
      </c>
      <c r="AV39" s="67">
        <f>AV$6*'Eurostat Collected Portables'!AV32</f>
        <v>131.57946909443194</v>
      </c>
      <c r="AW39" s="67">
        <f>AW$6*'Eurostat Collected Portables'!AW32</f>
        <v>136.55083605925773</v>
      </c>
      <c r="AX39" s="67">
        <f>AX$6*'Eurostat Collected Portables'!AX32</f>
        <v>141.68500476723162</v>
      </c>
      <c r="AY39" s="67">
        <f>AY$6*'Eurostat Collected Portables'!AY32</f>
        <v>147.01616028167157</v>
      </c>
      <c r="AZ39" s="67">
        <f>AZ$6*'Eurostat Collected Portables'!AZ32</f>
        <v>152.55198753627437</v>
      </c>
    </row>
    <row r="40" spans="1:52" x14ac:dyDescent="0.35">
      <c r="A40" s="1" t="s">
        <v>30</v>
      </c>
      <c r="B40" s="23">
        <f t="shared" si="1"/>
        <v>38.766071514011699</v>
      </c>
      <c r="C40" s="23">
        <f t="shared" si="2"/>
        <v>39.541392944291935</v>
      </c>
      <c r="D40" s="23">
        <f t="shared" si="3"/>
        <v>40.332220803177776</v>
      </c>
      <c r="E40" s="23">
        <f t="shared" si="4"/>
        <v>41.138865219241332</v>
      </c>
      <c r="F40" s="23">
        <f t="shared" si="5"/>
        <v>41.961642523626161</v>
      </c>
      <c r="G40" s="23">
        <f t="shared" si="6"/>
        <v>42.800875374098688</v>
      </c>
      <c r="H40" s="23">
        <f t="shared" si="7"/>
        <v>43.65689288158066</v>
      </c>
      <c r="I40" s="23">
        <f t="shared" si="8"/>
        <v>44.530030739212272</v>
      </c>
      <c r="J40" s="23">
        <f t="shared" si="9"/>
        <v>45.420631353996519</v>
      </c>
      <c r="K40" s="23">
        <f t="shared" si="10"/>
        <v>46.329043981076452</v>
      </c>
      <c r="L40" s="23">
        <f t="shared" si="11"/>
        <v>47.255624860697985</v>
      </c>
      <c r="M40" s="4">
        <f>$M$6*'Eurostat Collected Portables'!M33</f>
        <v>48.200737357911947</v>
      </c>
      <c r="N40" s="4">
        <f>$N$6*'Eurostat Collected Portables'!N33</f>
        <v>88.954495250988245</v>
      </c>
      <c r="O40" s="4">
        <f>$O$6*'Eurostat Collected Portables'!O33</f>
        <v>111.15931626478353</v>
      </c>
      <c r="P40" s="4">
        <f>$P$6*'Eurostat Collected Portables'!P33</f>
        <v>118.91541262462273</v>
      </c>
      <c r="Q40" s="4">
        <f>$Q$6*'Eurostat Collected Portables'!Q33</f>
        <v>119.20471783655117</v>
      </c>
      <c r="R40" s="4">
        <f>$R$6*'Eurostat Collected Portables'!R33</f>
        <v>155.85167767514031</v>
      </c>
      <c r="S40" s="4">
        <f>$S$6*'Eurostat Collected Portables'!S33</f>
        <v>131.27421921322534</v>
      </c>
      <c r="T40" s="4">
        <f>$T$6*'Eurostat Collected Portables'!T33</f>
        <v>146.5144553452175</v>
      </c>
      <c r="U40" s="4">
        <f>$U$6*'Eurostat Collected Portables'!U33</f>
        <v>451.63558674387821</v>
      </c>
      <c r="V40" s="4">
        <f>$V$6*'Eurostat Collected Portables'!V33</f>
        <v>237.61647571257345</v>
      </c>
      <c r="W40" s="4">
        <f>$W$6*'Eurostat Collected Portables'!W33</f>
        <v>147.6994171904571</v>
      </c>
      <c r="X40" s="67">
        <f>X$6*'Eurostat Collected Portables'!X33</f>
        <v>176.73444125326523</v>
      </c>
      <c r="Y40" s="67">
        <f>Y$6*'Eurostat Collected Portables'!Y33</f>
        <v>188.57827764524461</v>
      </c>
      <c r="Z40" s="67">
        <f>Z$6*'Eurostat Collected Portables'!Z33</f>
        <v>202.55498369798602</v>
      </c>
      <c r="AA40" s="67">
        <f>AA$6*'Eurostat Collected Portables'!AA33</f>
        <v>217.9286193854862</v>
      </c>
      <c r="AB40" s="67">
        <f>AB$6*'Eurostat Collected Portables'!AB33</f>
        <v>233.90584373203419</v>
      </c>
      <c r="AC40" s="67">
        <f>AC$6*'Eurostat Collected Portables'!AC33</f>
        <v>250.78768318736141</v>
      </c>
      <c r="AD40" s="67">
        <f>AD$6*'Eurostat Collected Portables'!AD33</f>
        <v>269.16065545356889</v>
      </c>
      <c r="AE40" s="67">
        <f>AE$6*'Eurostat Collected Portables'!AE33</f>
        <v>290.52720574763475</v>
      </c>
      <c r="AF40" s="67">
        <f>AF$6*'Eurostat Collected Portables'!AF33</f>
        <v>314.88434412611872</v>
      </c>
      <c r="AG40" s="67">
        <f>AG$6*'Eurostat Collected Portables'!AG33</f>
        <v>340.00533257201522</v>
      </c>
      <c r="AH40" s="67">
        <f>AH$6*'Eurostat Collected Portables'!AH33</f>
        <v>365.39442536521085</v>
      </c>
      <c r="AI40" s="67">
        <f>AI$6*'Eurostat Collected Portables'!AI33</f>
        <v>390.8357981197783</v>
      </c>
      <c r="AJ40" s="67">
        <f>AJ$6*'Eurostat Collected Portables'!AJ33</f>
        <v>418.17161651326052</v>
      </c>
      <c r="AK40" s="67">
        <f>AK$6*'Eurostat Collected Portables'!AK33</f>
        <v>447.55736399504679</v>
      </c>
      <c r="AL40" s="67">
        <f>AL$6*'Eurostat Collected Portables'!AL33</f>
        <v>479.15575894854021</v>
      </c>
      <c r="AM40" s="67">
        <f>AM$6*'Eurostat Collected Portables'!AM33</f>
        <v>513.14295242257197</v>
      </c>
      <c r="AN40" s="67">
        <f>AN$6*'Eurostat Collected Portables'!AN33</f>
        <v>549.70966325765312</v>
      </c>
      <c r="AO40" s="67">
        <f>AO$6*'Eurostat Collected Portables'!AO33</f>
        <v>588.94407903568265</v>
      </c>
      <c r="AP40" s="67">
        <f>AP$6*'Eurostat Collected Portables'!AP33</f>
        <v>630.15986900620908</v>
      </c>
      <c r="AQ40" s="67">
        <f>AQ$6*'Eurostat Collected Portables'!AQ33</f>
        <v>668.68855477500483</v>
      </c>
      <c r="AR40" s="67">
        <f>AR$6*'Eurostat Collected Portables'!AR33</f>
        <v>703.93966106638038</v>
      </c>
      <c r="AS40" s="67">
        <f>AS$6*'Eurostat Collected Portables'!AS33</f>
        <v>736.12251159327491</v>
      </c>
      <c r="AT40" s="67">
        <f>AT$6*'Eurostat Collected Portables'!AT33</f>
        <v>769.71548769083881</v>
      </c>
      <c r="AU40" s="67">
        <f>AU$6*'Eurostat Collected Portables'!AU33</f>
        <v>804.80507923727089</v>
      </c>
      <c r="AV40" s="67">
        <f>AV$6*'Eurostat Collected Portables'!AV33</f>
        <v>841.27917984137764</v>
      </c>
      <c r="AW40" s="67">
        <f>AW$6*'Eurostat Collected Portables'!AW33</f>
        <v>879.18395457989993</v>
      </c>
      <c r="AX40" s="67">
        <f>AX$6*'Eurostat Collected Portables'!AX33</f>
        <v>918.56670564307251</v>
      </c>
      <c r="AY40" s="67">
        <f>AY$6*'Eurostat Collected Portables'!AY33</f>
        <v>959.67000898340461</v>
      </c>
      <c r="AZ40" s="67">
        <f>AZ$6*'Eurostat Collected Portables'!AZ33</f>
        <v>1002.5682028596531</v>
      </c>
    </row>
    <row r="41" spans="1:52" x14ac:dyDescent="0.35">
      <c r="A41" s="1" t="s">
        <v>31</v>
      </c>
      <c r="B41" s="4">
        <f>SUM(B10:B40)</f>
        <v>339.69894694367377</v>
      </c>
      <c r="C41" s="4">
        <f t="shared" ref="C41:L41" si="12">SUM(C10:C40)</f>
        <v>346.49292588254724</v>
      </c>
      <c r="D41" s="4">
        <f t="shared" si="12"/>
        <v>353.42278440019828</v>
      </c>
      <c r="E41" s="4">
        <f t="shared" si="12"/>
        <v>360.49124008820218</v>
      </c>
      <c r="F41" s="4">
        <f t="shared" si="12"/>
        <v>367.70106488996618</v>
      </c>
      <c r="G41" s="4">
        <f t="shared" si="12"/>
        <v>375.0550861877656</v>
      </c>
      <c r="H41" s="4">
        <f t="shared" si="12"/>
        <v>382.55618791152096</v>
      </c>
      <c r="I41" s="4">
        <f t="shared" si="12"/>
        <v>390.20731166975122</v>
      </c>
      <c r="J41" s="4">
        <f t="shared" si="12"/>
        <v>398.01145790314638</v>
      </c>
      <c r="K41" s="4">
        <f t="shared" si="12"/>
        <v>405.97168706120937</v>
      </c>
      <c r="L41" s="4">
        <f t="shared" si="12"/>
        <v>414.09112080243347</v>
      </c>
      <c r="M41" s="4">
        <f>SUM(M10:M40)</f>
        <v>422.37294321848219</v>
      </c>
      <c r="N41" s="4">
        <f>SUM(N10:N40)</f>
        <v>623.76584866840687</v>
      </c>
      <c r="O41" s="4">
        <f t="shared" ref="O41:W41" si="13">SUM(O10:O40)</f>
        <v>726.27274232649165</v>
      </c>
      <c r="P41" s="4">
        <f t="shared" si="13"/>
        <v>760.64330296115952</v>
      </c>
      <c r="Q41" s="4">
        <f t="shared" si="13"/>
        <v>718.87752344105991</v>
      </c>
      <c r="R41" s="4">
        <f t="shared" si="13"/>
        <v>931.89051243796382</v>
      </c>
      <c r="S41" s="4">
        <f t="shared" si="13"/>
        <v>782.07360207202271</v>
      </c>
      <c r="T41" s="4">
        <f t="shared" si="13"/>
        <v>917.48515963226498</v>
      </c>
      <c r="U41" s="4">
        <f t="shared" si="13"/>
        <v>3145.4142583369626</v>
      </c>
      <c r="V41" s="4">
        <f t="shared" si="13"/>
        <v>1629.7783756374056</v>
      </c>
      <c r="W41" s="4">
        <f t="shared" si="13"/>
        <v>1075.4224939010069</v>
      </c>
      <c r="X41" s="4">
        <f t="shared" ref="X41:AZ41" si="14">SUM(X10:X40)</f>
        <v>1289.8198687878107</v>
      </c>
      <c r="Y41" s="4">
        <f t="shared" si="14"/>
        <v>1368.714506426059</v>
      </c>
      <c r="Z41" s="4">
        <f t="shared" si="14"/>
        <v>1466.8381658793026</v>
      </c>
      <c r="AA41" s="4">
        <f t="shared" si="14"/>
        <v>1574.53581389648</v>
      </c>
      <c r="AB41" s="4">
        <f t="shared" si="14"/>
        <v>1685.6449140331331</v>
      </c>
      <c r="AC41" s="4">
        <f t="shared" si="14"/>
        <v>1802.3929119962872</v>
      </c>
      <c r="AD41" s="4">
        <f t="shared" si="14"/>
        <v>1929.1818489860907</v>
      </c>
      <c r="AE41" s="4">
        <f t="shared" si="14"/>
        <v>2077.2147768698114</v>
      </c>
      <c r="AF41" s="4">
        <f t="shared" si="14"/>
        <v>2246.2729624654235</v>
      </c>
      <c r="AG41" s="4">
        <f t="shared" si="14"/>
        <v>2420.1938465713565</v>
      </c>
      <c r="AH41" s="4">
        <f t="shared" si="14"/>
        <v>2595.3446805977837</v>
      </c>
      <c r="AI41" s="4">
        <f t="shared" si="14"/>
        <v>2770.2066776398001</v>
      </c>
      <c r="AJ41" s="4">
        <f t="shared" si="14"/>
        <v>2957.8361373944995</v>
      </c>
      <c r="AK41" s="4">
        <f t="shared" si="14"/>
        <v>3159.2647081216442</v>
      </c>
      <c r="AL41" s="4">
        <f t="shared" si="14"/>
        <v>3375.5719861143875</v>
      </c>
      <c r="AM41" s="4">
        <f t="shared" si="14"/>
        <v>3607.9256322593037</v>
      </c>
      <c r="AN41" s="4">
        <f t="shared" si="14"/>
        <v>3857.5887363398351</v>
      </c>
      <c r="AO41" s="4">
        <f t="shared" si="14"/>
        <v>4125.0897348059798</v>
      </c>
      <c r="AP41" s="4">
        <f t="shared" si="14"/>
        <v>4405.5531670227829</v>
      </c>
      <c r="AQ41" s="4">
        <f t="shared" si="14"/>
        <v>4666.3261957581453</v>
      </c>
      <c r="AR41" s="4">
        <f t="shared" si="14"/>
        <v>4903.4437433912763</v>
      </c>
      <c r="AS41" s="4">
        <f t="shared" si="14"/>
        <v>5118.4991549101296</v>
      </c>
      <c r="AT41" s="4">
        <f t="shared" si="14"/>
        <v>5342.7323514814834</v>
      </c>
      <c r="AU41" s="4">
        <f t="shared" si="14"/>
        <v>5576.6941594271784</v>
      </c>
      <c r="AV41" s="4">
        <f t="shared" si="14"/>
        <v>5819.5595744854127</v>
      </c>
      <c r="AW41" s="4">
        <f t="shared" si="14"/>
        <v>6071.6151744210856</v>
      </c>
      <c r="AX41" s="4">
        <f t="shared" si="14"/>
        <v>6333.1541978831046</v>
      </c>
      <c r="AY41" s="4">
        <f t="shared" si="14"/>
        <v>6605.8280419731063</v>
      </c>
      <c r="AZ41" s="4">
        <f t="shared" si="14"/>
        <v>6890.1089259673336</v>
      </c>
    </row>
    <row r="42" spans="1:52" x14ac:dyDescent="0.35">
      <c r="A42" s="1" t="s">
        <v>68</v>
      </c>
      <c r="B42" s="45">
        <f>_xlfn.RRI(1,B41,C41)</f>
        <v>2.0000000000000018E-2</v>
      </c>
      <c r="C42" s="45">
        <f t="shared" ref="C42:AY42" si="15">_xlfn.RRI(1,C41,D41)</f>
        <v>2.000000000000024E-2</v>
      </c>
      <c r="D42" s="45">
        <f t="shared" si="15"/>
        <v>1.9999999999999796E-2</v>
      </c>
      <c r="E42" s="45">
        <f t="shared" si="15"/>
        <v>1.9999999999999796E-2</v>
      </c>
      <c r="F42" s="45">
        <f t="shared" si="15"/>
        <v>2.000000000000024E-2</v>
      </c>
      <c r="G42" s="45">
        <f t="shared" si="15"/>
        <v>2.000000000000024E-2</v>
      </c>
      <c r="H42" s="45">
        <f t="shared" si="15"/>
        <v>1.9999999999999574E-2</v>
      </c>
      <c r="I42" s="45">
        <f t="shared" si="15"/>
        <v>2.000000000000024E-2</v>
      </c>
      <c r="J42" s="45">
        <f t="shared" si="15"/>
        <v>2.000000000000024E-2</v>
      </c>
      <c r="K42" s="45">
        <f t="shared" si="15"/>
        <v>1.9999999999999796E-2</v>
      </c>
      <c r="L42" s="45">
        <f t="shared" si="15"/>
        <v>2.000000000000024E-2</v>
      </c>
      <c r="M42" s="45">
        <f t="shared" si="15"/>
        <v>0.47681298881341827</v>
      </c>
      <c r="N42" s="45">
        <f t="shared" si="15"/>
        <v>0.16433553372136811</v>
      </c>
      <c r="O42" s="45">
        <f t="shared" si="15"/>
        <v>4.7324591206008293E-2</v>
      </c>
      <c r="P42" s="45">
        <f t="shared" si="15"/>
        <v>-5.4908495687146397E-2</v>
      </c>
      <c r="Q42" s="45">
        <f t="shared" si="15"/>
        <v>0.29631332466380655</v>
      </c>
      <c r="R42" s="45">
        <f t="shared" si="15"/>
        <v>-0.16076664411358565</v>
      </c>
      <c r="S42" s="45">
        <f t="shared" si="15"/>
        <v>0.17314426315053133</v>
      </c>
      <c r="T42" s="45">
        <f t="shared" si="15"/>
        <v>2.4282998752782752</v>
      </c>
      <c r="U42" s="45">
        <f t="shared" si="15"/>
        <v>-0.48185572971265833</v>
      </c>
      <c r="V42" s="45">
        <f t="shared" si="15"/>
        <v>-0.34014188065269324</v>
      </c>
      <c r="W42" s="45">
        <f t="shared" si="15"/>
        <v>0.19936106609514459</v>
      </c>
      <c r="X42" s="39">
        <f t="shared" si="15"/>
        <v>6.116717500436275E-2</v>
      </c>
      <c r="Y42" s="39">
        <f t="shared" si="15"/>
        <v>7.1690377352294332E-2</v>
      </c>
      <c r="Z42" s="39">
        <f t="shared" si="15"/>
        <v>7.3421629271977373E-2</v>
      </c>
      <c r="AA42" s="39">
        <f t="shared" si="15"/>
        <v>7.0566257785964925E-2</v>
      </c>
      <c r="AB42" s="39">
        <f t="shared" si="15"/>
        <v>6.9260137168402069E-2</v>
      </c>
      <c r="AC42" s="39">
        <f t="shared" si="15"/>
        <v>7.034478228688501E-2</v>
      </c>
      <c r="AD42" s="39">
        <f t="shared" si="15"/>
        <v>7.6733527200414819E-2</v>
      </c>
      <c r="AE42" s="39">
        <f t="shared" si="15"/>
        <v>8.13869550121189E-2</v>
      </c>
      <c r="AF42" s="39">
        <f t="shared" si="15"/>
        <v>7.7426424576220843E-2</v>
      </c>
      <c r="AG42" s="39">
        <f t="shared" si="15"/>
        <v>7.2370580676651253E-2</v>
      </c>
      <c r="AH42" s="39">
        <f t="shared" si="15"/>
        <v>6.7375250135076614E-2</v>
      </c>
      <c r="AI42" s="39">
        <f t="shared" si="15"/>
        <v>6.7731213439481852E-2</v>
      </c>
      <c r="AJ42" s="39">
        <f t="shared" si="15"/>
        <v>6.8099976256487116E-2</v>
      </c>
      <c r="AK42" s="39">
        <f t="shared" si="15"/>
        <v>6.8467601792491006E-2</v>
      </c>
      <c r="AL42" s="39">
        <f t="shared" si="15"/>
        <v>6.883385900247907E-2</v>
      </c>
      <c r="AM42" s="39">
        <f t="shared" si="15"/>
        <v>6.9198517244434044E-2</v>
      </c>
      <c r="AN42" s="39">
        <f t="shared" si="15"/>
        <v>6.9344094653271737E-2</v>
      </c>
      <c r="AO42" s="39">
        <f t="shared" si="15"/>
        <v>6.7989656043202285E-2</v>
      </c>
      <c r="AP42" s="39">
        <f t="shared" si="15"/>
        <v>5.9191892334280904E-2</v>
      </c>
      <c r="AQ42" s="39">
        <f t="shared" si="15"/>
        <v>5.0814610399221305E-2</v>
      </c>
      <c r="AR42" s="39">
        <f t="shared" si="15"/>
        <v>4.3858035856677136E-2</v>
      </c>
      <c r="AS42" s="39">
        <f t="shared" si="15"/>
        <v>4.3808387924856529E-2</v>
      </c>
      <c r="AT42" s="39">
        <f t="shared" si="15"/>
        <v>4.3790666002727852E-2</v>
      </c>
      <c r="AU42" s="39">
        <f t="shared" si="15"/>
        <v>4.3550068932448172E-2</v>
      </c>
      <c r="AV42" s="39">
        <f t="shared" si="15"/>
        <v>4.3311799923959171E-2</v>
      </c>
      <c r="AW42" s="39">
        <f t="shared" si="15"/>
        <v>4.3075691714430153E-2</v>
      </c>
      <c r="AX42" s="39">
        <f t="shared" si="15"/>
        <v>4.3054982646900442E-2</v>
      </c>
      <c r="AY42" s="39">
        <f t="shared" si="15"/>
        <v>4.3034859852227436E-2</v>
      </c>
      <c r="AZ42" s="2"/>
    </row>
    <row r="43" spans="1:52" x14ac:dyDescent="0.35"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52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2"/>
    </row>
  </sheetData>
  <mergeCells count="1">
    <mergeCell ref="X8:AZ8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E5CE-BD2D-438F-BDBB-C98B3258F161}">
  <dimension ref="A2:BB38"/>
  <sheetViews>
    <sheetView topLeftCell="S1" workbookViewId="0">
      <selection activeCell="X3" sqref="X3"/>
    </sheetView>
  </sheetViews>
  <sheetFormatPr baseColWidth="10" defaultRowHeight="14.5" x14ac:dyDescent="0.35"/>
  <cols>
    <col min="1" max="1" width="16.81640625" customWidth="1"/>
  </cols>
  <sheetData>
    <row r="2" spans="1:54" x14ac:dyDescent="0.35">
      <c r="A2" s="26"/>
      <c r="B2" s="26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  <c r="Z2">
        <v>2024</v>
      </c>
      <c r="AA2">
        <v>2025</v>
      </c>
      <c r="AB2">
        <v>2026</v>
      </c>
      <c r="AC2">
        <v>2027</v>
      </c>
      <c r="AD2">
        <v>2028</v>
      </c>
      <c r="AE2">
        <v>2029</v>
      </c>
      <c r="AF2">
        <v>2030</v>
      </c>
      <c r="AG2">
        <v>2031</v>
      </c>
      <c r="AH2">
        <v>2032</v>
      </c>
      <c r="AI2">
        <v>2033</v>
      </c>
      <c r="AJ2">
        <v>2034</v>
      </c>
      <c r="AK2">
        <v>2035</v>
      </c>
      <c r="AL2">
        <v>2036</v>
      </c>
      <c r="AM2">
        <v>2037</v>
      </c>
      <c r="AN2">
        <v>2038</v>
      </c>
      <c r="AO2">
        <v>2039</v>
      </c>
      <c r="AP2">
        <v>2040</v>
      </c>
      <c r="AQ2">
        <v>2041</v>
      </c>
      <c r="AR2">
        <v>2042</v>
      </c>
      <c r="AS2">
        <v>2043</v>
      </c>
      <c r="AT2">
        <v>2044</v>
      </c>
      <c r="AU2">
        <v>2045</v>
      </c>
      <c r="AV2">
        <v>2046</v>
      </c>
      <c r="AW2">
        <v>2047</v>
      </c>
      <c r="AX2">
        <v>2048</v>
      </c>
      <c r="AY2">
        <v>2049</v>
      </c>
      <c r="AZ2">
        <v>2050</v>
      </c>
      <c r="BB2" s="60" t="s">
        <v>90</v>
      </c>
    </row>
    <row r="3" spans="1:54" x14ac:dyDescent="0.35">
      <c r="A3" s="26" t="s">
        <v>0</v>
      </c>
      <c r="B3" s="31"/>
      <c r="D3" s="53">
        <v>0.42</v>
      </c>
      <c r="E3" s="53">
        <v>0.44</v>
      </c>
      <c r="F3" s="53">
        <v>0.43</v>
      </c>
      <c r="G3" s="53">
        <v>0.43</v>
      </c>
      <c r="H3" s="53">
        <v>0.42</v>
      </c>
      <c r="I3" s="53">
        <v>0.43</v>
      </c>
      <c r="J3" s="53">
        <v>0.43</v>
      </c>
      <c r="K3" s="53">
        <v>0.49</v>
      </c>
      <c r="L3" s="53">
        <v>0.47</v>
      </c>
      <c r="M3" s="66">
        <f>('Eurostat Collected Portables'!M3*3)/SUM('Eurostat POM Portables'!K3:M3)</f>
        <v>0.52110059638782713</v>
      </c>
      <c r="N3" s="66">
        <f>('Eurostat Collected Portables'!N3*3)/SUM('Eurostat POM Portables'!L3:N3)</f>
        <v>0.53793474138778319</v>
      </c>
      <c r="O3" s="66">
        <f>('Eurostat Collected Portables'!O3*3)/SUM('Eurostat POM Portables'!M3:O3)</f>
        <v>0.52821940955425895</v>
      </c>
      <c r="P3" s="66">
        <f>('Eurostat Collected Portables'!P3*3)/SUM('Eurostat POM Portables'!N3:P3)</f>
        <v>0.53790564612879499</v>
      </c>
      <c r="Q3" s="66">
        <f>('Eurostat Collected Portables'!Q3*3)/SUM('Eurostat POM Portables'!O3:Q3)</f>
        <v>0.5506379826032648</v>
      </c>
      <c r="R3" s="66">
        <f>('Eurostat Collected Portables'!R3*3)/SUM('Eurostat POM Portables'!P3:R3)</f>
        <v>0.49198122580754561</v>
      </c>
      <c r="S3" s="66">
        <f>('Eurostat Collected Portables'!S3*3)/SUM('Eurostat POM Portables'!Q3:S3)</f>
        <v>0.45361157576458416</v>
      </c>
      <c r="T3" s="66">
        <f>('Eurostat Collected Portables'!T3*3)/SUM('Eurostat POM Portables'!R3:T3)</f>
        <v>0.45695142304288577</v>
      </c>
      <c r="U3" s="66">
        <f>('Eurostat Collected Portables'!U3*3)/SUM('Eurostat POM Portables'!S3:U3)</f>
        <v>0.44674217415400946</v>
      </c>
      <c r="V3" s="66">
        <f>('Eurostat Collected Portables'!V3*3)/SUM('Eurostat POM Portables'!T3:V3)</f>
        <v>0.48340048968133553</v>
      </c>
      <c r="W3" s="66">
        <f>('Eurostat Collected Portables'!W3*3)/SUM('Eurostat POM Portables'!U3:W3)</f>
        <v>0.45543156413866881</v>
      </c>
      <c r="X3" s="54">
        <f>W3+$BB3</f>
        <v>0.46041668261664576</v>
      </c>
      <c r="Y3" s="54">
        <f t="shared" ref="Y3:AY12" si="0">X3+$BB3</f>
        <v>0.4654018010946227</v>
      </c>
      <c r="Z3" s="54">
        <f t="shared" si="0"/>
        <v>0.47038691957259965</v>
      </c>
      <c r="AA3" s="54">
        <f t="shared" si="0"/>
        <v>0.4753720380505766</v>
      </c>
      <c r="AB3" s="54">
        <f t="shared" si="0"/>
        <v>0.48035715652855354</v>
      </c>
      <c r="AC3" s="54">
        <f t="shared" si="0"/>
        <v>0.48534227500653049</v>
      </c>
      <c r="AD3" s="54">
        <f t="shared" si="0"/>
        <v>0.49032739348450743</v>
      </c>
      <c r="AE3" s="54">
        <f t="shared" si="0"/>
        <v>0.49531251196248438</v>
      </c>
      <c r="AF3" s="54">
        <f t="shared" si="0"/>
        <v>0.50029763044046127</v>
      </c>
      <c r="AG3" s="54">
        <f t="shared" si="0"/>
        <v>0.50528274891843816</v>
      </c>
      <c r="AH3" s="54">
        <f t="shared" si="0"/>
        <v>0.51026786739641505</v>
      </c>
      <c r="AI3" s="54">
        <f t="shared" si="0"/>
        <v>0.51525298587439194</v>
      </c>
      <c r="AJ3" s="54">
        <f t="shared" si="0"/>
        <v>0.52023810435236884</v>
      </c>
      <c r="AK3" s="54">
        <f t="shared" si="0"/>
        <v>0.52522322283034573</v>
      </c>
      <c r="AL3" s="54">
        <f t="shared" si="0"/>
        <v>0.53020834130832262</v>
      </c>
      <c r="AM3" s="54">
        <f t="shared" si="0"/>
        <v>0.53519345978629951</v>
      </c>
      <c r="AN3" s="54">
        <f t="shared" si="0"/>
        <v>0.5401785782642764</v>
      </c>
      <c r="AO3" s="54">
        <f t="shared" si="0"/>
        <v>0.54516369674225329</v>
      </c>
      <c r="AP3" s="54">
        <f t="shared" si="0"/>
        <v>0.55014881522023018</v>
      </c>
      <c r="AQ3" s="54">
        <f t="shared" si="0"/>
        <v>0.55513393369820707</v>
      </c>
      <c r="AR3" s="54">
        <f t="shared" si="0"/>
        <v>0.56011905217618396</v>
      </c>
      <c r="AS3" s="54">
        <f t="shared" si="0"/>
        <v>0.56510417065416085</v>
      </c>
      <c r="AT3" s="54">
        <f t="shared" si="0"/>
        <v>0.57008928913213774</v>
      </c>
      <c r="AU3" s="54">
        <f t="shared" si="0"/>
        <v>0.57507440761011464</v>
      </c>
      <c r="AV3" s="54">
        <f t="shared" si="0"/>
        <v>0.58005952608809153</v>
      </c>
      <c r="AW3" s="54">
        <f t="shared" si="0"/>
        <v>0.58504464456606842</v>
      </c>
      <c r="AX3" s="54">
        <f t="shared" si="0"/>
        <v>0.59002976304404531</v>
      </c>
      <c r="AY3" s="54">
        <f t="shared" si="0"/>
        <v>0.5950148815220222</v>
      </c>
      <c r="AZ3" s="54">
        <v>0.6</v>
      </c>
      <c r="BB3" s="2">
        <f>(AZ3-W3)/29</f>
        <v>4.9851184779769369E-3</v>
      </c>
    </row>
    <row r="4" spans="1:54" x14ac:dyDescent="0.35">
      <c r="A4" s="26" t="s">
        <v>1</v>
      </c>
      <c r="B4" s="31"/>
      <c r="D4" s="54"/>
      <c r="E4" s="54"/>
      <c r="F4" s="54"/>
      <c r="G4" s="53">
        <v>0.57999999999999996</v>
      </c>
      <c r="H4" s="53">
        <v>0.54</v>
      </c>
      <c r="I4" s="53">
        <v>0.56000000000000005</v>
      </c>
      <c r="J4" s="53">
        <v>0.53</v>
      </c>
      <c r="K4" s="53">
        <v>0.54</v>
      </c>
      <c r="L4" s="53">
        <v>0.54</v>
      </c>
      <c r="M4" s="66">
        <f>('Eurostat Collected Portables'!M4*3)/SUM('Eurostat POM Portables'!K4:M4)</f>
        <v>0.54878774967300614</v>
      </c>
      <c r="N4" s="66">
        <f>('Eurostat Collected Portables'!N4*3)/SUM('Eurostat POM Portables'!L4:N4)</f>
        <v>0.53704421673987157</v>
      </c>
      <c r="O4" s="66">
        <f>('Eurostat Collected Portables'!O4*3)/SUM('Eurostat POM Portables'!M4:O4)</f>
        <v>0.52795221320263441</v>
      </c>
      <c r="P4" s="66">
        <f>('Eurostat Collected Portables'!P4*3)/SUM('Eurostat POM Portables'!N4:P4)</f>
        <v>0.54577218728162125</v>
      </c>
      <c r="Q4" s="66">
        <f>('Eurostat Collected Portables'!Q4*3)/SUM('Eurostat POM Portables'!O4:Q4)</f>
        <v>0.55467920521765512</v>
      </c>
      <c r="R4" s="66">
        <f>('Eurostat Collected Portables'!R4*3)/SUM('Eurostat POM Portables'!P4:R4)</f>
        <v>0.70732072085545505</v>
      </c>
      <c r="S4" s="66">
        <f>('Eurostat Collected Portables'!S4*3)/SUM('Eurostat POM Portables'!Q4:S4)</f>
        <v>0.60551051158785962</v>
      </c>
      <c r="T4" s="66">
        <f>('Eurostat Collected Portables'!T4*3)/SUM('Eurostat POM Portables'!R4:T4)</f>
        <v>0.61612203484710659</v>
      </c>
      <c r="U4" s="66">
        <f>('Eurostat Collected Portables'!U4*3)/SUM('Eurostat POM Portables'!S4:U4)</f>
        <v>0.67167140683907667</v>
      </c>
      <c r="V4" s="66">
        <f>('Eurostat Collected Portables'!V4*3)/SUM('Eurostat POM Portables'!T4:V4)</f>
        <v>0.59251128951329657</v>
      </c>
      <c r="W4" s="66">
        <f>('Eurostat Collected Portables'!W4*3)/SUM('Eurostat POM Portables'!U4:W4)</f>
        <v>0.58946880611712915</v>
      </c>
      <c r="X4" s="54">
        <f t="shared" ref="X4:AM34" si="1">W4+$BB4</f>
        <v>0.58983195073377992</v>
      </c>
      <c r="Y4" s="54">
        <f t="shared" si="1"/>
        <v>0.59019509535043069</v>
      </c>
      <c r="Z4" s="54">
        <f t="shared" si="1"/>
        <v>0.59055823996708146</v>
      </c>
      <c r="AA4" s="54">
        <f t="shared" si="1"/>
        <v>0.59092138458373222</v>
      </c>
      <c r="AB4" s="54">
        <f t="shared" si="1"/>
        <v>0.59128452920038299</v>
      </c>
      <c r="AC4" s="54">
        <f t="shared" si="1"/>
        <v>0.59164767381703376</v>
      </c>
      <c r="AD4" s="54">
        <f t="shared" si="1"/>
        <v>0.59201081843368453</v>
      </c>
      <c r="AE4" s="54">
        <f t="shared" si="1"/>
        <v>0.59237396305033529</v>
      </c>
      <c r="AF4" s="54">
        <f t="shared" si="1"/>
        <v>0.59273710766698606</v>
      </c>
      <c r="AG4" s="54">
        <f t="shared" si="1"/>
        <v>0.59310025228363683</v>
      </c>
      <c r="AH4" s="54">
        <f t="shared" si="1"/>
        <v>0.5934633969002876</v>
      </c>
      <c r="AI4" s="54">
        <f t="shared" si="1"/>
        <v>0.59382654151693837</v>
      </c>
      <c r="AJ4" s="54">
        <f t="shared" si="1"/>
        <v>0.59418968613358913</v>
      </c>
      <c r="AK4" s="54">
        <f t="shared" si="1"/>
        <v>0.5945528307502399</v>
      </c>
      <c r="AL4" s="54">
        <f t="shared" si="1"/>
        <v>0.59491597536689067</v>
      </c>
      <c r="AM4" s="54">
        <f t="shared" si="1"/>
        <v>0.59527911998354144</v>
      </c>
      <c r="AN4" s="54">
        <f t="shared" si="0"/>
        <v>0.59564226460019221</v>
      </c>
      <c r="AO4" s="54">
        <f t="shared" si="0"/>
        <v>0.59600540921684297</v>
      </c>
      <c r="AP4" s="54">
        <f t="shared" si="0"/>
        <v>0.59636855383349374</v>
      </c>
      <c r="AQ4" s="54">
        <f t="shared" si="0"/>
        <v>0.59673169845014451</v>
      </c>
      <c r="AR4" s="54">
        <f t="shared" si="0"/>
        <v>0.59709484306679528</v>
      </c>
      <c r="AS4" s="54">
        <f t="shared" si="0"/>
        <v>0.59745798768344605</v>
      </c>
      <c r="AT4" s="54">
        <f t="shared" si="0"/>
        <v>0.59782113230009681</v>
      </c>
      <c r="AU4" s="54">
        <f t="shared" si="0"/>
        <v>0.59818427691674758</v>
      </c>
      <c r="AV4" s="54">
        <f t="shared" si="0"/>
        <v>0.59854742153339835</v>
      </c>
      <c r="AW4" s="54">
        <f t="shared" si="0"/>
        <v>0.59891056615004912</v>
      </c>
      <c r="AX4" s="54">
        <f t="shared" si="0"/>
        <v>0.59927371076669989</v>
      </c>
      <c r="AY4" s="54">
        <f t="shared" si="0"/>
        <v>0.59963685538335065</v>
      </c>
      <c r="AZ4" s="54">
        <v>0.6</v>
      </c>
      <c r="BB4" s="2">
        <f t="shared" ref="BB4:BB34" si="2">(AZ4-W4)/29</f>
        <v>3.6314461665071815E-4</v>
      </c>
    </row>
    <row r="5" spans="1:54" x14ac:dyDescent="0.35">
      <c r="A5" s="26" t="s">
        <v>2</v>
      </c>
      <c r="B5" s="31"/>
      <c r="D5" s="54"/>
      <c r="E5" s="54"/>
      <c r="F5" s="54"/>
      <c r="G5" s="54"/>
      <c r="H5" s="54"/>
      <c r="I5" s="54"/>
      <c r="J5" s="54"/>
      <c r="K5" s="53">
        <v>0.01</v>
      </c>
      <c r="L5" s="53">
        <v>7.0000000000000007E-2</v>
      </c>
      <c r="M5" s="66">
        <f>('Eurostat Collected Portables'!M5*3)/SUM('Eurostat POM Portables'!K5:M5)</f>
        <v>0.18753609739446891</v>
      </c>
      <c r="N5" s="66">
        <f>('Eurostat Collected Portables'!N5*3)/SUM('Eurostat POM Portables'!L5:N5)</f>
        <v>0.43528719226785439</v>
      </c>
      <c r="O5" s="66">
        <f>('Eurostat Collected Portables'!O5*3)/SUM('Eurostat POM Portables'!M5:O5)</f>
        <v>0.38930682894614482</v>
      </c>
      <c r="P5" s="66">
        <f>('Eurostat Collected Portables'!P5*3)/SUM('Eurostat POM Portables'!N5:P5)</f>
        <v>0.45237767016044228</v>
      </c>
      <c r="Q5" s="66">
        <f>('Eurostat Collected Portables'!Q5*3)/SUM('Eurostat POM Portables'!O5:Q5)</f>
        <v>0.445777572681126</v>
      </c>
      <c r="R5" s="66">
        <f>('Eurostat Collected Portables'!R5*3)/SUM('Eurostat POM Portables'!P5:R5)</f>
        <v>0.48482142857142857</v>
      </c>
      <c r="S5" s="66">
        <f>('Eurostat Collected Portables'!S5*3)/SUM('Eurostat POM Portables'!Q5:S5)</f>
        <v>0.50064516129032255</v>
      </c>
      <c r="T5" s="66">
        <f>('Eurostat Collected Portables'!T5*3)/SUM('Eurostat POM Portables'!R5:T5)</f>
        <v>0.53481152993348113</v>
      </c>
      <c r="U5" s="66">
        <f>('Eurostat Collected Portables'!U5*3)/SUM('Eurostat POM Portables'!S5:U5)</f>
        <v>0.48058847568451163</v>
      </c>
      <c r="V5" s="66">
        <f>('Eurostat Collected Portables'!V5*3)/SUM('Eurostat POM Portables'!T5:V5)</f>
        <v>0.47589424572317263</v>
      </c>
      <c r="W5" s="66">
        <f>('Eurostat Collected Portables'!W5*3)/SUM('Eurostat POM Portables'!U5:W5)</f>
        <v>0.46601941747572817</v>
      </c>
      <c r="X5" s="54">
        <f t="shared" si="1"/>
        <v>0.47063943756277204</v>
      </c>
      <c r="Y5" s="54">
        <f t="shared" si="0"/>
        <v>0.47525945764981592</v>
      </c>
      <c r="Z5" s="54">
        <f t="shared" si="0"/>
        <v>0.47987947773685979</v>
      </c>
      <c r="AA5" s="54">
        <f t="shared" si="0"/>
        <v>0.48449949782390367</v>
      </c>
      <c r="AB5" s="54">
        <f t="shared" si="0"/>
        <v>0.48911951791094754</v>
      </c>
      <c r="AC5" s="54">
        <f t="shared" si="0"/>
        <v>0.49373953799799142</v>
      </c>
      <c r="AD5" s="54">
        <f t="shared" si="0"/>
        <v>0.49835955808503529</v>
      </c>
      <c r="AE5" s="54">
        <f t="shared" si="0"/>
        <v>0.50297957817207917</v>
      </c>
      <c r="AF5" s="54">
        <f t="shared" si="0"/>
        <v>0.50759959825912304</v>
      </c>
      <c r="AG5" s="54">
        <f t="shared" si="0"/>
        <v>0.51221961834616692</v>
      </c>
      <c r="AH5" s="54">
        <f t="shared" si="0"/>
        <v>0.51683963843321079</v>
      </c>
      <c r="AI5" s="54">
        <f t="shared" si="0"/>
        <v>0.52145965852025467</v>
      </c>
      <c r="AJ5" s="54">
        <f t="shared" si="0"/>
        <v>0.52607967860729854</v>
      </c>
      <c r="AK5" s="54">
        <f t="shared" si="0"/>
        <v>0.53069969869434241</v>
      </c>
      <c r="AL5" s="54">
        <f t="shared" si="0"/>
        <v>0.53531971878138629</v>
      </c>
      <c r="AM5" s="54">
        <f t="shared" si="0"/>
        <v>0.53993973886843016</v>
      </c>
      <c r="AN5" s="54">
        <f t="shared" si="0"/>
        <v>0.54455975895547404</v>
      </c>
      <c r="AO5" s="54">
        <f t="shared" si="0"/>
        <v>0.54917977904251791</v>
      </c>
      <c r="AP5" s="54">
        <f t="shared" si="0"/>
        <v>0.55379979912956179</v>
      </c>
      <c r="AQ5" s="54">
        <f t="shared" si="0"/>
        <v>0.55841981921660566</v>
      </c>
      <c r="AR5" s="54">
        <f t="shared" si="0"/>
        <v>0.56303983930364954</v>
      </c>
      <c r="AS5" s="54">
        <f t="shared" si="0"/>
        <v>0.56765985939069341</v>
      </c>
      <c r="AT5" s="54">
        <f t="shared" si="0"/>
        <v>0.57227987947773729</v>
      </c>
      <c r="AU5" s="54">
        <f t="shared" si="0"/>
        <v>0.57689989956478116</v>
      </c>
      <c r="AV5" s="54">
        <f t="shared" si="0"/>
        <v>0.58151991965182503</v>
      </c>
      <c r="AW5" s="54">
        <f t="shared" si="0"/>
        <v>0.58613993973886891</v>
      </c>
      <c r="AX5" s="54">
        <f t="shared" si="0"/>
        <v>0.59075995982591278</v>
      </c>
      <c r="AY5" s="54">
        <f t="shared" si="0"/>
        <v>0.59537997991295666</v>
      </c>
      <c r="AZ5" s="54">
        <v>0.6</v>
      </c>
      <c r="BB5" s="2">
        <f t="shared" si="2"/>
        <v>4.6200200870438555E-3</v>
      </c>
    </row>
    <row r="6" spans="1:54" x14ac:dyDescent="0.35">
      <c r="A6" s="26" t="s">
        <v>3</v>
      </c>
      <c r="B6" s="31"/>
      <c r="D6" s="54"/>
      <c r="E6" s="54"/>
      <c r="F6" s="54"/>
      <c r="G6" s="54"/>
      <c r="H6" s="54"/>
      <c r="I6" s="54"/>
      <c r="J6" s="54"/>
      <c r="K6" s="53">
        <v>0.13</v>
      </c>
      <c r="L6" s="53">
        <v>0.28000000000000003</v>
      </c>
      <c r="M6" s="66">
        <f>('Eurostat Collected Portables'!M6*3)/SUM('Eurostat POM Portables'!K6:M6)</f>
        <v>0.21939318946451181</v>
      </c>
      <c r="N6" s="66">
        <f>('Eurostat Collected Portables'!N6*3)/SUM('Eurostat POM Portables'!L6:N6)</f>
        <v>0.20553619375694149</v>
      </c>
      <c r="O6" s="66">
        <f>('Eurostat Collected Portables'!O6*3)/SUM('Eurostat POM Portables'!M6:O6)</f>
        <v>0.20139207857824259</v>
      </c>
      <c r="P6" s="66">
        <f>('Eurostat Collected Portables'!P6*3)/SUM('Eurostat POM Portables'!N6:P6)</f>
        <v>0.18825498091303663</v>
      </c>
      <c r="Q6" s="66">
        <f>('Eurostat Collected Portables'!Q6*3)/SUM('Eurostat POM Portables'!O6:Q6)</f>
        <v>0.29207812593137161</v>
      </c>
      <c r="R6" s="66">
        <f>('Eurostat Collected Portables'!R6*3)/SUM('Eurostat POM Portables'!P6:R6)</f>
        <v>1.0029761904761905</v>
      </c>
      <c r="S6" s="66">
        <f>('Eurostat Collected Portables'!S6*3)/SUM('Eurostat POM Portables'!Q6:S6)</f>
        <v>1.161920260374288</v>
      </c>
      <c r="T6" s="66">
        <f>('Eurostat Collected Portables'!T6*3)/SUM('Eurostat POM Portables'!R6:T6)</f>
        <v>0.9621258399511301</v>
      </c>
      <c r="U6" s="66">
        <f>('Eurostat Collected Portables'!U6*3)/SUM('Eurostat POM Portables'!S6:U6)</f>
        <v>0.90921787709497204</v>
      </c>
      <c r="V6" s="66">
        <f>('Eurostat Collected Portables'!V6*3)/SUM('Eurostat POM Portables'!T6:V6)</f>
        <v>0.67933130699088151</v>
      </c>
      <c r="W6" s="66">
        <f>('Eurostat Collected Portables'!W6*3)/SUM('Eurostat POM Portables'!U6:W6)</f>
        <v>0.73528433654805458</v>
      </c>
      <c r="X6" s="54">
        <f t="shared" si="1"/>
        <v>0.73528433654805458</v>
      </c>
      <c r="Y6" s="54">
        <f t="shared" si="0"/>
        <v>0.73528433654805458</v>
      </c>
      <c r="Z6" s="54">
        <f t="shared" si="0"/>
        <v>0.73528433654805458</v>
      </c>
      <c r="AA6" s="54">
        <f t="shared" si="0"/>
        <v>0.73528433654805458</v>
      </c>
      <c r="AB6" s="54">
        <f t="shared" si="0"/>
        <v>0.73528433654805458</v>
      </c>
      <c r="AC6" s="54">
        <f t="shared" si="0"/>
        <v>0.73528433654805458</v>
      </c>
      <c r="AD6" s="54">
        <f t="shared" si="0"/>
        <v>0.73528433654805458</v>
      </c>
      <c r="AE6" s="54">
        <f t="shared" si="0"/>
        <v>0.73528433654805458</v>
      </c>
      <c r="AF6" s="54">
        <f t="shared" si="0"/>
        <v>0.73528433654805458</v>
      </c>
      <c r="AG6" s="54">
        <f t="shared" si="0"/>
        <v>0.73528433654805458</v>
      </c>
      <c r="AH6" s="54">
        <f t="shared" si="0"/>
        <v>0.73528433654805458</v>
      </c>
      <c r="AI6" s="54">
        <f t="shared" si="0"/>
        <v>0.73528433654805458</v>
      </c>
      <c r="AJ6" s="54">
        <f t="shared" si="0"/>
        <v>0.73528433654805458</v>
      </c>
      <c r="AK6" s="54">
        <f t="shared" si="0"/>
        <v>0.73528433654805458</v>
      </c>
      <c r="AL6" s="54">
        <f t="shared" si="0"/>
        <v>0.73528433654805458</v>
      </c>
      <c r="AM6" s="54">
        <f t="shared" si="0"/>
        <v>0.73528433654805458</v>
      </c>
      <c r="AN6" s="54">
        <f t="shared" si="0"/>
        <v>0.73528433654805458</v>
      </c>
      <c r="AO6" s="54">
        <f t="shared" si="0"/>
        <v>0.73528433654805458</v>
      </c>
      <c r="AP6" s="54">
        <f t="shared" si="0"/>
        <v>0.73528433654805458</v>
      </c>
      <c r="AQ6" s="54">
        <f t="shared" si="0"/>
        <v>0.73528433654805458</v>
      </c>
      <c r="AR6" s="54">
        <f t="shared" si="0"/>
        <v>0.73528433654805458</v>
      </c>
      <c r="AS6" s="54">
        <f t="shared" si="0"/>
        <v>0.73528433654805458</v>
      </c>
      <c r="AT6" s="54">
        <f t="shared" si="0"/>
        <v>0.73528433654805458</v>
      </c>
      <c r="AU6" s="54">
        <f t="shared" si="0"/>
        <v>0.73528433654805458</v>
      </c>
      <c r="AV6" s="54">
        <f t="shared" si="0"/>
        <v>0.73528433654805458</v>
      </c>
      <c r="AW6" s="54">
        <f t="shared" si="0"/>
        <v>0.73528433654805458</v>
      </c>
      <c r="AX6" s="54">
        <f t="shared" si="0"/>
        <v>0.73528433654805458</v>
      </c>
      <c r="AY6" s="54">
        <f t="shared" si="0"/>
        <v>0.73528433654805458</v>
      </c>
      <c r="AZ6" s="54">
        <v>0.73528433654805458</v>
      </c>
      <c r="BB6" s="2">
        <f t="shared" si="2"/>
        <v>0</v>
      </c>
    </row>
    <row r="7" spans="1:54" x14ac:dyDescent="0.35">
      <c r="A7" s="26" t="s">
        <v>4</v>
      </c>
      <c r="B7" s="31"/>
      <c r="D7" s="54"/>
      <c r="E7" s="54"/>
      <c r="F7" s="54"/>
      <c r="G7" s="54"/>
      <c r="H7" s="54"/>
      <c r="I7" s="54"/>
      <c r="J7" s="54"/>
      <c r="K7" s="53">
        <v>0.02</v>
      </c>
      <c r="L7" s="53">
        <v>0.08</v>
      </c>
      <c r="M7" s="66">
        <f>('Eurostat Collected Portables'!M7*3)/SUM('Eurostat POM Portables'!K7:M7)</f>
        <v>0.12974195417227408</v>
      </c>
      <c r="N7" s="66">
        <f>('Eurostat Collected Portables'!N7*3)/SUM('Eurostat POM Portables'!L7:N7)</f>
        <v>0.11825697068292304</v>
      </c>
      <c r="O7" s="66">
        <f>('Eurostat Collected Portables'!O7*3)/SUM('Eurostat POM Portables'!M7:O7)</f>
        <v>0.15944399018806216</v>
      </c>
      <c r="P7" s="66">
        <f>('Eurostat Collected Portables'!P7*3)/SUM('Eurostat POM Portables'!N7:P7)</f>
        <v>0.18975624807158284</v>
      </c>
      <c r="Q7" s="66">
        <f>('Eurostat Collected Portables'!Q7*3)/SUM('Eurostat POM Portables'!O7:Q7)</f>
        <v>0.27675276752767525</v>
      </c>
      <c r="R7" s="66">
        <f>('Eurostat Collected Portables'!R7*3)/SUM('Eurostat POM Portables'!P7:R7)</f>
        <v>0.28171334431630973</v>
      </c>
      <c r="S7" s="66">
        <f>('Eurostat Collected Portables'!S7*3)/SUM('Eurostat POM Portables'!Q7:S7)</f>
        <v>0.29538461538461541</v>
      </c>
      <c r="T7" s="66">
        <f>('Eurostat Collected Portables'!T7*3)/SUM('Eurostat POM Portables'!R7:T7)</f>
        <v>0.35758513931888547</v>
      </c>
      <c r="U7" s="66">
        <f>('Eurostat Collected Portables'!U7*3)/SUM('Eurostat POM Portables'!S7:U7)</f>
        <v>0.41311475409836068</v>
      </c>
      <c r="V7" s="66">
        <f>('Eurostat Collected Portables'!V7*3)/SUM('Eurostat POM Portables'!T7:V7)</f>
        <v>0.41379310344827586</v>
      </c>
      <c r="W7" s="66">
        <f>('Eurostat Collected Portables'!W7*3)/SUM('Eurostat POM Portables'!U7:W7)</f>
        <v>0.46434782608695652</v>
      </c>
      <c r="X7" s="54">
        <f t="shared" si="1"/>
        <v>0.46902548725637183</v>
      </c>
      <c r="Y7" s="54">
        <f t="shared" si="0"/>
        <v>0.47370314842578715</v>
      </c>
      <c r="Z7" s="54">
        <f t="shared" si="0"/>
        <v>0.47838080959520246</v>
      </c>
      <c r="AA7" s="54">
        <f t="shared" si="0"/>
        <v>0.48305847076461778</v>
      </c>
      <c r="AB7" s="54">
        <f t="shared" si="0"/>
        <v>0.48773613193403309</v>
      </c>
      <c r="AC7" s="54">
        <f t="shared" si="0"/>
        <v>0.49241379310344841</v>
      </c>
      <c r="AD7" s="54">
        <f t="shared" si="0"/>
        <v>0.49709145427286372</v>
      </c>
      <c r="AE7" s="54">
        <f t="shared" si="0"/>
        <v>0.50176911544227898</v>
      </c>
      <c r="AF7" s="54">
        <f t="shared" si="0"/>
        <v>0.50644677661169424</v>
      </c>
      <c r="AG7" s="54">
        <f t="shared" si="0"/>
        <v>0.5111244377811095</v>
      </c>
      <c r="AH7" s="54">
        <f t="shared" si="0"/>
        <v>0.51580209895052476</v>
      </c>
      <c r="AI7" s="54">
        <f t="shared" si="0"/>
        <v>0.52047976011994002</v>
      </c>
      <c r="AJ7" s="54">
        <f t="shared" si="0"/>
        <v>0.52515742128935528</v>
      </c>
      <c r="AK7" s="54">
        <f t="shared" si="0"/>
        <v>0.52983508245877053</v>
      </c>
      <c r="AL7" s="54">
        <f t="shared" si="0"/>
        <v>0.53451274362818579</v>
      </c>
      <c r="AM7" s="54">
        <f t="shared" si="0"/>
        <v>0.53919040479760105</v>
      </c>
      <c r="AN7" s="54">
        <f t="shared" si="0"/>
        <v>0.54386806596701631</v>
      </c>
      <c r="AO7" s="54">
        <f t="shared" si="0"/>
        <v>0.54854572713643157</v>
      </c>
      <c r="AP7" s="54">
        <f t="shared" si="0"/>
        <v>0.55322338830584683</v>
      </c>
      <c r="AQ7" s="54">
        <f t="shared" si="0"/>
        <v>0.55790104947526209</v>
      </c>
      <c r="AR7" s="54">
        <f t="shared" si="0"/>
        <v>0.56257871064467735</v>
      </c>
      <c r="AS7" s="54">
        <f t="shared" si="0"/>
        <v>0.56725637181409261</v>
      </c>
      <c r="AT7" s="54">
        <f t="shared" si="0"/>
        <v>0.57193403298350787</v>
      </c>
      <c r="AU7" s="54">
        <f t="shared" si="0"/>
        <v>0.57661169415292313</v>
      </c>
      <c r="AV7" s="54">
        <f t="shared" si="0"/>
        <v>0.58128935532233839</v>
      </c>
      <c r="AW7" s="54">
        <f t="shared" si="0"/>
        <v>0.58596701649175365</v>
      </c>
      <c r="AX7" s="54">
        <f t="shared" si="0"/>
        <v>0.5906446776611689</v>
      </c>
      <c r="AY7" s="54">
        <f t="shared" si="0"/>
        <v>0.59532233883058416</v>
      </c>
      <c r="AZ7" s="54">
        <v>0.6</v>
      </c>
      <c r="BB7" s="2">
        <f t="shared" si="2"/>
        <v>4.6776611694152922E-3</v>
      </c>
    </row>
    <row r="8" spans="1:54" x14ac:dyDescent="0.35">
      <c r="A8" s="26" t="s">
        <v>5</v>
      </c>
      <c r="B8" s="31"/>
      <c r="D8" s="54"/>
      <c r="E8" s="54"/>
      <c r="F8" s="54"/>
      <c r="G8" s="53">
        <v>0.05</v>
      </c>
      <c r="H8" s="53">
        <v>7.0000000000000007E-2</v>
      </c>
      <c r="I8" s="53">
        <v>0.09</v>
      </c>
      <c r="J8" s="53">
        <v>0.11</v>
      </c>
      <c r="K8" s="53">
        <v>0.14000000000000001</v>
      </c>
      <c r="L8" s="53">
        <v>0.17</v>
      </c>
      <c r="M8" s="66">
        <f>('Eurostat Collected Portables'!M8*3)/SUM('Eurostat POM Portables'!K8:M8)</f>
        <v>0.27362169092346755</v>
      </c>
      <c r="N8" s="66">
        <f>('Eurostat Collected Portables'!N8*3)/SUM('Eurostat POM Portables'!L8:N8)</f>
        <v>0.29617306223098855</v>
      </c>
      <c r="O8" s="66">
        <f>('Eurostat Collected Portables'!O8*3)/SUM('Eurostat POM Portables'!M8:O8)</f>
        <v>0.30957271360519556</v>
      </c>
      <c r="P8" s="66">
        <f>('Eurostat Collected Portables'!P8*3)/SUM('Eurostat POM Portables'!N8:P8)</f>
        <v>0.31500629076788789</v>
      </c>
      <c r="Q8" s="66">
        <f>('Eurostat Collected Portables'!Q8*3)/SUM('Eurostat POM Portables'!O8:Q8)</f>
        <v>0.36365986042905141</v>
      </c>
      <c r="R8" s="66">
        <f>('Eurostat Collected Portables'!R8*3)/SUM('Eurostat POM Portables'!P8:R8)</f>
        <v>0.52123842109655349</v>
      </c>
      <c r="S8" s="66">
        <f>('Eurostat Collected Portables'!S8*3)/SUM('Eurostat POM Portables'!Q8:S8)</f>
        <v>0.46952633322292148</v>
      </c>
      <c r="T8" s="66">
        <f>('Eurostat Collected Portables'!T8*3)/SUM('Eurostat POM Portables'!R8:T8)</f>
        <v>0.47396989884036517</v>
      </c>
      <c r="U8" s="66">
        <f>('Eurostat Collected Portables'!U8*3)/SUM('Eurostat POM Portables'!S8:U8)</f>
        <v>0.49383313180169286</v>
      </c>
      <c r="V8" s="66">
        <f>('Eurostat Collected Portables'!V8*3)/SUM('Eurostat POM Portables'!T8:V8)</f>
        <v>0.48571858087793146</v>
      </c>
      <c r="W8" s="66">
        <f>('Eurostat Collected Portables'!W8*3)/SUM('Eurostat POM Portables'!U8:W8)</f>
        <v>0.50470197759645974</v>
      </c>
      <c r="X8" s="54">
        <f t="shared" si="1"/>
        <v>0.50798811630003005</v>
      </c>
      <c r="Y8" s="54">
        <f t="shared" si="0"/>
        <v>0.51127425500360035</v>
      </c>
      <c r="Z8" s="54">
        <f t="shared" si="0"/>
        <v>0.51456039370717066</v>
      </c>
      <c r="AA8" s="54">
        <f t="shared" si="0"/>
        <v>0.51784653241074097</v>
      </c>
      <c r="AB8" s="54">
        <f t="shared" si="0"/>
        <v>0.52113267111431127</v>
      </c>
      <c r="AC8" s="54">
        <f t="shared" si="0"/>
        <v>0.52441880981788158</v>
      </c>
      <c r="AD8" s="54">
        <f t="shared" si="0"/>
        <v>0.52770494852145189</v>
      </c>
      <c r="AE8" s="54">
        <f t="shared" si="0"/>
        <v>0.5309910872250222</v>
      </c>
      <c r="AF8" s="54">
        <f t="shared" si="0"/>
        <v>0.5342772259285925</v>
      </c>
      <c r="AG8" s="54">
        <f t="shared" si="0"/>
        <v>0.53756336463216281</v>
      </c>
      <c r="AH8" s="54">
        <f t="shared" si="0"/>
        <v>0.54084950333573312</v>
      </c>
      <c r="AI8" s="54">
        <f t="shared" si="0"/>
        <v>0.54413564203930342</v>
      </c>
      <c r="AJ8" s="54">
        <f t="shared" si="0"/>
        <v>0.54742178074287373</v>
      </c>
      <c r="AK8" s="54">
        <f t="shared" si="0"/>
        <v>0.55070791944644404</v>
      </c>
      <c r="AL8" s="54">
        <f t="shared" si="0"/>
        <v>0.55399405815001435</v>
      </c>
      <c r="AM8" s="54">
        <f t="shared" si="0"/>
        <v>0.55728019685358465</v>
      </c>
      <c r="AN8" s="54">
        <f t="shared" si="0"/>
        <v>0.56056633555715496</v>
      </c>
      <c r="AO8" s="54">
        <f t="shared" si="0"/>
        <v>0.56385247426072527</v>
      </c>
      <c r="AP8" s="54">
        <f t="shared" si="0"/>
        <v>0.56713861296429557</v>
      </c>
      <c r="AQ8" s="54">
        <f t="shared" si="0"/>
        <v>0.57042475166786588</v>
      </c>
      <c r="AR8" s="54">
        <f t="shared" si="0"/>
        <v>0.57371089037143619</v>
      </c>
      <c r="AS8" s="54">
        <f t="shared" si="0"/>
        <v>0.5769970290750065</v>
      </c>
      <c r="AT8" s="54">
        <f t="shared" si="0"/>
        <v>0.5802831677785768</v>
      </c>
      <c r="AU8" s="54">
        <f t="shared" si="0"/>
        <v>0.58356930648214711</v>
      </c>
      <c r="AV8" s="54">
        <f t="shared" si="0"/>
        <v>0.58685544518571742</v>
      </c>
      <c r="AW8" s="54">
        <f t="shared" si="0"/>
        <v>0.59014158388928772</v>
      </c>
      <c r="AX8" s="54">
        <f t="shared" si="0"/>
        <v>0.59342772259285803</v>
      </c>
      <c r="AY8" s="54">
        <f t="shared" si="0"/>
        <v>0.59671386129642834</v>
      </c>
      <c r="AZ8" s="54">
        <v>0.6</v>
      </c>
      <c r="BB8" s="2">
        <f t="shared" si="2"/>
        <v>3.2861387035703531E-3</v>
      </c>
    </row>
    <row r="9" spans="1:54" x14ac:dyDescent="0.35">
      <c r="A9" s="26" t="s">
        <v>6</v>
      </c>
      <c r="B9" s="31"/>
      <c r="D9" s="54"/>
      <c r="E9" s="54"/>
      <c r="F9" s="54"/>
      <c r="G9" s="54"/>
      <c r="H9" s="54"/>
      <c r="I9" s="54"/>
      <c r="J9" s="54"/>
      <c r="K9" s="53">
        <v>0.39</v>
      </c>
      <c r="L9" s="53">
        <v>0.42</v>
      </c>
      <c r="M9" s="66">
        <f>('Eurostat Collected Portables'!M9*3)/SUM('Eurostat POM Portables'!K9:M9)</f>
        <v>0.50909168327453114</v>
      </c>
      <c r="N9" s="66">
        <f>('Eurostat Collected Portables'!N9*3)/SUM('Eurostat POM Portables'!L9:N9)</f>
        <v>0.44491364597140043</v>
      </c>
      <c r="O9" s="66">
        <f>('Eurostat Collected Portables'!O9*3)/SUM('Eurostat POM Portables'!M9:O9)</f>
        <v>0.41192014092777451</v>
      </c>
      <c r="P9" s="66">
        <f>('Eurostat Collected Portables'!P9*3)/SUM('Eurostat POM Portables'!N9:P9)</f>
        <v>0.44740654882642711</v>
      </c>
      <c r="Q9" s="66">
        <f>('Eurostat Collected Portables'!Q9*3)/SUM('Eurostat POM Portables'!O9:Q9)</f>
        <v>0.46169471851421939</v>
      </c>
      <c r="R9" s="66">
        <f>('Eurostat Collected Portables'!R9*3)/SUM('Eurostat POM Portables'!P9:R9)</f>
        <v>0.45306891600861449</v>
      </c>
      <c r="S9" s="66">
        <f>('Eurostat Collected Portables'!S9*3)/SUM('Eurostat POM Portables'!Q9:S9)</f>
        <v>0.52596714361420249</v>
      </c>
      <c r="T9" s="66">
        <f>('Eurostat Collected Portables'!T9*3)/SUM('Eurostat POM Portables'!R9:T9)</f>
        <v>0.49033696729435083</v>
      </c>
      <c r="U9" s="66">
        <f>('Eurostat Collected Portables'!U9*3)/SUM('Eurostat POM Portables'!S9:U9)</f>
        <v>0.55285152409046212</v>
      </c>
      <c r="V9" s="66">
        <f>('Eurostat Collected Portables'!V9*3)/SUM('Eurostat POM Portables'!T9:V9)</f>
        <v>0.59258983706569457</v>
      </c>
      <c r="W9" s="66">
        <f>('Eurostat Collected Portables'!W9*3)/SUM('Eurostat POM Portables'!U9:W9)</f>
        <v>0.55802556818181814</v>
      </c>
      <c r="X9" s="54">
        <f t="shared" si="1"/>
        <v>0.55947296238244515</v>
      </c>
      <c r="Y9" s="54">
        <f t="shared" si="0"/>
        <v>0.56092035658307215</v>
      </c>
      <c r="Z9" s="54">
        <f t="shared" si="0"/>
        <v>0.56236775078369916</v>
      </c>
      <c r="AA9" s="54">
        <f t="shared" si="0"/>
        <v>0.56381514498432617</v>
      </c>
      <c r="AB9" s="54">
        <f t="shared" si="0"/>
        <v>0.56526253918495317</v>
      </c>
      <c r="AC9" s="54">
        <f t="shared" si="0"/>
        <v>0.56670993338558018</v>
      </c>
      <c r="AD9" s="54">
        <f t="shared" si="0"/>
        <v>0.56815732758620718</v>
      </c>
      <c r="AE9" s="54">
        <f t="shared" si="0"/>
        <v>0.56960472178683419</v>
      </c>
      <c r="AF9" s="54">
        <f t="shared" si="0"/>
        <v>0.5710521159874612</v>
      </c>
      <c r="AG9" s="54">
        <f t="shared" si="0"/>
        <v>0.5724995101880882</v>
      </c>
      <c r="AH9" s="54">
        <f t="shared" si="0"/>
        <v>0.57394690438871521</v>
      </c>
      <c r="AI9" s="54">
        <f t="shared" si="0"/>
        <v>0.57539429858934221</v>
      </c>
      <c r="AJ9" s="54">
        <f t="shared" si="0"/>
        <v>0.57684169278996922</v>
      </c>
      <c r="AK9" s="54">
        <f t="shared" si="0"/>
        <v>0.57828908699059622</v>
      </c>
      <c r="AL9" s="54">
        <f t="shared" si="0"/>
        <v>0.57973648119122323</v>
      </c>
      <c r="AM9" s="54">
        <f t="shared" si="0"/>
        <v>0.58118387539185024</v>
      </c>
      <c r="AN9" s="54">
        <f t="shared" si="0"/>
        <v>0.58263126959247724</v>
      </c>
      <c r="AO9" s="54">
        <f t="shared" si="0"/>
        <v>0.58407866379310425</v>
      </c>
      <c r="AP9" s="54">
        <f t="shared" si="0"/>
        <v>0.58552605799373125</v>
      </c>
      <c r="AQ9" s="54">
        <f t="shared" si="0"/>
        <v>0.58697345219435826</v>
      </c>
      <c r="AR9" s="54">
        <f t="shared" si="0"/>
        <v>0.58842084639498526</v>
      </c>
      <c r="AS9" s="54">
        <f t="shared" si="0"/>
        <v>0.58986824059561227</v>
      </c>
      <c r="AT9" s="54">
        <f t="shared" si="0"/>
        <v>0.59131563479623928</v>
      </c>
      <c r="AU9" s="54">
        <f t="shared" si="0"/>
        <v>0.59276302899686628</v>
      </c>
      <c r="AV9" s="54">
        <f t="shared" si="0"/>
        <v>0.59421042319749329</v>
      </c>
      <c r="AW9" s="54">
        <f t="shared" si="0"/>
        <v>0.59565781739812029</v>
      </c>
      <c r="AX9" s="54">
        <f t="shared" si="0"/>
        <v>0.5971052115987473</v>
      </c>
      <c r="AY9" s="54">
        <f t="shared" si="0"/>
        <v>0.5985526057993743</v>
      </c>
      <c r="AZ9" s="54">
        <v>0.6</v>
      </c>
      <c r="BB9" s="2">
        <f t="shared" si="2"/>
        <v>1.4473942006269598E-3</v>
      </c>
    </row>
    <row r="10" spans="1:54" x14ac:dyDescent="0.35">
      <c r="A10" s="26" t="s">
        <v>7</v>
      </c>
      <c r="B10" s="31"/>
      <c r="D10" s="54"/>
      <c r="E10" s="54"/>
      <c r="F10" s="54"/>
      <c r="G10" s="54"/>
      <c r="H10" s="54"/>
      <c r="I10" s="54"/>
      <c r="J10" s="54"/>
      <c r="K10" s="54"/>
      <c r="L10" s="53">
        <v>0.16</v>
      </c>
      <c r="M10" s="66">
        <f>('Eurostat Collected Portables'!M10*3)/SUM('Eurostat POM Portables'!K10:M10)</f>
        <v>0.16351167314879436</v>
      </c>
      <c r="N10" s="66">
        <f>('Eurostat Collected Portables'!N10*3)/SUM('Eurostat POM Portables'!L10:N10)</f>
        <v>0.25705684390042938</v>
      </c>
      <c r="O10" s="66">
        <f>('Eurostat Collected Portables'!O10*3)/SUM('Eurostat POM Portables'!M10:O10)</f>
        <v>0.60047669241862311</v>
      </c>
      <c r="P10" s="66">
        <f>('Eurostat Collected Portables'!P10*3)/SUM('Eurostat POM Portables'!N10:P10)</f>
        <v>0.22365955810166685</v>
      </c>
      <c r="Q10" s="66">
        <f>('Eurostat Collected Portables'!Q10*3)/SUM('Eurostat POM Portables'!O10:Q10)</f>
        <v>0.3764828090985522</v>
      </c>
      <c r="R10" s="66">
        <f>('Eurostat Collected Portables'!R10*3)/SUM('Eurostat POM Portables'!P10:R10)</f>
        <v>0.27380485259812781</v>
      </c>
      <c r="S10" s="66">
        <f>('Eurostat Collected Portables'!S10*3)/SUM('Eurostat POM Portables'!Q10:S10)</f>
        <v>0.32681564245810057</v>
      </c>
      <c r="T10" s="66">
        <f>('Eurostat Collected Portables'!T10*3)/SUM('Eurostat POM Portables'!R10:T10)</f>
        <v>0.33700895933838731</v>
      </c>
      <c r="U10" s="66">
        <f>('Eurostat Collected Portables'!U10*3)/SUM('Eurostat POM Portables'!S10:U10)</f>
        <v>0.29025570145127849</v>
      </c>
      <c r="V10" s="66">
        <f>('Eurostat Collected Portables'!V10*3)/SUM('Eurostat POM Portables'!T10:V10)</f>
        <v>0.39200000000000002</v>
      </c>
      <c r="W10" s="66">
        <f>('Eurostat Collected Portables'!W10*3)/SUM('Eurostat POM Portables'!U10:W10)</f>
        <v>0.44697462589459985</v>
      </c>
      <c r="X10" s="54">
        <f t="shared" si="1"/>
        <v>0.45225136293271712</v>
      </c>
      <c r="Y10" s="54">
        <f t="shared" si="0"/>
        <v>0.45752809997083438</v>
      </c>
      <c r="Z10" s="54">
        <f t="shared" si="0"/>
        <v>0.46280483700895164</v>
      </c>
      <c r="AA10" s="54">
        <f t="shared" si="0"/>
        <v>0.4680815740470689</v>
      </c>
      <c r="AB10" s="54">
        <f t="shared" si="0"/>
        <v>0.47335831108518617</v>
      </c>
      <c r="AC10" s="54">
        <f t="shared" si="0"/>
        <v>0.47863504812330343</v>
      </c>
      <c r="AD10" s="54">
        <f t="shared" si="0"/>
        <v>0.48391178516142069</v>
      </c>
      <c r="AE10" s="54">
        <f t="shared" si="0"/>
        <v>0.48918852219953796</v>
      </c>
      <c r="AF10" s="54">
        <f t="shared" si="0"/>
        <v>0.49446525923765522</v>
      </c>
      <c r="AG10" s="54">
        <f t="shared" si="0"/>
        <v>0.49974199627577248</v>
      </c>
      <c r="AH10" s="54">
        <f t="shared" si="0"/>
        <v>0.50501873331388969</v>
      </c>
      <c r="AI10" s="54">
        <f t="shared" si="0"/>
        <v>0.51029547035200695</v>
      </c>
      <c r="AJ10" s="54">
        <f t="shared" si="0"/>
        <v>0.51557220739012422</v>
      </c>
      <c r="AK10" s="54">
        <f t="shared" si="0"/>
        <v>0.52084894442824148</v>
      </c>
      <c r="AL10" s="54">
        <f t="shared" si="0"/>
        <v>0.52612568146635874</v>
      </c>
      <c r="AM10" s="54">
        <f t="shared" si="0"/>
        <v>0.531402418504476</v>
      </c>
      <c r="AN10" s="54">
        <f t="shared" si="0"/>
        <v>0.53667915554259327</v>
      </c>
      <c r="AO10" s="54">
        <f t="shared" si="0"/>
        <v>0.54195589258071053</v>
      </c>
      <c r="AP10" s="54">
        <f t="shared" si="0"/>
        <v>0.54723262961882779</v>
      </c>
      <c r="AQ10" s="54">
        <f t="shared" si="0"/>
        <v>0.55250936665694506</v>
      </c>
      <c r="AR10" s="54">
        <f t="shared" si="0"/>
        <v>0.55778610369506232</v>
      </c>
      <c r="AS10" s="54">
        <f t="shared" si="0"/>
        <v>0.56306284073317958</v>
      </c>
      <c r="AT10" s="54">
        <f t="shared" si="0"/>
        <v>0.56833957777129684</v>
      </c>
      <c r="AU10" s="54">
        <f t="shared" si="0"/>
        <v>0.57361631480941411</v>
      </c>
      <c r="AV10" s="54">
        <f t="shared" si="0"/>
        <v>0.57889305184753137</v>
      </c>
      <c r="AW10" s="54">
        <f t="shared" si="0"/>
        <v>0.58416978888564863</v>
      </c>
      <c r="AX10" s="54">
        <f t="shared" si="0"/>
        <v>0.5894465259237659</v>
      </c>
      <c r="AY10" s="54">
        <f t="shared" si="0"/>
        <v>0.59472326296188316</v>
      </c>
      <c r="AZ10" s="54">
        <v>0.6</v>
      </c>
      <c r="BB10" s="2">
        <f t="shared" si="2"/>
        <v>5.2767370381172456E-3</v>
      </c>
    </row>
    <row r="11" spans="1:54" x14ac:dyDescent="0.35">
      <c r="A11" s="26" t="s">
        <v>8</v>
      </c>
      <c r="B11" s="31"/>
      <c r="D11" s="54"/>
      <c r="E11" s="54"/>
      <c r="F11" s="54"/>
      <c r="G11" s="54"/>
      <c r="H11" s="54"/>
      <c r="I11" s="54"/>
      <c r="J11" s="54"/>
      <c r="K11" s="54"/>
      <c r="L11" s="59">
        <v>0.35</v>
      </c>
      <c r="M11" s="66">
        <f>('Eurostat Collected Portables'!M11*3)/SUM('Eurostat POM Portables'!K11:M11)</f>
        <v>0.3796122169319977</v>
      </c>
      <c r="N11" s="66">
        <f>('Eurostat Collected Portables'!N11*3)/SUM('Eurostat POM Portables'!L11:N11)</f>
        <v>0.34287199310325162</v>
      </c>
      <c r="O11" s="66">
        <f>('Eurostat Collected Portables'!O11*3)/SUM('Eurostat POM Portables'!M11:O11)</f>
        <v>0.41141396933560476</v>
      </c>
      <c r="P11" s="66">
        <f>('Eurostat Collected Portables'!P11*3)/SUM('Eurostat POM Portables'!N11:P11)</f>
        <v>0.46336047372316802</v>
      </c>
      <c r="Q11" s="66">
        <f>('Eurostat Collected Portables'!Q11*3)/SUM('Eurostat POM Portables'!O11:Q11)</f>
        <v>0.47201265514723778</v>
      </c>
      <c r="R11" s="66">
        <f>('Eurostat Collected Portables'!R11*3)/SUM('Eurostat POM Portables'!P11:R11)</f>
        <v>0.4587284861257464</v>
      </c>
      <c r="S11" s="66">
        <f>('Eurostat Collected Portables'!S11*3)/SUM('Eurostat POM Portables'!Q11:S11)</f>
        <v>0.4531422271223815</v>
      </c>
      <c r="T11" s="66">
        <f>('Eurostat Collected Portables'!T11*3)/SUM('Eurostat POM Portables'!R11:T11)</f>
        <v>0.45499689633767848</v>
      </c>
      <c r="U11" s="66">
        <f>('Eurostat Collected Portables'!U11*3)/SUM('Eurostat POM Portables'!S11:U11)</f>
        <v>0.49112714508580341</v>
      </c>
      <c r="V11" s="66">
        <f>('Eurostat Collected Portables'!V11*3)/SUM('Eurostat POM Portables'!T11:V11)</f>
        <v>0.49000186880956831</v>
      </c>
      <c r="W11" s="66">
        <f>('Eurostat Collected Portables'!W11*3)/SUM('Eurostat POM Portables'!U11:W11)</f>
        <v>0.55553590378493101</v>
      </c>
      <c r="X11" s="54">
        <f t="shared" si="1"/>
        <v>0.5570691484820024</v>
      </c>
      <c r="Y11" s="54">
        <f t="shared" si="0"/>
        <v>0.55860239317907379</v>
      </c>
      <c r="Z11" s="54">
        <f t="shared" si="0"/>
        <v>0.56013563787614518</v>
      </c>
      <c r="AA11" s="54">
        <f t="shared" si="0"/>
        <v>0.56166888257321657</v>
      </c>
      <c r="AB11" s="54">
        <f t="shared" si="0"/>
        <v>0.56320212727028796</v>
      </c>
      <c r="AC11" s="54">
        <f t="shared" si="0"/>
        <v>0.56473537196735935</v>
      </c>
      <c r="AD11" s="54">
        <f t="shared" si="0"/>
        <v>0.56626861666443074</v>
      </c>
      <c r="AE11" s="54">
        <f t="shared" si="0"/>
        <v>0.56780186136150212</v>
      </c>
      <c r="AF11" s="54">
        <f t="shared" si="0"/>
        <v>0.56933510605857351</v>
      </c>
      <c r="AG11" s="54">
        <f t="shared" si="0"/>
        <v>0.5708683507556449</v>
      </c>
      <c r="AH11" s="54">
        <f t="shared" si="0"/>
        <v>0.57240159545271629</v>
      </c>
      <c r="AI11" s="54">
        <f t="shared" si="0"/>
        <v>0.57393484014978768</v>
      </c>
      <c r="AJ11" s="54">
        <f t="shared" si="0"/>
        <v>0.57546808484685907</v>
      </c>
      <c r="AK11" s="54">
        <f t="shared" si="0"/>
        <v>0.57700132954393046</v>
      </c>
      <c r="AL11" s="54">
        <f t="shared" si="0"/>
        <v>0.57853457424100185</v>
      </c>
      <c r="AM11" s="54">
        <f t="shared" si="0"/>
        <v>0.58006781893807324</v>
      </c>
      <c r="AN11" s="54">
        <f t="shared" si="0"/>
        <v>0.58160106363514463</v>
      </c>
      <c r="AO11" s="54">
        <f t="shared" si="0"/>
        <v>0.58313430833221602</v>
      </c>
      <c r="AP11" s="54">
        <f t="shared" si="0"/>
        <v>0.58466755302928741</v>
      </c>
      <c r="AQ11" s="54">
        <f t="shared" si="0"/>
        <v>0.5862007977263588</v>
      </c>
      <c r="AR11" s="54">
        <f t="shared" si="0"/>
        <v>0.58773404242343019</v>
      </c>
      <c r="AS11" s="54">
        <f t="shared" si="0"/>
        <v>0.58926728712050158</v>
      </c>
      <c r="AT11" s="54">
        <f t="shared" si="0"/>
        <v>0.59080053181757297</v>
      </c>
      <c r="AU11" s="54">
        <f t="shared" si="0"/>
        <v>0.59233377651464436</v>
      </c>
      <c r="AV11" s="54">
        <f t="shared" si="0"/>
        <v>0.59386702121171575</v>
      </c>
      <c r="AW11" s="54">
        <f t="shared" si="0"/>
        <v>0.59540026590878714</v>
      </c>
      <c r="AX11" s="54">
        <f t="shared" si="0"/>
        <v>0.59693351060585853</v>
      </c>
      <c r="AY11" s="54">
        <f t="shared" si="0"/>
        <v>0.59846675530292992</v>
      </c>
      <c r="AZ11" s="54">
        <v>0.6</v>
      </c>
      <c r="BB11" s="2">
        <f t="shared" si="2"/>
        <v>1.5332446970713438E-3</v>
      </c>
    </row>
    <row r="12" spans="1:54" x14ac:dyDescent="0.35">
      <c r="A12" s="26" t="s">
        <v>9</v>
      </c>
      <c r="B12" s="31"/>
      <c r="D12" s="54"/>
      <c r="E12" s="54"/>
      <c r="F12" s="54"/>
      <c r="G12" s="53">
        <v>0.28000000000000003</v>
      </c>
      <c r="H12" s="53">
        <v>0.27</v>
      </c>
      <c r="I12" s="53">
        <v>0.31</v>
      </c>
      <c r="J12" s="53">
        <v>0.28000000000000003</v>
      </c>
      <c r="K12" s="53">
        <v>0.33</v>
      </c>
      <c r="L12" s="53">
        <v>0.34</v>
      </c>
      <c r="M12" s="66">
        <f>('Eurostat Collected Portables'!M12*3)/SUM('Eurostat POM Portables'!K12:M12)</f>
        <v>0.36866164056306178</v>
      </c>
      <c r="N12" s="66">
        <f>('Eurostat Collected Portables'!N12*3)/SUM('Eurostat POM Portables'!L12:N12)</f>
        <v>0.3586428392795587</v>
      </c>
      <c r="O12" s="66">
        <f>('Eurostat Collected Portables'!O12*3)/SUM('Eurostat POM Portables'!M12:O12)</f>
        <v>0.34429208990488497</v>
      </c>
      <c r="P12" s="66">
        <f>('Eurostat Collected Portables'!P12*3)/SUM('Eurostat POM Portables'!N12:P12)</f>
        <v>0.37487883430787028</v>
      </c>
      <c r="Q12" s="66">
        <f>('Eurostat Collected Portables'!Q12*3)/SUM('Eurostat POM Portables'!O12:Q12)</f>
        <v>0.39242970669900745</v>
      </c>
      <c r="R12" s="66">
        <f>('Eurostat Collected Portables'!R12*3)/SUM('Eurostat POM Portables'!P12:R12)</f>
        <v>0.44744188075195185</v>
      </c>
      <c r="S12" s="66">
        <f>('Eurostat Collected Portables'!S12*3)/SUM('Eurostat POM Portables'!Q12:S12)</f>
        <v>0.4518405205382055</v>
      </c>
      <c r="T12" s="66">
        <f>('Eurostat Collected Portables'!T12*3)/SUM('Eurostat POM Portables'!R12:T12)</f>
        <v>0.46578325983589763</v>
      </c>
      <c r="U12" s="66">
        <f>('Eurostat Collected Portables'!U12*3)/SUM('Eurostat POM Portables'!S12:U12)</f>
        <v>0.48606675433652702</v>
      </c>
      <c r="V12" s="66">
        <f>('Eurostat Collected Portables'!V12*3)/SUM('Eurostat POM Portables'!T12:V12)</f>
        <v>0.45554216867469882</v>
      </c>
      <c r="W12" s="66">
        <f>('Eurostat Collected Portables'!W12*3)/SUM('Eurostat POM Portables'!U12:W12)</f>
        <v>0.56792337092436185</v>
      </c>
      <c r="X12" s="54">
        <f t="shared" si="1"/>
        <v>0.56902946158214252</v>
      </c>
      <c r="Y12" s="54">
        <f t="shared" si="0"/>
        <v>0.57013555223992318</v>
      </c>
      <c r="Z12" s="54">
        <f t="shared" si="0"/>
        <v>0.57124164289770385</v>
      </c>
      <c r="AA12" s="54">
        <f t="shared" si="0"/>
        <v>0.57234773355548452</v>
      </c>
      <c r="AB12" s="54">
        <f t="shared" si="0"/>
        <v>0.57345382421326518</v>
      </c>
      <c r="AC12" s="54">
        <f t="shared" si="0"/>
        <v>0.57455991487104585</v>
      </c>
      <c r="AD12" s="54">
        <f t="shared" si="0"/>
        <v>0.57566600552882652</v>
      </c>
      <c r="AE12" s="54">
        <f t="shared" si="0"/>
        <v>0.57677209618660719</v>
      </c>
      <c r="AF12" s="54">
        <f t="shared" si="0"/>
        <v>0.57787818684438785</v>
      </c>
      <c r="AG12" s="54">
        <f t="shared" si="0"/>
        <v>0.57898427750216852</v>
      </c>
      <c r="AH12" s="54">
        <f t="shared" si="0"/>
        <v>0.58009036815994919</v>
      </c>
      <c r="AI12" s="54">
        <f t="shared" si="0"/>
        <v>0.58119645881772986</v>
      </c>
      <c r="AJ12" s="54">
        <f t="shared" si="0"/>
        <v>0.58230254947551052</v>
      </c>
      <c r="AK12" s="54">
        <f t="shared" si="0"/>
        <v>0.58340864013329119</v>
      </c>
      <c r="AL12" s="54">
        <f t="shared" si="0"/>
        <v>0.58451473079107186</v>
      </c>
      <c r="AM12" s="54">
        <f t="shared" si="0"/>
        <v>0.58562082144885252</v>
      </c>
      <c r="AN12" s="54">
        <f t="shared" si="0"/>
        <v>0.58672691210663319</v>
      </c>
      <c r="AO12" s="54">
        <f t="shared" si="0"/>
        <v>0.58783300276441386</v>
      </c>
      <c r="AP12" s="54">
        <f t="shared" si="0"/>
        <v>0.58893909342219453</v>
      </c>
      <c r="AQ12" s="54">
        <f t="shared" si="0"/>
        <v>0.59004518407997519</v>
      </c>
      <c r="AR12" s="54">
        <f t="shared" si="0"/>
        <v>0.59115127473775586</v>
      </c>
      <c r="AS12" s="54">
        <f t="shared" si="0"/>
        <v>0.59225736539553653</v>
      </c>
      <c r="AT12" s="54">
        <f t="shared" si="0"/>
        <v>0.5933634560533172</v>
      </c>
      <c r="AU12" s="54">
        <f t="shared" si="0"/>
        <v>0.59446954671109786</v>
      </c>
      <c r="AV12" s="54">
        <f t="shared" si="0"/>
        <v>0.59557563736887853</v>
      </c>
      <c r="AW12" s="54">
        <f t="shared" si="0"/>
        <v>0.5966817280266592</v>
      </c>
      <c r="AX12" s="54">
        <f t="shared" si="0"/>
        <v>0.59778781868443986</v>
      </c>
      <c r="AY12" s="54">
        <f t="shared" si="0"/>
        <v>0.59889390934222053</v>
      </c>
      <c r="AZ12" s="54">
        <v>0.6</v>
      </c>
      <c r="BB12" s="2">
        <f t="shared" si="2"/>
        <v>1.1060906577806252E-3</v>
      </c>
    </row>
    <row r="13" spans="1:54" x14ac:dyDescent="0.35">
      <c r="A13" s="26" t="s">
        <v>10</v>
      </c>
      <c r="B13" s="31"/>
      <c r="D13" s="53">
        <v>0.39</v>
      </c>
      <c r="E13" s="53">
        <v>0.39</v>
      </c>
      <c r="F13" s="53">
        <v>0.38</v>
      </c>
      <c r="G13" s="53">
        <v>0.37</v>
      </c>
      <c r="H13" s="53">
        <v>0.38</v>
      </c>
      <c r="I13" s="53">
        <v>0.41</v>
      </c>
      <c r="J13" s="53">
        <v>0.41</v>
      </c>
      <c r="K13" s="53">
        <v>0.42</v>
      </c>
      <c r="L13" s="53">
        <v>0.42</v>
      </c>
      <c r="M13" s="66">
        <f>('Eurostat Collected Portables'!M13*3)/SUM('Eurostat POM Portables'!K13:M13)</f>
        <v>0.45261517259360068</v>
      </c>
      <c r="N13" s="66">
        <f>('Eurostat Collected Portables'!N13*3)/SUM('Eurostat POM Portables'!L13:N13)</f>
        <v>0.43424898303771325</v>
      </c>
      <c r="O13" s="66">
        <f>('Eurostat Collected Portables'!O13*3)/SUM('Eurostat POM Portables'!M13:O13)</f>
        <v>0.43144262150651574</v>
      </c>
      <c r="P13" s="66">
        <f>('Eurostat Collected Portables'!P13*3)/SUM('Eurostat POM Portables'!N13:P13)</f>
        <v>0.4417943281304626</v>
      </c>
      <c r="Q13" s="66">
        <f>('Eurostat Collected Portables'!Q13*3)/SUM('Eurostat POM Portables'!O13:Q13)</f>
        <v>0.45293318082419293</v>
      </c>
      <c r="R13" s="66">
        <f>('Eurostat Collected Portables'!R13*3)/SUM('Eurostat POM Portables'!P13:R13)</f>
        <v>0.4615343964820483</v>
      </c>
      <c r="S13" s="66">
        <f>('Eurostat Collected Portables'!S13*3)/SUM('Eurostat POM Portables'!Q13:S13)</f>
        <v>0.45061261209801795</v>
      </c>
      <c r="T13" s="66">
        <f>('Eurostat Collected Portables'!T13*3)/SUM('Eurostat POM Portables'!R13:T13)</f>
        <v>0.47674175561144339</v>
      </c>
      <c r="U13" s="66">
        <f>('Eurostat Collected Portables'!U13*3)/SUM('Eurostat POM Portables'!S13:U13)</f>
        <v>0.52218868732948143</v>
      </c>
      <c r="V13" s="66">
        <f>('Eurostat Collected Portables'!V13*3)/SUM('Eurostat POM Portables'!T13:V13)</f>
        <v>0.45567715300521244</v>
      </c>
      <c r="W13" s="66">
        <f>('Eurostat Collected Portables'!W13*3)/SUM('Eurostat POM Portables'!U13:W13)</f>
        <v>0.48173283319962706</v>
      </c>
      <c r="X13" s="54">
        <f t="shared" si="1"/>
        <v>0.48581101136515714</v>
      </c>
      <c r="Y13" s="54">
        <f t="shared" ref="Y13:AY22" si="3">X13+$BB13</f>
        <v>0.48988918953068722</v>
      </c>
      <c r="Z13" s="54">
        <f t="shared" si="3"/>
        <v>0.4939673676962173</v>
      </c>
      <c r="AA13" s="54">
        <f t="shared" si="3"/>
        <v>0.49804554586174737</v>
      </c>
      <c r="AB13" s="54">
        <f t="shared" si="3"/>
        <v>0.50212372402727745</v>
      </c>
      <c r="AC13" s="54">
        <f t="shared" si="3"/>
        <v>0.50620190219280758</v>
      </c>
      <c r="AD13" s="54">
        <f t="shared" si="3"/>
        <v>0.51028008035833772</v>
      </c>
      <c r="AE13" s="54">
        <f t="shared" si="3"/>
        <v>0.51435825852386785</v>
      </c>
      <c r="AF13" s="54">
        <f t="shared" si="3"/>
        <v>0.51843643668939798</v>
      </c>
      <c r="AG13" s="54">
        <f t="shared" si="3"/>
        <v>0.52251461485492812</v>
      </c>
      <c r="AH13" s="54">
        <f t="shared" si="3"/>
        <v>0.52659279302045825</v>
      </c>
      <c r="AI13" s="54">
        <f t="shared" si="3"/>
        <v>0.53067097118598838</v>
      </c>
      <c r="AJ13" s="54">
        <f t="shared" si="3"/>
        <v>0.53474914935151852</v>
      </c>
      <c r="AK13" s="54">
        <f t="shared" si="3"/>
        <v>0.53882732751704865</v>
      </c>
      <c r="AL13" s="54">
        <f t="shared" si="3"/>
        <v>0.54290550568257878</v>
      </c>
      <c r="AM13" s="54">
        <f t="shared" si="3"/>
        <v>0.54698368384810891</v>
      </c>
      <c r="AN13" s="54">
        <f t="shared" si="3"/>
        <v>0.55106186201363905</v>
      </c>
      <c r="AO13" s="54">
        <f t="shared" si="3"/>
        <v>0.55514004017916918</v>
      </c>
      <c r="AP13" s="54">
        <f t="shared" si="3"/>
        <v>0.55921821834469931</v>
      </c>
      <c r="AQ13" s="54">
        <f t="shared" si="3"/>
        <v>0.56329639651022945</v>
      </c>
      <c r="AR13" s="54">
        <f t="shared" si="3"/>
        <v>0.56737457467575958</v>
      </c>
      <c r="AS13" s="54">
        <f t="shared" si="3"/>
        <v>0.57145275284128971</v>
      </c>
      <c r="AT13" s="54">
        <f t="shared" si="3"/>
        <v>0.57553093100681985</v>
      </c>
      <c r="AU13" s="54">
        <f t="shared" si="3"/>
        <v>0.57960910917234998</v>
      </c>
      <c r="AV13" s="54">
        <f t="shared" si="3"/>
        <v>0.58368728733788011</v>
      </c>
      <c r="AW13" s="54">
        <f t="shared" si="3"/>
        <v>0.58776546550341024</v>
      </c>
      <c r="AX13" s="54">
        <f t="shared" si="3"/>
        <v>0.59184364366894038</v>
      </c>
      <c r="AY13" s="54">
        <f t="shared" si="3"/>
        <v>0.59592182183447051</v>
      </c>
      <c r="AZ13" s="54">
        <v>0.6</v>
      </c>
      <c r="BB13" s="2">
        <f t="shared" si="2"/>
        <v>4.0781781655301001E-3</v>
      </c>
    </row>
    <row r="14" spans="1:54" x14ac:dyDescent="0.35">
      <c r="A14" s="26" t="s">
        <v>11</v>
      </c>
      <c r="B14" s="31"/>
      <c r="D14" s="54"/>
      <c r="E14" s="54"/>
      <c r="F14" s="54"/>
      <c r="G14" s="54"/>
      <c r="H14" s="54"/>
      <c r="I14" s="53">
        <v>0.21</v>
      </c>
      <c r="J14" s="53">
        <v>0.23</v>
      </c>
      <c r="K14" s="53">
        <v>0.28999999999999998</v>
      </c>
      <c r="L14" s="53">
        <v>0.35</v>
      </c>
      <c r="M14" s="66">
        <f>('Eurostat Collected Portables'!M14*3)/SUM('Eurostat POM Portables'!K14:M14)</f>
        <v>0.25287759490034817</v>
      </c>
      <c r="N14" s="66">
        <f>('Eurostat Collected Portables'!N14*3)/SUM('Eurostat POM Portables'!L14:N14)</f>
        <v>0.26996675516070773</v>
      </c>
      <c r="O14" s="66">
        <f>('Eurostat Collected Portables'!O14*3)/SUM('Eurostat POM Portables'!M14:O14)</f>
        <v>0.29533062609663102</v>
      </c>
      <c r="P14" s="66">
        <f>('Eurostat Collected Portables'!P14*3)/SUM('Eurostat POM Portables'!N14:P14)</f>
        <v>0.33729083283769162</v>
      </c>
      <c r="Q14" s="66">
        <f>('Eurostat Collected Portables'!Q14*3)/SUM('Eurostat POM Portables'!O14:Q14)</f>
        <v>0.35459662288930582</v>
      </c>
      <c r="R14" s="66">
        <f>('Eurostat Collected Portables'!R14*3)/SUM('Eurostat POM Portables'!P14:R14)</f>
        <v>0.39426076107298813</v>
      </c>
      <c r="S14" s="66">
        <f>('Eurostat Collected Portables'!S14*3)/SUM('Eurostat POM Portables'!Q14:S14)</f>
        <v>0.34494563028594444</v>
      </c>
      <c r="T14" s="66">
        <f>('Eurostat Collected Portables'!T14*3)/SUM('Eurostat POM Portables'!R14:T14)</f>
        <v>0.33603402876240634</v>
      </c>
      <c r="U14" s="66">
        <f>('Eurostat Collected Portables'!U14*3)/SUM('Eurostat POM Portables'!S14:U14)</f>
        <v>0.35630841121495327</v>
      </c>
      <c r="V14" s="66">
        <f>('Eurostat Collected Portables'!V14*3)/SUM('Eurostat POM Portables'!T14:V14)</f>
        <v>0.3405742349829996</v>
      </c>
      <c r="W14" s="66">
        <f>('Eurostat Collected Portables'!W14*3)/SUM('Eurostat POM Portables'!U14:W14)</f>
        <v>0.29263803680981593</v>
      </c>
      <c r="X14" s="54">
        <f t="shared" si="1"/>
        <v>0.30323672519568434</v>
      </c>
      <c r="Y14" s="54">
        <f t="shared" si="3"/>
        <v>0.31383541358155276</v>
      </c>
      <c r="Z14" s="54">
        <f t="shared" si="3"/>
        <v>0.32443410196742117</v>
      </c>
      <c r="AA14" s="54">
        <f t="shared" si="3"/>
        <v>0.33503279035328959</v>
      </c>
      <c r="AB14" s="54">
        <f t="shared" si="3"/>
        <v>0.345631478739158</v>
      </c>
      <c r="AC14" s="54">
        <f t="shared" si="3"/>
        <v>0.35623016712502642</v>
      </c>
      <c r="AD14" s="54">
        <f t="shared" si="3"/>
        <v>0.36682885551089484</v>
      </c>
      <c r="AE14" s="54">
        <f t="shared" si="3"/>
        <v>0.37742754389676325</v>
      </c>
      <c r="AF14" s="54">
        <f t="shared" si="3"/>
        <v>0.38802623228263167</v>
      </c>
      <c r="AG14" s="54">
        <f t="shared" si="3"/>
        <v>0.39862492066850008</v>
      </c>
      <c r="AH14" s="54">
        <f t="shared" si="3"/>
        <v>0.4092236090543685</v>
      </c>
      <c r="AI14" s="54">
        <f t="shared" si="3"/>
        <v>0.41982229744023691</v>
      </c>
      <c r="AJ14" s="54">
        <f t="shared" si="3"/>
        <v>0.43042098582610533</v>
      </c>
      <c r="AK14" s="54">
        <f t="shared" si="3"/>
        <v>0.44101967421197374</v>
      </c>
      <c r="AL14" s="54">
        <f t="shared" si="3"/>
        <v>0.45161836259784216</v>
      </c>
      <c r="AM14" s="54">
        <f t="shared" si="3"/>
        <v>0.46221705098371058</v>
      </c>
      <c r="AN14" s="54">
        <f t="shared" si="3"/>
        <v>0.47281573936957899</v>
      </c>
      <c r="AO14" s="54">
        <f t="shared" si="3"/>
        <v>0.48341442775544741</v>
      </c>
      <c r="AP14" s="54">
        <f t="shared" si="3"/>
        <v>0.49401311614131582</v>
      </c>
      <c r="AQ14" s="54">
        <f t="shared" si="3"/>
        <v>0.50461180452718424</v>
      </c>
      <c r="AR14" s="54">
        <f t="shared" si="3"/>
        <v>0.51521049291305265</v>
      </c>
      <c r="AS14" s="54">
        <f t="shared" si="3"/>
        <v>0.52580918129892107</v>
      </c>
      <c r="AT14" s="54">
        <f t="shared" si="3"/>
        <v>0.53640786968478948</v>
      </c>
      <c r="AU14" s="54">
        <f t="shared" si="3"/>
        <v>0.5470065580706579</v>
      </c>
      <c r="AV14" s="54">
        <f t="shared" si="3"/>
        <v>0.55760524645652632</v>
      </c>
      <c r="AW14" s="54">
        <f t="shared" si="3"/>
        <v>0.56820393484239473</v>
      </c>
      <c r="AX14" s="54">
        <f t="shared" si="3"/>
        <v>0.57880262322826315</v>
      </c>
      <c r="AY14" s="54">
        <f t="shared" si="3"/>
        <v>0.58940131161413156</v>
      </c>
      <c r="AZ14" s="54">
        <v>0.6</v>
      </c>
      <c r="BB14" s="2">
        <f t="shared" si="2"/>
        <v>1.0598688385868416E-2</v>
      </c>
    </row>
    <row r="15" spans="1:54" x14ac:dyDescent="0.35">
      <c r="A15" s="26" t="s">
        <v>12</v>
      </c>
      <c r="B15" s="31"/>
      <c r="D15" s="54"/>
      <c r="E15" s="54"/>
      <c r="F15" s="54"/>
      <c r="G15" s="54"/>
      <c r="H15" s="53">
        <v>0.1</v>
      </c>
      <c r="I15" s="53">
        <v>0.15</v>
      </c>
      <c r="J15" s="53">
        <v>0.19</v>
      </c>
      <c r="K15" s="53">
        <v>0.18</v>
      </c>
      <c r="L15" s="53">
        <v>0.2</v>
      </c>
      <c r="M15" s="66">
        <f>('Eurostat Collected Portables'!M15*3)/SUM('Eurostat POM Portables'!K15:M15)</f>
        <v>0.23919598390684096</v>
      </c>
      <c r="N15" s="66">
        <f>('Eurostat Collected Portables'!N15*3)/SUM('Eurostat POM Portables'!L15:N15)</f>
        <v>0.28815891694370721</v>
      </c>
      <c r="O15" s="66">
        <f>('Eurostat Collected Portables'!O15*3)/SUM('Eurostat POM Portables'!M15:O15)</f>
        <v>0.30231972248599831</v>
      </c>
      <c r="P15" s="66">
        <f>('Eurostat Collected Portables'!P15*3)/SUM('Eurostat POM Portables'!N15:P15)</f>
        <v>0.38689407133524983</v>
      </c>
      <c r="Q15" s="66">
        <f>('Eurostat Collected Portables'!Q15*3)/SUM('Eurostat POM Portables'!O15:Q15)</f>
        <v>0.45291590416153754</v>
      </c>
      <c r="R15" s="66">
        <f>('Eurostat Collected Portables'!R15*3)/SUM('Eurostat POM Portables'!P15:R15)</f>
        <v>0.54474397558328569</v>
      </c>
      <c r="S15" s="66">
        <f>('Eurostat Collected Portables'!S15*3)/SUM('Eurostat POM Portables'!Q15:S15)</f>
        <v>0.50812660393498721</v>
      </c>
      <c r="T15" s="66">
        <f>('Eurostat Collected Portables'!T15*3)/SUM('Eurostat POM Portables'!R15:T15)</f>
        <v>0.46593055353770158</v>
      </c>
      <c r="U15" s="66">
        <f>('Eurostat Collected Portables'!U15*3)/SUM('Eurostat POM Portables'!S15:U15)</f>
        <v>0.53910580120704521</v>
      </c>
      <c r="V15" s="66">
        <f>('Eurostat Collected Portables'!V15*3)/SUM('Eurostat POM Portables'!T15:V15)</f>
        <v>0.46075704438263393</v>
      </c>
      <c r="W15" s="66">
        <f>('Eurostat Collected Portables'!W15*3)/SUM('Eurostat POM Portables'!U15:W15)</f>
        <v>0.46430232558139534</v>
      </c>
      <c r="X15" s="54">
        <f t="shared" si="1"/>
        <v>0.46898155573376099</v>
      </c>
      <c r="Y15" s="54">
        <f t="shared" si="3"/>
        <v>0.47366078588612665</v>
      </c>
      <c r="Z15" s="54">
        <f t="shared" si="3"/>
        <v>0.4783400160384923</v>
      </c>
      <c r="AA15" s="54">
        <f t="shared" si="3"/>
        <v>0.48301924619085795</v>
      </c>
      <c r="AB15" s="54">
        <f t="shared" si="3"/>
        <v>0.48769847634322361</v>
      </c>
      <c r="AC15" s="54">
        <f t="shared" si="3"/>
        <v>0.49237770649558926</v>
      </c>
      <c r="AD15" s="54">
        <f t="shared" si="3"/>
        <v>0.49705693664795492</v>
      </c>
      <c r="AE15" s="54">
        <f t="shared" si="3"/>
        <v>0.50173616680032063</v>
      </c>
      <c r="AF15" s="54">
        <f t="shared" si="3"/>
        <v>0.50641539695268634</v>
      </c>
      <c r="AG15" s="54">
        <f t="shared" si="3"/>
        <v>0.51109462710505205</v>
      </c>
      <c r="AH15" s="54">
        <f t="shared" si="3"/>
        <v>0.51577385725741776</v>
      </c>
      <c r="AI15" s="54">
        <f t="shared" si="3"/>
        <v>0.52045308740978347</v>
      </c>
      <c r="AJ15" s="54">
        <f t="shared" si="3"/>
        <v>0.52513231756214918</v>
      </c>
      <c r="AK15" s="54">
        <f t="shared" si="3"/>
        <v>0.52981154771451489</v>
      </c>
      <c r="AL15" s="54">
        <f t="shared" si="3"/>
        <v>0.5344907778668806</v>
      </c>
      <c r="AM15" s="54">
        <f t="shared" si="3"/>
        <v>0.53917000801924631</v>
      </c>
      <c r="AN15" s="54">
        <f t="shared" si="3"/>
        <v>0.54384923817161201</v>
      </c>
      <c r="AO15" s="54">
        <f t="shared" si="3"/>
        <v>0.54852846832397772</v>
      </c>
      <c r="AP15" s="54">
        <f t="shared" si="3"/>
        <v>0.55320769847634343</v>
      </c>
      <c r="AQ15" s="54">
        <f t="shared" si="3"/>
        <v>0.55788692862870914</v>
      </c>
      <c r="AR15" s="54">
        <f t="shared" si="3"/>
        <v>0.56256615878107485</v>
      </c>
      <c r="AS15" s="54">
        <f t="shared" si="3"/>
        <v>0.56724538893344056</v>
      </c>
      <c r="AT15" s="54">
        <f t="shared" si="3"/>
        <v>0.57192461908580627</v>
      </c>
      <c r="AU15" s="54">
        <f t="shared" si="3"/>
        <v>0.57660384923817198</v>
      </c>
      <c r="AV15" s="54">
        <f t="shared" si="3"/>
        <v>0.58128307939053769</v>
      </c>
      <c r="AW15" s="54">
        <f t="shared" si="3"/>
        <v>0.5859623095429034</v>
      </c>
      <c r="AX15" s="54">
        <f t="shared" si="3"/>
        <v>0.59064153969526911</v>
      </c>
      <c r="AY15" s="54">
        <f t="shared" si="3"/>
        <v>0.59532076984763482</v>
      </c>
      <c r="AZ15" s="54">
        <v>0.6</v>
      </c>
      <c r="BB15" s="2">
        <f t="shared" si="2"/>
        <v>4.6792301523656769E-3</v>
      </c>
    </row>
    <row r="16" spans="1:54" x14ac:dyDescent="0.35">
      <c r="A16" s="26" t="s">
        <v>13</v>
      </c>
      <c r="B16" s="31"/>
      <c r="D16" s="54"/>
      <c r="E16" s="54"/>
      <c r="F16" s="54"/>
      <c r="G16" s="54"/>
      <c r="H16" s="54"/>
      <c r="I16" s="54"/>
      <c r="J16" s="53">
        <v>0.15</v>
      </c>
      <c r="K16" s="53">
        <v>0.24</v>
      </c>
      <c r="L16" s="53">
        <v>0.27</v>
      </c>
      <c r="M16" s="66">
        <f>('Eurostat Collected Portables'!M16*3)/SUM('Eurostat POM Portables'!K16:M16)</f>
        <v>0.21231173297004477</v>
      </c>
      <c r="N16" s="66">
        <f>('Eurostat Collected Portables'!N16*3)/SUM('Eurostat POM Portables'!L16:N16)</f>
        <v>0.31737223798126818</v>
      </c>
      <c r="O16" s="66">
        <f>('Eurostat Collected Portables'!O16*3)/SUM('Eurostat POM Portables'!M16:O16)</f>
        <v>0.34788833214030063</v>
      </c>
      <c r="P16" s="66">
        <f>('Eurostat Collected Portables'!P16*3)/SUM('Eurostat POM Portables'!N16:P16)</f>
        <v>0.33669064748201438</v>
      </c>
      <c r="Q16" s="66">
        <f>('Eurostat Collected Portables'!Q16*3)/SUM('Eurostat POM Portables'!O16:Q16)</f>
        <v>0.3283928571428571</v>
      </c>
      <c r="R16" s="66">
        <f>('Eurostat Collected Portables'!R16*3)/SUM('Eurostat POM Portables'!P16:R16)</f>
        <v>0.30865484880083427</v>
      </c>
      <c r="S16" s="66">
        <f>('Eurostat Collected Portables'!S16*3)/SUM('Eurostat POM Portables'!Q16:S16)</f>
        <v>0.4702108157653529</v>
      </c>
      <c r="T16" s="66">
        <f>('Eurostat Collected Portables'!T16*3)/SUM('Eurostat POM Portables'!R16:T16)</f>
        <v>0.33166644141100143</v>
      </c>
      <c r="U16" s="66">
        <f>('Eurostat Collected Portables'!U16*3)/SUM('Eurostat POM Portables'!S16:U16)</f>
        <v>0.36698181818181813</v>
      </c>
      <c r="V16" s="66">
        <f>('Eurostat Collected Portables'!V16*3)/SUM('Eurostat POM Portables'!T16:V16)</f>
        <v>0.40048939641109299</v>
      </c>
      <c r="W16" s="66">
        <f>('Eurostat Collected Portables'!W16*3)/SUM('Eurostat POM Portables'!U16:W16)</f>
        <v>0.35603752893871088</v>
      </c>
      <c r="X16" s="54">
        <f t="shared" si="1"/>
        <v>0.36445002794082432</v>
      </c>
      <c r="Y16" s="54">
        <f t="shared" si="3"/>
        <v>0.37286252694293776</v>
      </c>
      <c r="Z16" s="54">
        <f t="shared" si="3"/>
        <v>0.38127502594505119</v>
      </c>
      <c r="AA16" s="54">
        <f t="shared" si="3"/>
        <v>0.38968752494716463</v>
      </c>
      <c r="AB16" s="54">
        <f t="shared" si="3"/>
        <v>0.39810002394927807</v>
      </c>
      <c r="AC16" s="54">
        <f t="shared" si="3"/>
        <v>0.40651252295139151</v>
      </c>
      <c r="AD16" s="54">
        <f t="shared" si="3"/>
        <v>0.41492502195350495</v>
      </c>
      <c r="AE16" s="54">
        <f t="shared" si="3"/>
        <v>0.42333752095561838</v>
      </c>
      <c r="AF16" s="54">
        <f t="shared" si="3"/>
        <v>0.43175001995773182</v>
      </c>
      <c r="AG16" s="54">
        <f t="shared" si="3"/>
        <v>0.44016251895984526</v>
      </c>
      <c r="AH16" s="54">
        <f t="shared" si="3"/>
        <v>0.4485750179619587</v>
      </c>
      <c r="AI16" s="54">
        <f t="shared" si="3"/>
        <v>0.45698751696407214</v>
      </c>
      <c r="AJ16" s="54">
        <f t="shared" si="3"/>
        <v>0.46540001596618558</v>
      </c>
      <c r="AK16" s="54">
        <f t="shared" si="3"/>
        <v>0.47381251496829901</v>
      </c>
      <c r="AL16" s="54">
        <f t="shared" si="3"/>
        <v>0.48222501397041245</v>
      </c>
      <c r="AM16" s="54">
        <f t="shared" si="3"/>
        <v>0.49063751297252589</v>
      </c>
      <c r="AN16" s="54">
        <f t="shared" si="3"/>
        <v>0.49905001197463933</v>
      </c>
      <c r="AO16" s="54">
        <f t="shared" si="3"/>
        <v>0.50746251097675277</v>
      </c>
      <c r="AP16" s="54">
        <f t="shared" si="3"/>
        <v>0.51587500997886615</v>
      </c>
      <c r="AQ16" s="54">
        <f t="shared" si="3"/>
        <v>0.52428750898097953</v>
      </c>
      <c r="AR16" s="54">
        <f t="shared" si="3"/>
        <v>0.53270000798309292</v>
      </c>
      <c r="AS16" s="54">
        <f t="shared" si="3"/>
        <v>0.5411125069852063</v>
      </c>
      <c r="AT16" s="54">
        <f t="shared" si="3"/>
        <v>0.54952500598731968</v>
      </c>
      <c r="AU16" s="54">
        <f t="shared" si="3"/>
        <v>0.55793750498943306</v>
      </c>
      <c r="AV16" s="54">
        <f t="shared" si="3"/>
        <v>0.56635000399154645</v>
      </c>
      <c r="AW16" s="54">
        <f t="shared" si="3"/>
        <v>0.57476250299365983</v>
      </c>
      <c r="AX16" s="54">
        <f t="shared" si="3"/>
        <v>0.58317500199577321</v>
      </c>
      <c r="AY16" s="54">
        <f t="shared" si="3"/>
        <v>0.5915875009978866</v>
      </c>
      <c r="AZ16" s="54">
        <v>0.6</v>
      </c>
      <c r="BB16" s="2">
        <f t="shared" si="2"/>
        <v>8.4124990021134174E-3</v>
      </c>
    </row>
    <row r="17" spans="1:54" x14ac:dyDescent="0.35">
      <c r="A17" s="26" t="s">
        <v>14</v>
      </c>
      <c r="B17" s="31"/>
      <c r="D17" s="54"/>
      <c r="E17" s="54"/>
      <c r="F17" s="54"/>
      <c r="G17" s="54"/>
      <c r="H17" s="54"/>
      <c r="I17" s="54"/>
      <c r="J17" s="54"/>
      <c r="K17" s="53">
        <v>0.1</v>
      </c>
      <c r="L17" s="53">
        <v>0.14000000000000001</v>
      </c>
      <c r="M17" s="66">
        <f>('Eurostat Collected Portables'!M17*3)/SUM('Eurostat POM Portables'!K17:M17)</f>
        <v>0.31689464803573431</v>
      </c>
      <c r="N17" s="66">
        <f>('Eurostat Collected Portables'!N17*3)/SUM('Eurostat POM Portables'!L17:N17)</f>
        <v>0.2884530493262511</v>
      </c>
      <c r="O17" s="66">
        <f>('Eurostat Collected Portables'!O17*3)/SUM('Eurostat POM Portables'!M17:O17)</f>
        <v>0.31006711409395971</v>
      </c>
      <c r="P17" s="66">
        <f>('Eurostat Collected Portables'!P17*3)/SUM('Eurostat POM Portables'!N17:P17)</f>
        <v>0.32585709708426785</v>
      </c>
      <c r="Q17" s="66">
        <f>('Eurostat Collected Portables'!Q17*3)/SUM('Eurostat POM Portables'!O17:Q17)</f>
        <v>0.3315699170717758</v>
      </c>
      <c r="R17" s="66">
        <f>('Eurostat Collected Portables'!R17*3)/SUM('Eurostat POM Portables'!P17:R17)</f>
        <v>0.4804936870478082</v>
      </c>
      <c r="S17" s="66">
        <f>('Eurostat Collected Portables'!S17*3)/SUM('Eurostat POM Portables'!Q17:S17)</f>
        <v>0.51996867658574786</v>
      </c>
      <c r="T17" s="66">
        <f>('Eurostat Collected Portables'!T17*3)/SUM('Eurostat POM Portables'!R17:T17)</f>
        <v>0.50459218642906101</v>
      </c>
      <c r="U17" s="66">
        <f>('Eurostat Collected Portables'!U17*3)/SUM('Eurostat POM Portables'!S17:U17)</f>
        <v>0.47253847116226699</v>
      </c>
      <c r="V17" s="66">
        <f>('Eurostat Collected Portables'!V17*3)/SUM('Eurostat POM Portables'!T17:V17)</f>
        <v>0.51293153891164422</v>
      </c>
      <c r="W17" s="66">
        <f>('Eurostat Collected Portables'!W17*3)/SUM('Eurostat POM Portables'!U17:W17)</f>
        <v>0.48237551762448239</v>
      </c>
      <c r="X17" s="54">
        <f t="shared" si="1"/>
        <v>0.48643153425812091</v>
      </c>
      <c r="Y17" s="54">
        <f t="shared" si="3"/>
        <v>0.49048755089175944</v>
      </c>
      <c r="Z17" s="54">
        <f t="shared" si="3"/>
        <v>0.49454356752539796</v>
      </c>
      <c r="AA17" s="54">
        <f t="shared" si="3"/>
        <v>0.49859958415903649</v>
      </c>
      <c r="AB17" s="54">
        <f t="shared" si="3"/>
        <v>0.50265560079267502</v>
      </c>
      <c r="AC17" s="54">
        <f t="shared" si="3"/>
        <v>0.50671161742631354</v>
      </c>
      <c r="AD17" s="54">
        <f t="shared" si="3"/>
        <v>0.51076763405995207</v>
      </c>
      <c r="AE17" s="54">
        <f t="shared" si="3"/>
        <v>0.5148236506935906</v>
      </c>
      <c r="AF17" s="54">
        <f t="shared" si="3"/>
        <v>0.51887966732722912</v>
      </c>
      <c r="AG17" s="54">
        <f t="shared" si="3"/>
        <v>0.52293568396086765</v>
      </c>
      <c r="AH17" s="54">
        <f t="shared" si="3"/>
        <v>0.52699170059450617</v>
      </c>
      <c r="AI17" s="54">
        <f t="shared" si="3"/>
        <v>0.5310477172281447</v>
      </c>
      <c r="AJ17" s="54">
        <f t="shared" si="3"/>
        <v>0.53510373386178323</v>
      </c>
      <c r="AK17" s="54">
        <f t="shared" si="3"/>
        <v>0.53915975049542175</v>
      </c>
      <c r="AL17" s="54">
        <f t="shared" si="3"/>
        <v>0.54321576712906028</v>
      </c>
      <c r="AM17" s="54">
        <f t="shared" si="3"/>
        <v>0.5472717837626988</v>
      </c>
      <c r="AN17" s="54">
        <f t="shared" si="3"/>
        <v>0.55132780039633733</v>
      </c>
      <c r="AO17" s="54">
        <f t="shared" si="3"/>
        <v>0.55538381702997586</v>
      </c>
      <c r="AP17" s="54">
        <f t="shared" si="3"/>
        <v>0.55943983366361438</v>
      </c>
      <c r="AQ17" s="54">
        <f t="shared" si="3"/>
        <v>0.56349585029725291</v>
      </c>
      <c r="AR17" s="54">
        <f t="shared" si="3"/>
        <v>0.56755186693089144</v>
      </c>
      <c r="AS17" s="54">
        <f t="shared" si="3"/>
        <v>0.57160788356452996</v>
      </c>
      <c r="AT17" s="54">
        <f t="shared" si="3"/>
        <v>0.57566390019816849</v>
      </c>
      <c r="AU17" s="54">
        <f t="shared" si="3"/>
        <v>0.57971991683180701</v>
      </c>
      <c r="AV17" s="54">
        <f t="shared" si="3"/>
        <v>0.58377593346544554</v>
      </c>
      <c r="AW17" s="54">
        <f t="shared" si="3"/>
        <v>0.58783195009908407</v>
      </c>
      <c r="AX17" s="54">
        <f t="shared" si="3"/>
        <v>0.59188796673272259</v>
      </c>
      <c r="AY17" s="54">
        <f t="shared" si="3"/>
        <v>0.59594398336636112</v>
      </c>
      <c r="AZ17" s="54">
        <v>0.6</v>
      </c>
      <c r="BB17" s="2">
        <f t="shared" si="2"/>
        <v>4.0560166336385374E-3</v>
      </c>
    </row>
    <row r="18" spans="1:54" x14ac:dyDescent="0.35">
      <c r="A18" s="26" t="s">
        <v>15</v>
      </c>
      <c r="B18" s="31"/>
      <c r="D18" s="54"/>
      <c r="E18" s="54"/>
      <c r="F18" s="54"/>
      <c r="G18" s="54"/>
      <c r="H18" s="54"/>
      <c r="I18" s="54"/>
      <c r="J18" s="54"/>
      <c r="K18" s="54"/>
      <c r="L18" s="59">
        <v>0.25</v>
      </c>
      <c r="M18" s="66">
        <f>('Eurostat Collected Portables'!M18*3)/SUM('Eurostat POM Portables'!K18:M18)</f>
        <v>0.27342800375923459</v>
      </c>
      <c r="N18" s="66">
        <f>('Eurostat Collected Portables'!N18*3)/SUM('Eurostat POM Portables'!L18:N18)</f>
        <v>0.28078631061964848</v>
      </c>
      <c r="O18" s="66">
        <f>('Eurostat Collected Portables'!O18*3)/SUM('Eurostat POM Portables'!M18:O18)</f>
        <v>0.29584410804352712</v>
      </c>
      <c r="P18" s="66">
        <f>('Eurostat Collected Portables'!P18*3)/SUM('Eurostat POM Portables'!N18:P18)</f>
        <v>0.35705121515064348</v>
      </c>
      <c r="Q18" s="66">
        <f>('Eurostat Collected Portables'!Q18*3)/SUM('Eurostat POM Portables'!O18:Q18)</f>
        <v>0.40085530608393494</v>
      </c>
      <c r="R18" s="66">
        <f>('Eurostat Collected Portables'!R18*3)/SUM('Eurostat POM Portables'!P18:R18)</f>
        <v>0.3862697924112774</v>
      </c>
      <c r="S18" s="66">
        <f>('Eurostat Collected Portables'!S18*3)/SUM('Eurostat POM Portables'!Q18:S18)</f>
        <v>0.38061760983854803</v>
      </c>
      <c r="T18" s="66">
        <f>('Eurostat Collected Portables'!T18*3)/SUM('Eurostat POM Portables'!R18:T18)</f>
        <v>0.42012288755551058</v>
      </c>
      <c r="U18" s="66">
        <f>('Eurostat Collected Portables'!U18*3)/SUM('Eurostat POM Portables'!S18:U18)</f>
        <v>0.43531555952675022</v>
      </c>
      <c r="V18" s="66">
        <f>('Eurostat Collected Portables'!V18*3)/SUM('Eurostat POM Portables'!T18:V18)</f>
        <v>0.40218350271118103</v>
      </c>
      <c r="W18" s="66">
        <f>('Eurostat Collected Portables'!W18*3)/SUM('Eurostat POM Portables'!U18:W18)</f>
        <v>0.36511256211518467</v>
      </c>
      <c r="X18" s="54">
        <f t="shared" si="1"/>
        <v>0.37321212893879901</v>
      </c>
      <c r="Y18" s="54">
        <f t="shared" si="3"/>
        <v>0.38131169576241336</v>
      </c>
      <c r="Z18" s="54">
        <f t="shared" si="3"/>
        <v>0.38941126258602771</v>
      </c>
      <c r="AA18" s="54">
        <f t="shared" si="3"/>
        <v>0.39751082940964205</v>
      </c>
      <c r="AB18" s="54">
        <f t="shared" si="3"/>
        <v>0.4056103962332564</v>
      </c>
      <c r="AC18" s="54">
        <f t="shared" si="3"/>
        <v>0.41370996305687074</v>
      </c>
      <c r="AD18" s="54">
        <f t="shared" si="3"/>
        <v>0.42180952988048509</v>
      </c>
      <c r="AE18" s="54">
        <f t="shared" si="3"/>
        <v>0.42990909670409944</v>
      </c>
      <c r="AF18" s="54">
        <f t="shared" si="3"/>
        <v>0.43800866352771378</v>
      </c>
      <c r="AG18" s="54">
        <f t="shared" si="3"/>
        <v>0.44610823035132813</v>
      </c>
      <c r="AH18" s="54">
        <f t="shared" si="3"/>
        <v>0.45420779717494247</v>
      </c>
      <c r="AI18" s="54">
        <f t="shared" si="3"/>
        <v>0.46230736399855682</v>
      </c>
      <c r="AJ18" s="54">
        <f t="shared" si="3"/>
        <v>0.47040693082217117</v>
      </c>
      <c r="AK18" s="54">
        <f t="shared" si="3"/>
        <v>0.47850649764578551</v>
      </c>
      <c r="AL18" s="54">
        <f t="shared" si="3"/>
        <v>0.48660606446939986</v>
      </c>
      <c r="AM18" s="54">
        <f t="shared" si="3"/>
        <v>0.4947056312930142</v>
      </c>
      <c r="AN18" s="54">
        <f t="shared" si="3"/>
        <v>0.50280519811662849</v>
      </c>
      <c r="AO18" s="54">
        <f t="shared" si="3"/>
        <v>0.51090476494024284</v>
      </c>
      <c r="AP18" s="54">
        <f t="shared" si="3"/>
        <v>0.51900433176385719</v>
      </c>
      <c r="AQ18" s="54">
        <f t="shared" si="3"/>
        <v>0.52710389858747153</v>
      </c>
      <c r="AR18" s="54">
        <f t="shared" si="3"/>
        <v>0.53520346541108588</v>
      </c>
      <c r="AS18" s="54">
        <f t="shared" si="3"/>
        <v>0.54330303223470022</v>
      </c>
      <c r="AT18" s="54">
        <f t="shared" si="3"/>
        <v>0.55140259905831457</v>
      </c>
      <c r="AU18" s="54">
        <f t="shared" si="3"/>
        <v>0.55950216588192891</v>
      </c>
      <c r="AV18" s="54">
        <f t="shared" si="3"/>
        <v>0.56760173270554326</v>
      </c>
      <c r="AW18" s="54">
        <f t="shared" si="3"/>
        <v>0.57570129952915761</v>
      </c>
      <c r="AX18" s="54">
        <f t="shared" si="3"/>
        <v>0.58380086635277195</v>
      </c>
      <c r="AY18" s="54">
        <f t="shared" si="3"/>
        <v>0.5919004331763863</v>
      </c>
      <c r="AZ18" s="54">
        <v>0.6</v>
      </c>
      <c r="BB18" s="2">
        <f t="shared" si="2"/>
        <v>8.0995668236143216E-3</v>
      </c>
    </row>
    <row r="19" spans="1:54" x14ac:dyDescent="0.35">
      <c r="A19" s="26" t="s">
        <v>16</v>
      </c>
      <c r="B19" s="31"/>
      <c r="D19" s="54"/>
      <c r="E19" s="54"/>
      <c r="F19" s="54"/>
      <c r="G19" s="54"/>
      <c r="H19" s="54"/>
      <c r="I19" s="54"/>
      <c r="J19" s="54"/>
      <c r="K19" s="54"/>
      <c r="L19" s="59">
        <v>0.1</v>
      </c>
      <c r="M19" s="66">
        <f>('Eurostat Collected Portables'!M19*3)/SUM('Eurostat POM Portables'!K19:M19)</f>
        <v>0.11954771515900216</v>
      </c>
      <c r="N19" s="66">
        <f>('Eurostat Collected Portables'!N19*3)/SUM('Eurostat POM Portables'!L19:N19)</f>
        <v>0.14388825182169046</v>
      </c>
      <c r="O19" s="66">
        <f>('Eurostat Collected Portables'!O19*3)/SUM('Eurostat POM Portables'!M19:O19)</f>
        <v>0.18565185670468418</v>
      </c>
      <c r="P19" s="66">
        <f>('Eurostat Collected Portables'!P19*3)/SUM('Eurostat POM Portables'!N19:P19)</f>
        <v>0.28431527404833357</v>
      </c>
      <c r="Q19" s="66">
        <f>('Eurostat Collected Portables'!Q19*3)/SUM('Eurostat POM Portables'!O19:Q19)</f>
        <v>0.24722066916930047</v>
      </c>
      <c r="R19" s="66">
        <f>('Eurostat Collected Portables'!R19*3)/SUM('Eurostat POM Portables'!P19:R19)</f>
        <v>0.34087310578428714</v>
      </c>
      <c r="S19" s="66">
        <f>('Eurostat Collected Portables'!S19*3)/SUM('Eurostat POM Portables'!Q19:S19)</f>
        <v>0.47368520775833217</v>
      </c>
      <c r="T19" s="66">
        <f>('Eurostat Collected Portables'!T19*3)/SUM('Eurostat POM Portables'!R19:T19)</f>
        <v>0.48407221578492721</v>
      </c>
      <c r="U19" s="66">
        <f>('Eurostat Collected Portables'!U19*3)/SUM('Eurostat POM Portables'!S19:U19)</f>
        <v>0.50582523041036498</v>
      </c>
      <c r="V19" s="66">
        <f>('Eurostat Collected Portables'!V19*3)/SUM('Eurostat POM Portables'!T19:V19)</f>
        <v>0.53033880095529418</v>
      </c>
      <c r="W19" s="66">
        <f>('Eurostat Collected Portables'!W19*3)/SUM('Eurostat POM Portables'!U19:W19)</f>
        <v>0.49613862248754831</v>
      </c>
      <c r="X19" s="54">
        <f t="shared" si="1"/>
        <v>0.49972004929832248</v>
      </c>
      <c r="Y19" s="54">
        <f t="shared" si="3"/>
        <v>0.5033014761090967</v>
      </c>
      <c r="Z19" s="54">
        <f t="shared" si="3"/>
        <v>0.50688290291987093</v>
      </c>
      <c r="AA19" s="54">
        <f t="shared" si="3"/>
        <v>0.51046432973064515</v>
      </c>
      <c r="AB19" s="54">
        <f t="shared" si="3"/>
        <v>0.51404575654141937</v>
      </c>
      <c r="AC19" s="54">
        <f t="shared" si="3"/>
        <v>0.5176271833521936</v>
      </c>
      <c r="AD19" s="54">
        <f t="shared" si="3"/>
        <v>0.52120861016296782</v>
      </c>
      <c r="AE19" s="54">
        <f t="shared" si="3"/>
        <v>0.52479003697374205</v>
      </c>
      <c r="AF19" s="54">
        <f t="shared" si="3"/>
        <v>0.52837146378451627</v>
      </c>
      <c r="AG19" s="54">
        <f t="shared" si="3"/>
        <v>0.5319528905952905</v>
      </c>
      <c r="AH19" s="54">
        <f t="shared" si="3"/>
        <v>0.53553431740606472</v>
      </c>
      <c r="AI19" s="54">
        <f t="shared" si="3"/>
        <v>0.53911574421683894</v>
      </c>
      <c r="AJ19" s="54">
        <f t="shared" si="3"/>
        <v>0.54269717102761317</v>
      </c>
      <c r="AK19" s="54">
        <f t="shared" si="3"/>
        <v>0.54627859783838739</v>
      </c>
      <c r="AL19" s="54">
        <f t="shared" si="3"/>
        <v>0.54986002464916162</v>
      </c>
      <c r="AM19" s="54">
        <f t="shared" si="3"/>
        <v>0.55344145145993584</v>
      </c>
      <c r="AN19" s="54">
        <f t="shared" si="3"/>
        <v>0.55702287827071006</v>
      </c>
      <c r="AO19" s="54">
        <f t="shared" si="3"/>
        <v>0.56060430508148429</v>
      </c>
      <c r="AP19" s="54">
        <f t="shared" si="3"/>
        <v>0.56418573189225851</v>
      </c>
      <c r="AQ19" s="54">
        <f t="shared" si="3"/>
        <v>0.56776715870303274</v>
      </c>
      <c r="AR19" s="54">
        <f t="shared" si="3"/>
        <v>0.57134858551380696</v>
      </c>
      <c r="AS19" s="54">
        <f t="shared" si="3"/>
        <v>0.57493001232458119</v>
      </c>
      <c r="AT19" s="54">
        <f t="shared" si="3"/>
        <v>0.57851143913535541</v>
      </c>
      <c r="AU19" s="54">
        <f t="shared" si="3"/>
        <v>0.58209286594612963</v>
      </c>
      <c r="AV19" s="54">
        <f t="shared" si="3"/>
        <v>0.58567429275690386</v>
      </c>
      <c r="AW19" s="54">
        <f t="shared" si="3"/>
        <v>0.58925571956767808</v>
      </c>
      <c r="AX19" s="54">
        <f t="shared" si="3"/>
        <v>0.59283714637845231</v>
      </c>
      <c r="AY19" s="54">
        <f t="shared" si="3"/>
        <v>0.59641857318922653</v>
      </c>
      <c r="AZ19" s="54">
        <v>0.6</v>
      </c>
      <c r="BB19" s="2">
        <f t="shared" si="2"/>
        <v>3.5814268107741956E-3</v>
      </c>
    </row>
    <row r="20" spans="1:54" x14ac:dyDescent="0.35">
      <c r="A20" s="26" t="s">
        <v>17</v>
      </c>
      <c r="B20" s="31"/>
      <c r="D20" s="54"/>
      <c r="E20" s="54"/>
      <c r="F20" s="54"/>
      <c r="G20" s="54"/>
      <c r="H20" s="53">
        <v>0.3</v>
      </c>
      <c r="I20" s="53">
        <v>0.05</v>
      </c>
      <c r="J20" s="53">
        <v>0.09</v>
      </c>
      <c r="K20" s="53">
        <v>0.26</v>
      </c>
      <c r="L20" s="53">
        <v>0.26</v>
      </c>
      <c r="M20" s="66">
        <f>('Eurostat Collected Portables'!M20*3)/SUM('Eurostat POM Portables'!K20:M20)</f>
        <v>0.32598082466119555</v>
      </c>
      <c r="N20" s="66">
        <f>('Eurostat Collected Portables'!N20*3)/SUM('Eurostat POM Portables'!L20:N20)</f>
        <v>0.35475790540952523</v>
      </c>
      <c r="O20" s="66">
        <f>('Eurostat Collected Portables'!O20*3)/SUM('Eurostat POM Portables'!M20:O20)</f>
        <v>0.362363238512035</v>
      </c>
      <c r="P20" s="66">
        <f>('Eurostat Collected Portables'!P20*3)/SUM('Eurostat POM Portables'!N20:P20)</f>
        <v>0.32876712328767121</v>
      </c>
      <c r="Q20" s="66">
        <f>('Eurostat Collected Portables'!Q20*3)/SUM('Eurostat POM Portables'!O20:Q20)</f>
        <v>0.42503341349515472</v>
      </c>
      <c r="R20" s="66">
        <f>('Eurostat Collected Portables'!R20*3)/SUM('Eurostat POM Portables'!P20:R20)</f>
        <v>0.52726251861822526</v>
      </c>
      <c r="S20" s="66">
        <f>('Eurostat Collected Portables'!S20*3)/SUM('Eurostat POM Portables'!Q20:S20)</f>
        <v>0.45674441705635466</v>
      </c>
      <c r="T20" s="66">
        <f>('Eurostat Collected Portables'!T20*3)/SUM('Eurostat POM Portables'!R20:T20)</f>
        <v>0.46514468818861382</v>
      </c>
      <c r="U20" s="66">
        <f>('Eurostat Collected Portables'!U20*3)/SUM('Eurostat POM Portables'!S20:U20)</f>
        <v>0.45315576909537392</v>
      </c>
      <c r="V20" s="66">
        <f>('Eurostat Collected Portables'!V20*3)/SUM('Eurostat POM Portables'!T20:V20)</f>
        <v>0.45597931863293795</v>
      </c>
      <c r="W20" s="66">
        <f>('Eurostat Collected Portables'!W20*3)/SUM('Eurostat POM Portables'!U20:W20)</f>
        <v>0.47595867813294396</v>
      </c>
      <c r="X20" s="54">
        <f t="shared" si="1"/>
        <v>0.48023596509387695</v>
      </c>
      <c r="Y20" s="54">
        <f t="shared" si="3"/>
        <v>0.48451325205480994</v>
      </c>
      <c r="Z20" s="54">
        <f t="shared" si="3"/>
        <v>0.48879053901574293</v>
      </c>
      <c r="AA20" s="54">
        <f t="shared" si="3"/>
        <v>0.49306782597667592</v>
      </c>
      <c r="AB20" s="54">
        <f t="shared" si="3"/>
        <v>0.49734511293760891</v>
      </c>
      <c r="AC20" s="54">
        <f t="shared" si="3"/>
        <v>0.50162239989854185</v>
      </c>
      <c r="AD20" s="54">
        <f t="shared" si="3"/>
        <v>0.50589968685947484</v>
      </c>
      <c r="AE20" s="54">
        <f t="shared" si="3"/>
        <v>0.51017697382040783</v>
      </c>
      <c r="AF20" s="54">
        <f t="shared" si="3"/>
        <v>0.51445426078134082</v>
      </c>
      <c r="AG20" s="54">
        <f t="shared" si="3"/>
        <v>0.51873154774227381</v>
      </c>
      <c r="AH20" s="54">
        <f t="shared" si="3"/>
        <v>0.5230088347032068</v>
      </c>
      <c r="AI20" s="54">
        <f t="shared" si="3"/>
        <v>0.5272861216641398</v>
      </c>
      <c r="AJ20" s="54">
        <f t="shared" si="3"/>
        <v>0.53156340862507279</v>
      </c>
      <c r="AK20" s="54">
        <f t="shared" si="3"/>
        <v>0.53584069558600578</v>
      </c>
      <c r="AL20" s="54">
        <f t="shared" si="3"/>
        <v>0.54011798254693877</v>
      </c>
      <c r="AM20" s="54">
        <f t="shared" si="3"/>
        <v>0.54439526950787176</v>
      </c>
      <c r="AN20" s="54">
        <f t="shared" si="3"/>
        <v>0.54867255646880475</v>
      </c>
      <c r="AO20" s="54">
        <f t="shared" si="3"/>
        <v>0.55294984342973774</v>
      </c>
      <c r="AP20" s="54">
        <f t="shared" si="3"/>
        <v>0.55722713039067073</v>
      </c>
      <c r="AQ20" s="54">
        <f t="shared" si="3"/>
        <v>0.56150441735160372</v>
      </c>
      <c r="AR20" s="54">
        <f t="shared" si="3"/>
        <v>0.56578170431253672</v>
      </c>
      <c r="AS20" s="54">
        <f t="shared" si="3"/>
        <v>0.57005899127346971</v>
      </c>
      <c r="AT20" s="54">
        <f t="shared" si="3"/>
        <v>0.5743362782344027</v>
      </c>
      <c r="AU20" s="54">
        <f t="shared" si="3"/>
        <v>0.57861356519533569</v>
      </c>
      <c r="AV20" s="54">
        <f t="shared" si="3"/>
        <v>0.58289085215626868</v>
      </c>
      <c r="AW20" s="54">
        <f t="shared" si="3"/>
        <v>0.58716813911720167</v>
      </c>
      <c r="AX20" s="54">
        <f t="shared" si="3"/>
        <v>0.59144542607813466</v>
      </c>
      <c r="AY20" s="54">
        <f t="shared" si="3"/>
        <v>0.59572271303906765</v>
      </c>
      <c r="AZ20" s="54">
        <v>0.6</v>
      </c>
      <c r="BB20" s="2">
        <f t="shared" si="2"/>
        <v>4.2772869609329659E-3</v>
      </c>
    </row>
    <row r="21" spans="1:54" x14ac:dyDescent="0.35">
      <c r="A21" s="26" t="s">
        <v>18</v>
      </c>
      <c r="B21" s="31"/>
      <c r="D21" s="54"/>
      <c r="E21" s="54"/>
      <c r="F21" s="54"/>
      <c r="G21" s="54"/>
      <c r="H21" s="53">
        <v>0.48</v>
      </c>
      <c r="I21" s="53">
        <v>0.51</v>
      </c>
      <c r="J21" s="53">
        <v>0.53</v>
      </c>
      <c r="K21" s="53">
        <v>0.51</v>
      </c>
      <c r="L21" s="53">
        <v>0.56999999999999995</v>
      </c>
      <c r="M21" s="66">
        <f>('Eurostat Collected Portables'!M21*3)/SUM('Eurostat POM Portables'!K21:M21)</f>
        <v>0.78878528831730643</v>
      </c>
      <c r="N21" s="66">
        <f>('Eurostat Collected Portables'!N21*3)/SUM('Eurostat POM Portables'!L21:N21)</f>
        <v>0.71508283474656009</v>
      </c>
      <c r="O21" s="66">
        <f>('Eurostat Collected Portables'!O21*3)/SUM('Eurostat POM Portables'!M21:O21)</f>
        <v>0.63586956521739135</v>
      </c>
      <c r="P21" s="66">
        <f>('Eurostat Collected Portables'!P21*3)/SUM('Eurostat POM Portables'!N21:P21)</f>
        <v>0.67172464840858626</v>
      </c>
      <c r="Q21" s="66">
        <f>('Eurostat Collected Portables'!Q21*3)/SUM('Eurostat POM Portables'!O21:Q21)</f>
        <v>0.60490774205820808</v>
      </c>
      <c r="R21" s="66">
        <f>('Eurostat Collected Portables'!R21*3)/SUM('Eurostat POM Portables'!P21:R21)</f>
        <v>0.63439065108514192</v>
      </c>
      <c r="S21" s="66">
        <f>('Eurostat Collected Portables'!S21*3)/SUM('Eurostat POM Portables'!Q21:S21)</f>
        <v>0.57469244288224952</v>
      </c>
      <c r="T21" s="66">
        <f>('Eurostat Collected Portables'!T21*3)/SUM('Eurostat POM Portables'!R21:T21)</f>
        <v>0.69306930693069302</v>
      </c>
      <c r="U21" s="66">
        <f>('Eurostat Collected Portables'!U21*3)/SUM('Eurostat POM Portables'!S21:U21)</f>
        <v>0.71779141104294475</v>
      </c>
      <c r="V21" s="66">
        <f>('Eurostat Collected Portables'!V21*3)/SUM('Eurostat POM Portables'!T21:V21)</f>
        <v>0.6867977528089888</v>
      </c>
      <c r="W21" s="66">
        <f>('Eurostat Collected Portables'!W21*3)/SUM('Eurostat POM Portables'!U21:W21)</f>
        <v>0.62817258883248728</v>
      </c>
      <c r="X21" s="54">
        <f t="shared" si="1"/>
        <v>0.62817258883248728</v>
      </c>
      <c r="Y21" s="54">
        <f t="shared" si="3"/>
        <v>0.62817258883248728</v>
      </c>
      <c r="Z21" s="54">
        <f t="shared" si="3"/>
        <v>0.62817258883248728</v>
      </c>
      <c r="AA21" s="54">
        <f t="shared" si="3"/>
        <v>0.62817258883248728</v>
      </c>
      <c r="AB21" s="54">
        <f t="shared" si="3"/>
        <v>0.62817258883248728</v>
      </c>
      <c r="AC21" s="54">
        <f t="shared" si="3"/>
        <v>0.62817258883248728</v>
      </c>
      <c r="AD21" s="54">
        <f t="shared" si="3"/>
        <v>0.62817258883248728</v>
      </c>
      <c r="AE21" s="54">
        <f t="shared" si="3"/>
        <v>0.62817258883248728</v>
      </c>
      <c r="AF21" s="54">
        <f t="shared" si="3"/>
        <v>0.62817258883248728</v>
      </c>
      <c r="AG21" s="54">
        <f t="shared" si="3"/>
        <v>0.62817258883248728</v>
      </c>
      <c r="AH21" s="54">
        <f t="shared" si="3"/>
        <v>0.62817258883248728</v>
      </c>
      <c r="AI21" s="54">
        <f t="shared" si="3"/>
        <v>0.62817258883248728</v>
      </c>
      <c r="AJ21" s="54">
        <f t="shared" si="3"/>
        <v>0.62817258883248728</v>
      </c>
      <c r="AK21" s="54">
        <f t="shared" si="3"/>
        <v>0.62817258883248728</v>
      </c>
      <c r="AL21" s="54">
        <f t="shared" si="3"/>
        <v>0.62817258883248728</v>
      </c>
      <c r="AM21" s="54">
        <f t="shared" si="3"/>
        <v>0.62817258883248728</v>
      </c>
      <c r="AN21" s="54">
        <f t="shared" si="3"/>
        <v>0.62817258883248728</v>
      </c>
      <c r="AO21" s="54">
        <f t="shared" si="3"/>
        <v>0.62817258883248728</v>
      </c>
      <c r="AP21" s="54">
        <f t="shared" si="3"/>
        <v>0.62817258883248728</v>
      </c>
      <c r="AQ21" s="54">
        <f t="shared" si="3"/>
        <v>0.62817258883248728</v>
      </c>
      <c r="AR21" s="54">
        <f t="shared" si="3"/>
        <v>0.62817258883248728</v>
      </c>
      <c r="AS21" s="54">
        <f t="shared" si="3"/>
        <v>0.62817258883248728</v>
      </c>
      <c r="AT21" s="54">
        <f t="shared" si="3"/>
        <v>0.62817258883248728</v>
      </c>
      <c r="AU21" s="54">
        <f t="shared" si="3"/>
        <v>0.62817258883248728</v>
      </c>
      <c r="AV21" s="54">
        <f t="shared" si="3"/>
        <v>0.62817258883248728</v>
      </c>
      <c r="AW21" s="54">
        <f t="shared" si="3"/>
        <v>0.62817258883248728</v>
      </c>
      <c r="AX21" s="54">
        <f t="shared" si="3"/>
        <v>0.62817258883248728</v>
      </c>
      <c r="AY21" s="54">
        <f t="shared" si="3"/>
        <v>0.62817258883248728</v>
      </c>
      <c r="AZ21" s="54">
        <v>0.62817258883248728</v>
      </c>
      <c r="BB21" s="2">
        <f t="shared" si="2"/>
        <v>0</v>
      </c>
    </row>
    <row r="22" spans="1:54" x14ac:dyDescent="0.35">
      <c r="A22" s="26" t="s">
        <v>19</v>
      </c>
      <c r="B22" s="31"/>
      <c r="D22" s="54"/>
      <c r="E22" s="54"/>
      <c r="F22" s="54"/>
      <c r="G22" s="54"/>
      <c r="H22" s="54"/>
      <c r="I22" s="54"/>
      <c r="J22" s="54"/>
      <c r="K22" s="54"/>
      <c r="L22" s="59">
        <v>0.2</v>
      </c>
      <c r="M22" s="66">
        <f>('Eurostat Collected Portables'!M22*3)/SUM('Eurostat POM Portables'!K22:M22)</f>
        <v>0.22338511200349062</v>
      </c>
      <c r="N22" s="66">
        <f>('Eurostat Collected Portables'!N22*3)/SUM('Eurostat POM Portables'!L22:N22)</f>
        <v>0.22085273195480157</v>
      </c>
      <c r="O22" s="66">
        <f>('Eurostat Collected Portables'!O22*3)/SUM('Eurostat POM Portables'!M22:O22)</f>
        <v>0.41702309666381521</v>
      </c>
      <c r="P22" s="66">
        <f>('Eurostat Collected Portables'!P22*3)/SUM('Eurostat POM Portables'!N22:P22)</f>
        <v>0.21290976681311255</v>
      </c>
      <c r="Q22" s="66">
        <f>('Eurostat Collected Portables'!Q22*3)/SUM('Eurostat POM Portables'!O22:Q22)</f>
        <v>0.39543554400632702</v>
      </c>
      <c r="R22" s="66">
        <f>('Eurostat Collected Portables'!R22*3)/SUM('Eurostat POM Portables'!P22:R22)</f>
        <v>0.27386386187735662</v>
      </c>
      <c r="S22" s="66">
        <f>('Eurostat Collected Portables'!S22*3)/SUM('Eurostat POM Portables'!Q22:S22)</f>
        <v>0.31738730450781966</v>
      </c>
      <c r="T22" s="66">
        <f>('Eurostat Collected Portables'!T22*3)/SUM('Eurostat POM Portables'!R22:T22)</f>
        <v>0.3482142857142857</v>
      </c>
      <c r="U22" s="66">
        <f>('Eurostat Collected Portables'!U22*3)/SUM('Eurostat POM Portables'!S22:U22)</f>
        <v>0.28107432854465958</v>
      </c>
      <c r="V22" s="66">
        <f>('Eurostat Collected Portables'!V22*3)/SUM('Eurostat POM Portables'!T22:V22)</f>
        <v>0.26568825910931176</v>
      </c>
      <c r="W22" s="66">
        <f>('Eurostat Collected Portables'!W22*3)/SUM('Eurostat POM Portables'!U22:W22)</f>
        <v>0.21934405682055569</v>
      </c>
      <c r="X22" s="54">
        <f t="shared" si="1"/>
        <v>0.23247012382674342</v>
      </c>
      <c r="Y22" s="54">
        <f t="shared" si="3"/>
        <v>0.24559619083293116</v>
      </c>
      <c r="Z22" s="54">
        <f t="shared" si="3"/>
        <v>0.2587222578391189</v>
      </c>
      <c r="AA22" s="54">
        <f t="shared" si="3"/>
        <v>0.27184832484530663</v>
      </c>
      <c r="AB22" s="54">
        <f t="shared" si="3"/>
        <v>0.28497439185149437</v>
      </c>
      <c r="AC22" s="54">
        <f t="shared" si="3"/>
        <v>0.2981004588576821</v>
      </c>
      <c r="AD22" s="54">
        <f t="shared" si="3"/>
        <v>0.31122652586386984</v>
      </c>
      <c r="AE22" s="54">
        <f t="shared" si="3"/>
        <v>0.32435259287005758</v>
      </c>
      <c r="AF22" s="54">
        <f t="shared" si="3"/>
        <v>0.33747865987624531</v>
      </c>
      <c r="AG22" s="54">
        <f t="shared" si="3"/>
        <v>0.35060472688243305</v>
      </c>
      <c r="AH22" s="54">
        <f t="shared" si="3"/>
        <v>0.36373079388862078</v>
      </c>
      <c r="AI22" s="54">
        <f t="shared" si="3"/>
        <v>0.37685686089480852</v>
      </c>
      <c r="AJ22" s="54">
        <f t="shared" si="3"/>
        <v>0.38998292790099626</v>
      </c>
      <c r="AK22" s="54">
        <f t="shared" ref="Y22:AY31" si="4">AJ22+$BB22</f>
        <v>0.40310899490718399</v>
      </c>
      <c r="AL22" s="54">
        <f t="shared" si="4"/>
        <v>0.41623506191337173</v>
      </c>
      <c r="AM22" s="54">
        <f t="shared" si="4"/>
        <v>0.42936112891955946</v>
      </c>
      <c r="AN22" s="54">
        <f t="shared" si="4"/>
        <v>0.4424871959257472</v>
      </c>
      <c r="AO22" s="54">
        <f t="shared" si="4"/>
        <v>0.45561326293193494</v>
      </c>
      <c r="AP22" s="54">
        <f t="shared" si="4"/>
        <v>0.46873932993812267</v>
      </c>
      <c r="AQ22" s="54">
        <f t="shared" si="4"/>
        <v>0.48186539694431041</v>
      </c>
      <c r="AR22" s="54">
        <f t="shared" si="4"/>
        <v>0.49499146395049815</v>
      </c>
      <c r="AS22" s="54">
        <f t="shared" si="4"/>
        <v>0.50811753095668588</v>
      </c>
      <c r="AT22" s="54">
        <f t="shared" si="4"/>
        <v>0.52124359796287356</v>
      </c>
      <c r="AU22" s="54">
        <f t="shared" si="4"/>
        <v>0.53436966496906124</v>
      </c>
      <c r="AV22" s="54">
        <f t="shared" si="4"/>
        <v>0.54749573197524892</v>
      </c>
      <c r="AW22" s="54">
        <f t="shared" si="4"/>
        <v>0.5606217989814366</v>
      </c>
      <c r="AX22" s="54">
        <f t="shared" si="4"/>
        <v>0.57374786598762428</v>
      </c>
      <c r="AY22" s="54">
        <f t="shared" si="4"/>
        <v>0.58687393299381196</v>
      </c>
      <c r="AZ22" s="54">
        <v>0.6</v>
      </c>
      <c r="BB22" s="2">
        <f t="shared" si="2"/>
        <v>1.3126067006187734E-2</v>
      </c>
    </row>
    <row r="23" spans="1:54" x14ac:dyDescent="0.35">
      <c r="A23" s="26" t="s">
        <v>20</v>
      </c>
      <c r="B23" s="31"/>
      <c r="D23" s="54"/>
      <c r="E23" s="53">
        <v>0.33</v>
      </c>
      <c r="F23" s="53">
        <v>0.36</v>
      </c>
      <c r="G23" s="53">
        <v>0.36</v>
      </c>
      <c r="H23" s="53">
        <v>0.36</v>
      </c>
      <c r="I23" s="53">
        <v>0.37</v>
      </c>
      <c r="J23" s="53">
        <v>0.38</v>
      </c>
      <c r="K23" s="53">
        <v>0.4</v>
      </c>
      <c r="L23" s="53">
        <v>0.41</v>
      </c>
      <c r="M23" s="66">
        <f>('Eurostat Collected Portables'!M23*3)/SUM('Eurostat POM Portables'!K23:M23)</f>
        <v>0.4627031807644425</v>
      </c>
      <c r="N23" s="66">
        <f>('Eurostat Collected Portables'!N23*3)/SUM('Eurostat POM Portables'!L23:N23)</f>
        <v>0.44297654441039408</v>
      </c>
      <c r="O23" s="66">
        <f>('Eurostat Collected Portables'!O23*3)/SUM('Eurostat POM Portables'!M23:O23)</f>
        <v>0.43069577080491134</v>
      </c>
      <c r="P23" s="66">
        <f>('Eurostat Collected Portables'!P23*3)/SUM('Eurostat POM Portables'!N23:P23)</f>
        <v>0.44650844363304426</v>
      </c>
      <c r="Q23" s="66">
        <f>('Eurostat Collected Portables'!Q23*3)/SUM('Eurostat POM Portables'!O23:Q23)</f>
        <v>0.45159308347230753</v>
      </c>
      <c r="R23" s="66">
        <f>('Eurostat Collected Portables'!R23*3)/SUM('Eurostat POM Portables'!P23:R23)</f>
        <v>0.47753965371110302</v>
      </c>
      <c r="S23" s="66">
        <f>('Eurostat Collected Portables'!S23*3)/SUM('Eurostat POM Portables'!Q23:S23)</f>
        <v>0.4620716211012707</v>
      </c>
      <c r="T23" s="66">
        <f>('Eurostat Collected Portables'!T23*3)/SUM('Eurostat POM Portables'!R23:T23)</f>
        <v>0.47438532110091741</v>
      </c>
      <c r="U23" s="66">
        <f>('Eurostat Collected Portables'!U23*3)/SUM('Eurostat POM Portables'!S23:U23)</f>
        <v>0.50624311421226587</v>
      </c>
      <c r="V23" s="66">
        <f>('Eurostat Collected Portables'!V23*3)/SUM('Eurostat POM Portables'!T23:V23)</f>
        <v>0.48063633253506671</v>
      </c>
      <c r="W23" s="66">
        <f>('Eurostat Collected Portables'!W23*3)/SUM('Eurostat POM Portables'!U23:W23)</f>
        <v>0.43285428761777861</v>
      </c>
      <c r="X23" s="54">
        <f t="shared" si="1"/>
        <v>0.43861793287233797</v>
      </c>
      <c r="Y23" s="54">
        <f t="shared" si="4"/>
        <v>0.44438157812689733</v>
      </c>
      <c r="Z23" s="54">
        <f t="shared" si="4"/>
        <v>0.45014522338145668</v>
      </c>
      <c r="AA23" s="54">
        <f t="shared" si="4"/>
        <v>0.45590886863601604</v>
      </c>
      <c r="AB23" s="54">
        <f t="shared" si="4"/>
        <v>0.4616725138905754</v>
      </c>
      <c r="AC23" s="54">
        <f t="shared" si="4"/>
        <v>0.46743615914513476</v>
      </c>
      <c r="AD23" s="54">
        <f t="shared" si="4"/>
        <v>0.47319980439969411</v>
      </c>
      <c r="AE23" s="54">
        <f t="shared" si="4"/>
        <v>0.47896344965425347</v>
      </c>
      <c r="AF23" s="54">
        <f t="shared" si="4"/>
        <v>0.48472709490881283</v>
      </c>
      <c r="AG23" s="54">
        <f t="shared" si="4"/>
        <v>0.49049074016337219</v>
      </c>
      <c r="AH23" s="54">
        <f t="shared" si="4"/>
        <v>0.49625438541793154</v>
      </c>
      <c r="AI23" s="54">
        <f t="shared" si="4"/>
        <v>0.50201803067249084</v>
      </c>
      <c r="AJ23" s="54">
        <f t="shared" si="4"/>
        <v>0.50778167592705015</v>
      </c>
      <c r="AK23" s="54">
        <f t="shared" si="4"/>
        <v>0.51354532118160945</v>
      </c>
      <c r="AL23" s="54">
        <f t="shared" si="4"/>
        <v>0.51930896643616875</v>
      </c>
      <c r="AM23" s="54">
        <f t="shared" si="4"/>
        <v>0.52507261169072805</v>
      </c>
      <c r="AN23" s="54">
        <f t="shared" si="4"/>
        <v>0.53083625694528735</v>
      </c>
      <c r="AO23" s="54">
        <f t="shared" si="4"/>
        <v>0.53659990219984666</v>
      </c>
      <c r="AP23" s="54">
        <f t="shared" si="4"/>
        <v>0.54236354745440596</v>
      </c>
      <c r="AQ23" s="54">
        <f t="shared" si="4"/>
        <v>0.54812719270896526</v>
      </c>
      <c r="AR23" s="54">
        <f t="shared" si="4"/>
        <v>0.55389083796352456</v>
      </c>
      <c r="AS23" s="54">
        <f t="shared" si="4"/>
        <v>0.55965448321808386</v>
      </c>
      <c r="AT23" s="54">
        <f t="shared" si="4"/>
        <v>0.56541812847264317</v>
      </c>
      <c r="AU23" s="54">
        <f t="shared" si="4"/>
        <v>0.57118177372720247</v>
      </c>
      <c r="AV23" s="54">
        <f t="shared" si="4"/>
        <v>0.57694541898176177</v>
      </c>
      <c r="AW23" s="54">
        <f t="shared" si="4"/>
        <v>0.58270906423632107</v>
      </c>
      <c r="AX23" s="54">
        <f t="shared" si="4"/>
        <v>0.58847270949088037</v>
      </c>
      <c r="AY23" s="54">
        <f t="shared" si="4"/>
        <v>0.59423635474543968</v>
      </c>
      <c r="AZ23" s="54">
        <v>0.6</v>
      </c>
      <c r="BB23" s="2">
        <f t="shared" si="2"/>
        <v>5.7636452545593575E-3</v>
      </c>
    </row>
    <row r="24" spans="1:54" x14ac:dyDescent="0.35">
      <c r="A24" s="26" t="s">
        <v>21</v>
      </c>
      <c r="B24" s="31"/>
      <c r="D24" s="54"/>
      <c r="E24" s="54"/>
      <c r="F24" s="54"/>
      <c r="G24" s="54"/>
      <c r="H24" s="54"/>
      <c r="I24" s="54"/>
      <c r="J24" s="54"/>
      <c r="K24" s="54"/>
      <c r="L24" s="53">
        <v>0.14000000000000001</v>
      </c>
      <c r="M24" s="66">
        <f>('Eurostat Collected Portables'!M24*3)/SUM('Eurostat POM Portables'!K24:M24)</f>
        <v>0.17883219334510464</v>
      </c>
      <c r="N24" s="66">
        <f>('Eurostat Collected Portables'!N24*3)/SUM('Eurostat POM Portables'!L24:N24)</f>
        <v>0.25024430012164955</v>
      </c>
      <c r="O24" s="66">
        <f>('Eurostat Collected Portables'!O24*3)/SUM('Eurostat POM Portables'!M24:O24)</f>
        <v>0.2924718114591533</v>
      </c>
      <c r="P24" s="66">
        <f>('Eurostat Collected Portables'!P24*3)/SUM('Eurostat POM Portables'!N24:P24)</f>
        <v>0.30262689787346359</v>
      </c>
      <c r="Q24" s="66">
        <f>('Eurostat Collected Portables'!Q24*3)/SUM('Eurostat POM Portables'!O24:Q24)</f>
        <v>0.24397262502033107</v>
      </c>
      <c r="R24" s="66">
        <f>('Eurostat Collected Portables'!R24*3)/SUM('Eurostat POM Portables'!P24:R24)</f>
        <v>0.73030398509527794</v>
      </c>
      <c r="S24" s="66">
        <f>('Eurostat Collected Portables'!S24*3)/SUM('Eurostat POM Portables'!Q24:S24)</f>
        <v>0.407621247113164</v>
      </c>
      <c r="T24" s="66">
        <f>('Eurostat Collected Portables'!T24*3)/SUM('Eurostat POM Portables'!R24:T24)</f>
        <v>0.39213495698804601</v>
      </c>
      <c r="U24" s="66">
        <f>('Eurostat Collected Portables'!U24*3)/SUM('Eurostat POM Portables'!S24:U24)</f>
        <v>0.52516233766233766</v>
      </c>
      <c r="V24" s="66">
        <f>('Eurostat Collected Portables'!V24*3)/SUM('Eurostat POM Portables'!T24:V24)</f>
        <v>0.63213799364502954</v>
      </c>
      <c r="W24" s="66">
        <f>('Eurostat Collected Portables'!W24*3)/SUM('Eurostat POM Portables'!U24:W24)</f>
        <v>0.61008491639674345</v>
      </c>
      <c r="X24" s="54">
        <f t="shared" si="1"/>
        <v>0.61008491639674345</v>
      </c>
      <c r="Y24" s="54">
        <f t="shared" si="4"/>
        <v>0.61008491639674345</v>
      </c>
      <c r="Z24" s="54">
        <f t="shared" si="4"/>
        <v>0.61008491639674345</v>
      </c>
      <c r="AA24" s="54">
        <f t="shared" si="4"/>
        <v>0.61008491639674345</v>
      </c>
      <c r="AB24" s="54">
        <f t="shared" si="4"/>
        <v>0.61008491639674345</v>
      </c>
      <c r="AC24" s="54">
        <f t="shared" si="4"/>
        <v>0.61008491639674345</v>
      </c>
      <c r="AD24" s="54">
        <f t="shared" si="4"/>
        <v>0.61008491639674345</v>
      </c>
      <c r="AE24" s="54">
        <f t="shared" si="4"/>
        <v>0.61008491639674345</v>
      </c>
      <c r="AF24" s="54">
        <f t="shared" si="4"/>
        <v>0.61008491639674345</v>
      </c>
      <c r="AG24" s="54">
        <f t="shared" si="4"/>
        <v>0.61008491639674345</v>
      </c>
      <c r="AH24" s="54">
        <f t="shared" si="4"/>
        <v>0.61008491639674345</v>
      </c>
      <c r="AI24" s="54">
        <f t="shared" si="4"/>
        <v>0.61008491639674345</v>
      </c>
      <c r="AJ24" s="54">
        <f t="shared" si="4"/>
        <v>0.61008491639674345</v>
      </c>
      <c r="AK24" s="54">
        <f t="shared" si="4"/>
        <v>0.61008491639674345</v>
      </c>
      <c r="AL24" s="54">
        <f t="shared" si="4"/>
        <v>0.61008491639674345</v>
      </c>
      <c r="AM24" s="54">
        <f t="shared" si="4"/>
        <v>0.61008491639674345</v>
      </c>
      <c r="AN24" s="54">
        <f t="shared" si="4"/>
        <v>0.61008491639674345</v>
      </c>
      <c r="AO24" s="54">
        <f t="shared" si="4"/>
        <v>0.61008491639674345</v>
      </c>
      <c r="AP24" s="54">
        <f t="shared" si="4"/>
        <v>0.61008491639674345</v>
      </c>
      <c r="AQ24" s="54">
        <f t="shared" si="4"/>
        <v>0.61008491639674345</v>
      </c>
      <c r="AR24" s="54">
        <f t="shared" si="4"/>
        <v>0.61008491639674345</v>
      </c>
      <c r="AS24" s="54">
        <f t="shared" si="4"/>
        <v>0.61008491639674345</v>
      </c>
      <c r="AT24" s="54">
        <f t="shared" si="4"/>
        <v>0.61008491639674345</v>
      </c>
      <c r="AU24" s="54">
        <f t="shared" si="4"/>
        <v>0.61008491639674345</v>
      </c>
      <c r="AV24" s="54">
        <f t="shared" si="4"/>
        <v>0.61008491639674345</v>
      </c>
      <c r="AW24" s="54">
        <f t="shared" si="4"/>
        <v>0.61008491639674345</v>
      </c>
      <c r="AX24" s="54">
        <f t="shared" si="4"/>
        <v>0.61008491639674345</v>
      </c>
      <c r="AY24" s="54">
        <f t="shared" si="4"/>
        <v>0.61008491639674345</v>
      </c>
      <c r="AZ24" s="54">
        <v>0.61008491639674345</v>
      </c>
      <c r="BB24" s="2">
        <v>0</v>
      </c>
    </row>
    <row r="25" spans="1:54" x14ac:dyDescent="0.35">
      <c r="A25" s="26" t="s">
        <v>22</v>
      </c>
      <c r="B25" s="31"/>
      <c r="D25" s="54"/>
      <c r="E25" s="54"/>
      <c r="F25" s="54"/>
      <c r="G25" s="53">
        <v>0.11</v>
      </c>
      <c r="H25" s="53">
        <v>0.15</v>
      </c>
      <c r="I25" s="53">
        <v>0.18</v>
      </c>
      <c r="J25" s="53">
        <v>0.16</v>
      </c>
      <c r="K25" s="53">
        <v>0.14000000000000001</v>
      </c>
      <c r="L25" s="53">
        <v>0.28999999999999998</v>
      </c>
      <c r="M25" s="66">
        <f>('Eurostat Collected Portables'!M25*3)/SUM('Eurostat POM Portables'!K25:M25)</f>
        <v>0.24167817845638698</v>
      </c>
      <c r="N25" s="66">
        <f>('Eurostat Collected Portables'!N25*3)/SUM('Eurostat POM Portables'!L25:N25)</f>
        <v>0.29557878033520663</v>
      </c>
      <c r="O25" s="66">
        <f>('Eurostat Collected Portables'!O25*3)/SUM('Eurostat POM Portables'!M25:O25)</f>
        <v>0.29848404004896267</v>
      </c>
      <c r="P25" s="66">
        <f>('Eurostat Collected Portables'!P25*3)/SUM('Eurostat POM Portables'!N25:P25)</f>
        <v>0.33063989067791577</v>
      </c>
      <c r="Q25" s="66">
        <f>('Eurostat Collected Portables'!Q25*3)/SUM('Eurostat POM Portables'!O25:Q25)</f>
        <v>0.54915599287471373</v>
      </c>
      <c r="R25" s="66">
        <f>('Eurostat Collected Portables'!R25*3)/SUM('Eurostat POM Portables'!P25:R25)</f>
        <v>0.78136851229819049</v>
      </c>
      <c r="S25" s="66">
        <f>('Eurostat Collected Portables'!S25*3)/SUM('Eurostat POM Portables'!Q25:S25)</f>
        <v>0.64688789144591752</v>
      </c>
      <c r="T25" s="66">
        <f>('Eurostat Collected Portables'!T25*3)/SUM('Eurostat POM Portables'!R25:T25)</f>
        <v>0.81153195037521797</v>
      </c>
      <c r="U25" s="66">
        <f>('Eurostat Collected Portables'!U25*3)/SUM('Eurostat POM Portables'!S25:U25)</f>
        <v>0.72641018975825322</v>
      </c>
      <c r="V25" s="66">
        <f>('Eurostat Collected Portables'!V25*3)/SUM('Eurostat POM Portables'!T25:V25)</f>
        <v>0.62954393345444115</v>
      </c>
      <c r="W25" s="66">
        <f>('Eurostat Collected Portables'!W25*3)/SUM('Eurostat POM Portables'!U25:W25)</f>
        <v>0.45559587311673327</v>
      </c>
      <c r="X25" s="54">
        <f t="shared" si="1"/>
        <v>0.46057532576788041</v>
      </c>
      <c r="Y25" s="54">
        <f t="shared" si="4"/>
        <v>0.46555477841902754</v>
      </c>
      <c r="Z25" s="54">
        <f t="shared" si="4"/>
        <v>0.47053423107017467</v>
      </c>
      <c r="AA25" s="54">
        <f t="shared" si="4"/>
        <v>0.4755136837213218</v>
      </c>
      <c r="AB25" s="54">
        <f t="shared" si="4"/>
        <v>0.48049313637246893</v>
      </c>
      <c r="AC25" s="54">
        <f t="shared" si="4"/>
        <v>0.48547258902361606</v>
      </c>
      <c r="AD25" s="54">
        <f t="shared" si="4"/>
        <v>0.4904520416747632</v>
      </c>
      <c r="AE25" s="54">
        <f t="shared" si="4"/>
        <v>0.49543149432591033</v>
      </c>
      <c r="AF25" s="54">
        <f t="shared" si="4"/>
        <v>0.50041094697705746</v>
      </c>
      <c r="AG25" s="54">
        <f t="shared" si="4"/>
        <v>0.50539039962820453</v>
      </c>
      <c r="AH25" s="54">
        <f t="shared" si="4"/>
        <v>0.51036985227935161</v>
      </c>
      <c r="AI25" s="54">
        <f t="shared" si="4"/>
        <v>0.51534930493049869</v>
      </c>
      <c r="AJ25" s="54">
        <f t="shared" si="4"/>
        <v>0.52032875758164576</v>
      </c>
      <c r="AK25" s="54">
        <f t="shared" si="4"/>
        <v>0.52530821023279284</v>
      </c>
      <c r="AL25" s="54">
        <f t="shared" si="4"/>
        <v>0.53028766288393991</v>
      </c>
      <c r="AM25" s="54">
        <f t="shared" si="4"/>
        <v>0.53526711553508699</v>
      </c>
      <c r="AN25" s="54">
        <f t="shared" si="4"/>
        <v>0.54024656818623407</v>
      </c>
      <c r="AO25" s="54">
        <f t="shared" si="4"/>
        <v>0.54522602083738114</v>
      </c>
      <c r="AP25" s="54">
        <f t="shared" si="4"/>
        <v>0.55020547348852822</v>
      </c>
      <c r="AQ25" s="54">
        <f t="shared" si="4"/>
        <v>0.55518492613967529</v>
      </c>
      <c r="AR25" s="54">
        <f t="shared" si="4"/>
        <v>0.56016437879082237</v>
      </c>
      <c r="AS25" s="54">
        <f t="shared" si="4"/>
        <v>0.56514383144196945</v>
      </c>
      <c r="AT25" s="54">
        <f t="shared" si="4"/>
        <v>0.57012328409311652</v>
      </c>
      <c r="AU25" s="54">
        <f t="shared" si="4"/>
        <v>0.5751027367442636</v>
      </c>
      <c r="AV25" s="54">
        <f t="shared" si="4"/>
        <v>0.58008218939541067</v>
      </c>
      <c r="AW25" s="54">
        <f t="shared" si="4"/>
        <v>0.58506164204655775</v>
      </c>
      <c r="AX25" s="54">
        <f t="shared" si="4"/>
        <v>0.59004109469770483</v>
      </c>
      <c r="AY25" s="54">
        <f t="shared" si="4"/>
        <v>0.5950205473488519</v>
      </c>
      <c r="AZ25" s="54">
        <v>0.6</v>
      </c>
      <c r="BB25" s="2">
        <f t="shared" si="2"/>
        <v>4.9794526511471281E-3</v>
      </c>
    </row>
    <row r="26" spans="1:54" x14ac:dyDescent="0.35">
      <c r="A26" s="26" t="s">
        <v>23</v>
      </c>
      <c r="B26" s="31"/>
      <c r="D26" s="54"/>
      <c r="E26" s="54"/>
      <c r="F26" s="54"/>
      <c r="G26" s="54"/>
      <c r="H26" s="54"/>
      <c r="I26" s="53">
        <v>0.22</v>
      </c>
      <c r="J26" s="53">
        <v>0.23</v>
      </c>
      <c r="K26" s="53">
        <v>0.24</v>
      </c>
      <c r="L26" s="53">
        <v>0.26</v>
      </c>
      <c r="M26" s="66">
        <f>('Eurostat Collected Portables'!M26*3)/SUM('Eurostat POM Portables'!K26:M26)</f>
        <v>0.26196218781141106</v>
      </c>
      <c r="N26" s="66">
        <f>('Eurostat Collected Portables'!N26*3)/SUM('Eurostat POM Portables'!L26:N26)</f>
        <v>0.26934552276540458</v>
      </c>
      <c r="O26" s="66">
        <f>('Eurostat Collected Portables'!O26*3)/SUM('Eurostat POM Portables'!M26:O26)</f>
        <v>0.28271428986940461</v>
      </c>
      <c r="P26" s="66">
        <f>('Eurostat Collected Portables'!P26*3)/SUM('Eurostat POM Portables'!N26:P26)</f>
        <v>0.27799096103010151</v>
      </c>
      <c r="Q26" s="66">
        <f>('Eurostat Collected Portables'!Q26*3)/SUM('Eurostat POM Portables'!O26:Q26)</f>
        <v>0.31037854010184973</v>
      </c>
      <c r="R26" s="66">
        <f>('Eurostat Collected Portables'!R26*3)/SUM('Eurostat POM Portables'!P26:R26)</f>
        <v>0.41457725947521867</v>
      </c>
      <c r="S26" s="66">
        <f>('Eurostat Collected Portables'!S26*3)/SUM('Eurostat POM Portables'!Q26:S26)</f>
        <v>0.39453826805605463</v>
      </c>
      <c r="T26" s="66">
        <f>('Eurostat Collected Portables'!T26*3)/SUM('Eurostat POM Portables'!R26:T26)</f>
        <v>0.30996138996138994</v>
      </c>
      <c r="U26" s="66">
        <f>('Eurostat Collected Portables'!U26*3)/SUM('Eurostat POM Portables'!S26:U26)</f>
        <v>0.31017437869010023</v>
      </c>
      <c r="V26" s="66">
        <f>('Eurostat Collected Portables'!V26*3)/SUM('Eurostat POM Portables'!T26:V26)</f>
        <v>0.15573989831415574</v>
      </c>
      <c r="W26" s="66">
        <f>('Eurostat Collected Portables'!W26*3)/SUM('Eurostat POM Portables'!U26:W26)</f>
        <v>0.16239858012170386</v>
      </c>
      <c r="X26" s="54">
        <f t="shared" si="1"/>
        <v>0.17748828425543819</v>
      </c>
      <c r="Y26" s="54">
        <f t="shared" si="4"/>
        <v>0.19257798838917253</v>
      </c>
      <c r="Z26" s="54">
        <f t="shared" si="4"/>
        <v>0.20766769252290687</v>
      </c>
      <c r="AA26" s="54">
        <f t="shared" si="4"/>
        <v>0.22275739665664121</v>
      </c>
      <c r="AB26" s="54">
        <f t="shared" si="4"/>
        <v>0.23784710079037555</v>
      </c>
      <c r="AC26" s="54">
        <f t="shared" si="4"/>
        <v>0.25293680492410991</v>
      </c>
      <c r="AD26" s="54">
        <f t="shared" si="4"/>
        <v>0.26802650905784425</v>
      </c>
      <c r="AE26" s="54">
        <f t="shared" si="4"/>
        <v>0.28311621319157859</v>
      </c>
      <c r="AF26" s="54">
        <f t="shared" si="4"/>
        <v>0.29820591732531293</v>
      </c>
      <c r="AG26" s="54">
        <f t="shared" si="4"/>
        <v>0.31329562145904727</v>
      </c>
      <c r="AH26" s="54">
        <f t="shared" si="4"/>
        <v>0.32838532559278161</v>
      </c>
      <c r="AI26" s="54">
        <f t="shared" si="4"/>
        <v>0.34347502972651595</v>
      </c>
      <c r="AJ26" s="54">
        <f t="shared" si="4"/>
        <v>0.35856473386025028</v>
      </c>
      <c r="AK26" s="54">
        <f t="shared" si="4"/>
        <v>0.37365443799398462</v>
      </c>
      <c r="AL26" s="54">
        <f t="shared" si="4"/>
        <v>0.38874414212771896</v>
      </c>
      <c r="AM26" s="54">
        <f t="shared" si="4"/>
        <v>0.4038338462614533</v>
      </c>
      <c r="AN26" s="54">
        <f t="shared" si="4"/>
        <v>0.41892355039518764</v>
      </c>
      <c r="AO26" s="54">
        <f t="shared" si="4"/>
        <v>0.43401325452892198</v>
      </c>
      <c r="AP26" s="54">
        <f t="shared" si="4"/>
        <v>0.44910295866265632</v>
      </c>
      <c r="AQ26" s="54">
        <f t="shared" si="4"/>
        <v>0.46419266279639065</v>
      </c>
      <c r="AR26" s="54">
        <f t="shared" si="4"/>
        <v>0.47928236693012499</v>
      </c>
      <c r="AS26" s="54">
        <f t="shared" si="4"/>
        <v>0.49437207106385933</v>
      </c>
      <c r="AT26" s="54">
        <f t="shared" si="4"/>
        <v>0.50946177519759372</v>
      </c>
      <c r="AU26" s="54">
        <f t="shared" si="4"/>
        <v>0.52455147933132806</v>
      </c>
      <c r="AV26" s="54">
        <f t="shared" si="4"/>
        <v>0.5396411834650624</v>
      </c>
      <c r="AW26" s="54">
        <f t="shared" si="4"/>
        <v>0.55473088759879674</v>
      </c>
      <c r="AX26" s="54">
        <f t="shared" si="4"/>
        <v>0.56982059173253108</v>
      </c>
      <c r="AY26" s="54">
        <f t="shared" si="4"/>
        <v>0.58491029586626542</v>
      </c>
      <c r="AZ26" s="54">
        <v>0.6</v>
      </c>
      <c r="BB26" s="2">
        <f t="shared" si="2"/>
        <v>1.5089704133734351E-2</v>
      </c>
    </row>
    <row r="27" spans="1:54" x14ac:dyDescent="0.35">
      <c r="A27" s="26" t="s">
        <v>24</v>
      </c>
      <c r="B27" s="31"/>
      <c r="D27" s="54"/>
      <c r="E27" s="54"/>
      <c r="F27" s="54"/>
      <c r="G27" s="54"/>
      <c r="H27" s="54"/>
      <c r="I27" s="54"/>
      <c r="J27" s="54"/>
      <c r="K27" s="53">
        <v>0.01</v>
      </c>
      <c r="L27" s="53">
        <v>0.01</v>
      </c>
      <c r="M27" s="66">
        <f>('Eurostat Collected Portables'!M27*3)/SUM('Eurostat POM Portables'!K27:M27)</f>
        <v>6.3893533058048346E-2</v>
      </c>
      <c r="N27" s="66">
        <f>('Eurostat Collected Portables'!N27*3)/SUM('Eurostat POM Portables'!L27:N27)</f>
        <v>0.11833818765099798</v>
      </c>
      <c r="O27" s="66">
        <f>('Eurostat Collected Portables'!O27*3)/SUM('Eurostat POM Portables'!M27:O27)</f>
        <v>0.19531658434372376</v>
      </c>
      <c r="P27" s="66">
        <f>('Eurostat Collected Portables'!P27*3)/SUM('Eurostat POM Portables'!N27:P27)</f>
        <v>0.37611288858560959</v>
      </c>
      <c r="Q27" s="66">
        <f>('Eurostat Collected Portables'!Q27*3)/SUM('Eurostat POM Portables'!O27:Q27)</f>
        <v>0.24803921568627452</v>
      </c>
      <c r="R27" s="66">
        <f>('Eurostat Collected Portables'!R27*3)/SUM('Eurostat POM Portables'!P27:R27)</f>
        <v>0.34181169120928157</v>
      </c>
      <c r="S27" s="66">
        <f>('Eurostat Collected Portables'!S27*3)/SUM('Eurostat POM Portables'!Q27:S27)</f>
        <v>0.49018697015445362</v>
      </c>
      <c r="T27" s="66">
        <f>('Eurostat Collected Portables'!T27*3)/SUM('Eurostat POM Portables'!R27:T27)</f>
        <v>0.52697616060225849</v>
      </c>
      <c r="U27" s="66">
        <f>('Eurostat Collected Portables'!U27*3)/SUM('Eurostat POM Portables'!S27:U27)</f>
        <v>0.52723535457348403</v>
      </c>
      <c r="V27" s="66">
        <f>('Eurostat Collected Portables'!V27*3)/SUM('Eurostat POM Portables'!T27:V27)</f>
        <v>0.52117588440458396</v>
      </c>
      <c r="W27" s="66">
        <f>('Eurostat Collected Portables'!W27*3)/SUM('Eurostat POM Portables'!U27:W27)</f>
        <v>0.59333498820901076</v>
      </c>
      <c r="X27" s="54">
        <f t="shared" si="1"/>
        <v>0.59356481620180346</v>
      </c>
      <c r="Y27" s="54">
        <f t="shared" si="4"/>
        <v>0.59379464419459616</v>
      </c>
      <c r="Z27" s="54">
        <f t="shared" si="4"/>
        <v>0.59402447218738885</v>
      </c>
      <c r="AA27" s="54">
        <f t="shared" si="4"/>
        <v>0.59425430018018155</v>
      </c>
      <c r="AB27" s="54">
        <f t="shared" si="4"/>
        <v>0.59448412817297425</v>
      </c>
      <c r="AC27" s="54">
        <f t="shared" si="4"/>
        <v>0.59471395616576694</v>
      </c>
      <c r="AD27" s="54">
        <f t="shared" si="4"/>
        <v>0.59494378415855964</v>
      </c>
      <c r="AE27" s="54">
        <f t="shared" si="4"/>
        <v>0.59517361215135234</v>
      </c>
      <c r="AF27" s="54">
        <f t="shared" si="4"/>
        <v>0.59540344014414504</v>
      </c>
      <c r="AG27" s="54">
        <f t="shared" si="4"/>
        <v>0.59563326813693773</v>
      </c>
      <c r="AH27" s="54">
        <f t="shared" si="4"/>
        <v>0.59586309612973043</v>
      </c>
      <c r="AI27" s="54">
        <f t="shared" si="4"/>
        <v>0.59609292412252313</v>
      </c>
      <c r="AJ27" s="54">
        <f t="shared" si="4"/>
        <v>0.59632275211531582</v>
      </c>
      <c r="AK27" s="54">
        <f t="shared" si="4"/>
        <v>0.59655258010810852</v>
      </c>
      <c r="AL27" s="54">
        <f t="shared" si="4"/>
        <v>0.59678240810090122</v>
      </c>
      <c r="AM27" s="54">
        <f t="shared" si="4"/>
        <v>0.59701223609369392</v>
      </c>
      <c r="AN27" s="54">
        <f t="shared" si="4"/>
        <v>0.59724206408648661</v>
      </c>
      <c r="AO27" s="54">
        <f t="shared" si="4"/>
        <v>0.59747189207927931</v>
      </c>
      <c r="AP27" s="54">
        <f t="shared" si="4"/>
        <v>0.59770172007207201</v>
      </c>
      <c r="AQ27" s="54">
        <f t="shared" si="4"/>
        <v>0.5979315480648647</v>
      </c>
      <c r="AR27" s="54">
        <f t="shared" si="4"/>
        <v>0.5981613760576574</v>
      </c>
      <c r="AS27" s="54">
        <f t="shared" si="4"/>
        <v>0.5983912040504501</v>
      </c>
      <c r="AT27" s="54">
        <f t="shared" si="4"/>
        <v>0.5986210320432428</v>
      </c>
      <c r="AU27" s="54">
        <f t="shared" si="4"/>
        <v>0.59885086003603549</v>
      </c>
      <c r="AV27" s="54">
        <f t="shared" si="4"/>
        <v>0.59908068802882819</v>
      </c>
      <c r="AW27" s="54">
        <f t="shared" si="4"/>
        <v>0.59931051602162089</v>
      </c>
      <c r="AX27" s="54">
        <f t="shared" si="4"/>
        <v>0.59954034401441358</v>
      </c>
      <c r="AY27" s="54">
        <f t="shared" si="4"/>
        <v>0.59977017200720628</v>
      </c>
      <c r="AZ27" s="54">
        <v>0.6</v>
      </c>
      <c r="BB27" s="2">
        <f t="shared" si="2"/>
        <v>2.2982799279273162E-4</v>
      </c>
    </row>
    <row r="28" spans="1:54" x14ac:dyDescent="0.35">
      <c r="A28" s="26" t="s">
        <v>25</v>
      </c>
      <c r="B28" s="31"/>
      <c r="D28" s="54"/>
      <c r="E28" s="54"/>
      <c r="F28" s="54"/>
      <c r="G28" s="54"/>
      <c r="H28" s="54"/>
      <c r="I28" s="54"/>
      <c r="J28" s="54"/>
      <c r="K28" s="54"/>
      <c r="L28" s="53">
        <v>0.18</v>
      </c>
      <c r="M28" s="66">
        <f>('Eurostat Collected Portables'!M28*3)/SUM('Eurostat POM Portables'!K28:M28)</f>
        <v>0.46658640830206638</v>
      </c>
      <c r="N28" s="66">
        <f>('Eurostat Collected Portables'!N28*3)/SUM('Eurostat POM Portables'!L28:N28)</f>
        <v>0.61687920830656784</v>
      </c>
      <c r="O28" s="66">
        <f>('Eurostat Collected Portables'!O28*3)/SUM('Eurostat POM Portables'!M28:O28)</f>
        <v>0.47918088737201364</v>
      </c>
      <c r="P28" s="66">
        <f>('Eurostat Collected Portables'!P28*3)/SUM('Eurostat POM Portables'!N28:P28)</f>
        <v>0.66296561604584525</v>
      </c>
      <c r="Q28" s="66">
        <f>('Eurostat Collected Portables'!Q28*3)/SUM('Eurostat POM Portables'!O28:Q28)</f>
        <v>0.529476382277554</v>
      </c>
      <c r="R28" s="66">
        <f>('Eurostat Collected Portables'!R28*3)/SUM('Eurostat POM Portables'!P28:R28)</f>
        <v>0.47530659595624791</v>
      </c>
      <c r="S28" s="66">
        <f>('Eurostat Collected Portables'!S28*3)/SUM('Eurostat POM Portables'!Q28:S28)</f>
        <v>0.91114167812929847</v>
      </c>
      <c r="T28" s="66">
        <f>('Eurostat Collected Portables'!T28*3)/SUM('Eurostat POM Portables'!R28:T28)</f>
        <v>0.57659574468085106</v>
      </c>
      <c r="U28" s="66">
        <f>('Eurostat Collected Portables'!U28*3)/SUM('Eurostat POM Portables'!S28:U28)</f>
        <v>0.56368620835090677</v>
      </c>
      <c r="V28" s="66">
        <f>('Eurostat Collected Portables'!V28*3)/SUM('Eurostat POM Portables'!T28:V28)</f>
        <v>0.52070783132530118</v>
      </c>
      <c r="W28" s="66">
        <f>('Eurostat Collected Portables'!W28*3)/SUM('Eurostat POM Portables'!U28:W28)</f>
        <v>0.4732142857142857</v>
      </c>
      <c r="X28" s="54">
        <f t="shared" si="1"/>
        <v>0.47758620689655173</v>
      </c>
      <c r="Y28" s="54">
        <f t="shared" si="4"/>
        <v>0.48195812807881777</v>
      </c>
      <c r="Z28" s="54">
        <f t="shared" si="4"/>
        <v>0.48633004926108381</v>
      </c>
      <c r="AA28" s="54">
        <f t="shared" si="4"/>
        <v>0.49070197044334984</v>
      </c>
      <c r="AB28" s="54">
        <f t="shared" si="4"/>
        <v>0.49507389162561588</v>
      </c>
      <c r="AC28" s="54">
        <f t="shared" si="4"/>
        <v>0.49944581280788192</v>
      </c>
      <c r="AD28" s="54">
        <f t="shared" si="4"/>
        <v>0.50381773399014795</v>
      </c>
      <c r="AE28" s="54">
        <f t="shared" si="4"/>
        <v>0.50818965517241399</v>
      </c>
      <c r="AF28" s="54">
        <f t="shared" si="4"/>
        <v>0.51256157635468003</v>
      </c>
      <c r="AG28" s="54">
        <f t="shared" si="4"/>
        <v>0.51693349753694606</v>
      </c>
      <c r="AH28" s="54">
        <f t="shared" si="4"/>
        <v>0.5213054187192121</v>
      </c>
      <c r="AI28" s="54">
        <f t="shared" si="4"/>
        <v>0.52567733990147814</v>
      </c>
      <c r="AJ28" s="54">
        <f t="shared" si="4"/>
        <v>0.53004926108374417</v>
      </c>
      <c r="AK28" s="54">
        <f t="shared" si="4"/>
        <v>0.53442118226601021</v>
      </c>
      <c r="AL28" s="54">
        <f t="shared" si="4"/>
        <v>0.53879310344827624</v>
      </c>
      <c r="AM28" s="54">
        <f t="shared" si="4"/>
        <v>0.54316502463054228</v>
      </c>
      <c r="AN28" s="54">
        <f t="shared" si="4"/>
        <v>0.54753694581280832</v>
      </c>
      <c r="AO28" s="54">
        <f t="shared" si="4"/>
        <v>0.55190886699507435</v>
      </c>
      <c r="AP28" s="54">
        <f t="shared" si="4"/>
        <v>0.55628078817734039</v>
      </c>
      <c r="AQ28" s="54">
        <f t="shared" si="4"/>
        <v>0.56065270935960643</v>
      </c>
      <c r="AR28" s="54">
        <f t="shared" si="4"/>
        <v>0.56502463054187246</v>
      </c>
      <c r="AS28" s="54">
        <f t="shared" si="4"/>
        <v>0.5693965517241385</v>
      </c>
      <c r="AT28" s="54">
        <f t="shared" si="4"/>
        <v>0.57376847290640454</v>
      </c>
      <c r="AU28" s="54">
        <f t="shared" si="4"/>
        <v>0.57814039408867057</v>
      </c>
      <c r="AV28" s="54">
        <f t="shared" si="4"/>
        <v>0.58251231527093661</v>
      </c>
      <c r="AW28" s="54">
        <f t="shared" si="4"/>
        <v>0.58688423645320265</v>
      </c>
      <c r="AX28" s="54">
        <f t="shared" si="4"/>
        <v>0.59125615763546868</v>
      </c>
      <c r="AY28" s="54">
        <f t="shared" si="4"/>
        <v>0.59562807881773472</v>
      </c>
      <c r="AZ28" s="54">
        <v>0.6</v>
      </c>
      <c r="BB28" s="2">
        <f t="shared" si="2"/>
        <v>4.3719211822660095E-3</v>
      </c>
    </row>
    <row r="29" spans="1:54" x14ac:dyDescent="0.35">
      <c r="A29" s="26" t="s">
        <v>26</v>
      </c>
      <c r="B29" s="31"/>
      <c r="D29" s="54"/>
      <c r="E29" s="54"/>
      <c r="F29" s="54"/>
      <c r="G29" s="54"/>
      <c r="H29" s="54"/>
      <c r="I29" s="54"/>
      <c r="J29" s="54"/>
      <c r="K29" s="54"/>
      <c r="L29" s="53">
        <v>0.09</v>
      </c>
      <c r="M29" s="66">
        <f>('Eurostat Collected Portables'!M29*3)/SUM('Eurostat POM Portables'!K29:M29)</f>
        <v>0.41562726460691246</v>
      </c>
      <c r="N29" s="66">
        <f>('Eurostat Collected Portables'!N29*3)/SUM('Eurostat POM Portables'!L29:N29)</f>
        <v>0.40814745573980898</v>
      </c>
      <c r="O29" s="66">
        <f>('Eurostat Collected Portables'!O29*3)/SUM('Eurostat POM Portables'!M29:O29)</f>
        <v>0.32386363636363635</v>
      </c>
      <c r="P29" s="66">
        <f>('Eurostat Collected Portables'!P29*3)/SUM('Eurostat POM Portables'!N29:P29)</f>
        <v>0.29153169828782971</v>
      </c>
      <c r="Q29" s="66">
        <f>('Eurostat Collected Portables'!Q29*3)/SUM('Eurostat POM Portables'!O29:Q29)</f>
        <v>0.35252140818268318</v>
      </c>
      <c r="R29" s="66">
        <f>('Eurostat Collected Portables'!R29*3)/SUM('Eurostat POM Portables'!P29:R29)</f>
        <v>0.3566992014196983</v>
      </c>
      <c r="S29" s="66">
        <f>('Eurostat Collected Portables'!S29*3)/SUM('Eurostat POM Portables'!Q29:S29)</f>
        <v>0.3496774193548387</v>
      </c>
      <c r="T29" s="66">
        <f>('Eurostat Collected Portables'!T29*3)/SUM('Eurostat POM Portables'!R29:T29)</f>
        <v>0.38631790744466799</v>
      </c>
      <c r="U29" s="66">
        <f>('Eurostat Collected Portables'!U29*3)/SUM('Eurostat POM Portables'!S29:U29)</f>
        <v>0.37653311529026984</v>
      </c>
      <c r="V29" s="66">
        <f>('Eurostat Collected Portables'!V29*3)/SUM('Eurostat POM Portables'!T29:V29)</f>
        <v>0.41458501208702658</v>
      </c>
      <c r="W29" s="66">
        <f>('Eurostat Collected Portables'!W29*3)/SUM('Eurostat POM Portables'!U29:W29)</f>
        <v>0.40817931576877703</v>
      </c>
      <c r="X29" s="54">
        <f t="shared" si="1"/>
        <v>0.41479382212157784</v>
      </c>
      <c r="Y29" s="54">
        <f t="shared" si="4"/>
        <v>0.42140832847437865</v>
      </c>
      <c r="Z29" s="54">
        <f t="shared" si="4"/>
        <v>0.42802283482717945</v>
      </c>
      <c r="AA29" s="54">
        <f t="shared" si="4"/>
        <v>0.43463734117998026</v>
      </c>
      <c r="AB29" s="54">
        <f t="shared" si="4"/>
        <v>0.44125184753278107</v>
      </c>
      <c r="AC29" s="54">
        <f t="shared" si="4"/>
        <v>0.44786635388558188</v>
      </c>
      <c r="AD29" s="54">
        <f t="shared" si="4"/>
        <v>0.45448086023838269</v>
      </c>
      <c r="AE29" s="54">
        <f t="shared" si="4"/>
        <v>0.4610953665911835</v>
      </c>
      <c r="AF29" s="54">
        <f t="shared" si="4"/>
        <v>0.46770987294398431</v>
      </c>
      <c r="AG29" s="54">
        <f t="shared" si="4"/>
        <v>0.47432437929678511</v>
      </c>
      <c r="AH29" s="54">
        <f t="shared" si="4"/>
        <v>0.48093888564958592</v>
      </c>
      <c r="AI29" s="54">
        <f t="shared" si="4"/>
        <v>0.48755339200238673</v>
      </c>
      <c r="AJ29" s="54">
        <f t="shared" si="4"/>
        <v>0.49416789835518754</v>
      </c>
      <c r="AK29" s="54">
        <f t="shared" si="4"/>
        <v>0.50078240470798829</v>
      </c>
      <c r="AL29" s="54">
        <f t="shared" si="4"/>
        <v>0.5073969110607891</v>
      </c>
      <c r="AM29" s="54">
        <f t="shared" si="4"/>
        <v>0.51401141741358991</v>
      </c>
      <c r="AN29" s="54">
        <f t="shared" si="4"/>
        <v>0.52062592376639072</v>
      </c>
      <c r="AO29" s="54">
        <f t="shared" si="4"/>
        <v>0.52724043011919153</v>
      </c>
      <c r="AP29" s="54">
        <f t="shared" si="4"/>
        <v>0.53385493647199234</v>
      </c>
      <c r="AQ29" s="54">
        <f t="shared" si="4"/>
        <v>0.54046944282479314</v>
      </c>
      <c r="AR29" s="54">
        <f t="shared" si="4"/>
        <v>0.54708394917759395</v>
      </c>
      <c r="AS29" s="54">
        <f t="shared" si="4"/>
        <v>0.55369845553039476</v>
      </c>
      <c r="AT29" s="54">
        <f t="shared" si="4"/>
        <v>0.56031296188319557</v>
      </c>
      <c r="AU29" s="54">
        <f t="shared" si="4"/>
        <v>0.56692746823599638</v>
      </c>
      <c r="AV29" s="54">
        <f t="shared" si="4"/>
        <v>0.57354197458879719</v>
      </c>
      <c r="AW29" s="54">
        <f t="shared" si="4"/>
        <v>0.580156480941598</v>
      </c>
      <c r="AX29" s="54">
        <f t="shared" si="4"/>
        <v>0.5867709872943988</v>
      </c>
      <c r="AY29" s="54">
        <f t="shared" si="4"/>
        <v>0.59338549364719961</v>
      </c>
      <c r="AZ29" s="54">
        <v>0.6</v>
      </c>
      <c r="BB29" s="2">
        <f t="shared" si="2"/>
        <v>6.6145063528007912E-3</v>
      </c>
    </row>
    <row r="30" spans="1:54" x14ac:dyDescent="0.35">
      <c r="A30" s="26" t="s">
        <v>27</v>
      </c>
      <c r="B30" s="31"/>
      <c r="D30" s="54"/>
      <c r="E30" s="54"/>
      <c r="F30" s="54"/>
      <c r="G30" s="54"/>
      <c r="H30" s="54"/>
      <c r="I30" s="54"/>
      <c r="J30" s="54"/>
      <c r="K30" s="54"/>
      <c r="L30" s="53">
        <v>0.34</v>
      </c>
      <c r="M30" s="66">
        <f>('Eurostat Collected Portables'!M30*3)/SUM('Eurostat POM Portables'!K30:M30)</f>
        <v>0.34898979680848219</v>
      </c>
      <c r="N30" s="66">
        <f>('Eurostat Collected Portables'!N30*3)/SUM('Eurostat POM Portables'!L30:N30)</f>
        <v>0.37194719291426176</v>
      </c>
      <c r="O30" s="66">
        <f>('Eurostat Collected Portables'!O30*3)/SUM('Eurostat POM Portables'!M30:O30)</f>
        <v>0.34444920922337524</v>
      </c>
      <c r="P30" s="66">
        <f>('Eurostat Collected Portables'!P30*3)/SUM('Eurostat POM Portables'!N30:P30)</f>
        <v>0.36393227129041344</v>
      </c>
      <c r="Q30" s="66">
        <f>('Eurostat Collected Portables'!Q30*3)/SUM('Eurostat POM Portables'!O30:Q30)</f>
        <v>0.41429660470298479</v>
      </c>
      <c r="R30" s="66">
        <f>('Eurostat Collected Portables'!R30*3)/SUM('Eurostat POM Portables'!P30:R30)</f>
        <v>0.38229893499816381</v>
      </c>
      <c r="S30" s="66">
        <f>('Eurostat Collected Portables'!S30*3)/SUM('Eurostat POM Portables'!Q30:S30)</f>
        <v>0.38277642687358271</v>
      </c>
      <c r="T30" s="66">
        <f>('Eurostat Collected Portables'!T30*3)/SUM('Eurostat POM Portables'!R30:T30)</f>
        <v>0.37530648940227757</v>
      </c>
      <c r="U30" s="66">
        <f>('Eurostat Collected Portables'!U30*3)/SUM('Eurostat POM Portables'!S30:U30)</f>
        <v>0.45629189962638117</v>
      </c>
      <c r="V30" s="66">
        <f>('Eurostat Collected Portables'!V30*3)/SUM('Eurostat POM Portables'!T30:V30)</f>
        <v>0.4102679239634785</v>
      </c>
      <c r="W30" s="66">
        <f>('Eurostat Collected Portables'!W30*3)/SUM('Eurostat POM Portables'!U30:W30)</f>
        <v>0.52308733288224174</v>
      </c>
      <c r="X30" s="54">
        <f t="shared" si="1"/>
        <v>0.52573949381733687</v>
      </c>
      <c r="Y30" s="54">
        <f t="shared" si="4"/>
        <v>0.52839165475243199</v>
      </c>
      <c r="Z30" s="54">
        <f t="shared" si="4"/>
        <v>0.53104381568752712</v>
      </c>
      <c r="AA30" s="54">
        <f t="shared" si="4"/>
        <v>0.53369597662262225</v>
      </c>
      <c r="AB30" s="54">
        <f t="shared" si="4"/>
        <v>0.53634813755771737</v>
      </c>
      <c r="AC30" s="54">
        <f t="shared" si="4"/>
        <v>0.5390002984928125</v>
      </c>
      <c r="AD30" s="54">
        <f t="shared" si="4"/>
        <v>0.54165245942790763</v>
      </c>
      <c r="AE30" s="54">
        <f t="shared" si="4"/>
        <v>0.54430462036300276</v>
      </c>
      <c r="AF30" s="54">
        <f t="shared" si="4"/>
        <v>0.54695678129809788</v>
      </c>
      <c r="AG30" s="54">
        <f t="shared" si="4"/>
        <v>0.54960894223319301</v>
      </c>
      <c r="AH30" s="54">
        <f t="shared" si="4"/>
        <v>0.55226110316828814</v>
      </c>
      <c r="AI30" s="54">
        <f t="shared" si="4"/>
        <v>0.55491326410338326</v>
      </c>
      <c r="AJ30" s="54">
        <f t="shared" si="4"/>
        <v>0.55756542503847839</v>
      </c>
      <c r="AK30" s="54">
        <f t="shared" si="4"/>
        <v>0.56021758597357352</v>
      </c>
      <c r="AL30" s="54">
        <f t="shared" si="4"/>
        <v>0.56286974690866864</v>
      </c>
      <c r="AM30" s="54">
        <f t="shared" si="4"/>
        <v>0.56552190784376377</v>
      </c>
      <c r="AN30" s="54">
        <f t="shared" si="4"/>
        <v>0.5681740687788589</v>
      </c>
      <c r="AO30" s="54">
        <f t="shared" si="4"/>
        <v>0.57082622971395403</v>
      </c>
      <c r="AP30" s="54">
        <f t="shared" si="4"/>
        <v>0.57347839064904915</v>
      </c>
      <c r="AQ30" s="54">
        <f t="shared" si="4"/>
        <v>0.57613055158414428</v>
      </c>
      <c r="AR30" s="54">
        <f t="shared" si="4"/>
        <v>0.57878271251923941</v>
      </c>
      <c r="AS30" s="54">
        <f t="shared" si="4"/>
        <v>0.58143487345433453</v>
      </c>
      <c r="AT30" s="54">
        <f t="shared" si="4"/>
        <v>0.58408703438942966</v>
      </c>
      <c r="AU30" s="54">
        <f t="shared" si="4"/>
        <v>0.58673919532452479</v>
      </c>
      <c r="AV30" s="54">
        <f t="shared" si="4"/>
        <v>0.58939135625961991</v>
      </c>
      <c r="AW30" s="54">
        <f t="shared" si="4"/>
        <v>0.59204351719471504</v>
      </c>
      <c r="AX30" s="54">
        <f t="shared" si="4"/>
        <v>0.59469567812981017</v>
      </c>
      <c r="AY30" s="54">
        <f t="shared" si="4"/>
        <v>0.59734783906490529</v>
      </c>
      <c r="AZ30" s="54">
        <v>0.6</v>
      </c>
      <c r="BB30" s="2">
        <f t="shared" si="2"/>
        <v>2.6521609350951118E-3</v>
      </c>
    </row>
    <row r="31" spans="1:54" x14ac:dyDescent="0.35">
      <c r="A31" s="26" t="s">
        <v>28</v>
      </c>
      <c r="B31" s="31"/>
      <c r="D31" s="54"/>
      <c r="E31" s="54"/>
      <c r="F31" s="54"/>
      <c r="G31" s="54"/>
      <c r="H31" s="54"/>
      <c r="I31" s="54"/>
      <c r="J31" s="54"/>
      <c r="K31" s="53">
        <v>0.27</v>
      </c>
      <c r="L31" s="53">
        <v>0.42</v>
      </c>
      <c r="M31" s="66">
        <f>('Eurostat Collected Portables'!M31*3)/SUM('Eurostat POM Portables'!K31:M31)</f>
        <v>0.60807219694504977</v>
      </c>
      <c r="N31" s="66">
        <f>('Eurostat Collected Portables'!N31*3)/SUM('Eurostat POM Portables'!L31:N31)</f>
        <v>0.66427485454352231</v>
      </c>
      <c r="O31" s="66">
        <f>('Eurostat Collected Portables'!O31*3)/SUM('Eurostat POM Portables'!M31:O31)</f>
        <v>0.64070796460176993</v>
      </c>
      <c r="P31" s="66">
        <f>('Eurostat Collected Portables'!P31*3)/SUM('Eurostat POM Portables'!N31:P31)</f>
        <v>0.58685690481149766</v>
      </c>
      <c r="Q31" s="66">
        <f>('Eurostat Collected Portables'!Q31*3)/SUM('Eurostat POM Portables'!O31:Q31)</f>
        <v>0.60705712501503895</v>
      </c>
      <c r="R31" s="66">
        <f>('Eurostat Collected Portables'!R31*3)/SUM('Eurostat POM Portables'!P31:R31)</f>
        <v>0.49212807754948978</v>
      </c>
      <c r="S31" s="66">
        <f>('Eurostat Collected Portables'!S31*3)/SUM('Eurostat POM Portables'!Q31:S31)</f>
        <v>0.55660261509794606</v>
      </c>
      <c r="T31" s="66">
        <f>('Eurostat Collected Portables'!T31*3)/SUM('Eurostat POM Portables'!R31:T31)</f>
        <v>0.48482884670882415</v>
      </c>
      <c r="U31" s="66">
        <f>('Eurostat Collected Portables'!U31*3)/SUM('Eurostat POM Portables'!S31:U31)</f>
        <v>0.52491301157478643</v>
      </c>
      <c r="V31" s="66">
        <f>('Eurostat Collected Portables'!V31*3)/SUM('Eurostat POM Portables'!T31:V31)</f>
        <v>0.4734703248765928</v>
      </c>
      <c r="W31" s="66">
        <f>('Eurostat Collected Portables'!W31*3)/SUM('Eurostat POM Portables'!U31:W31)</f>
        <v>0.46878542340148621</v>
      </c>
      <c r="X31" s="54">
        <f t="shared" si="1"/>
        <v>0.47331006397384878</v>
      </c>
      <c r="Y31" s="54">
        <f t="shared" si="4"/>
        <v>0.47783470454621135</v>
      </c>
      <c r="Z31" s="54">
        <f t="shared" si="4"/>
        <v>0.48235934511857392</v>
      </c>
      <c r="AA31" s="54">
        <f t="shared" si="4"/>
        <v>0.48688398569093649</v>
      </c>
      <c r="AB31" s="54">
        <f t="shared" si="4"/>
        <v>0.49140862626329906</v>
      </c>
      <c r="AC31" s="54">
        <f t="shared" si="4"/>
        <v>0.49593326683566163</v>
      </c>
      <c r="AD31" s="54">
        <f t="shared" si="4"/>
        <v>0.50045790740802421</v>
      </c>
      <c r="AE31" s="54">
        <f t="shared" si="4"/>
        <v>0.50498254798038678</v>
      </c>
      <c r="AF31" s="54">
        <f t="shared" si="4"/>
        <v>0.50950718855274935</v>
      </c>
      <c r="AG31" s="54">
        <f t="shared" si="4"/>
        <v>0.51403182912511192</v>
      </c>
      <c r="AH31" s="54">
        <f t="shared" si="4"/>
        <v>0.51855646969747449</v>
      </c>
      <c r="AI31" s="54">
        <f t="shared" si="4"/>
        <v>0.52308111026983706</v>
      </c>
      <c r="AJ31" s="54">
        <f t="shared" si="4"/>
        <v>0.52760575084219963</v>
      </c>
      <c r="AK31" s="54">
        <f t="shared" si="4"/>
        <v>0.5321303914145622</v>
      </c>
      <c r="AL31" s="54">
        <f t="shared" si="4"/>
        <v>0.53665503198692477</v>
      </c>
      <c r="AM31" s="54">
        <f t="shared" si="4"/>
        <v>0.54117967255928734</v>
      </c>
      <c r="AN31" s="54">
        <f t="shared" si="4"/>
        <v>0.54570431313164991</v>
      </c>
      <c r="AO31" s="54">
        <f t="shared" si="4"/>
        <v>0.55022895370401248</v>
      </c>
      <c r="AP31" s="54">
        <f t="shared" si="4"/>
        <v>0.55475359427637505</v>
      </c>
      <c r="AQ31" s="54">
        <f t="shared" si="4"/>
        <v>0.55927823484873762</v>
      </c>
      <c r="AR31" s="54">
        <f t="shared" si="4"/>
        <v>0.56380287542110019</v>
      </c>
      <c r="AS31" s="54">
        <f t="shared" si="4"/>
        <v>0.56832751599346276</v>
      </c>
      <c r="AT31" s="54">
        <f t="shared" si="4"/>
        <v>0.57285215656582533</v>
      </c>
      <c r="AU31" s="54">
        <f t="shared" si="4"/>
        <v>0.5773767971381879</v>
      </c>
      <c r="AV31" s="54">
        <f t="shared" si="4"/>
        <v>0.58190143771055047</v>
      </c>
      <c r="AW31" s="54">
        <f t="shared" ref="Y31:AY34" si="5">AV31+$BB31</f>
        <v>0.58642607828291304</v>
      </c>
      <c r="AX31" s="54">
        <f t="shared" si="5"/>
        <v>0.59095071885527561</v>
      </c>
      <c r="AY31" s="54">
        <f t="shared" si="5"/>
        <v>0.59547535942763818</v>
      </c>
      <c r="AZ31" s="54">
        <v>0.6</v>
      </c>
      <c r="BB31" s="2">
        <f t="shared" si="2"/>
        <v>4.5246405723625436E-3</v>
      </c>
    </row>
    <row r="32" spans="1:54" x14ac:dyDescent="0.35">
      <c r="A32" s="26" t="s">
        <v>29</v>
      </c>
      <c r="B32" s="31"/>
      <c r="D32" s="54"/>
      <c r="E32" s="54"/>
      <c r="F32" s="54"/>
      <c r="G32" s="53">
        <v>0.63</v>
      </c>
      <c r="H32" s="53">
        <v>0.66</v>
      </c>
      <c r="I32" s="53">
        <v>0.65</v>
      </c>
      <c r="J32" s="53">
        <v>0.71</v>
      </c>
      <c r="K32" s="53">
        <v>0.71</v>
      </c>
      <c r="L32" s="53">
        <v>0.69</v>
      </c>
      <c r="M32" s="66">
        <f>('Eurostat Collected Portables'!M32*3)/SUM('Eurostat POM Portables'!K32:M32)</f>
        <v>0.7276742464608642</v>
      </c>
      <c r="N32" s="66">
        <f>('Eurostat Collected Portables'!N32*3)/SUM('Eurostat POM Portables'!L32:N32)</f>
        <v>0.74877368962750401</v>
      </c>
      <c r="O32" s="66">
        <f>('Eurostat Collected Portables'!O32*3)/SUM('Eurostat POM Portables'!M32:O32)</f>
        <v>0.71053372103930212</v>
      </c>
      <c r="P32" s="66">
        <f>('Eurostat Collected Portables'!P32*3)/SUM('Eurostat POM Portables'!N32:P32)</f>
        <v>0.74876757348913636</v>
      </c>
      <c r="Q32" s="66">
        <f>('Eurostat Collected Portables'!Q32*3)/SUM('Eurostat POM Portables'!O32:Q32)</f>
        <v>0.71265370192726951</v>
      </c>
      <c r="R32" s="66">
        <f>('Eurostat Collected Portables'!R32*3)/SUM('Eurostat POM Portables'!P32:R32)</f>
        <v>0.70140915534061532</v>
      </c>
      <c r="S32" s="66">
        <f>('Eurostat Collected Portables'!S32*3)/SUM('Eurostat POM Portables'!Q32:S32)</f>
        <v>0.67533414337788578</v>
      </c>
      <c r="T32" s="66">
        <f>('Eurostat Collected Portables'!T32*3)/SUM('Eurostat POM Portables'!R32:T32)</f>
        <v>0.66918405481158516</v>
      </c>
      <c r="U32" s="66">
        <f>('Eurostat Collected Portables'!U32*3)/SUM('Eurostat POM Portables'!S32:U32)</f>
        <v>0.68604822111143782</v>
      </c>
      <c r="V32" s="66">
        <f>('Eurostat Collected Portables'!V32*3)/SUM('Eurostat POM Portables'!T32:V32)</f>
        <v>0.6272224417226393</v>
      </c>
      <c r="W32" s="66">
        <f>('Eurostat Collected Portables'!W32*3)/SUM('Eurostat POM Portables'!U32:W32)</f>
        <v>0.56847410497045536</v>
      </c>
      <c r="X32" s="54">
        <f t="shared" si="1"/>
        <v>0.56956120479906036</v>
      </c>
      <c r="Y32" s="54">
        <f t="shared" si="5"/>
        <v>0.57064830462766536</v>
      </c>
      <c r="Z32" s="54">
        <f t="shared" si="5"/>
        <v>0.57173540445627036</v>
      </c>
      <c r="AA32" s="54">
        <f t="shared" si="5"/>
        <v>0.57282250428487536</v>
      </c>
      <c r="AB32" s="54">
        <f t="shared" si="5"/>
        <v>0.57390960411348035</v>
      </c>
      <c r="AC32" s="54">
        <f t="shared" si="5"/>
        <v>0.57499670394208535</v>
      </c>
      <c r="AD32" s="54">
        <f t="shared" si="5"/>
        <v>0.57608380377069035</v>
      </c>
      <c r="AE32" s="54">
        <f t="shared" si="5"/>
        <v>0.57717090359929535</v>
      </c>
      <c r="AF32" s="54">
        <f t="shared" si="5"/>
        <v>0.57825800342790035</v>
      </c>
      <c r="AG32" s="54">
        <f t="shared" si="5"/>
        <v>0.57934510325650534</v>
      </c>
      <c r="AH32" s="54">
        <f t="shared" si="5"/>
        <v>0.58043220308511034</v>
      </c>
      <c r="AI32" s="54">
        <f t="shared" si="5"/>
        <v>0.58151930291371534</v>
      </c>
      <c r="AJ32" s="54">
        <f t="shared" si="5"/>
        <v>0.58260640274232034</v>
      </c>
      <c r="AK32" s="54">
        <f t="shared" si="5"/>
        <v>0.58369350257092534</v>
      </c>
      <c r="AL32" s="54">
        <f t="shared" si="5"/>
        <v>0.58478060239953034</v>
      </c>
      <c r="AM32" s="54">
        <f t="shared" si="5"/>
        <v>0.58586770222813533</v>
      </c>
      <c r="AN32" s="54">
        <f t="shared" si="5"/>
        <v>0.58695480205674033</v>
      </c>
      <c r="AO32" s="54">
        <f t="shared" si="5"/>
        <v>0.58804190188534533</v>
      </c>
      <c r="AP32" s="54">
        <f t="shared" si="5"/>
        <v>0.58912900171395033</v>
      </c>
      <c r="AQ32" s="54">
        <f t="shared" si="5"/>
        <v>0.59021610154255533</v>
      </c>
      <c r="AR32" s="54">
        <f t="shared" si="5"/>
        <v>0.59130320137116033</v>
      </c>
      <c r="AS32" s="54">
        <f t="shared" si="5"/>
        <v>0.59239030119976532</v>
      </c>
      <c r="AT32" s="54">
        <f t="shared" si="5"/>
        <v>0.59347740102837032</v>
      </c>
      <c r="AU32" s="54">
        <f t="shared" si="5"/>
        <v>0.59456450085697532</v>
      </c>
      <c r="AV32" s="54">
        <f t="shared" si="5"/>
        <v>0.59565160068558032</v>
      </c>
      <c r="AW32" s="54">
        <f t="shared" si="5"/>
        <v>0.59673870051418532</v>
      </c>
      <c r="AX32" s="54">
        <f t="shared" si="5"/>
        <v>0.59782580034279031</v>
      </c>
      <c r="AY32" s="54">
        <f t="shared" si="5"/>
        <v>0.59891290017139531</v>
      </c>
      <c r="AZ32" s="54">
        <v>0.6</v>
      </c>
      <c r="BB32" s="2">
        <f t="shared" si="2"/>
        <v>1.0870998286049867E-3</v>
      </c>
    </row>
    <row r="33" spans="1:54" x14ac:dyDescent="0.35">
      <c r="A33" s="26" t="s">
        <v>30</v>
      </c>
      <c r="B33" s="31"/>
      <c r="D33" s="54"/>
      <c r="E33" s="54"/>
      <c r="F33" s="54"/>
      <c r="G33" s="54"/>
      <c r="H33" s="54"/>
      <c r="I33" s="54"/>
      <c r="J33" s="54"/>
      <c r="K33" s="54"/>
      <c r="L33" s="53">
        <v>0.1</v>
      </c>
      <c r="M33" s="66">
        <f>('Eurostat Collected Portables'!M33*3)/SUM('Eurostat POM Portables'!K33:M33)</f>
        <v>0.23255243916916882</v>
      </c>
      <c r="N33" s="66">
        <f>('Eurostat Collected Portables'!N33*3)/SUM('Eurostat POM Portables'!L33:N33)</f>
        <v>0.30678562008242655</v>
      </c>
      <c r="O33" s="66">
        <f>('Eurostat Collected Portables'!O33*3)/SUM('Eurostat POM Portables'!M33:O33)</f>
        <v>0.33287076245531722</v>
      </c>
      <c r="P33" s="66">
        <f>('Eurostat Collected Portables'!P33*3)/SUM('Eurostat POM Portables'!N33:P33)</f>
        <v>0.35808489767674873</v>
      </c>
      <c r="Q33" s="66">
        <f>('Eurostat Collected Portables'!Q33*3)/SUM('Eurostat POM Portables'!O33:Q33)</f>
        <v>0.40496114520325943</v>
      </c>
      <c r="R33" s="66">
        <f>('Eurostat Collected Portables'!R33*3)/SUM('Eurostat POM Portables'!P33:R33)</f>
        <v>0.45141468589871292</v>
      </c>
      <c r="S33" s="66">
        <f>('Eurostat Collected Portables'!S33*3)/SUM('Eurostat POM Portables'!Q33:S33)</f>
        <v>0.45115653811565998</v>
      </c>
      <c r="T33" s="66">
        <f>('Eurostat Collected Portables'!T33*3)/SUM('Eurostat POM Portables'!R33:T33)</f>
        <v>0.46024963735091862</v>
      </c>
      <c r="U33" s="66">
        <f>('Eurostat Collected Portables'!U33*3)/SUM('Eurostat POM Portables'!S33:U33)</f>
        <v>0.46139136152687071</v>
      </c>
      <c r="V33" s="66">
        <f>('Eurostat Collected Portables'!V33*3)/SUM('Eurostat POM Portables'!T33:V33)</f>
        <v>0.45737526877681317</v>
      </c>
      <c r="W33" s="66">
        <f>('Eurostat Collected Portables'!W33*3)/SUM('Eurostat POM Portables'!U33:W33)</f>
        <v>0.4513249652334369</v>
      </c>
      <c r="X33" s="54">
        <f t="shared" si="1"/>
        <v>0.45645169057021495</v>
      </c>
      <c r="Y33" s="54">
        <f t="shared" si="5"/>
        <v>0.461578415906993</v>
      </c>
      <c r="Z33" s="54">
        <f t="shared" si="5"/>
        <v>0.46670514124377105</v>
      </c>
      <c r="AA33" s="54">
        <f t="shared" si="5"/>
        <v>0.4718318665805491</v>
      </c>
      <c r="AB33" s="54">
        <f t="shared" si="5"/>
        <v>0.47695859191732715</v>
      </c>
      <c r="AC33" s="54">
        <f t="shared" si="5"/>
        <v>0.48208531725410519</v>
      </c>
      <c r="AD33" s="54">
        <f t="shared" si="5"/>
        <v>0.48721204259088324</v>
      </c>
      <c r="AE33" s="54">
        <f t="shared" si="5"/>
        <v>0.49233876792766129</v>
      </c>
      <c r="AF33" s="54">
        <f t="shared" si="5"/>
        <v>0.49746549326443934</v>
      </c>
      <c r="AG33" s="54">
        <f t="shared" si="5"/>
        <v>0.50259221860121739</v>
      </c>
      <c r="AH33" s="54">
        <f t="shared" si="5"/>
        <v>0.50771894393799544</v>
      </c>
      <c r="AI33" s="54">
        <f t="shared" si="5"/>
        <v>0.51284566927477349</v>
      </c>
      <c r="AJ33" s="54">
        <f t="shared" si="5"/>
        <v>0.51797239461155153</v>
      </c>
      <c r="AK33" s="54">
        <f t="shared" si="5"/>
        <v>0.52309911994832958</v>
      </c>
      <c r="AL33" s="54">
        <f t="shared" si="5"/>
        <v>0.52822584528510763</v>
      </c>
      <c r="AM33" s="54">
        <f t="shared" si="5"/>
        <v>0.53335257062188568</v>
      </c>
      <c r="AN33" s="54">
        <f t="shared" si="5"/>
        <v>0.53847929595866373</v>
      </c>
      <c r="AO33" s="54">
        <f t="shared" si="5"/>
        <v>0.54360602129544178</v>
      </c>
      <c r="AP33" s="54">
        <f t="shared" si="5"/>
        <v>0.54873274663221983</v>
      </c>
      <c r="AQ33" s="54">
        <f t="shared" si="5"/>
        <v>0.55385947196899787</v>
      </c>
      <c r="AR33" s="54">
        <f t="shared" si="5"/>
        <v>0.55898619730577592</v>
      </c>
      <c r="AS33" s="54">
        <f t="shared" si="5"/>
        <v>0.56411292264255397</v>
      </c>
      <c r="AT33" s="54">
        <f t="shared" si="5"/>
        <v>0.56923964797933202</v>
      </c>
      <c r="AU33" s="54">
        <f t="shared" si="5"/>
        <v>0.57436637331611007</v>
      </c>
      <c r="AV33" s="54">
        <f t="shared" si="5"/>
        <v>0.57949309865288812</v>
      </c>
      <c r="AW33" s="54">
        <f t="shared" si="5"/>
        <v>0.58461982398966617</v>
      </c>
      <c r="AX33" s="54">
        <f t="shared" si="5"/>
        <v>0.58974654932644421</v>
      </c>
      <c r="AY33" s="54">
        <f t="shared" si="5"/>
        <v>0.59487327466322226</v>
      </c>
      <c r="AZ33" s="54">
        <v>0.6</v>
      </c>
      <c r="BB33" s="2">
        <f t="shared" si="2"/>
        <v>5.1267253367780373E-3</v>
      </c>
    </row>
    <row r="34" spans="1:54" x14ac:dyDescent="0.35">
      <c r="A34" s="26" t="s">
        <v>31</v>
      </c>
      <c r="B34" s="31"/>
      <c r="D34" s="54"/>
      <c r="E34" s="54"/>
      <c r="F34" s="54"/>
      <c r="G34" s="54"/>
      <c r="H34" s="54"/>
      <c r="I34" s="54"/>
      <c r="J34" s="54"/>
      <c r="K34" s="54"/>
      <c r="L34" s="54"/>
      <c r="M34" s="66">
        <f>('Eurostat Collected Portables'!M34*3)/SUM('Eurostat POM Portables'!K34:M34)</f>
        <v>0.35224129213301286</v>
      </c>
      <c r="N34" s="66">
        <f>('Eurostat Collected Portables'!N34*3)/SUM('Eurostat POM Portables'!L34:N34)</f>
        <v>0.36892690635524578</v>
      </c>
      <c r="O34" s="66">
        <f>('Eurostat Collected Portables'!O34*3)/SUM('Eurostat POM Portables'!M34:O34)</f>
        <v>0.37301748061063417</v>
      </c>
      <c r="P34" s="66">
        <f>('Eurostat Collected Portables'!P34*3)/SUM('Eurostat POM Portables'!N34:P34)</f>
        <v>0.40043340078497475</v>
      </c>
      <c r="Q34" s="66">
        <f>('Eurostat Collected Portables'!Q34*3)/SUM('Eurostat POM Portables'!O34:Q34)</f>
        <v>0.43531444334387986</v>
      </c>
      <c r="R34" s="66">
        <f>('Eurostat Collected Portables'!R34*3)/SUM('Eurostat POM Portables'!P34:R34)</f>
        <v>0.47723464253279929</v>
      </c>
      <c r="S34" s="66">
        <f>('Eurostat Collected Portables'!S34*3)/SUM('Eurostat POM Portables'!Q34:S34)</f>
        <v>0.46646873539689204</v>
      </c>
      <c r="T34" s="66">
        <f>('Eurostat Collected Portables'!T34*3)/SUM('Eurostat POM Portables'!R34:T34)</f>
        <v>0.48457395438675754</v>
      </c>
      <c r="U34" s="66">
        <f>('Eurostat Collected Portables'!U34*3)/SUM('Eurostat POM Portables'!S34:U34)</f>
        <v>0.50827971220217039</v>
      </c>
      <c r="V34" s="66">
        <f>('Eurostat Collected Portables'!V34*3)/SUM('Eurostat POM Portables'!T34:V34)</f>
        <v>0.47336565161426014</v>
      </c>
      <c r="W34" s="66">
        <f>('Eurostat Collected Portables'!W34*3)/SUM('Eurostat POM Portables'!U34:W34)</f>
        <v>0.47997667422270623</v>
      </c>
      <c r="X34" s="54">
        <f t="shared" si="1"/>
        <v>0.48411540959433708</v>
      </c>
      <c r="Y34" s="54">
        <f t="shared" si="5"/>
        <v>0.48825414496596792</v>
      </c>
      <c r="Z34" s="54">
        <f t="shared" si="5"/>
        <v>0.49239288033759876</v>
      </c>
      <c r="AA34" s="54">
        <f t="shared" si="5"/>
        <v>0.4965316157092296</v>
      </c>
      <c r="AB34" s="54">
        <f t="shared" si="5"/>
        <v>0.50067035108086044</v>
      </c>
      <c r="AC34" s="54">
        <f t="shared" si="5"/>
        <v>0.50480908645249123</v>
      </c>
      <c r="AD34" s="54">
        <f t="shared" si="5"/>
        <v>0.50894782182412202</v>
      </c>
      <c r="AE34" s="54">
        <f t="shared" si="5"/>
        <v>0.5130865571957528</v>
      </c>
      <c r="AF34" s="54">
        <f t="shared" si="5"/>
        <v>0.51722529256738359</v>
      </c>
      <c r="AG34" s="54">
        <f t="shared" si="5"/>
        <v>0.52136402793901437</v>
      </c>
      <c r="AH34" s="54">
        <f t="shared" si="5"/>
        <v>0.52550276331064516</v>
      </c>
      <c r="AI34" s="54">
        <f t="shared" si="5"/>
        <v>0.52964149868227595</v>
      </c>
      <c r="AJ34" s="54">
        <f t="shared" si="5"/>
        <v>0.53378023405390673</v>
      </c>
      <c r="AK34" s="54">
        <f t="shared" si="5"/>
        <v>0.53791896942553752</v>
      </c>
      <c r="AL34" s="54">
        <f t="shared" si="5"/>
        <v>0.5420577047971683</v>
      </c>
      <c r="AM34" s="54">
        <f t="shared" si="5"/>
        <v>0.54619644016879909</v>
      </c>
      <c r="AN34" s="54">
        <f t="shared" si="5"/>
        <v>0.55033517554042988</v>
      </c>
      <c r="AO34" s="54">
        <f t="shared" si="5"/>
        <v>0.55447391091206066</v>
      </c>
      <c r="AP34" s="54">
        <f t="shared" si="5"/>
        <v>0.55861264628369145</v>
      </c>
      <c r="AQ34" s="54">
        <f t="shared" si="5"/>
        <v>0.56275138165532224</v>
      </c>
      <c r="AR34" s="54">
        <f t="shared" si="5"/>
        <v>0.56689011702695302</v>
      </c>
      <c r="AS34" s="54">
        <f t="shared" si="5"/>
        <v>0.57102885239858381</v>
      </c>
      <c r="AT34" s="54">
        <f t="shared" si="5"/>
        <v>0.57516758777021459</v>
      </c>
      <c r="AU34" s="54">
        <f t="shared" si="5"/>
        <v>0.57930632314184538</v>
      </c>
      <c r="AV34" s="54">
        <f t="shared" si="5"/>
        <v>0.58344505851347617</v>
      </c>
      <c r="AW34" s="54">
        <f t="shared" si="5"/>
        <v>0.58758379388510695</v>
      </c>
      <c r="AX34" s="54">
        <f t="shared" si="5"/>
        <v>0.59172252925673774</v>
      </c>
      <c r="AY34" s="54">
        <f t="shared" si="5"/>
        <v>0.59586126462836853</v>
      </c>
      <c r="AZ34" s="54">
        <v>0.6</v>
      </c>
      <c r="BB34" s="2">
        <f t="shared" si="2"/>
        <v>4.1387353716308192E-3</v>
      </c>
    </row>
    <row r="35" spans="1:54" x14ac:dyDescent="0.35">
      <c r="AZ35" s="54"/>
      <c r="BB35" s="2"/>
    </row>
    <row r="36" spans="1:54" x14ac:dyDescent="0.35">
      <c r="AZ36" s="54"/>
      <c r="BB36" s="2"/>
    </row>
    <row r="37" spans="1:54" x14ac:dyDescent="0.35">
      <c r="A37" s="14" t="s">
        <v>81</v>
      </c>
      <c r="AZ37" s="54"/>
      <c r="BB37" s="2"/>
    </row>
    <row r="38" spans="1:54" x14ac:dyDescent="0.35">
      <c r="A38" s="24" t="s">
        <v>89</v>
      </c>
      <c r="AZ38" s="54"/>
      <c r="BB38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F75E-0B10-4481-AE92-38CF9C4DD61A}">
  <sheetPr>
    <tabColor theme="7"/>
  </sheetPr>
  <dimension ref="A2:AZ60"/>
  <sheetViews>
    <sheetView topLeftCell="A37" workbookViewId="0">
      <selection activeCell="AM64" sqref="AM64"/>
    </sheetView>
  </sheetViews>
  <sheetFormatPr baseColWidth="10" defaultRowHeight="14.5" x14ac:dyDescent="0.35"/>
  <cols>
    <col min="1" max="1" width="31.81640625" style="69" customWidth="1"/>
    <col min="2" max="12" width="13.08984375" style="69" customWidth="1"/>
    <col min="13" max="24" width="12.26953125" style="69" bestFit="1" customWidth="1"/>
    <col min="25" max="52" width="7.90625" style="69" customWidth="1"/>
    <col min="53" max="16384" width="10.90625" style="69"/>
  </cols>
  <sheetData>
    <row r="2" spans="1:52" x14ac:dyDescent="0.35">
      <c r="A2" s="68" t="s">
        <v>95</v>
      </c>
      <c r="B2" s="68">
        <v>2000</v>
      </c>
      <c r="C2" s="68">
        <v>2001</v>
      </c>
      <c r="D2" s="68">
        <v>2002</v>
      </c>
      <c r="E2" s="68">
        <v>2003</v>
      </c>
      <c r="F2" s="68">
        <v>2004</v>
      </c>
      <c r="G2" s="68">
        <v>2005</v>
      </c>
      <c r="H2" s="68">
        <v>2006</v>
      </c>
      <c r="I2" s="68">
        <v>2007</v>
      </c>
      <c r="J2" s="68">
        <v>2008</v>
      </c>
      <c r="K2" s="68">
        <v>2009</v>
      </c>
      <c r="L2" s="68">
        <v>2010</v>
      </c>
      <c r="M2" s="68">
        <v>2011</v>
      </c>
      <c r="N2" s="68">
        <v>2012</v>
      </c>
      <c r="O2" s="68">
        <v>2013</v>
      </c>
      <c r="P2" s="68">
        <v>2014</v>
      </c>
      <c r="Q2" s="68">
        <v>2015</v>
      </c>
      <c r="R2" s="68">
        <v>2016</v>
      </c>
      <c r="S2" s="68">
        <v>2017</v>
      </c>
      <c r="T2" s="68">
        <v>2018</v>
      </c>
      <c r="U2" s="68">
        <v>2019</v>
      </c>
      <c r="V2" s="68">
        <v>2020</v>
      </c>
      <c r="W2" s="68">
        <v>2021</v>
      </c>
      <c r="X2" s="68">
        <v>2022</v>
      </c>
      <c r="Y2" s="68">
        <v>2023</v>
      </c>
      <c r="Z2" s="68">
        <v>2024</v>
      </c>
      <c r="AA2" s="68">
        <v>2025</v>
      </c>
      <c r="AB2" s="68">
        <v>2026</v>
      </c>
      <c r="AC2" s="68">
        <v>2027</v>
      </c>
      <c r="AD2" s="68">
        <v>2028</v>
      </c>
      <c r="AE2" s="68">
        <v>2029</v>
      </c>
      <c r="AF2" s="68">
        <v>2030</v>
      </c>
      <c r="AG2" s="68">
        <v>2031</v>
      </c>
      <c r="AH2" s="68">
        <v>2032</v>
      </c>
      <c r="AI2" s="68">
        <v>2033</v>
      </c>
      <c r="AJ2" s="68">
        <v>2034</v>
      </c>
      <c r="AK2" s="68">
        <v>2035</v>
      </c>
      <c r="AL2" s="68">
        <v>2036</v>
      </c>
      <c r="AM2" s="68">
        <v>2037</v>
      </c>
      <c r="AN2" s="68">
        <v>2038</v>
      </c>
      <c r="AO2" s="68">
        <v>2039</v>
      </c>
      <c r="AP2" s="68">
        <v>2040</v>
      </c>
      <c r="AQ2" s="68">
        <v>2041</v>
      </c>
      <c r="AR2" s="68">
        <v>2042</v>
      </c>
      <c r="AS2" s="68">
        <v>2043</v>
      </c>
      <c r="AT2" s="68">
        <v>2044</v>
      </c>
      <c r="AU2" s="68">
        <v>2045</v>
      </c>
      <c r="AV2" s="68">
        <v>2046</v>
      </c>
      <c r="AW2" s="68">
        <v>2047</v>
      </c>
      <c r="AX2" s="68">
        <v>2048</v>
      </c>
      <c r="AY2" s="68">
        <v>2049</v>
      </c>
      <c r="AZ2" s="68">
        <v>2050</v>
      </c>
    </row>
    <row r="3" spans="1:52" x14ac:dyDescent="0.35">
      <c r="A3" s="68" t="s">
        <v>10</v>
      </c>
      <c r="B3" s="70">
        <v>82211508</v>
      </c>
      <c r="C3" s="70">
        <v>82349925</v>
      </c>
      <c r="D3" s="70">
        <v>82488495</v>
      </c>
      <c r="E3" s="70">
        <v>82534176</v>
      </c>
      <c r="F3" s="70">
        <v>82516260</v>
      </c>
      <c r="G3" s="70">
        <v>82469422</v>
      </c>
      <c r="H3" s="70">
        <v>82376451</v>
      </c>
      <c r="I3" s="70">
        <v>82266372</v>
      </c>
      <c r="J3" s="70">
        <v>82110097</v>
      </c>
      <c r="K3" s="70">
        <v>81902307</v>
      </c>
      <c r="L3" s="70">
        <v>81776930</v>
      </c>
      <c r="M3" s="69">
        <v>80274983</v>
      </c>
      <c r="N3" s="69">
        <v>80425823</v>
      </c>
      <c r="O3" s="69">
        <v>80645605</v>
      </c>
      <c r="P3" s="69">
        <v>80982500</v>
      </c>
      <c r="Q3" s="69">
        <v>81686611</v>
      </c>
      <c r="R3" s="69">
        <v>82348669</v>
      </c>
      <c r="S3" s="69">
        <v>82657002</v>
      </c>
      <c r="T3" s="69">
        <v>82905782</v>
      </c>
      <c r="U3" s="69">
        <v>83092962</v>
      </c>
      <c r="V3" s="69">
        <v>83160871</v>
      </c>
      <c r="W3" s="69">
        <v>83196078</v>
      </c>
      <c r="X3" s="69">
        <v>83797985</v>
      </c>
    </row>
    <row r="4" spans="1:52" x14ac:dyDescent="0.35">
      <c r="A4" s="68" t="s">
        <v>28</v>
      </c>
      <c r="B4" s="70">
        <v>8872109</v>
      </c>
      <c r="C4" s="70">
        <v>8895960</v>
      </c>
      <c r="D4" s="70">
        <v>8924958</v>
      </c>
      <c r="E4" s="70">
        <v>8958229</v>
      </c>
      <c r="F4" s="70">
        <v>8993531</v>
      </c>
      <c r="G4" s="70">
        <v>9029572</v>
      </c>
      <c r="H4" s="70">
        <v>9080505</v>
      </c>
      <c r="I4" s="70">
        <v>9148092</v>
      </c>
      <c r="J4" s="70">
        <v>9219637</v>
      </c>
      <c r="K4" s="70">
        <v>9298515</v>
      </c>
      <c r="L4" s="70">
        <v>9378126</v>
      </c>
      <c r="M4" s="69">
        <v>9449213</v>
      </c>
      <c r="N4" s="69">
        <v>9519374</v>
      </c>
      <c r="O4" s="69">
        <v>9600379</v>
      </c>
      <c r="P4" s="69">
        <v>9696110</v>
      </c>
      <c r="Q4" s="69">
        <v>9799186</v>
      </c>
      <c r="R4" s="69">
        <v>9923085</v>
      </c>
      <c r="S4" s="69">
        <v>10057698</v>
      </c>
      <c r="T4" s="69">
        <v>10175214</v>
      </c>
      <c r="U4" s="69">
        <v>10278887</v>
      </c>
      <c r="V4" s="69">
        <v>10353442</v>
      </c>
      <c r="W4" s="69">
        <v>10415811</v>
      </c>
      <c r="X4" s="69">
        <v>10486941</v>
      </c>
    </row>
    <row r="6" spans="1:52" x14ac:dyDescent="0.35">
      <c r="A6" s="71" t="s">
        <v>96</v>
      </c>
      <c r="B6" s="72">
        <v>2000</v>
      </c>
      <c r="C6" s="72">
        <v>2001</v>
      </c>
      <c r="D6" s="72">
        <v>2002</v>
      </c>
      <c r="E6" s="72">
        <v>2003</v>
      </c>
      <c r="F6" s="72">
        <v>2004</v>
      </c>
      <c r="G6" s="72">
        <v>2005</v>
      </c>
      <c r="H6" s="72">
        <v>2006</v>
      </c>
      <c r="I6" s="72">
        <v>2007</v>
      </c>
      <c r="J6" s="72">
        <v>2008</v>
      </c>
      <c r="K6" s="72">
        <v>2009</v>
      </c>
      <c r="L6" s="72">
        <v>2010</v>
      </c>
      <c r="M6" s="72">
        <v>2011</v>
      </c>
      <c r="N6" s="72">
        <v>2012</v>
      </c>
      <c r="O6" s="72">
        <v>2013</v>
      </c>
      <c r="P6" s="72">
        <v>2014</v>
      </c>
      <c r="Q6" s="72">
        <v>2015</v>
      </c>
      <c r="R6" s="72">
        <v>2016</v>
      </c>
      <c r="S6" s="72">
        <v>2017</v>
      </c>
      <c r="T6" s="72">
        <v>2018</v>
      </c>
      <c r="U6" s="72">
        <v>2019</v>
      </c>
      <c r="V6" s="72">
        <v>2020</v>
      </c>
      <c r="W6" s="72">
        <v>2021</v>
      </c>
      <c r="X6" s="72">
        <v>2022</v>
      </c>
      <c r="Y6" s="72">
        <v>2023</v>
      </c>
      <c r="Z6" s="72">
        <v>2024</v>
      </c>
      <c r="AA6" s="72">
        <v>2025</v>
      </c>
      <c r="AB6" s="72">
        <v>2026</v>
      </c>
      <c r="AC6" s="72">
        <v>2027</v>
      </c>
      <c r="AD6" s="72">
        <v>2028</v>
      </c>
      <c r="AE6" s="72">
        <v>2029</v>
      </c>
      <c r="AF6" s="72">
        <v>2030</v>
      </c>
      <c r="AG6" s="72">
        <v>2031</v>
      </c>
      <c r="AH6" s="72">
        <v>2032</v>
      </c>
      <c r="AI6" s="72">
        <v>2033</v>
      </c>
      <c r="AJ6" s="72">
        <v>2034</v>
      </c>
      <c r="AK6" s="72">
        <v>2035</v>
      </c>
      <c r="AL6" s="72">
        <v>2036</v>
      </c>
      <c r="AM6" s="72">
        <v>2037</v>
      </c>
      <c r="AN6" s="72">
        <v>2038</v>
      </c>
      <c r="AO6" s="72">
        <v>2039</v>
      </c>
      <c r="AP6" s="72">
        <v>2040</v>
      </c>
      <c r="AQ6" s="72">
        <v>2041</v>
      </c>
      <c r="AR6" s="72">
        <v>2042</v>
      </c>
      <c r="AS6" s="72">
        <v>2043</v>
      </c>
      <c r="AT6" s="72">
        <v>2044</v>
      </c>
      <c r="AU6" s="72">
        <v>2045</v>
      </c>
      <c r="AV6" s="72">
        <v>2046</v>
      </c>
      <c r="AW6" s="72">
        <v>2047</v>
      </c>
      <c r="AX6" s="72">
        <v>2048</v>
      </c>
      <c r="AY6" s="72">
        <v>2049</v>
      </c>
      <c r="AZ6" s="72">
        <v>2050</v>
      </c>
    </row>
    <row r="7" spans="1:52" x14ac:dyDescent="0.35">
      <c r="A7" s="72" t="s">
        <v>10</v>
      </c>
      <c r="B7" s="73">
        <f t="shared" ref="B7:J8" si="0">C7-(C7*0.02)</f>
        <v>65.019385680883431</v>
      </c>
      <c r="C7" s="73">
        <f t="shared" si="0"/>
        <v>66.346311919268814</v>
      </c>
      <c r="D7" s="73">
        <f t="shared" si="0"/>
        <v>67.700318284968176</v>
      </c>
      <c r="E7" s="73">
        <f t="shared" si="0"/>
        <v>69.081957433640994</v>
      </c>
      <c r="F7" s="73">
        <f t="shared" si="0"/>
        <v>70.49179329963367</v>
      </c>
      <c r="G7" s="73">
        <f t="shared" si="0"/>
        <v>71.930401326156812</v>
      </c>
      <c r="H7" s="73">
        <f t="shared" si="0"/>
        <v>73.398368700160006</v>
      </c>
      <c r="I7" s="73">
        <f t="shared" si="0"/>
        <v>74.896294592000004</v>
      </c>
      <c r="J7" s="73">
        <f t="shared" si="0"/>
        <v>76.424790400000006</v>
      </c>
      <c r="K7" s="73">
        <f>L7-(L7*0.02)</f>
        <v>77.984480000000005</v>
      </c>
      <c r="L7" s="73">
        <f>81.2-(81.2*0.02)</f>
        <v>79.576000000000008</v>
      </c>
      <c r="M7" s="74">
        <v>0.81239815317762087</v>
      </c>
      <c r="N7" s="74">
        <v>0.81414099648542482</v>
      </c>
      <c r="O7" s="74">
        <v>0.80390039813752612</v>
      </c>
      <c r="P7" s="74">
        <v>0.8069521209296131</v>
      </c>
      <c r="Q7" s="74">
        <v>0.80577223088923555</v>
      </c>
      <c r="R7" s="74">
        <v>0.79798296166374338</v>
      </c>
      <c r="S7" s="74">
        <v>0.79418871635408417</v>
      </c>
      <c r="T7" s="74">
        <v>0.80984539236367947</v>
      </c>
      <c r="U7" s="74">
        <v>0.7982812333034679</v>
      </c>
      <c r="V7" s="74">
        <v>0.75583568656928679</v>
      </c>
      <c r="W7" s="74">
        <v>0.79810813797676428</v>
      </c>
      <c r="X7" s="74">
        <v>0.81532687913622803</v>
      </c>
    </row>
    <row r="8" spans="1:52" x14ac:dyDescent="0.35">
      <c r="A8" s="72" t="s">
        <v>28</v>
      </c>
      <c r="B8" s="73">
        <f t="shared" si="0"/>
        <v>57.564576805402844</v>
      </c>
      <c r="C8" s="73">
        <f t="shared" si="0"/>
        <v>58.739364087145759</v>
      </c>
      <c r="D8" s="73">
        <f t="shared" si="0"/>
        <v>59.93812661953649</v>
      </c>
      <c r="E8" s="73">
        <f t="shared" si="0"/>
        <v>61.161353693404578</v>
      </c>
      <c r="F8" s="73">
        <f t="shared" si="0"/>
        <v>62.409544585106715</v>
      </c>
      <c r="G8" s="73">
        <f t="shared" si="0"/>
        <v>63.683208760312972</v>
      </c>
      <c r="H8" s="73">
        <f t="shared" si="0"/>
        <v>64.982866081952011</v>
      </c>
      <c r="I8" s="73">
        <f t="shared" si="0"/>
        <v>66.309047022400009</v>
      </c>
      <c r="J8" s="73">
        <f t="shared" si="0"/>
        <v>67.66229288000001</v>
      </c>
      <c r="K8" s="73">
        <f>L8-(L8*0.02)</f>
        <v>69.04315600000001</v>
      </c>
      <c r="L8" s="75">
        <f>71.89-(71.89*0.02)</f>
        <v>70.452200000000005</v>
      </c>
      <c r="M8" s="76">
        <v>0.71889553126135342</v>
      </c>
      <c r="N8" s="76">
        <v>0.68859649122807021</v>
      </c>
      <c r="O8" s="76">
        <v>0.66981575094610657</v>
      </c>
      <c r="P8" s="76">
        <v>0.63148241280359729</v>
      </c>
      <c r="Q8" s="76">
        <v>0.70141562853907136</v>
      </c>
      <c r="R8" s="76">
        <v>0.69386431886431887</v>
      </c>
      <c r="S8" s="76">
        <v>0.67562667280628552</v>
      </c>
      <c r="T8" s="76">
        <v>0.73669371260298877</v>
      </c>
      <c r="U8" s="77"/>
      <c r="V8" s="77"/>
      <c r="W8" s="77"/>
      <c r="X8" s="77"/>
    </row>
    <row r="9" spans="1:52" x14ac:dyDescent="0.35">
      <c r="A9" s="78" t="s">
        <v>32</v>
      </c>
      <c r="B9" s="79">
        <f t="shared" ref="B9:T9" si="1">SUMPRODUCT(B7:B8,B3:B4)/SUM(B3:B4)</f>
        <v>64.293241077760882</v>
      </c>
      <c r="C9" s="79">
        <f t="shared" si="1"/>
        <v>65.604677338852909</v>
      </c>
      <c r="D9" s="79">
        <f t="shared" si="1"/>
        <v>66.942473215906759</v>
      </c>
      <c r="E9" s="79">
        <f t="shared" si="1"/>
        <v>68.306433146971571</v>
      </c>
      <c r="F9" s="79">
        <f t="shared" si="1"/>
        <v>69.697474423265476</v>
      </c>
      <c r="G9" s="79">
        <f t="shared" si="1"/>
        <v>71.116527688691988</v>
      </c>
      <c r="H9" s="79">
        <f t="shared" si="1"/>
        <v>72.562817016128989</v>
      </c>
      <c r="I9" s="79">
        <f t="shared" si="1"/>
        <v>74.036945563891322</v>
      </c>
      <c r="J9" s="79">
        <f t="shared" si="1"/>
        <v>75.540225835870203</v>
      </c>
      <c r="K9" s="79">
        <f t="shared" si="1"/>
        <v>77.072854057266056</v>
      </c>
      <c r="L9" s="79">
        <f t="shared" si="1"/>
        <v>78.637334063589407</v>
      </c>
      <c r="M9" s="80">
        <f t="shared" si="1"/>
        <v>0.80255101907184101</v>
      </c>
      <c r="N9" s="80">
        <f t="shared" si="1"/>
        <v>0.80085396016719057</v>
      </c>
      <c r="O9" s="80">
        <f t="shared" si="1"/>
        <v>0.78963645669588911</v>
      </c>
      <c r="P9" s="80">
        <f t="shared" si="1"/>
        <v>0.78818944259061186</v>
      </c>
      <c r="Q9" s="80">
        <f t="shared" si="1"/>
        <v>0.7945944329108533</v>
      </c>
      <c r="R9" s="80">
        <f t="shared" si="1"/>
        <v>0.78678583905801813</v>
      </c>
      <c r="S9" s="80">
        <f t="shared" si="1"/>
        <v>0.78132709647863186</v>
      </c>
      <c r="T9" s="80">
        <f t="shared" si="1"/>
        <v>0.8018487654687062</v>
      </c>
      <c r="U9" s="80">
        <f>SUMPRODUCT(U7,U3)/SUM(U3)</f>
        <v>0.7982812333034679</v>
      </c>
      <c r="V9" s="80">
        <f t="shared" ref="V9:X9" si="2">SUMPRODUCT(V7,V3)/SUM(V3)</f>
        <v>0.75583568656928679</v>
      </c>
      <c r="W9" s="80">
        <f t="shared" si="2"/>
        <v>0.79810813797676428</v>
      </c>
      <c r="X9" s="81">
        <f t="shared" si="2"/>
        <v>0.81532687913622803</v>
      </c>
      <c r="Y9" s="82">
        <f>(81.533/100)-((81.533/100)*0.005)</f>
        <v>0.81125334999999998</v>
      </c>
      <c r="Z9" s="82">
        <f>Y9-(Y9*0.005)</f>
        <v>0.80719708324999995</v>
      </c>
      <c r="AA9" s="82">
        <f t="shared" ref="AA9:AK9" si="3">Z9-(Z9*0.005)</f>
        <v>0.80316109783374989</v>
      </c>
      <c r="AB9" s="82">
        <f t="shared" si="3"/>
        <v>0.79914529234458109</v>
      </c>
      <c r="AC9" s="82">
        <f t="shared" si="3"/>
        <v>0.79514956588285823</v>
      </c>
      <c r="AD9" s="82">
        <f t="shared" si="3"/>
        <v>0.79117381805344389</v>
      </c>
      <c r="AE9" s="82">
        <f t="shared" si="3"/>
        <v>0.78721794896317665</v>
      </c>
      <c r="AF9" s="82">
        <f t="shared" si="3"/>
        <v>0.7832818592183608</v>
      </c>
      <c r="AG9" s="82">
        <f t="shared" si="3"/>
        <v>0.77936544992226897</v>
      </c>
      <c r="AH9" s="82">
        <f t="shared" si="3"/>
        <v>0.77546862267265759</v>
      </c>
      <c r="AI9" s="82">
        <f t="shared" si="3"/>
        <v>0.7715912795592943</v>
      </c>
      <c r="AJ9" s="82">
        <f t="shared" si="3"/>
        <v>0.76773332316149778</v>
      </c>
      <c r="AK9" s="82">
        <f t="shared" si="3"/>
        <v>0.76389465654569033</v>
      </c>
      <c r="AL9" s="82">
        <f t="shared" ref="AL9:AZ9" si="4">AK9-(AK9*0.01)</f>
        <v>0.75625570998023339</v>
      </c>
      <c r="AM9" s="82">
        <f t="shared" si="4"/>
        <v>0.74869315288043103</v>
      </c>
      <c r="AN9" s="82">
        <f t="shared" si="4"/>
        <v>0.74120622135162673</v>
      </c>
      <c r="AO9" s="82">
        <f t="shared" si="4"/>
        <v>0.73379415913811041</v>
      </c>
      <c r="AP9" s="82">
        <f t="shared" si="4"/>
        <v>0.72645621754672929</v>
      </c>
      <c r="AQ9" s="82">
        <f t="shared" si="4"/>
        <v>0.71919165537126195</v>
      </c>
      <c r="AR9" s="82">
        <f t="shared" si="4"/>
        <v>0.7119997388175493</v>
      </c>
      <c r="AS9" s="82">
        <f t="shared" si="4"/>
        <v>0.70487974142937382</v>
      </c>
      <c r="AT9" s="82">
        <f t="shared" si="4"/>
        <v>0.69783094401508006</v>
      </c>
      <c r="AU9" s="82">
        <f t="shared" si="4"/>
        <v>0.69085263457492929</v>
      </c>
      <c r="AV9" s="82">
        <f t="shared" si="4"/>
        <v>0.68394410822917995</v>
      </c>
      <c r="AW9" s="82">
        <f t="shared" si="4"/>
        <v>0.67710466714688811</v>
      </c>
      <c r="AX9" s="82">
        <f t="shared" si="4"/>
        <v>0.67033362047541922</v>
      </c>
      <c r="AY9" s="82">
        <f t="shared" si="4"/>
        <v>0.66363028427066506</v>
      </c>
      <c r="AZ9" s="82">
        <f t="shared" si="4"/>
        <v>0.6569939814279584</v>
      </c>
    </row>
    <row r="10" spans="1:52" x14ac:dyDescent="0.35">
      <c r="A10" s="83" t="s">
        <v>97</v>
      </c>
      <c r="B10" s="84">
        <f>SUM(B7:B8)/2</f>
        <v>61.291981243143141</v>
      </c>
      <c r="C10" s="84">
        <f t="shared" ref="C10:T10" si="5">SUM(C7:C8)/2</f>
        <v>62.542838003207287</v>
      </c>
      <c r="D10" s="84">
        <f t="shared" si="5"/>
        <v>63.819222452252333</v>
      </c>
      <c r="E10" s="84">
        <f t="shared" si="5"/>
        <v>65.121655563522779</v>
      </c>
      <c r="F10" s="84">
        <f t="shared" si="5"/>
        <v>66.450668942370186</v>
      </c>
      <c r="G10" s="84">
        <f t="shared" si="5"/>
        <v>67.806805043234888</v>
      </c>
      <c r="H10" s="84">
        <f t="shared" si="5"/>
        <v>69.190617391056009</v>
      </c>
      <c r="I10" s="84">
        <f t="shared" si="5"/>
        <v>70.602670807200013</v>
      </c>
      <c r="J10" s="84">
        <f t="shared" si="5"/>
        <v>72.043541640000001</v>
      </c>
      <c r="K10" s="84">
        <f t="shared" si="5"/>
        <v>73.513818000000015</v>
      </c>
      <c r="L10" s="84">
        <f t="shared" si="5"/>
        <v>75.014100000000013</v>
      </c>
      <c r="M10" s="39">
        <f>SUM(M7:M8)/2</f>
        <v>0.76564684221948709</v>
      </c>
      <c r="N10" s="39">
        <f t="shared" si="5"/>
        <v>0.75136874385674757</v>
      </c>
      <c r="O10" s="39">
        <f t="shared" si="5"/>
        <v>0.73685807454181629</v>
      </c>
      <c r="P10" s="39">
        <f t="shared" si="5"/>
        <v>0.71921726686660525</v>
      </c>
      <c r="Q10" s="39">
        <f t="shared" si="5"/>
        <v>0.7535939297141534</v>
      </c>
      <c r="R10" s="39">
        <f t="shared" si="5"/>
        <v>0.74592364026403113</v>
      </c>
      <c r="S10" s="39">
        <f t="shared" si="5"/>
        <v>0.7349076945801849</v>
      </c>
      <c r="T10" s="39">
        <f t="shared" si="5"/>
        <v>0.77326955248333418</v>
      </c>
      <c r="U10" s="39">
        <f>SUM(U7:U8)/1</f>
        <v>0.7982812333034679</v>
      </c>
      <c r="V10" s="39">
        <f t="shared" ref="V10:X10" si="6">SUM(V7:V8)/1</f>
        <v>0.75583568656928679</v>
      </c>
      <c r="W10" s="39">
        <f t="shared" si="6"/>
        <v>0.79810813797676428</v>
      </c>
      <c r="X10" s="39">
        <f t="shared" si="6"/>
        <v>0.81532687913622803</v>
      </c>
    </row>
    <row r="12" spans="1:52" x14ac:dyDescent="0.35">
      <c r="A12" s="85" t="s">
        <v>98</v>
      </c>
      <c r="B12" s="86">
        <v>2000</v>
      </c>
      <c r="C12" s="86">
        <v>2001</v>
      </c>
      <c r="D12" s="86">
        <v>2002</v>
      </c>
      <c r="E12" s="86">
        <v>2003</v>
      </c>
      <c r="F12" s="86">
        <v>2004</v>
      </c>
      <c r="G12" s="86">
        <v>2005</v>
      </c>
      <c r="H12" s="86">
        <v>2006</v>
      </c>
      <c r="I12" s="86">
        <v>2007</v>
      </c>
      <c r="J12" s="86">
        <v>2008</v>
      </c>
      <c r="K12" s="86">
        <v>2009</v>
      </c>
      <c r="L12" s="86">
        <v>2010</v>
      </c>
      <c r="M12" s="86">
        <v>2011</v>
      </c>
      <c r="N12" s="86">
        <v>2012</v>
      </c>
      <c r="O12" s="86">
        <v>2013</v>
      </c>
      <c r="P12" s="86">
        <v>2014</v>
      </c>
      <c r="Q12" s="86">
        <v>2015</v>
      </c>
      <c r="R12" s="86">
        <v>2016</v>
      </c>
      <c r="S12" s="86">
        <v>2017</v>
      </c>
      <c r="T12" s="86">
        <v>2018</v>
      </c>
      <c r="U12" s="86">
        <v>2019</v>
      </c>
      <c r="V12" s="86">
        <v>2020</v>
      </c>
      <c r="W12" s="86">
        <v>2021</v>
      </c>
      <c r="X12" s="86">
        <v>2022</v>
      </c>
      <c r="Y12" s="86">
        <v>2023</v>
      </c>
      <c r="Z12" s="86">
        <v>2024</v>
      </c>
      <c r="AA12" s="86">
        <v>2025</v>
      </c>
      <c r="AB12" s="86">
        <v>2026</v>
      </c>
      <c r="AC12" s="86">
        <v>2027</v>
      </c>
      <c r="AD12" s="86">
        <v>2028</v>
      </c>
      <c r="AE12" s="86">
        <v>2029</v>
      </c>
      <c r="AF12" s="86">
        <v>2030</v>
      </c>
      <c r="AG12" s="86">
        <v>2031</v>
      </c>
      <c r="AH12" s="86">
        <v>2032</v>
      </c>
      <c r="AI12" s="86">
        <v>2033</v>
      </c>
      <c r="AJ12" s="86">
        <v>2034</v>
      </c>
      <c r="AK12" s="86">
        <v>2035</v>
      </c>
      <c r="AL12" s="86">
        <v>2036</v>
      </c>
      <c r="AM12" s="86">
        <v>2037</v>
      </c>
      <c r="AN12" s="86">
        <v>2038</v>
      </c>
      <c r="AO12" s="86">
        <v>2039</v>
      </c>
      <c r="AP12" s="86">
        <v>2040</v>
      </c>
      <c r="AQ12" s="86">
        <v>2041</v>
      </c>
      <c r="AR12" s="86">
        <v>2042</v>
      </c>
      <c r="AS12" s="86">
        <v>2043</v>
      </c>
      <c r="AT12" s="86">
        <v>2044</v>
      </c>
      <c r="AU12" s="86">
        <v>2045</v>
      </c>
      <c r="AV12" s="86">
        <v>2046</v>
      </c>
      <c r="AW12" s="86">
        <v>2047</v>
      </c>
      <c r="AX12" s="86">
        <v>2048</v>
      </c>
      <c r="AY12" s="86">
        <v>2049</v>
      </c>
      <c r="AZ12" s="86">
        <v>2050</v>
      </c>
    </row>
    <row r="13" spans="1:52" x14ac:dyDescent="0.35">
      <c r="A13" s="86" t="s">
        <v>10</v>
      </c>
      <c r="B13" s="73">
        <f t="shared" ref="B13:J14" si="7">C13+(C13*0.1)</f>
        <v>7.703415106497002</v>
      </c>
      <c r="C13" s="73">
        <f t="shared" si="7"/>
        <v>7.0031046422700021</v>
      </c>
      <c r="D13" s="73">
        <f t="shared" si="7"/>
        <v>6.3664587657000018</v>
      </c>
      <c r="E13" s="73">
        <f t="shared" si="7"/>
        <v>5.7876897870000015</v>
      </c>
      <c r="F13" s="73">
        <f t="shared" si="7"/>
        <v>5.2615361700000012</v>
      </c>
      <c r="G13" s="73">
        <f t="shared" si="7"/>
        <v>4.7832147000000012</v>
      </c>
      <c r="H13" s="73">
        <f t="shared" si="7"/>
        <v>4.348377000000001</v>
      </c>
      <c r="I13" s="73">
        <f t="shared" si="7"/>
        <v>3.9530700000000007</v>
      </c>
      <c r="J13" s="73">
        <f t="shared" si="7"/>
        <v>3.5937000000000006</v>
      </c>
      <c r="K13" s="73">
        <f>L13+(L13*0.1)</f>
        <v>3.2670000000000003</v>
      </c>
      <c r="L13" s="75">
        <f>2.7+(2.7*0.1)</f>
        <v>2.97</v>
      </c>
      <c r="M13" s="76">
        <v>2.7023356871265617E-2</v>
      </c>
      <c r="N13" s="76">
        <v>3.1010957204879057E-2</v>
      </c>
      <c r="O13" s="76">
        <v>3.8126729199001279E-2</v>
      </c>
      <c r="P13" s="76">
        <v>3.5026969434640738E-2</v>
      </c>
      <c r="Q13" s="76">
        <v>3.3996359854394177E-2</v>
      </c>
      <c r="R13" s="76">
        <v>3.4014031571034831E-2</v>
      </c>
      <c r="S13" s="76">
        <v>4.9543067624387711E-2</v>
      </c>
      <c r="T13" s="76">
        <v>2.7387377514771286E-2</v>
      </c>
      <c r="U13" s="76">
        <v>2.4556745604445283E-2</v>
      </c>
      <c r="V13" s="76">
        <v>1.9815844616376532E-2</v>
      </c>
      <c r="W13" s="76">
        <v>1.9980496922170531E-2</v>
      </c>
      <c r="X13" s="76">
        <v>1.9140003671498675E-2</v>
      </c>
    </row>
    <row r="14" spans="1:52" x14ac:dyDescent="0.35">
      <c r="A14" s="86" t="s">
        <v>28</v>
      </c>
      <c r="B14" s="73">
        <f t="shared" si="7"/>
        <v>20.257128613380999</v>
      </c>
      <c r="C14" s="73">
        <f t="shared" si="7"/>
        <v>18.415571466709999</v>
      </c>
      <c r="D14" s="73">
        <f t="shared" si="7"/>
        <v>16.741428606099998</v>
      </c>
      <c r="E14" s="73">
        <f t="shared" si="7"/>
        <v>15.219480550999997</v>
      </c>
      <c r="F14" s="73">
        <f t="shared" si="7"/>
        <v>13.835891409999997</v>
      </c>
      <c r="G14" s="73">
        <f t="shared" si="7"/>
        <v>12.578083099999997</v>
      </c>
      <c r="H14" s="73">
        <f t="shared" si="7"/>
        <v>11.434620999999998</v>
      </c>
      <c r="I14" s="73">
        <f t="shared" si="7"/>
        <v>10.395109999999999</v>
      </c>
      <c r="J14" s="73">
        <f t="shared" si="7"/>
        <v>9.4500999999999991</v>
      </c>
      <c r="K14" s="73">
        <f>L14+(L14*0.1)</f>
        <v>8.5909999999999993</v>
      </c>
      <c r="L14" s="75">
        <f>7.1+(7.1*0.1)</f>
        <v>7.81</v>
      </c>
      <c r="M14" s="76">
        <v>7.1010998447666535E-2</v>
      </c>
      <c r="N14" s="76">
        <v>6.7381830372108611E-2</v>
      </c>
      <c r="O14" s="76">
        <v>7.5881881715974694E-2</v>
      </c>
      <c r="P14" s="76">
        <v>7.3957932727864398E-2</v>
      </c>
      <c r="Q14" s="76">
        <v>7.0413363533408796E-2</v>
      </c>
      <c r="R14" s="76">
        <v>6.6987441987441984E-2</v>
      </c>
      <c r="S14" s="76">
        <v>5.9343252654905469E-2</v>
      </c>
      <c r="T14" s="76">
        <v>4.2323235487610043E-2</v>
      </c>
      <c r="U14" s="76"/>
      <c r="V14" s="76"/>
      <c r="W14" s="76"/>
      <c r="X14" s="76"/>
    </row>
    <row r="15" spans="1:52" x14ac:dyDescent="0.35">
      <c r="A15" s="78" t="s">
        <v>32</v>
      </c>
      <c r="B15" s="79">
        <f t="shared" ref="B15:T15" si="8">SUMPRODUCT(B13:B14,B3:B4)/SUM(B3:B4)</f>
        <v>8.9262246331306123</v>
      </c>
      <c r="C15" s="79">
        <f t="shared" si="8"/>
        <v>8.1157558963133507</v>
      </c>
      <c r="D15" s="79">
        <f t="shared" si="8"/>
        <v>7.3793968731450486</v>
      </c>
      <c r="E15" s="79">
        <f t="shared" si="8"/>
        <v>6.7111778245480025</v>
      </c>
      <c r="F15" s="79">
        <f t="shared" si="8"/>
        <v>6.1042190000367604</v>
      </c>
      <c r="G15" s="79">
        <f t="shared" si="8"/>
        <v>5.552450757921302</v>
      </c>
      <c r="H15" s="79">
        <f t="shared" si="8"/>
        <v>5.0519503189416453</v>
      </c>
      <c r="I15" s="79">
        <f t="shared" si="8"/>
        <v>4.5977423199917249</v>
      </c>
      <c r="J15" s="79">
        <f t="shared" si="8"/>
        <v>4.184897190246935</v>
      </c>
      <c r="K15" s="79">
        <f t="shared" si="8"/>
        <v>3.8098163121161348</v>
      </c>
      <c r="L15" s="79">
        <f t="shared" si="8"/>
        <v>3.4679441824927411</v>
      </c>
      <c r="M15" s="80">
        <f t="shared" si="8"/>
        <v>3.1655870876997901E-2</v>
      </c>
      <c r="N15" s="80">
        <f t="shared" si="8"/>
        <v>3.4860278301873507E-2</v>
      </c>
      <c r="O15" s="80">
        <f t="shared" si="8"/>
        <v>4.214312701860673E-2</v>
      </c>
      <c r="P15" s="80">
        <f t="shared" si="8"/>
        <v>3.918979132281325E-2</v>
      </c>
      <c r="Q15" s="80">
        <f t="shared" si="8"/>
        <v>3.7897041756016006E-2</v>
      </c>
      <c r="R15" s="80">
        <f t="shared" si="8"/>
        <v>3.7560056655828317E-2</v>
      </c>
      <c r="S15" s="80">
        <f t="shared" si="8"/>
        <v>5.0606192472778193E-2</v>
      </c>
      <c r="T15" s="80">
        <f t="shared" si="8"/>
        <v>2.9020101246554738E-2</v>
      </c>
      <c r="U15" s="80">
        <f>SUMPRODUCT(U13,U3)/SUM(U3)</f>
        <v>2.4556745604445283E-2</v>
      </c>
      <c r="V15" s="80">
        <f t="shared" ref="V15:X15" si="9">SUMPRODUCT(V13,V3)/SUM(V3)</f>
        <v>1.9815844616376532E-2</v>
      </c>
      <c r="W15" s="80">
        <f t="shared" si="9"/>
        <v>1.9980496922170531E-2</v>
      </c>
      <c r="X15" s="81">
        <f t="shared" si="9"/>
        <v>1.9140003671498675E-2</v>
      </c>
      <c r="Y15" s="82">
        <f>(1.914/100)-((1.914/100)*0.01)</f>
        <v>1.8948599999999999E-2</v>
      </c>
      <c r="Z15" s="82">
        <f>Y15-(Y15*0.01)</f>
        <v>1.8759114E-2</v>
      </c>
      <c r="AA15" s="82">
        <f t="shared" ref="AA15:AZ15" si="10">Z15-(Z15*0.005)</f>
        <v>1.8665318430000001E-2</v>
      </c>
      <c r="AB15" s="82">
        <f t="shared" si="10"/>
        <v>1.8571991837850001E-2</v>
      </c>
      <c r="AC15" s="82">
        <f t="shared" si="10"/>
        <v>1.8479131878660751E-2</v>
      </c>
      <c r="AD15" s="82">
        <f t="shared" si="10"/>
        <v>1.8386736219267449E-2</v>
      </c>
      <c r="AE15" s="82">
        <f t="shared" si="10"/>
        <v>1.8294802538171111E-2</v>
      </c>
      <c r="AF15" s="82">
        <f t="shared" si="10"/>
        <v>1.8203328525480254E-2</v>
      </c>
      <c r="AG15" s="82">
        <f t="shared" si="10"/>
        <v>1.8112311882852852E-2</v>
      </c>
      <c r="AH15" s="82">
        <f t="shared" si="10"/>
        <v>1.8021750323438588E-2</v>
      </c>
      <c r="AI15" s="82">
        <f t="shared" si="10"/>
        <v>1.7931641571821394E-2</v>
      </c>
      <c r="AJ15" s="82">
        <f t="shared" si="10"/>
        <v>1.7841983363962286E-2</v>
      </c>
      <c r="AK15" s="82">
        <f t="shared" si="10"/>
        <v>1.7752773447142475E-2</v>
      </c>
      <c r="AL15" s="82">
        <f t="shared" si="10"/>
        <v>1.7664009579906763E-2</v>
      </c>
      <c r="AM15" s="82">
        <f t="shared" si="10"/>
        <v>1.7575689532007228E-2</v>
      </c>
      <c r="AN15" s="82">
        <f t="shared" si="10"/>
        <v>1.7487811084347191E-2</v>
      </c>
      <c r="AO15" s="82">
        <f t="shared" si="10"/>
        <v>1.7400372028925457E-2</v>
      </c>
      <c r="AP15" s="82">
        <f t="shared" si="10"/>
        <v>1.7313370168780828E-2</v>
      </c>
      <c r="AQ15" s="82">
        <f t="shared" si="10"/>
        <v>1.7226803317936922E-2</v>
      </c>
      <c r="AR15" s="82">
        <f t="shared" si="10"/>
        <v>1.7140669301347236E-2</v>
      </c>
      <c r="AS15" s="82">
        <f t="shared" si="10"/>
        <v>1.70549659548405E-2</v>
      </c>
      <c r="AT15" s="82">
        <f t="shared" si="10"/>
        <v>1.6969691125066296E-2</v>
      </c>
      <c r="AU15" s="82">
        <f t="shared" si="10"/>
        <v>1.6884842669440965E-2</v>
      </c>
      <c r="AV15" s="82">
        <f t="shared" si="10"/>
        <v>1.6800418456093761E-2</v>
      </c>
      <c r="AW15" s="82">
        <f t="shared" si="10"/>
        <v>1.6716416363813293E-2</v>
      </c>
      <c r="AX15" s="82">
        <f t="shared" si="10"/>
        <v>1.6632834281994226E-2</v>
      </c>
      <c r="AY15" s="82">
        <f t="shared" si="10"/>
        <v>1.6549670110584256E-2</v>
      </c>
      <c r="AZ15" s="82">
        <f t="shared" si="10"/>
        <v>1.6466921760031335E-2</v>
      </c>
    </row>
    <row r="16" spans="1:52" x14ac:dyDescent="0.35">
      <c r="A16" s="83" t="s">
        <v>97</v>
      </c>
      <c r="B16" s="84">
        <f>SUM(B13:B14)/2</f>
        <v>13.980271859939</v>
      </c>
      <c r="C16" s="84">
        <f t="shared" ref="C16:T16" si="11">SUM(C13:C14)/2</f>
        <v>12.709338054490001</v>
      </c>
      <c r="D16" s="84">
        <f t="shared" si="11"/>
        <v>11.5539436859</v>
      </c>
      <c r="E16" s="84">
        <f t="shared" si="11"/>
        <v>10.503585168999999</v>
      </c>
      <c r="F16" s="84">
        <f t="shared" si="11"/>
        <v>9.548713789999999</v>
      </c>
      <c r="G16" s="84">
        <f t="shared" si="11"/>
        <v>8.6806488999999996</v>
      </c>
      <c r="H16" s="84">
        <f t="shared" si="11"/>
        <v>7.8914989999999996</v>
      </c>
      <c r="I16" s="84">
        <f t="shared" si="11"/>
        <v>7.1740899999999996</v>
      </c>
      <c r="J16" s="84">
        <f t="shared" si="11"/>
        <v>6.5218999999999996</v>
      </c>
      <c r="K16" s="84">
        <f t="shared" si="11"/>
        <v>5.9290000000000003</v>
      </c>
      <c r="L16" s="84">
        <f t="shared" si="11"/>
        <v>5.39</v>
      </c>
      <c r="M16" s="39">
        <f t="shared" si="11"/>
        <v>4.9017177659466074E-2</v>
      </c>
      <c r="N16" s="39">
        <f t="shared" si="11"/>
        <v>4.9196393788493831E-2</v>
      </c>
      <c r="O16" s="39">
        <f t="shared" si="11"/>
        <v>5.7004305457487983E-2</v>
      </c>
      <c r="P16" s="39">
        <f t="shared" si="11"/>
        <v>5.4492451081252571E-2</v>
      </c>
      <c r="Q16" s="39">
        <f t="shared" si="11"/>
        <v>5.2204861693901483E-2</v>
      </c>
      <c r="R16" s="39">
        <f t="shared" si="11"/>
        <v>5.0500736779238407E-2</v>
      </c>
      <c r="S16" s="39">
        <f t="shared" si="11"/>
        <v>5.444316013964659E-2</v>
      </c>
      <c r="T16" s="39">
        <f t="shared" si="11"/>
        <v>3.4855306501190661E-2</v>
      </c>
      <c r="U16" s="39">
        <f>SUM(U13:U14)/1</f>
        <v>2.4556745604445283E-2</v>
      </c>
      <c r="V16" s="39">
        <f t="shared" ref="V16:X16" si="12">SUM(V13:V14)/1</f>
        <v>1.9815844616376532E-2</v>
      </c>
      <c r="W16" s="39">
        <f t="shared" si="12"/>
        <v>1.9980496922170531E-2</v>
      </c>
      <c r="X16" s="39">
        <f t="shared" si="12"/>
        <v>1.9140003671498675E-2</v>
      </c>
    </row>
    <row r="18" spans="1:52" x14ac:dyDescent="0.35">
      <c r="A18" s="87" t="s">
        <v>99</v>
      </c>
      <c r="B18" s="88">
        <v>2000</v>
      </c>
      <c r="C18" s="88">
        <v>2001</v>
      </c>
      <c r="D18" s="88">
        <v>2002</v>
      </c>
      <c r="E18" s="88">
        <v>2003</v>
      </c>
      <c r="F18" s="88">
        <v>2004</v>
      </c>
      <c r="G18" s="88">
        <v>2005</v>
      </c>
      <c r="H18" s="88">
        <v>2006</v>
      </c>
      <c r="I18" s="88">
        <v>2007</v>
      </c>
      <c r="J18" s="88">
        <v>2008</v>
      </c>
      <c r="K18" s="88">
        <v>2009</v>
      </c>
      <c r="L18" s="88">
        <v>2010</v>
      </c>
      <c r="M18" s="88">
        <v>2011</v>
      </c>
      <c r="N18" s="88">
        <v>2012</v>
      </c>
      <c r="O18" s="88">
        <v>2013</v>
      </c>
      <c r="P18" s="88">
        <v>2014</v>
      </c>
      <c r="Q18" s="88">
        <v>2015</v>
      </c>
      <c r="R18" s="88">
        <v>2016</v>
      </c>
      <c r="S18" s="88">
        <v>2017</v>
      </c>
      <c r="T18" s="88">
        <v>2018</v>
      </c>
      <c r="U18" s="88">
        <v>2019</v>
      </c>
      <c r="V18" s="88">
        <v>2020</v>
      </c>
      <c r="W18" s="88">
        <v>2021</v>
      </c>
      <c r="X18" s="88">
        <v>2022</v>
      </c>
      <c r="Y18" s="88">
        <v>2023</v>
      </c>
      <c r="Z18" s="88">
        <v>2024</v>
      </c>
      <c r="AA18" s="88">
        <v>2025</v>
      </c>
      <c r="AB18" s="88">
        <v>2026</v>
      </c>
      <c r="AC18" s="88">
        <v>2027</v>
      </c>
      <c r="AD18" s="88">
        <v>2028</v>
      </c>
      <c r="AE18" s="88">
        <v>2029</v>
      </c>
      <c r="AF18" s="88">
        <v>2030</v>
      </c>
      <c r="AG18" s="88">
        <v>2031</v>
      </c>
      <c r="AH18" s="88">
        <v>2032</v>
      </c>
      <c r="AI18" s="88">
        <v>2033</v>
      </c>
      <c r="AJ18" s="88">
        <v>2034</v>
      </c>
      <c r="AK18" s="88">
        <v>2035</v>
      </c>
      <c r="AL18" s="88">
        <v>2036</v>
      </c>
      <c r="AM18" s="88">
        <v>2037</v>
      </c>
      <c r="AN18" s="88">
        <v>2038</v>
      </c>
      <c r="AO18" s="88">
        <v>2039</v>
      </c>
      <c r="AP18" s="88">
        <v>2040</v>
      </c>
      <c r="AQ18" s="88">
        <v>2041</v>
      </c>
      <c r="AR18" s="88">
        <v>2042</v>
      </c>
      <c r="AS18" s="88">
        <v>2043</v>
      </c>
      <c r="AT18" s="88">
        <v>2044</v>
      </c>
      <c r="AU18" s="88">
        <v>2045</v>
      </c>
      <c r="AV18" s="88">
        <v>2046</v>
      </c>
      <c r="AW18" s="88">
        <v>2047</v>
      </c>
      <c r="AX18" s="88">
        <v>2048</v>
      </c>
      <c r="AY18" s="88">
        <v>2049</v>
      </c>
      <c r="AZ18" s="88">
        <v>2050</v>
      </c>
    </row>
    <row r="19" spans="1:52" x14ac:dyDescent="0.35">
      <c r="A19" s="88" t="s">
        <v>10</v>
      </c>
      <c r="B19" s="73">
        <f t="shared" ref="B19:J20" si="13">C19-(C19*0.02)</f>
        <v>5.1487025853211872</v>
      </c>
      <c r="C19" s="73">
        <f t="shared" si="13"/>
        <v>5.2537781482869255</v>
      </c>
      <c r="D19" s="73">
        <f t="shared" si="13"/>
        <v>5.3609981104968627</v>
      </c>
      <c r="E19" s="73">
        <f t="shared" si="13"/>
        <v>5.4704062352008807</v>
      </c>
      <c r="F19" s="73">
        <f t="shared" si="13"/>
        <v>5.582047178776409</v>
      </c>
      <c r="G19" s="73">
        <f t="shared" si="13"/>
        <v>5.6959665089555198</v>
      </c>
      <c r="H19" s="73">
        <f t="shared" si="13"/>
        <v>5.8122107234240001</v>
      </c>
      <c r="I19" s="73">
        <f t="shared" si="13"/>
        <v>5.9308272687999999</v>
      </c>
      <c r="J19" s="73">
        <f t="shared" si="13"/>
        <v>6.0518645600000003</v>
      </c>
      <c r="K19" s="73">
        <f>L19-(L19*0.02)</f>
        <v>6.1753720000000003</v>
      </c>
      <c r="L19" s="75">
        <f>6.43-(6.43*0.02)</f>
        <v>6.3014000000000001</v>
      </c>
      <c r="M19" s="76">
        <v>6.4299293862031509E-2</v>
      </c>
      <c r="N19" s="76">
        <v>5.9196471642202465E-2</v>
      </c>
      <c r="O19" s="76">
        <v>5.3309939941966394E-2</v>
      </c>
      <c r="P19" s="76">
        <v>4.7013384830525404E-2</v>
      </c>
      <c r="Q19" s="76">
        <v>4.4591783671346856E-2</v>
      </c>
      <c r="R19" s="76">
        <v>4.0967176146329241E-2</v>
      </c>
      <c r="S19" s="76">
        <v>2.907045224100608E-2</v>
      </c>
      <c r="T19" s="76">
        <v>3.1958028547163092E-2</v>
      </c>
      <c r="U19" s="76">
        <v>5.3519320713152553E-2</v>
      </c>
      <c r="V19" s="76">
        <v>5.92863475177305E-2</v>
      </c>
      <c r="W19" s="76">
        <v>5.9778965117932681E-2</v>
      </c>
      <c r="X19" s="76">
        <v>4.763090977050774E-2</v>
      </c>
    </row>
    <row r="20" spans="1:52" x14ac:dyDescent="0.35">
      <c r="A20" s="88" t="s">
        <v>28</v>
      </c>
      <c r="B20" s="73">
        <f>C20-(C20*0.02)</f>
        <v>9.1923959066076595</v>
      </c>
      <c r="C20" s="73">
        <f t="shared" si="13"/>
        <v>9.3799958230690397</v>
      </c>
      <c r="D20" s="73">
        <f t="shared" si="13"/>
        <v>9.5714243092541214</v>
      </c>
      <c r="E20" s="73">
        <f t="shared" si="13"/>
        <v>9.7667594992388995</v>
      </c>
      <c r="F20" s="73">
        <f t="shared" si="13"/>
        <v>9.9660811216723459</v>
      </c>
      <c r="G20" s="73">
        <f t="shared" si="13"/>
        <v>10.169470532318721</v>
      </c>
      <c r="H20" s="73">
        <f t="shared" si="13"/>
        <v>10.377010747264</v>
      </c>
      <c r="I20" s="73">
        <f t="shared" si="13"/>
        <v>10.588786476800001</v>
      </c>
      <c r="J20" s="73">
        <f t="shared" si="13"/>
        <v>10.80488416</v>
      </c>
      <c r="K20" s="73">
        <f>L20-(L20*0.02)</f>
        <v>11.025392</v>
      </c>
      <c r="L20" s="75">
        <f>11.48-(11.48*0.02)</f>
        <v>11.250400000000001</v>
      </c>
      <c r="M20" s="76">
        <v>0.11477359051425173</v>
      </c>
      <c r="N20" s="76">
        <v>0.12230416806347079</v>
      </c>
      <c r="O20" s="76">
        <v>0.12402972293583051</v>
      </c>
      <c r="P20" s="76">
        <v>0.10939857409105702</v>
      </c>
      <c r="Q20" s="76">
        <v>0.10478482446206117</v>
      </c>
      <c r="R20" s="76">
        <v>0.10077122577122577</v>
      </c>
      <c r="S20" s="76">
        <v>0.13802630442915939</v>
      </c>
      <c r="T20" s="76">
        <v>0.11368691457034555</v>
      </c>
      <c r="U20" s="76"/>
      <c r="V20" s="76"/>
      <c r="W20" s="76"/>
      <c r="X20" s="76"/>
    </row>
    <row r="21" spans="1:52" x14ac:dyDescent="0.35">
      <c r="A21" s="78" t="s">
        <v>32</v>
      </c>
      <c r="B21" s="79">
        <f t="shared" ref="B21:T21" si="14">SUMPRODUCT(B19:B20,B3:B4)/SUM(B3:B4)</f>
        <v>5.5425833850815396</v>
      </c>
      <c r="C21" s="79">
        <f t="shared" si="14"/>
        <v>5.6560611376639773</v>
      </c>
      <c r="D21" s="79">
        <f t="shared" si="14"/>
        <v>5.772074114660148</v>
      </c>
      <c r="E21" s="79">
        <f t="shared" si="14"/>
        <v>5.8910719331257528</v>
      </c>
      <c r="F21" s="79">
        <f t="shared" si="14"/>
        <v>6.0129075789546453</v>
      </c>
      <c r="G21" s="79">
        <f t="shared" si="14"/>
        <v>6.1374339492559864</v>
      </c>
      <c r="H21" s="79">
        <f t="shared" si="14"/>
        <v>6.2654369322700418</v>
      </c>
      <c r="I21" s="79">
        <f t="shared" si="14"/>
        <v>6.3969618114368316</v>
      </c>
      <c r="J21" s="79">
        <f t="shared" si="14"/>
        <v>6.5316767027342078</v>
      </c>
      <c r="K21" s="79">
        <f t="shared" si="14"/>
        <v>6.6698629786043382</v>
      </c>
      <c r="L21" s="79">
        <f t="shared" si="14"/>
        <v>6.8105582147017714</v>
      </c>
      <c r="M21" s="89">
        <f t="shared" si="14"/>
        <v>6.9614943389746595E-2</v>
      </c>
      <c r="N21" s="80">
        <f t="shared" si="14"/>
        <v>6.5875491584896181E-2</v>
      </c>
      <c r="O21" s="80">
        <f t="shared" si="14"/>
        <v>6.0833119250852316E-2</v>
      </c>
      <c r="P21" s="80">
        <f t="shared" si="14"/>
        <v>5.3684127329124948E-2</v>
      </c>
      <c r="Q21" s="80">
        <f t="shared" si="14"/>
        <v>5.1039153885696048E-2</v>
      </c>
      <c r="R21" s="80">
        <f t="shared" si="14"/>
        <v>4.7398620678878893E-2</v>
      </c>
      <c r="S21" s="80">
        <f t="shared" si="14"/>
        <v>4.0889991716850635E-2</v>
      </c>
      <c r="T21" s="80">
        <f t="shared" si="14"/>
        <v>4.0892278727162133E-2</v>
      </c>
      <c r="U21" s="80">
        <f>SUMPRODUCT(U19,U3)/SUM(U3)</f>
        <v>5.351932071315256E-2</v>
      </c>
      <c r="V21" s="80">
        <f t="shared" ref="V21:X21" si="15">SUMPRODUCT(V19,V3)/SUM(V3)</f>
        <v>5.92863475177305E-2</v>
      </c>
      <c r="W21" s="80">
        <f t="shared" si="15"/>
        <v>5.9778965117932688E-2</v>
      </c>
      <c r="X21" s="81">
        <f t="shared" si="15"/>
        <v>4.763090977050774E-2</v>
      </c>
      <c r="Y21" s="82">
        <f>(4.763/100)-((4.763/100)*0.02)</f>
        <v>4.6677400000000001E-2</v>
      </c>
      <c r="Z21" s="82">
        <f>Y21-(Y21*0.03)</f>
        <v>4.5277077999999998E-2</v>
      </c>
      <c r="AA21" s="82">
        <f>Z21-(Z21*0.04)</f>
        <v>4.3465994879999997E-2</v>
      </c>
      <c r="AB21" s="82">
        <f>AA21-(AA21*0.05)</f>
        <v>4.1292695136E-2</v>
      </c>
      <c r="AC21" s="82">
        <f>AB21-(AB21*0.06)</f>
        <v>3.8815133427840001E-2</v>
      </c>
      <c r="AD21" s="82">
        <f>AC21-(AC21*0.07)</f>
        <v>3.6098074087891202E-2</v>
      </c>
      <c r="AE21" s="82">
        <f>AD21-(AD21*0.08)</f>
        <v>3.3210228160859903E-2</v>
      </c>
      <c r="AF21" s="82">
        <f>AE21-(AE21*0.09)</f>
        <v>3.0221307626382511E-2</v>
      </c>
      <c r="AG21" s="82">
        <f>AF21-(AF21*0.1)</f>
        <v>2.7199176863744259E-2</v>
      </c>
      <c r="AH21" s="82">
        <f t="shared" ref="AH21:AZ21" si="16">AG21-(AG21*0.1)</f>
        <v>2.4479259177369834E-2</v>
      </c>
      <c r="AI21" s="82">
        <f t="shared" si="16"/>
        <v>2.203133325963285E-2</v>
      </c>
      <c r="AJ21" s="82">
        <f t="shared" si="16"/>
        <v>1.9828199933669566E-2</v>
      </c>
      <c r="AK21" s="82">
        <f t="shared" si="16"/>
        <v>1.7845379940302608E-2</v>
      </c>
      <c r="AL21" s="82">
        <f t="shared" si="16"/>
        <v>1.6060841946272348E-2</v>
      </c>
      <c r="AM21" s="82">
        <f t="shared" si="16"/>
        <v>1.4454757751645113E-2</v>
      </c>
      <c r="AN21" s="82">
        <f t="shared" si="16"/>
        <v>1.3009281976480602E-2</v>
      </c>
      <c r="AO21" s="82">
        <f t="shared" si="16"/>
        <v>1.1708353778832541E-2</v>
      </c>
      <c r="AP21" s="82">
        <f t="shared" si="16"/>
        <v>1.0537518400949287E-2</v>
      </c>
      <c r="AQ21" s="82">
        <f t="shared" si="16"/>
        <v>9.4837665608543589E-3</v>
      </c>
      <c r="AR21" s="82">
        <f t="shared" si="16"/>
        <v>8.5353899047689238E-3</v>
      </c>
      <c r="AS21" s="82">
        <f t="shared" si="16"/>
        <v>7.6818509142920315E-3</v>
      </c>
      <c r="AT21" s="82">
        <f t="shared" si="16"/>
        <v>6.9136658228628285E-3</v>
      </c>
      <c r="AU21" s="82">
        <v>0</v>
      </c>
      <c r="AV21" s="82">
        <v>0</v>
      </c>
      <c r="AW21" s="82">
        <v>0</v>
      </c>
      <c r="AX21" s="82">
        <v>0</v>
      </c>
      <c r="AY21" s="82">
        <v>0</v>
      </c>
      <c r="AZ21" s="82">
        <f t="shared" si="16"/>
        <v>0</v>
      </c>
    </row>
    <row r="22" spans="1:52" x14ac:dyDescent="0.35">
      <c r="A22" s="83" t="s">
        <v>97</v>
      </c>
      <c r="B22" s="84">
        <f>SUM(B19:B20)/2</f>
        <v>7.1705492459644233</v>
      </c>
      <c r="C22" s="84">
        <f t="shared" ref="C22:T22" si="17">SUM(C19:C20)/2</f>
        <v>7.3168869856779821</v>
      </c>
      <c r="D22" s="84">
        <f t="shared" si="17"/>
        <v>7.4662112098754925</v>
      </c>
      <c r="E22" s="84">
        <f t="shared" si="17"/>
        <v>7.6185828672198905</v>
      </c>
      <c r="F22" s="84">
        <f t="shared" si="17"/>
        <v>7.7740641502243779</v>
      </c>
      <c r="G22" s="84">
        <f t="shared" si="17"/>
        <v>7.9327185206371205</v>
      </c>
      <c r="H22" s="84">
        <f t="shared" si="17"/>
        <v>8.0946107353440002</v>
      </c>
      <c r="I22" s="84">
        <f t="shared" si="17"/>
        <v>8.2598068728000005</v>
      </c>
      <c r="J22" s="84">
        <f t="shared" si="17"/>
        <v>8.4283743599999994</v>
      </c>
      <c r="K22" s="84">
        <f t="shared" si="17"/>
        <v>8.6003819999999997</v>
      </c>
      <c r="L22" s="84">
        <f t="shared" si="17"/>
        <v>8.7759</v>
      </c>
      <c r="M22" s="39">
        <f>SUM(M19:M20)/2</f>
        <v>8.9536442188141621E-2</v>
      </c>
      <c r="N22" s="39">
        <f t="shared" si="17"/>
        <v>9.0750319852836631E-2</v>
      </c>
      <c r="O22" s="39">
        <f t="shared" si="17"/>
        <v>8.866983143889845E-2</v>
      </c>
      <c r="P22" s="39">
        <f t="shared" si="17"/>
        <v>7.820597946079122E-2</v>
      </c>
      <c r="Q22" s="39">
        <f t="shared" si="17"/>
        <v>7.4688304066704014E-2</v>
      </c>
      <c r="R22" s="39">
        <f t="shared" si="17"/>
        <v>7.0869200958777509E-2</v>
      </c>
      <c r="S22" s="39">
        <f t="shared" si="17"/>
        <v>8.3548378335082732E-2</v>
      </c>
      <c r="T22" s="39">
        <f t="shared" si="17"/>
        <v>7.282247155875432E-2</v>
      </c>
      <c r="U22" s="90">
        <f>SUM(U19:U20)/1</f>
        <v>5.3519320713152553E-2</v>
      </c>
      <c r="V22" s="90">
        <f t="shared" ref="V22:X22" si="18">SUM(V19:V20)/1</f>
        <v>5.92863475177305E-2</v>
      </c>
      <c r="W22" s="90">
        <f t="shared" si="18"/>
        <v>5.9778965117932681E-2</v>
      </c>
      <c r="X22" s="90">
        <f t="shared" si="18"/>
        <v>4.763090977050774E-2</v>
      </c>
    </row>
    <row r="24" spans="1:52" x14ac:dyDescent="0.35">
      <c r="A24" s="91" t="s">
        <v>100</v>
      </c>
      <c r="B24" s="92">
        <v>2000</v>
      </c>
      <c r="C24" s="92">
        <v>2001</v>
      </c>
      <c r="D24" s="92">
        <v>2002</v>
      </c>
      <c r="E24" s="92">
        <v>2003</v>
      </c>
      <c r="F24" s="92">
        <v>2004</v>
      </c>
      <c r="G24" s="92">
        <v>2005</v>
      </c>
      <c r="H24" s="92">
        <v>2006</v>
      </c>
      <c r="I24" s="92">
        <v>2007</v>
      </c>
      <c r="J24" s="92">
        <v>2008</v>
      </c>
      <c r="K24" s="92">
        <v>2009</v>
      </c>
      <c r="L24" s="92">
        <v>2010</v>
      </c>
      <c r="M24" s="92">
        <v>2011</v>
      </c>
      <c r="N24" s="92">
        <v>2012</v>
      </c>
      <c r="O24" s="92">
        <v>2013</v>
      </c>
      <c r="P24" s="92">
        <v>2014</v>
      </c>
      <c r="Q24" s="92">
        <v>2015</v>
      </c>
      <c r="R24" s="92">
        <v>2016</v>
      </c>
      <c r="S24" s="92">
        <v>2017</v>
      </c>
      <c r="T24" s="92">
        <v>2018</v>
      </c>
      <c r="U24" s="92">
        <v>2019</v>
      </c>
      <c r="V24" s="92">
        <v>2020</v>
      </c>
      <c r="W24" s="92">
        <v>2021</v>
      </c>
      <c r="X24" s="92">
        <v>2022</v>
      </c>
      <c r="Y24" s="92">
        <v>2023</v>
      </c>
      <c r="Z24" s="92">
        <v>2024</v>
      </c>
      <c r="AA24" s="92">
        <v>2025</v>
      </c>
      <c r="AB24" s="92">
        <v>2026</v>
      </c>
      <c r="AC24" s="92">
        <v>2027</v>
      </c>
      <c r="AD24" s="92">
        <v>2028</v>
      </c>
      <c r="AE24" s="92">
        <v>2029</v>
      </c>
      <c r="AF24" s="92">
        <v>2030</v>
      </c>
      <c r="AG24" s="92">
        <v>2031</v>
      </c>
      <c r="AH24" s="92">
        <v>2032</v>
      </c>
      <c r="AI24" s="92">
        <v>2033</v>
      </c>
      <c r="AJ24" s="92">
        <v>2034</v>
      </c>
      <c r="AK24" s="92">
        <v>2035</v>
      </c>
      <c r="AL24" s="92">
        <v>2036</v>
      </c>
      <c r="AM24" s="92">
        <v>2037</v>
      </c>
      <c r="AN24" s="92">
        <v>2038</v>
      </c>
      <c r="AO24" s="92">
        <v>2039</v>
      </c>
      <c r="AP24" s="92">
        <v>2040</v>
      </c>
      <c r="AQ24" s="92">
        <v>2041</v>
      </c>
      <c r="AR24" s="92">
        <v>2042</v>
      </c>
      <c r="AS24" s="92">
        <v>2043</v>
      </c>
      <c r="AT24" s="92">
        <v>2044</v>
      </c>
      <c r="AU24" s="92">
        <v>2045</v>
      </c>
      <c r="AV24" s="92">
        <v>2046</v>
      </c>
      <c r="AW24" s="92">
        <v>2047</v>
      </c>
      <c r="AX24" s="92">
        <v>2048</v>
      </c>
      <c r="AY24" s="92">
        <v>2049</v>
      </c>
      <c r="AZ24" s="92">
        <v>2050</v>
      </c>
    </row>
    <row r="25" spans="1:52" x14ac:dyDescent="0.35">
      <c r="A25" s="92" t="s">
        <v>10</v>
      </c>
      <c r="B25" s="73">
        <f t="shared" ref="B25:J26" si="19">C25+(C25*0.1)</f>
        <v>17.432543074332099</v>
      </c>
      <c r="C25" s="73">
        <f t="shared" si="19"/>
        <v>15.847766431210999</v>
      </c>
      <c r="D25" s="73">
        <f t="shared" si="19"/>
        <v>14.407060392009999</v>
      </c>
      <c r="E25" s="73">
        <f t="shared" si="19"/>
        <v>13.097327629099999</v>
      </c>
      <c r="F25" s="73">
        <f t="shared" si="19"/>
        <v>11.906661480999999</v>
      </c>
      <c r="G25" s="73">
        <f t="shared" si="19"/>
        <v>10.824237709999998</v>
      </c>
      <c r="H25" s="73">
        <f t="shared" si="19"/>
        <v>9.8402160999999992</v>
      </c>
      <c r="I25" s="73">
        <f t="shared" si="19"/>
        <v>8.9456509999999998</v>
      </c>
      <c r="J25" s="73">
        <f t="shared" si="19"/>
        <v>8.1324100000000001</v>
      </c>
      <c r="K25" s="73">
        <f>L25+(L25*0.1)</f>
        <v>7.3931000000000004</v>
      </c>
      <c r="L25" s="75">
        <f>6.11+(6.11*0.1)</f>
        <v>6.7210000000000001</v>
      </c>
      <c r="M25" s="76">
        <v>6.1108093427485063E-2</v>
      </c>
      <c r="N25" s="76">
        <v>5.7197987733443596E-2</v>
      </c>
      <c r="O25" s="76">
        <v>6.0867804845131247E-2</v>
      </c>
      <c r="P25" s="76">
        <v>5.700206432709596E-2</v>
      </c>
      <c r="Q25" s="76">
        <v>5.7657306292251694E-2</v>
      </c>
      <c r="R25" s="76">
        <v>5.4998747181157603E-2</v>
      </c>
      <c r="S25" s="76">
        <v>6.2939533960553407E-2</v>
      </c>
      <c r="T25" s="76">
        <v>5.6071523154616769E-2</v>
      </c>
      <c r="U25" s="76">
        <v>3.8846922084220387E-2</v>
      </c>
      <c r="V25" s="76">
        <v>4.9062430164760383E-2</v>
      </c>
      <c r="W25" s="76">
        <v>4.0372155990551051E-2</v>
      </c>
      <c r="X25" s="76">
        <v>3.0557260819024653E-2</v>
      </c>
    </row>
    <row r="26" spans="1:52" x14ac:dyDescent="0.35">
      <c r="A26" s="92" t="s">
        <v>28</v>
      </c>
      <c r="B26" s="73">
        <f t="shared" si="19"/>
        <v>15.492423714177303</v>
      </c>
      <c r="C26" s="73">
        <f t="shared" si="19"/>
        <v>14.084021558343002</v>
      </c>
      <c r="D26" s="73">
        <f t="shared" si="19"/>
        <v>12.803655962130001</v>
      </c>
      <c r="E26" s="73">
        <f t="shared" si="19"/>
        <v>11.639687238300001</v>
      </c>
      <c r="F26" s="73">
        <f t="shared" si="19"/>
        <v>10.581533853</v>
      </c>
      <c r="G26" s="73">
        <f t="shared" si="19"/>
        <v>9.6195762299999998</v>
      </c>
      <c r="H26" s="73">
        <f t="shared" si="19"/>
        <v>8.745069299999999</v>
      </c>
      <c r="I26" s="73">
        <f t="shared" si="19"/>
        <v>7.9500629999999992</v>
      </c>
      <c r="J26" s="73">
        <f t="shared" si="19"/>
        <v>7.2273299999999994</v>
      </c>
      <c r="K26" s="73">
        <f>L26+(L26*0.1)</f>
        <v>6.5702999999999996</v>
      </c>
      <c r="L26" s="75">
        <f>5.43+(5.43*0.1)</f>
        <v>5.9729999999999999</v>
      </c>
      <c r="M26" s="76">
        <v>5.4298642533936646E-2</v>
      </c>
      <c r="N26" s="76">
        <v>5.0033523298692588E-2</v>
      </c>
      <c r="O26" s="76">
        <v>5.4059280130383136E-2</v>
      </c>
      <c r="P26" s="76">
        <v>5.1504304351684765E-2</v>
      </c>
      <c r="Q26" s="76">
        <v>5.1189127972819937E-2</v>
      </c>
      <c r="R26" s="76">
        <v>5.8080808080808073E-2</v>
      </c>
      <c r="S26" s="76">
        <v>5.2608858318703787E-2</v>
      </c>
      <c r="T26" s="76">
        <v>3.5901130916951227E-2</v>
      </c>
      <c r="U26" s="76"/>
      <c r="V26" s="76"/>
      <c r="W26" s="76"/>
      <c r="X26" s="76"/>
    </row>
    <row r="27" spans="1:52" x14ac:dyDescent="0.35">
      <c r="A27" s="78" t="s">
        <v>32</v>
      </c>
      <c r="B27" s="79">
        <f t="shared" ref="B27:T27" si="20">SUMPRODUCT(B25:B26,B3:B4)/SUM(B3:B4)</f>
        <v>17.243563420215995</v>
      </c>
      <c r="C27" s="79">
        <f t="shared" si="20"/>
        <v>15.675811237404298</v>
      </c>
      <c r="D27" s="79">
        <f t="shared" si="20"/>
        <v>14.250515411768491</v>
      </c>
      <c r="E27" s="79">
        <f t="shared" si="20"/>
        <v>12.954606750569852</v>
      </c>
      <c r="F27" s="79">
        <f t="shared" si="20"/>
        <v>11.77642867999432</v>
      </c>
      <c r="G27" s="79">
        <f t="shared" si="20"/>
        <v>10.705355773775798</v>
      </c>
      <c r="H27" s="79">
        <f t="shared" si="20"/>
        <v>9.7314820416181096</v>
      </c>
      <c r="I27" s="79">
        <f t="shared" si="20"/>
        <v>8.8460198232740073</v>
      </c>
      <c r="J27" s="79">
        <f t="shared" si="20"/>
        <v>8.041043161507293</v>
      </c>
      <c r="K27" s="79">
        <f t="shared" si="20"/>
        <v>7.3092102063093254</v>
      </c>
      <c r="L27" s="79">
        <f t="shared" si="20"/>
        <v>6.6440449899783944</v>
      </c>
      <c r="M27" s="80">
        <f t="shared" si="20"/>
        <v>6.0390962990270781E-2</v>
      </c>
      <c r="N27" s="80">
        <f t="shared" si="20"/>
        <v>5.643973472228956E-2</v>
      </c>
      <c r="O27" s="80">
        <f t="shared" si="20"/>
        <v>6.0143513139336906E-2</v>
      </c>
      <c r="P27" s="80">
        <f t="shared" si="20"/>
        <v>5.6414198175693944E-2</v>
      </c>
      <c r="Q27" s="80">
        <f t="shared" si="20"/>
        <v>5.6964489652819895E-2</v>
      </c>
      <c r="R27" s="80">
        <f t="shared" si="20"/>
        <v>5.5330198041866369E-2</v>
      </c>
      <c r="S27" s="80">
        <f t="shared" si="20"/>
        <v>6.1818861448625105E-2</v>
      </c>
      <c r="T27" s="80">
        <f t="shared" si="20"/>
        <v>5.386658265868368E-2</v>
      </c>
      <c r="U27" s="80">
        <f>SUMPRODUCT(U25,U3)/SUM(U3)</f>
        <v>3.8846922084220387E-2</v>
      </c>
      <c r="V27" s="80">
        <f t="shared" ref="V27:X27" si="21">SUMPRODUCT(V25,V3)/SUM(V3)</f>
        <v>4.9062430164760383E-2</v>
      </c>
      <c r="W27" s="80">
        <f t="shared" si="21"/>
        <v>4.0372155990551051E-2</v>
      </c>
      <c r="X27" s="80">
        <f t="shared" si="21"/>
        <v>3.0557260819024653E-2</v>
      </c>
      <c r="Y27" s="82">
        <f>(3.06/100)-((3.06/100)*0.1)</f>
        <v>2.7540000000000002E-2</v>
      </c>
      <c r="Z27" s="82">
        <f>Y27-(Y27*0.1)</f>
        <v>2.4786000000000002E-2</v>
      </c>
      <c r="AA27" s="82">
        <f t="shared" ref="AA27:AZ27" si="22">Z27-(Z27*0.1)</f>
        <v>2.2307400000000002E-2</v>
      </c>
      <c r="AB27" s="82">
        <f t="shared" si="22"/>
        <v>2.0076660000000003E-2</v>
      </c>
      <c r="AC27" s="82">
        <f t="shared" si="22"/>
        <v>1.8068994000000001E-2</v>
      </c>
      <c r="AD27" s="82">
        <f t="shared" si="22"/>
        <v>1.6262094600000002E-2</v>
      </c>
      <c r="AE27" s="82">
        <f t="shared" si="22"/>
        <v>1.4635885140000002E-2</v>
      </c>
      <c r="AF27" s="82">
        <f t="shared" si="22"/>
        <v>1.3172296626000002E-2</v>
      </c>
      <c r="AG27" s="82">
        <f t="shared" si="22"/>
        <v>1.1855066963400001E-2</v>
      </c>
      <c r="AH27" s="82">
        <f t="shared" si="22"/>
        <v>1.0669560267060001E-2</v>
      </c>
      <c r="AI27" s="82">
        <f t="shared" si="22"/>
        <v>9.6026042403540013E-3</v>
      </c>
      <c r="AJ27" s="82">
        <f t="shared" si="22"/>
        <v>8.6423438163186015E-3</v>
      </c>
      <c r="AK27" s="82">
        <v>0</v>
      </c>
      <c r="AL27" s="82">
        <v>0</v>
      </c>
      <c r="AM27" s="82">
        <v>0</v>
      </c>
      <c r="AN27" s="82">
        <v>0</v>
      </c>
      <c r="AO27" s="82">
        <v>0</v>
      </c>
      <c r="AP27" s="82">
        <v>0</v>
      </c>
      <c r="AQ27" s="82">
        <f t="shared" si="22"/>
        <v>0</v>
      </c>
      <c r="AR27" s="82">
        <f t="shared" si="22"/>
        <v>0</v>
      </c>
      <c r="AS27" s="82">
        <f t="shared" si="22"/>
        <v>0</v>
      </c>
      <c r="AT27" s="82">
        <f t="shared" si="22"/>
        <v>0</v>
      </c>
      <c r="AU27" s="82">
        <f t="shared" si="22"/>
        <v>0</v>
      </c>
      <c r="AV27" s="82">
        <f t="shared" si="22"/>
        <v>0</v>
      </c>
      <c r="AW27" s="82">
        <f t="shared" si="22"/>
        <v>0</v>
      </c>
      <c r="AX27" s="82">
        <f t="shared" si="22"/>
        <v>0</v>
      </c>
      <c r="AY27" s="82">
        <f t="shared" si="22"/>
        <v>0</v>
      </c>
      <c r="AZ27" s="82">
        <f t="shared" si="22"/>
        <v>0</v>
      </c>
    </row>
    <row r="28" spans="1:52" x14ac:dyDescent="0.35">
      <c r="A28" s="83" t="s">
        <v>97</v>
      </c>
      <c r="B28" s="84">
        <f>SUM(B25:B26)/2</f>
        <v>16.462483394254701</v>
      </c>
      <c r="C28" s="84">
        <f t="shared" ref="C28:T28" si="23">SUM(C25:C26)/2</f>
        <v>14.965893994777002</v>
      </c>
      <c r="D28" s="84">
        <f t="shared" si="23"/>
        <v>13.60535817707</v>
      </c>
      <c r="E28" s="84">
        <f t="shared" si="23"/>
        <v>12.3685074337</v>
      </c>
      <c r="F28" s="84">
        <f t="shared" si="23"/>
        <v>11.244097666999998</v>
      </c>
      <c r="G28" s="84">
        <f t="shared" si="23"/>
        <v>10.221906969999999</v>
      </c>
      <c r="H28" s="84">
        <f t="shared" si="23"/>
        <v>9.2926426999999983</v>
      </c>
      <c r="I28" s="84">
        <f t="shared" si="23"/>
        <v>8.4478569999999991</v>
      </c>
      <c r="J28" s="84">
        <f t="shared" si="23"/>
        <v>7.6798699999999993</v>
      </c>
      <c r="K28" s="84">
        <f t="shared" si="23"/>
        <v>6.9817</v>
      </c>
      <c r="L28" s="84">
        <f t="shared" si="23"/>
        <v>6.3469999999999995</v>
      </c>
      <c r="M28" s="39">
        <f t="shared" si="23"/>
        <v>5.7703367980710851E-2</v>
      </c>
      <c r="N28" s="39">
        <f t="shared" si="23"/>
        <v>5.3615755516068092E-2</v>
      </c>
      <c r="O28" s="39">
        <f t="shared" si="23"/>
        <v>5.7463542487757188E-2</v>
      </c>
      <c r="P28" s="39">
        <f t="shared" si="23"/>
        <v>5.4253184339390359E-2</v>
      </c>
      <c r="Q28" s="39">
        <f t="shared" si="23"/>
        <v>5.4423217132535812E-2</v>
      </c>
      <c r="R28" s="39">
        <f t="shared" si="23"/>
        <v>5.6539777630982835E-2</v>
      </c>
      <c r="S28" s="39">
        <f t="shared" si="23"/>
        <v>5.77741961396286E-2</v>
      </c>
      <c r="T28" s="39">
        <f t="shared" si="23"/>
        <v>4.5986327035783994E-2</v>
      </c>
      <c r="U28" s="90">
        <f>SUM(U25:U26)/1</f>
        <v>3.8846922084220387E-2</v>
      </c>
      <c r="V28" s="90">
        <f t="shared" ref="V28:X28" si="24">SUM(V25:V26)/1</f>
        <v>4.9062430164760383E-2</v>
      </c>
      <c r="W28" s="90">
        <f t="shared" si="24"/>
        <v>4.0372155990551051E-2</v>
      </c>
      <c r="X28" s="90">
        <f t="shared" si="24"/>
        <v>3.0557260819024653E-2</v>
      </c>
    </row>
    <row r="29" spans="1:52" x14ac:dyDescent="0.35"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</row>
    <row r="30" spans="1:52" x14ac:dyDescent="0.35">
      <c r="A30" s="95" t="s">
        <v>101</v>
      </c>
      <c r="B30" s="96">
        <v>2000</v>
      </c>
      <c r="C30" s="96">
        <v>2001</v>
      </c>
      <c r="D30" s="96">
        <v>2002</v>
      </c>
      <c r="E30" s="96">
        <v>2003</v>
      </c>
      <c r="F30" s="96">
        <v>2004</v>
      </c>
      <c r="G30" s="96">
        <v>2005</v>
      </c>
      <c r="H30" s="96">
        <v>2006</v>
      </c>
      <c r="I30" s="96">
        <v>2007</v>
      </c>
      <c r="J30" s="96">
        <v>2008</v>
      </c>
      <c r="K30" s="96">
        <v>2009</v>
      </c>
      <c r="L30" s="96">
        <v>2010</v>
      </c>
      <c r="M30" s="96">
        <v>2011</v>
      </c>
      <c r="N30" s="96">
        <v>2012</v>
      </c>
      <c r="O30" s="96">
        <v>2013</v>
      </c>
      <c r="P30" s="96">
        <v>2014</v>
      </c>
      <c r="Q30" s="96">
        <v>2015</v>
      </c>
      <c r="R30" s="96">
        <v>2016</v>
      </c>
      <c r="S30" s="96">
        <v>2017</v>
      </c>
      <c r="T30" s="96">
        <v>2018</v>
      </c>
      <c r="U30" s="96">
        <v>2019</v>
      </c>
      <c r="V30" s="96">
        <v>2020</v>
      </c>
      <c r="W30" s="96">
        <v>2021</v>
      </c>
      <c r="X30" s="96">
        <v>2022</v>
      </c>
      <c r="Y30" s="96">
        <v>2023</v>
      </c>
      <c r="Z30" s="96">
        <v>2024</v>
      </c>
      <c r="AA30" s="96">
        <v>2025</v>
      </c>
      <c r="AB30" s="96">
        <v>2026</v>
      </c>
      <c r="AC30" s="96">
        <v>2027</v>
      </c>
      <c r="AD30" s="96">
        <v>2028</v>
      </c>
      <c r="AE30" s="96">
        <v>2029</v>
      </c>
      <c r="AF30" s="96">
        <v>2030</v>
      </c>
      <c r="AG30" s="96">
        <v>2031</v>
      </c>
      <c r="AH30" s="96">
        <v>2032</v>
      </c>
      <c r="AI30" s="96">
        <v>2033</v>
      </c>
      <c r="AJ30" s="96">
        <v>2034</v>
      </c>
      <c r="AK30" s="96">
        <v>2035</v>
      </c>
      <c r="AL30" s="96">
        <v>2036</v>
      </c>
      <c r="AM30" s="96">
        <v>2037</v>
      </c>
      <c r="AN30" s="96">
        <v>2038</v>
      </c>
      <c r="AO30" s="96">
        <v>2039</v>
      </c>
      <c r="AP30" s="96">
        <v>2040</v>
      </c>
      <c r="AQ30" s="96">
        <v>2041</v>
      </c>
      <c r="AR30" s="96">
        <v>2042</v>
      </c>
      <c r="AS30" s="96">
        <v>2043</v>
      </c>
      <c r="AT30" s="96">
        <v>2044</v>
      </c>
      <c r="AU30" s="96">
        <v>2045</v>
      </c>
      <c r="AV30" s="96">
        <v>2046</v>
      </c>
      <c r="AW30" s="96">
        <v>2047</v>
      </c>
      <c r="AX30" s="96">
        <v>2048</v>
      </c>
      <c r="AY30" s="96">
        <v>2049</v>
      </c>
      <c r="AZ30" s="96">
        <v>2050</v>
      </c>
    </row>
    <row r="31" spans="1:52" x14ac:dyDescent="0.35">
      <c r="A31" s="97" t="s">
        <v>10</v>
      </c>
      <c r="B31" s="73">
        <f>C31-(C31*0.02)</f>
        <v>0.46442418343488168</v>
      </c>
      <c r="C31" s="73">
        <f t="shared" ref="C31:J31" si="25">D31-(D31*0.02)</f>
        <v>0.47390222799477721</v>
      </c>
      <c r="D31" s="73">
        <f t="shared" si="25"/>
        <v>0.48357370203548694</v>
      </c>
      <c r="E31" s="73">
        <f t="shared" si="25"/>
        <v>0.49344255309743568</v>
      </c>
      <c r="F31" s="73">
        <f t="shared" si="25"/>
        <v>0.50351280928309761</v>
      </c>
      <c r="G31" s="73">
        <f t="shared" si="25"/>
        <v>0.51378858090112001</v>
      </c>
      <c r="H31" s="73">
        <f t="shared" si="25"/>
        <v>0.52427406214399996</v>
      </c>
      <c r="I31" s="73">
        <f t="shared" si="25"/>
        <v>0.53497353279999993</v>
      </c>
      <c r="J31" s="73">
        <f t="shared" si="25"/>
        <v>0.54589135999999994</v>
      </c>
      <c r="K31" s="73">
        <f>L31-(L31*0.02)</f>
        <v>0.55703199999999997</v>
      </c>
      <c r="L31" s="73">
        <f>0.58-(0.58*0.02)</f>
        <v>0.56840000000000002</v>
      </c>
      <c r="M31" s="76">
        <v>5.7713199348180333E-3</v>
      </c>
      <c r="N31" s="76">
        <v>8.4074150644338781E-3</v>
      </c>
      <c r="O31" s="76">
        <v>6.2757271070922466E-3</v>
      </c>
      <c r="P31" s="76">
        <v>6.9920756475993877E-3</v>
      </c>
      <c r="Q31" s="76">
        <v>8.2553302132085289E-3</v>
      </c>
      <c r="R31" s="76">
        <v>1.0022550739163118E-2</v>
      </c>
      <c r="S31" s="76">
        <v>1.1206659338907844E-2</v>
      </c>
      <c r="T31" s="76">
        <v>1.1707441805247345E-2</v>
      </c>
      <c r="U31" s="76">
        <v>1.0669340851738906E-2</v>
      </c>
      <c r="V31" s="76">
        <v>8.0450196046563619E-3</v>
      </c>
      <c r="W31" s="76">
        <v>1.271256682645153E-2</v>
      </c>
      <c r="X31" s="76">
        <v>8.5487469544314534E-3</v>
      </c>
    </row>
    <row r="32" spans="1:52" x14ac:dyDescent="0.35">
      <c r="A32" s="78" t="s">
        <v>32</v>
      </c>
      <c r="B32" s="79">
        <f t="shared" ref="B32:L32" si="26">SUMPRODUCT(B31:B31,B3:B3)/SUM(B3:B3)</f>
        <v>0.46442418343488162</v>
      </c>
      <c r="C32" s="79">
        <f t="shared" si="26"/>
        <v>0.47390222799477721</v>
      </c>
      <c r="D32" s="79">
        <f t="shared" si="26"/>
        <v>0.483573702035487</v>
      </c>
      <c r="E32" s="79">
        <f t="shared" si="26"/>
        <v>0.49344255309743568</v>
      </c>
      <c r="F32" s="79">
        <f t="shared" si="26"/>
        <v>0.50351280928309761</v>
      </c>
      <c r="G32" s="79">
        <f t="shared" si="26"/>
        <v>0.51378858090112001</v>
      </c>
      <c r="H32" s="79">
        <f t="shared" si="26"/>
        <v>0.52427406214399996</v>
      </c>
      <c r="I32" s="79">
        <f t="shared" si="26"/>
        <v>0.53497353279999993</v>
      </c>
      <c r="J32" s="79">
        <f t="shared" si="26"/>
        <v>0.54589135999999994</v>
      </c>
      <c r="K32" s="79">
        <f t="shared" si="26"/>
        <v>0.55703199999999997</v>
      </c>
      <c r="L32" s="79">
        <f t="shared" si="26"/>
        <v>0.56840000000000002</v>
      </c>
      <c r="M32" s="80">
        <v>5.7713199348180333E-3</v>
      </c>
      <c r="N32" s="80">
        <v>8.4074150644338781E-3</v>
      </c>
      <c r="O32" s="80">
        <v>6.2757271070922466E-3</v>
      </c>
      <c r="P32" s="80">
        <v>6.9920756475993877E-3</v>
      </c>
      <c r="Q32" s="80">
        <v>8.2553302132085289E-3</v>
      </c>
      <c r="R32" s="80">
        <v>1.0022550739163118E-2</v>
      </c>
      <c r="S32" s="80">
        <v>1.1206659338907844E-2</v>
      </c>
      <c r="T32" s="80">
        <v>1.1707441805247345E-2</v>
      </c>
      <c r="U32" s="80">
        <v>1.0669340851738906E-2</v>
      </c>
      <c r="V32" s="80">
        <v>7.9787234042553203E-3</v>
      </c>
      <c r="W32" s="80">
        <v>1.271256682645153E-2</v>
      </c>
      <c r="X32" s="81">
        <v>8.5487469544314534E-3</v>
      </c>
      <c r="Y32" s="82">
        <f>(0.855/100)+((0.855/100)*0.04)</f>
        <v>8.8920000000000006E-3</v>
      </c>
      <c r="Z32" s="82">
        <f>Y32+(Y32*0.04)</f>
        <v>9.2476800000000012E-3</v>
      </c>
      <c r="AA32" s="82">
        <f>Z32+(Z32*0.05)</f>
        <v>9.7100640000000009E-3</v>
      </c>
      <c r="AB32" s="82">
        <f t="shared" ref="AB32:AF32" si="27">AA32+(AA32*0.05)</f>
        <v>1.0195567200000002E-2</v>
      </c>
      <c r="AC32" s="82">
        <f t="shared" si="27"/>
        <v>1.0705345560000003E-2</v>
      </c>
      <c r="AD32" s="82">
        <f t="shared" si="27"/>
        <v>1.1240612838000003E-2</v>
      </c>
      <c r="AE32" s="82">
        <f t="shared" si="27"/>
        <v>1.1802643479900003E-2</v>
      </c>
      <c r="AF32" s="82">
        <f t="shared" si="27"/>
        <v>1.2392775653895004E-2</v>
      </c>
      <c r="AG32" s="82">
        <f>AF32+(AF32*0.07)</f>
        <v>1.3260269949667655E-2</v>
      </c>
      <c r="AH32" s="82">
        <f t="shared" ref="AH32:AK32" si="28">AG32+(AG32*0.07)</f>
        <v>1.4188488846144392E-2</v>
      </c>
      <c r="AI32" s="82">
        <f t="shared" si="28"/>
        <v>1.5181683065374499E-2</v>
      </c>
      <c r="AJ32" s="82">
        <f t="shared" si="28"/>
        <v>1.6244400879950716E-2</v>
      </c>
      <c r="AK32" s="82">
        <f t="shared" si="28"/>
        <v>1.7381508941547268E-2</v>
      </c>
      <c r="AL32" s="82">
        <f>AK32+(AK32*0.08)</f>
        <v>1.877202965687105E-2</v>
      </c>
      <c r="AM32" s="82">
        <f t="shared" ref="AM32:AU32" si="29">AL32+(AL32*0.08)</f>
        <v>2.0273792029420735E-2</v>
      </c>
      <c r="AN32" s="82">
        <f t="shared" si="29"/>
        <v>2.1895695391774394E-2</v>
      </c>
      <c r="AO32" s="82">
        <f t="shared" si="29"/>
        <v>2.3647351023116346E-2</v>
      </c>
      <c r="AP32" s="82">
        <f t="shared" si="29"/>
        <v>2.5539139104965653E-2</v>
      </c>
      <c r="AQ32" s="82">
        <f t="shared" si="29"/>
        <v>2.7582270233362904E-2</v>
      </c>
      <c r="AR32" s="82">
        <f t="shared" si="29"/>
        <v>2.9788851852031936E-2</v>
      </c>
      <c r="AS32" s="82">
        <f t="shared" si="29"/>
        <v>3.217196000019449E-2</v>
      </c>
      <c r="AT32" s="82">
        <f t="shared" si="29"/>
        <v>3.4745716800210047E-2</v>
      </c>
      <c r="AU32" s="82">
        <f t="shared" si="29"/>
        <v>3.7525374144226853E-2</v>
      </c>
      <c r="AV32" s="82">
        <f>AU32+(AU32*0.09)</f>
        <v>4.0902657817207269E-2</v>
      </c>
      <c r="AW32" s="82">
        <f t="shared" ref="AW32:AZ32" si="30">AV32+(AV32*0.09)</f>
        <v>4.4583897020755922E-2</v>
      </c>
      <c r="AX32" s="82">
        <f t="shared" si="30"/>
        <v>4.8596447752623957E-2</v>
      </c>
      <c r="AY32" s="82">
        <f t="shared" si="30"/>
        <v>5.297012805036011E-2</v>
      </c>
      <c r="AZ32" s="82">
        <f t="shared" si="30"/>
        <v>5.7737439574892517E-2</v>
      </c>
    </row>
    <row r="33" spans="1:52" x14ac:dyDescent="0.35">
      <c r="A33" s="83" t="s">
        <v>97</v>
      </c>
      <c r="B33" s="84">
        <f>SUM(B31:B31)/1</f>
        <v>0.46442418343488168</v>
      </c>
      <c r="C33" s="84">
        <f t="shared" ref="C33:L33" si="31">SUM(C31:C31)/1</f>
        <v>0.47390222799477721</v>
      </c>
      <c r="D33" s="84">
        <f t="shared" si="31"/>
        <v>0.48357370203548694</v>
      </c>
      <c r="E33" s="84">
        <f t="shared" si="31"/>
        <v>0.49344255309743568</v>
      </c>
      <c r="F33" s="84">
        <f t="shared" si="31"/>
        <v>0.50351280928309761</v>
      </c>
      <c r="G33" s="84">
        <f t="shared" si="31"/>
        <v>0.51378858090112001</v>
      </c>
      <c r="H33" s="84">
        <f t="shared" si="31"/>
        <v>0.52427406214399996</v>
      </c>
      <c r="I33" s="84">
        <f t="shared" si="31"/>
        <v>0.53497353279999993</v>
      </c>
      <c r="J33" s="84">
        <f t="shared" si="31"/>
        <v>0.54589135999999994</v>
      </c>
      <c r="K33" s="84">
        <f t="shared" si="31"/>
        <v>0.55703199999999997</v>
      </c>
      <c r="L33" s="84">
        <f t="shared" si="31"/>
        <v>0.56840000000000002</v>
      </c>
      <c r="M33" s="39">
        <v>5.7713199348180333E-3</v>
      </c>
      <c r="N33" s="90">
        <v>8.4074150644338781E-3</v>
      </c>
      <c r="O33" s="90">
        <v>6.2757271070922466E-3</v>
      </c>
      <c r="P33" s="90">
        <v>6.9920756475993877E-3</v>
      </c>
      <c r="Q33" s="90">
        <v>8.2553302132085289E-3</v>
      </c>
      <c r="R33" s="90">
        <v>1.0022550739163118E-2</v>
      </c>
      <c r="S33" s="90">
        <v>1.1206659338907844E-2</v>
      </c>
      <c r="T33" s="90">
        <v>1.1707441805247345E-2</v>
      </c>
      <c r="U33" s="90">
        <v>1.0669340851738906E-2</v>
      </c>
      <c r="V33" s="90">
        <v>7.9787234042553203E-3</v>
      </c>
      <c r="W33" s="90">
        <v>1.271256682645153E-2</v>
      </c>
      <c r="X33" s="90">
        <v>8.5487469544314534E-3</v>
      </c>
    </row>
    <row r="35" spans="1:52" x14ac:dyDescent="0.35">
      <c r="A35" s="98" t="s">
        <v>102</v>
      </c>
      <c r="B35" s="99">
        <v>2000</v>
      </c>
      <c r="C35" s="99">
        <v>2001</v>
      </c>
      <c r="D35" s="99">
        <v>2002</v>
      </c>
      <c r="E35" s="99">
        <v>2003</v>
      </c>
      <c r="F35" s="99">
        <v>2004</v>
      </c>
      <c r="G35" s="99">
        <v>2005</v>
      </c>
      <c r="H35" s="99">
        <v>2006</v>
      </c>
      <c r="I35" s="99">
        <v>2007</v>
      </c>
      <c r="J35" s="99">
        <v>2008</v>
      </c>
      <c r="K35" s="99">
        <v>2009</v>
      </c>
      <c r="L35" s="99">
        <v>2010</v>
      </c>
      <c r="M35" s="99">
        <v>2011</v>
      </c>
      <c r="N35" s="99">
        <v>2012</v>
      </c>
      <c r="O35" s="99">
        <v>2013</v>
      </c>
      <c r="P35" s="99">
        <v>2014</v>
      </c>
      <c r="Q35" s="99">
        <v>2015</v>
      </c>
      <c r="R35" s="99">
        <v>2016</v>
      </c>
      <c r="S35" s="99">
        <v>2017</v>
      </c>
      <c r="T35" s="99">
        <v>2018</v>
      </c>
      <c r="U35" s="99">
        <v>2019</v>
      </c>
      <c r="V35" s="99">
        <v>2020</v>
      </c>
      <c r="W35" s="99">
        <v>2021</v>
      </c>
      <c r="X35" s="99">
        <v>2022</v>
      </c>
      <c r="Y35" s="99">
        <v>2023</v>
      </c>
      <c r="Z35" s="99">
        <v>2024</v>
      </c>
      <c r="AA35" s="99">
        <v>2025</v>
      </c>
      <c r="AB35" s="99">
        <v>2026</v>
      </c>
      <c r="AC35" s="99">
        <v>2027</v>
      </c>
      <c r="AD35" s="99">
        <v>2028</v>
      </c>
      <c r="AE35" s="99">
        <v>2029</v>
      </c>
      <c r="AF35" s="99">
        <v>2030</v>
      </c>
      <c r="AG35" s="99">
        <v>2031</v>
      </c>
      <c r="AH35" s="99">
        <v>2032</v>
      </c>
      <c r="AI35" s="99">
        <v>2033</v>
      </c>
      <c r="AJ35" s="99">
        <v>2034</v>
      </c>
      <c r="AK35" s="99">
        <v>2035</v>
      </c>
      <c r="AL35" s="99">
        <v>2036</v>
      </c>
      <c r="AM35" s="99">
        <v>2037</v>
      </c>
      <c r="AN35" s="99">
        <v>2038</v>
      </c>
      <c r="AO35" s="99">
        <v>2039</v>
      </c>
      <c r="AP35" s="99">
        <v>2040</v>
      </c>
      <c r="AQ35" s="99">
        <v>2041</v>
      </c>
      <c r="AR35" s="99">
        <v>2042</v>
      </c>
      <c r="AS35" s="99">
        <v>2043</v>
      </c>
      <c r="AT35" s="99">
        <v>2044</v>
      </c>
      <c r="AU35" s="99">
        <v>2045</v>
      </c>
      <c r="AV35" s="99">
        <v>2046</v>
      </c>
      <c r="AW35" s="99">
        <v>2047</v>
      </c>
      <c r="AX35" s="99">
        <v>2048</v>
      </c>
      <c r="AY35" s="99">
        <v>2049</v>
      </c>
      <c r="AZ35" s="99">
        <v>2050</v>
      </c>
    </row>
    <row r="36" spans="1:52" x14ac:dyDescent="0.35">
      <c r="A36" s="99" t="s">
        <v>10</v>
      </c>
      <c r="B36" s="73">
        <f t="shared" ref="B36:J37" si="32">C36-(C36*0.02)</f>
        <v>1.8176601662020369</v>
      </c>
      <c r="C36" s="73">
        <f t="shared" si="32"/>
        <v>1.8547552716347315</v>
      </c>
      <c r="D36" s="73">
        <f t="shared" si="32"/>
        <v>1.8926074200354404</v>
      </c>
      <c r="E36" s="73">
        <f t="shared" si="32"/>
        <v>1.9312320612606535</v>
      </c>
      <c r="F36" s="73">
        <f t="shared" si="32"/>
        <v>1.9706449604700547</v>
      </c>
      <c r="G36" s="73">
        <f t="shared" si="32"/>
        <v>2.0108622045612803</v>
      </c>
      <c r="H36" s="73">
        <f t="shared" si="32"/>
        <v>2.0519002087360003</v>
      </c>
      <c r="I36" s="73">
        <f t="shared" si="32"/>
        <v>2.0937757232000003</v>
      </c>
      <c r="J36" s="73">
        <f t="shared" si="32"/>
        <v>2.1365058400000003</v>
      </c>
      <c r="K36" s="73">
        <f>L36-(L36*0.02)</f>
        <v>2.1801080000000002</v>
      </c>
      <c r="L36" s="73">
        <f>2.27-(2.27*0.02)</f>
        <v>2.2246000000000001</v>
      </c>
      <c r="M36" s="76">
        <v>2.2745790331341661E-2</v>
      </c>
      <c r="N36" s="76">
        <v>2.1018537661084694E-2</v>
      </c>
      <c r="O36" s="76">
        <v>2.8072069640326609E-2</v>
      </c>
      <c r="P36" s="76">
        <v>3.7024705333954848E-2</v>
      </c>
      <c r="Q36" s="76">
        <v>4.1016640665626623E-2</v>
      </c>
      <c r="R36" s="76">
        <v>5.199198195940867E-2</v>
      </c>
      <c r="S36" s="76">
        <v>4.4644195207084375E-2</v>
      </c>
      <c r="T36" s="76">
        <v>5.3852405870158819E-2</v>
      </c>
      <c r="U36" s="76">
        <v>4.8575092267604827E-2</v>
      </c>
      <c r="V36" s="76">
        <v>9.3894114539950849E-2</v>
      </c>
      <c r="W36" s="76">
        <v>7.7263120087306084E-2</v>
      </c>
      <c r="X36" s="76">
        <v>6.9795162097638475E-2</v>
      </c>
    </row>
    <row r="37" spans="1:52" x14ac:dyDescent="0.35">
      <c r="A37" s="99" t="s">
        <v>28</v>
      </c>
      <c r="B37" s="73">
        <f t="shared" si="32"/>
        <v>2.3381355441894041</v>
      </c>
      <c r="C37" s="73">
        <f t="shared" si="32"/>
        <v>2.3858525961116368</v>
      </c>
      <c r="D37" s="73">
        <f t="shared" si="32"/>
        <v>2.4345434654200377</v>
      </c>
      <c r="E37" s="73">
        <f t="shared" si="32"/>
        <v>2.4842280259388141</v>
      </c>
      <c r="F37" s="73">
        <f t="shared" si="32"/>
        <v>2.5349265570804227</v>
      </c>
      <c r="G37" s="73">
        <f t="shared" si="32"/>
        <v>2.5866597521228805</v>
      </c>
      <c r="H37" s="73">
        <f t="shared" si="32"/>
        <v>2.6394487266560005</v>
      </c>
      <c r="I37" s="73">
        <f t="shared" si="32"/>
        <v>2.6933150272000006</v>
      </c>
      <c r="J37" s="73">
        <f t="shared" si="32"/>
        <v>2.7482806400000004</v>
      </c>
      <c r="K37" s="73">
        <f>L37-(L37*0.02)</f>
        <v>2.8043680000000002</v>
      </c>
      <c r="L37" s="73">
        <f>2.92-(2.92*0.02)</f>
        <v>2.8616000000000001</v>
      </c>
      <c r="M37" s="76">
        <v>2.9164051920599791E-2</v>
      </c>
      <c r="N37" s="76">
        <v>4.7267851156553804E-2</v>
      </c>
      <c r="O37" s="76">
        <v>4.7346758376840423E-2</v>
      </c>
      <c r="P37" s="76">
        <v>0.10862941159068722</v>
      </c>
      <c r="Q37" s="76">
        <v>5.1075877689694224E-2</v>
      </c>
      <c r="R37" s="76">
        <v>6.2926562926562929E-2</v>
      </c>
      <c r="S37" s="76">
        <v>5.9314473191930249E-2</v>
      </c>
      <c r="T37" s="76">
        <v>5.9584599479966173E-2</v>
      </c>
      <c r="U37" s="76"/>
      <c r="V37" s="76"/>
      <c r="W37" s="76"/>
      <c r="X37" s="76"/>
    </row>
    <row r="38" spans="1:52" x14ac:dyDescent="0.35">
      <c r="A38" s="78" t="s">
        <v>32</v>
      </c>
      <c r="B38" s="79">
        <f t="shared" ref="B38:T38" si="33">SUMPRODUCT(B36:B37,B3:B4)/SUM(B3:B4)</f>
        <v>1.8683576948840623</v>
      </c>
      <c r="C38" s="79">
        <f t="shared" si="33"/>
        <v>1.9065342702674213</v>
      </c>
      <c r="D38" s="79">
        <f t="shared" si="33"/>
        <v>1.9455181928485361</v>
      </c>
      <c r="E38" s="79">
        <f t="shared" si="33"/>
        <v>1.9853771510925677</v>
      </c>
      <c r="F38" s="79">
        <f t="shared" si="33"/>
        <v>2.0261022397009167</v>
      </c>
      <c r="G38" s="79">
        <f t="shared" si="33"/>
        <v>2.0676847463821328</v>
      </c>
      <c r="H38" s="79">
        <f t="shared" si="33"/>
        <v>2.1102362554191543</v>
      </c>
      <c r="I38" s="79">
        <f t="shared" si="33"/>
        <v>2.1537732385888999</v>
      </c>
      <c r="J38" s="79">
        <f t="shared" si="33"/>
        <v>2.1982638385697495</v>
      </c>
      <c r="K38" s="79">
        <f t="shared" si="33"/>
        <v>2.2437553536817467</v>
      </c>
      <c r="L38" s="79">
        <f t="shared" si="33"/>
        <v>2.2901352157536938</v>
      </c>
      <c r="M38" s="80">
        <f t="shared" si="33"/>
        <v>2.342172306242591E-2</v>
      </c>
      <c r="N38" s="80">
        <f t="shared" si="33"/>
        <v>2.3796640780994669E-2</v>
      </c>
      <c r="O38" s="80">
        <f t="shared" si="33"/>
        <v>3.012251342492276E-2</v>
      </c>
      <c r="P38" s="80">
        <f t="shared" si="33"/>
        <v>4.4681275151059074E-2</v>
      </c>
      <c r="Q38" s="80">
        <f t="shared" si="33"/>
        <v>4.2094101187907747E-2</v>
      </c>
      <c r="R38" s="80">
        <f t="shared" si="33"/>
        <v>5.3167908195474956E-2</v>
      </c>
      <c r="S38" s="80">
        <f t="shared" si="33"/>
        <v>4.6235628124924023E-2</v>
      </c>
      <c r="T38" s="80">
        <f t="shared" si="33"/>
        <v>5.4479024612713124E-2</v>
      </c>
      <c r="U38" s="80">
        <f>SUMPRODUCT(U36,U3)/SUM(U3)</f>
        <v>4.8575092267604827E-2</v>
      </c>
      <c r="V38" s="80">
        <f t="shared" ref="V38:X38" si="34">SUMPRODUCT(V36,V3)/SUM(V3)</f>
        <v>9.3894114539950849E-2</v>
      </c>
      <c r="W38" s="80">
        <f t="shared" si="34"/>
        <v>7.7263120087306084E-2</v>
      </c>
      <c r="X38" s="81">
        <f t="shared" si="34"/>
        <v>6.9795162097638475E-2</v>
      </c>
      <c r="Y38" s="82">
        <f>(6.98/100)+((6.98/100)*0.05)</f>
        <v>7.3289999999999994E-2</v>
      </c>
      <c r="Z38" s="82">
        <f>Y38+(Y38*0.05)</f>
        <v>7.6954499999999995E-2</v>
      </c>
      <c r="AA38" s="82">
        <f t="shared" ref="AA38:AV38" si="35">Z38+(Z38*0.05)</f>
        <v>8.0802224999999991E-2</v>
      </c>
      <c r="AB38" s="82">
        <f t="shared" si="35"/>
        <v>8.4842336249999997E-2</v>
      </c>
      <c r="AC38" s="82">
        <f t="shared" si="35"/>
        <v>8.9084453062499999E-2</v>
      </c>
      <c r="AD38" s="82">
        <f t="shared" si="35"/>
        <v>9.3538675715625005E-2</v>
      </c>
      <c r="AE38" s="82">
        <f t="shared" si="35"/>
        <v>9.8215609501406259E-2</v>
      </c>
      <c r="AF38" s="82">
        <f t="shared" si="35"/>
        <v>0.10312638997647658</v>
      </c>
      <c r="AG38" s="82">
        <f t="shared" si="35"/>
        <v>0.10828270947530041</v>
      </c>
      <c r="AH38" s="82">
        <f t="shared" si="35"/>
        <v>0.11369684494906543</v>
      </c>
      <c r="AI38" s="82">
        <f t="shared" si="35"/>
        <v>0.1193816871965187</v>
      </c>
      <c r="AJ38" s="82">
        <f t="shared" si="35"/>
        <v>0.12535077155634464</v>
      </c>
      <c r="AK38" s="82">
        <f t="shared" si="35"/>
        <v>0.13161831013416186</v>
      </c>
      <c r="AL38" s="82">
        <f t="shared" si="35"/>
        <v>0.13819922564086995</v>
      </c>
      <c r="AM38" s="82">
        <f t="shared" si="35"/>
        <v>0.14510918692291344</v>
      </c>
      <c r="AN38" s="82">
        <f t="shared" si="35"/>
        <v>0.1523646462690591</v>
      </c>
      <c r="AO38" s="82">
        <f t="shared" si="35"/>
        <v>0.15998287858251206</v>
      </c>
      <c r="AP38" s="82">
        <f t="shared" si="35"/>
        <v>0.16798202251163766</v>
      </c>
      <c r="AQ38" s="82">
        <f t="shared" si="35"/>
        <v>0.17638112363721953</v>
      </c>
      <c r="AR38" s="82">
        <f t="shared" si="35"/>
        <v>0.18520017981908049</v>
      </c>
      <c r="AS38" s="82">
        <f t="shared" si="35"/>
        <v>0.19446018881003452</v>
      </c>
      <c r="AT38" s="82">
        <f t="shared" si="35"/>
        <v>0.20418319825053624</v>
      </c>
      <c r="AU38" s="82">
        <f t="shared" si="35"/>
        <v>0.21439235816306307</v>
      </c>
      <c r="AV38" s="82">
        <f t="shared" si="35"/>
        <v>0.22511197607121622</v>
      </c>
      <c r="AW38" s="82">
        <f>AV38+(AV38*0.03)</f>
        <v>0.23186533535335271</v>
      </c>
      <c r="AX38" s="82">
        <f t="shared" ref="AX38:AZ38" si="36">AW38+(AW38*0.03)</f>
        <v>0.23882129541395331</v>
      </c>
      <c r="AY38" s="82">
        <f t="shared" si="36"/>
        <v>0.24598593427637191</v>
      </c>
      <c r="AZ38" s="82">
        <f t="shared" si="36"/>
        <v>0.25336551230466309</v>
      </c>
    </row>
    <row r="39" spans="1:52" x14ac:dyDescent="0.35">
      <c r="A39" s="83" t="s">
        <v>97</v>
      </c>
      <c r="B39" s="84">
        <f>SUM(B36:B37)/2</f>
        <v>2.0778978551957206</v>
      </c>
      <c r="C39" s="84">
        <f t="shared" ref="C39:T39" si="37">SUM(C36:C37)/2</f>
        <v>2.1203039338731839</v>
      </c>
      <c r="D39" s="84">
        <f t="shared" si="37"/>
        <v>2.1635754427277392</v>
      </c>
      <c r="E39" s="84">
        <f t="shared" si="37"/>
        <v>2.2077300435997338</v>
      </c>
      <c r="F39" s="84">
        <f t="shared" si="37"/>
        <v>2.2527857587752385</v>
      </c>
      <c r="G39" s="84">
        <f t="shared" si="37"/>
        <v>2.2987609783420804</v>
      </c>
      <c r="H39" s="84">
        <f t="shared" si="37"/>
        <v>2.3456744676960004</v>
      </c>
      <c r="I39" s="84">
        <f t="shared" si="37"/>
        <v>2.3935453752000004</v>
      </c>
      <c r="J39" s="84">
        <f t="shared" si="37"/>
        <v>2.4423932400000004</v>
      </c>
      <c r="K39" s="84">
        <f t="shared" si="37"/>
        <v>2.4922380000000004</v>
      </c>
      <c r="L39" s="84">
        <f t="shared" si="37"/>
        <v>2.5430999999999999</v>
      </c>
      <c r="M39" s="39">
        <f t="shared" si="37"/>
        <v>2.5954921125970726E-2</v>
      </c>
      <c r="N39" s="39">
        <f t="shared" si="37"/>
        <v>3.4143194408819251E-2</v>
      </c>
      <c r="O39" s="39">
        <f t="shared" si="37"/>
        <v>3.7709414008583519E-2</v>
      </c>
      <c r="P39" s="39">
        <f t="shared" si="37"/>
        <v>7.2827058462321029E-2</v>
      </c>
      <c r="Q39" s="39">
        <f t="shared" si="37"/>
        <v>4.604625917766042E-2</v>
      </c>
      <c r="R39" s="39">
        <f t="shared" si="37"/>
        <v>5.74592724429858E-2</v>
      </c>
      <c r="S39" s="39">
        <f t="shared" si="37"/>
        <v>5.1979334199507315E-2</v>
      </c>
      <c r="T39" s="39">
        <f t="shared" si="37"/>
        <v>5.6718502675062496E-2</v>
      </c>
      <c r="U39" s="90">
        <f>SUM(U36:U37)/1</f>
        <v>4.8575092267604827E-2</v>
      </c>
      <c r="V39" s="90">
        <f t="shared" ref="V39:X39" si="38">SUM(V36:V37)/1</f>
        <v>9.3894114539950849E-2</v>
      </c>
      <c r="W39" s="90">
        <f t="shared" si="38"/>
        <v>7.7263120087306084E-2</v>
      </c>
      <c r="X39" s="90">
        <f t="shared" si="38"/>
        <v>6.9795162097638475E-2</v>
      </c>
    </row>
    <row r="41" spans="1:52" x14ac:dyDescent="0.35">
      <c r="A41" s="100" t="s">
        <v>56</v>
      </c>
      <c r="B41" s="101">
        <v>2000</v>
      </c>
      <c r="C41" s="101">
        <v>2001</v>
      </c>
      <c r="D41" s="101">
        <v>2002</v>
      </c>
      <c r="E41" s="101">
        <v>2003</v>
      </c>
      <c r="F41" s="101">
        <v>2004</v>
      </c>
      <c r="G41" s="101">
        <v>2005</v>
      </c>
      <c r="H41" s="101">
        <v>2006</v>
      </c>
      <c r="I41" s="101">
        <v>2007</v>
      </c>
      <c r="J41" s="101">
        <v>2008</v>
      </c>
      <c r="K41" s="101">
        <v>2009</v>
      </c>
      <c r="L41" s="101">
        <v>2010</v>
      </c>
      <c r="M41" s="101">
        <v>2011</v>
      </c>
      <c r="N41" s="101">
        <v>2012</v>
      </c>
      <c r="O41" s="101">
        <v>2013</v>
      </c>
      <c r="P41" s="101">
        <v>2014</v>
      </c>
      <c r="Q41" s="101">
        <v>2015</v>
      </c>
      <c r="R41" s="101">
        <v>2016</v>
      </c>
      <c r="S41" s="101">
        <v>2017</v>
      </c>
      <c r="T41" s="101">
        <v>2018</v>
      </c>
      <c r="U41" s="101">
        <v>2019</v>
      </c>
      <c r="V41" s="101">
        <v>2020</v>
      </c>
      <c r="W41" s="101">
        <v>2021</v>
      </c>
      <c r="X41" s="101">
        <v>2022</v>
      </c>
      <c r="Y41" s="101">
        <v>2023</v>
      </c>
      <c r="Z41" s="101">
        <v>2024</v>
      </c>
      <c r="AA41" s="101">
        <v>2025</v>
      </c>
      <c r="AB41" s="101">
        <v>2026</v>
      </c>
      <c r="AC41" s="101">
        <v>2027</v>
      </c>
      <c r="AD41" s="101">
        <v>2028</v>
      </c>
      <c r="AE41" s="101">
        <v>2029</v>
      </c>
      <c r="AF41" s="101">
        <v>2030</v>
      </c>
      <c r="AG41" s="101">
        <v>2031</v>
      </c>
      <c r="AH41" s="101">
        <v>2032</v>
      </c>
      <c r="AI41" s="101">
        <v>2033</v>
      </c>
      <c r="AJ41" s="101">
        <v>2034</v>
      </c>
      <c r="AK41" s="101">
        <v>2035</v>
      </c>
      <c r="AL41" s="101">
        <v>2036</v>
      </c>
      <c r="AM41" s="101">
        <v>2037</v>
      </c>
      <c r="AN41" s="101">
        <v>2038</v>
      </c>
      <c r="AO41" s="101">
        <v>2039</v>
      </c>
      <c r="AP41" s="101">
        <v>2040</v>
      </c>
      <c r="AQ41" s="101">
        <v>2041</v>
      </c>
      <c r="AR41" s="101">
        <v>2042</v>
      </c>
      <c r="AS41" s="101">
        <v>2043</v>
      </c>
      <c r="AT41" s="101">
        <v>2044</v>
      </c>
      <c r="AU41" s="101">
        <v>2045</v>
      </c>
      <c r="AV41" s="101">
        <v>2046</v>
      </c>
      <c r="AW41" s="101">
        <v>2047</v>
      </c>
      <c r="AX41" s="101">
        <v>2048</v>
      </c>
      <c r="AY41" s="101">
        <v>2049</v>
      </c>
      <c r="AZ41" s="101">
        <v>2050</v>
      </c>
    </row>
    <row r="42" spans="1:52" x14ac:dyDescent="0.35">
      <c r="A42" s="101" t="s">
        <v>10</v>
      </c>
      <c r="B42" s="73">
        <f t="shared" ref="B42:J42" si="39">C42+(C42*0.02)</f>
        <v>0.83306078662441696</v>
      </c>
      <c r="C42" s="73">
        <f t="shared" si="39"/>
        <v>0.81672626139648719</v>
      </c>
      <c r="D42" s="73">
        <f t="shared" si="39"/>
        <v>0.80071202097694827</v>
      </c>
      <c r="E42" s="73">
        <f t="shared" si="39"/>
        <v>0.78501178527151794</v>
      </c>
      <c r="F42" s="73">
        <f t="shared" si="39"/>
        <v>0.76961939732501761</v>
      </c>
      <c r="G42" s="73">
        <f t="shared" si="39"/>
        <v>0.75452882090688</v>
      </c>
      <c r="H42" s="73">
        <f t="shared" si="39"/>
        <v>0.73973413814400002</v>
      </c>
      <c r="I42" s="73">
        <f t="shared" si="39"/>
        <v>0.72522954719999999</v>
      </c>
      <c r="J42" s="73">
        <f t="shared" si="39"/>
        <v>0.71100936000000003</v>
      </c>
      <c r="K42" s="73">
        <f>L42+(L42*0.02)</f>
        <v>0.69706800000000002</v>
      </c>
      <c r="L42" s="73">
        <f>0.67+(0.67*0.02)</f>
        <v>0.68340000000000001</v>
      </c>
      <c r="M42" s="76">
        <v>6.653992395437262E-3</v>
      </c>
      <c r="N42" s="76">
        <v>9.0276342085314591E-3</v>
      </c>
      <c r="O42" s="76">
        <v>9.4473311289560696E-3</v>
      </c>
      <c r="P42" s="76">
        <v>9.9886794965705541E-3</v>
      </c>
      <c r="Q42" s="76">
        <v>8.7103484139365566E-3</v>
      </c>
      <c r="R42" s="76">
        <v>1.0022550739163118E-2</v>
      </c>
      <c r="S42" s="76">
        <v>8.407375273976482E-3</v>
      </c>
      <c r="T42" s="76">
        <v>9.177830744363168E-3</v>
      </c>
      <c r="U42" s="76">
        <v>2.5551345175370097E-2</v>
      </c>
      <c r="V42" s="76">
        <v>1.3403287081242511E-2</v>
      </c>
      <c r="W42" s="76">
        <v>8.0744311981102088E-3</v>
      </c>
      <c r="X42" s="76">
        <v>9.0010375506709671E-3</v>
      </c>
    </row>
    <row r="43" spans="1:52" x14ac:dyDescent="0.35">
      <c r="A43" s="101" t="s">
        <v>28</v>
      </c>
      <c r="B43" s="73">
        <f t="shared" ref="B43:J43" si="40">C43-(C43*0.02)</f>
        <v>6.4058508059983671E-2</v>
      </c>
      <c r="C43" s="73">
        <f t="shared" si="40"/>
        <v>6.5365824551003746E-2</v>
      </c>
      <c r="D43" s="73">
        <f t="shared" si="40"/>
        <v>6.669982097041198E-2</v>
      </c>
      <c r="E43" s="73">
        <f t="shared" si="40"/>
        <v>6.8061041806542835E-2</v>
      </c>
      <c r="F43" s="73">
        <f t="shared" si="40"/>
        <v>6.9450042659737588E-2</v>
      </c>
      <c r="G43" s="73">
        <f t="shared" si="40"/>
        <v>7.0867390469119981E-2</v>
      </c>
      <c r="H43" s="73">
        <f t="shared" si="40"/>
        <v>7.2313663743999987E-2</v>
      </c>
      <c r="I43" s="73">
        <f t="shared" si="40"/>
        <v>7.3789452799999988E-2</v>
      </c>
      <c r="J43" s="73">
        <f t="shared" si="40"/>
        <v>7.5295359999999992E-2</v>
      </c>
      <c r="K43" s="73">
        <f>L43-(L43*0.02)</f>
        <v>7.6831999999999998E-2</v>
      </c>
      <c r="L43" s="73">
        <f>0.08-(0.08*0.02)</f>
        <v>7.8399999999999997E-2</v>
      </c>
      <c r="M43" s="76">
        <v>8.2570928427519235E-4</v>
      </c>
      <c r="N43" s="76">
        <v>7.8221030282713151E-4</v>
      </c>
      <c r="O43" s="76">
        <v>6.3810391978122161E-3</v>
      </c>
      <c r="P43" s="76">
        <v>1.0354110581901016E-3</v>
      </c>
      <c r="Q43" s="76">
        <v>4.2468856172140431E-4</v>
      </c>
      <c r="R43" s="76">
        <v>9.2137592137592141E-4</v>
      </c>
      <c r="S43" s="76">
        <v>3.4535355570265063E-4</v>
      </c>
      <c r="T43" s="76">
        <v>4.6991009053601085E-4</v>
      </c>
      <c r="U43" s="77"/>
      <c r="V43" s="77"/>
      <c r="W43" s="77"/>
      <c r="X43" s="77"/>
    </row>
    <row r="44" spans="1:52" x14ac:dyDescent="0.35">
      <c r="A44" s="78" t="s">
        <v>32</v>
      </c>
      <c r="B44" s="79">
        <f t="shared" ref="B44:T44" si="41">SUMPRODUCT(B42:B43,B3:B4)/SUM(B3:B4)</f>
        <v>0.75815519699821654</v>
      </c>
      <c r="C44" s="79">
        <f t="shared" si="41"/>
        <v>0.74347284956580628</v>
      </c>
      <c r="D44" s="79">
        <f t="shared" si="41"/>
        <v>0.72904830145258093</v>
      </c>
      <c r="E44" s="79">
        <f t="shared" si="41"/>
        <v>0.71481351098110557</v>
      </c>
      <c r="F44" s="79">
        <f t="shared" si="41"/>
        <v>0.70080714535044808</v>
      </c>
      <c r="G44" s="79">
        <f t="shared" si="41"/>
        <v>0.68706173914026802</v>
      </c>
      <c r="H44" s="79">
        <f t="shared" si="41"/>
        <v>0.67346782861483123</v>
      </c>
      <c r="I44" s="79">
        <f t="shared" si="41"/>
        <v>0.66003817971509215</v>
      </c>
      <c r="J44" s="79">
        <f t="shared" si="41"/>
        <v>0.64683472530963737</v>
      </c>
      <c r="K44" s="79">
        <f t="shared" si="41"/>
        <v>0.63383091920329404</v>
      </c>
      <c r="L44" s="79">
        <f t="shared" si="41"/>
        <v>0.62115697718840734</v>
      </c>
      <c r="M44" s="79">
        <f t="shared" si="41"/>
        <v>6.040192651367412E-3</v>
      </c>
      <c r="N44" s="80">
        <f t="shared" si="41"/>
        <v>8.1549775624301657E-3</v>
      </c>
      <c r="O44" s="80">
        <f t="shared" si="41"/>
        <v>9.1211386120278598E-3</v>
      </c>
      <c r="P44" s="80">
        <f t="shared" si="41"/>
        <v>9.0313216848654006E-3</v>
      </c>
      <c r="Q44" s="80">
        <f t="shared" si="41"/>
        <v>7.8228585008893008E-3</v>
      </c>
      <c r="R44" s="80">
        <f t="shared" si="41"/>
        <v>9.0437925883560793E-3</v>
      </c>
      <c r="S44" s="80">
        <f t="shared" si="41"/>
        <v>7.5328065193794314E-3</v>
      </c>
      <c r="T44" s="80">
        <f t="shared" si="41"/>
        <v>8.2259183244776813E-3</v>
      </c>
      <c r="U44" s="80">
        <f>SUMPRODUCT(U42,U3)/SUM(U3)</f>
        <v>2.5551345175370093E-2</v>
      </c>
      <c r="V44" s="80">
        <f t="shared" ref="V44:X44" si="42">SUMPRODUCT(V42,V3)/SUM(V3)</f>
        <v>1.3403287081242511E-2</v>
      </c>
      <c r="W44" s="80">
        <f t="shared" si="42"/>
        <v>8.0744311981102088E-3</v>
      </c>
      <c r="X44" s="81">
        <f t="shared" si="42"/>
        <v>9.0010375506709671E-3</v>
      </c>
      <c r="Y44" s="82">
        <f>(0.9/100)+((0.143/100)*0.02)</f>
        <v>9.0286000000000012E-3</v>
      </c>
      <c r="Z44" s="82">
        <f>Y44+(Y44*0.02)</f>
        <v>9.2091720000000016E-3</v>
      </c>
      <c r="AA44" s="82">
        <f t="shared" ref="AA44:AZ44" si="43">Z44+(Z44*0.02)</f>
        <v>9.3933554400000008E-3</v>
      </c>
      <c r="AB44" s="82">
        <f t="shared" si="43"/>
        <v>9.5812225488000006E-3</v>
      </c>
      <c r="AC44" s="82">
        <f t="shared" si="43"/>
        <v>9.7728469997759998E-3</v>
      </c>
      <c r="AD44" s="82">
        <f t="shared" si="43"/>
        <v>9.9683039397715206E-3</v>
      </c>
      <c r="AE44" s="82">
        <f t="shared" si="43"/>
        <v>1.016767001856695E-2</v>
      </c>
      <c r="AF44" s="82">
        <f t="shared" si="43"/>
        <v>1.0371023418938289E-2</v>
      </c>
      <c r="AG44" s="82">
        <f t="shared" si="43"/>
        <v>1.0578443887317055E-2</v>
      </c>
      <c r="AH44" s="82">
        <f t="shared" si="43"/>
        <v>1.0790012765063396E-2</v>
      </c>
      <c r="AI44" s="82">
        <f t="shared" si="43"/>
        <v>1.1005813020364665E-2</v>
      </c>
      <c r="AJ44" s="82">
        <f t="shared" si="43"/>
        <v>1.1225929280771959E-2</v>
      </c>
      <c r="AK44" s="82">
        <f t="shared" si="43"/>
        <v>1.1450447866387398E-2</v>
      </c>
      <c r="AL44" s="82">
        <f t="shared" si="43"/>
        <v>1.1679456823715146E-2</v>
      </c>
      <c r="AM44" s="82">
        <f t="shared" si="43"/>
        <v>1.1913045960189449E-2</v>
      </c>
      <c r="AN44" s="82">
        <f t="shared" si="43"/>
        <v>1.2151306879393238E-2</v>
      </c>
      <c r="AO44" s="82">
        <f t="shared" si="43"/>
        <v>1.2394333016981103E-2</v>
      </c>
      <c r="AP44" s="82">
        <f t="shared" si="43"/>
        <v>1.2642219677320725E-2</v>
      </c>
      <c r="AQ44" s="82">
        <f t="shared" si="43"/>
        <v>1.289506407086714E-2</v>
      </c>
      <c r="AR44" s="82">
        <f t="shared" si="43"/>
        <v>1.3152965352284482E-2</v>
      </c>
      <c r="AS44" s="82">
        <f t="shared" si="43"/>
        <v>1.3416024659330172E-2</v>
      </c>
      <c r="AT44" s="82">
        <f t="shared" si="43"/>
        <v>1.3684345152516776E-2</v>
      </c>
      <c r="AU44" s="82">
        <f t="shared" si="43"/>
        <v>1.3958032055567112E-2</v>
      </c>
      <c r="AV44" s="82">
        <f t="shared" si="43"/>
        <v>1.4237192696678454E-2</v>
      </c>
      <c r="AW44" s="82">
        <f t="shared" si="43"/>
        <v>1.4521936550612022E-2</v>
      </c>
      <c r="AX44" s="82">
        <f t="shared" si="43"/>
        <v>1.4812375281624263E-2</v>
      </c>
      <c r="AY44" s="82">
        <f t="shared" si="43"/>
        <v>1.5108622787256748E-2</v>
      </c>
      <c r="AZ44" s="82">
        <f t="shared" si="43"/>
        <v>1.5410795243001882E-2</v>
      </c>
    </row>
    <row r="45" spans="1:52" x14ac:dyDescent="0.35">
      <c r="A45" s="83" t="s">
        <v>97</v>
      </c>
      <c r="B45" s="84">
        <f>SUM(B42:B43)/2</f>
        <v>0.44855964734220033</v>
      </c>
      <c r="C45" s="84">
        <f t="shared" ref="C45:T45" si="44">SUM(C42:C43)/2</f>
        <v>0.44104604297374544</v>
      </c>
      <c r="D45" s="84">
        <f t="shared" si="44"/>
        <v>0.4337059209736801</v>
      </c>
      <c r="E45" s="84">
        <f t="shared" si="44"/>
        <v>0.42653641353903038</v>
      </c>
      <c r="F45" s="84">
        <f t="shared" si="44"/>
        <v>0.41953471999237757</v>
      </c>
      <c r="G45" s="84">
        <f t="shared" si="44"/>
        <v>0.41269810568799997</v>
      </c>
      <c r="H45" s="84">
        <f t="shared" si="44"/>
        <v>0.40602390094399998</v>
      </c>
      <c r="I45" s="84">
        <f t="shared" si="44"/>
        <v>0.39950949999999996</v>
      </c>
      <c r="J45" s="84">
        <f t="shared" si="44"/>
        <v>0.39315236000000003</v>
      </c>
      <c r="K45" s="84">
        <f t="shared" si="44"/>
        <v>0.38695000000000002</v>
      </c>
      <c r="L45" s="84">
        <f t="shared" si="44"/>
        <v>0.38090000000000002</v>
      </c>
      <c r="M45" s="39">
        <f t="shared" si="44"/>
        <v>3.7398508398562274E-3</v>
      </c>
      <c r="N45" s="39">
        <f t="shared" si="44"/>
        <v>4.9049222556792954E-3</v>
      </c>
      <c r="O45" s="39">
        <f t="shared" si="44"/>
        <v>7.9141851633841437E-3</v>
      </c>
      <c r="P45" s="39">
        <f t="shared" si="44"/>
        <v>5.512045277380328E-3</v>
      </c>
      <c r="Q45" s="39">
        <f t="shared" si="44"/>
        <v>4.5675184878289808E-3</v>
      </c>
      <c r="R45" s="39">
        <f t="shared" si="44"/>
        <v>5.4719633302695199E-3</v>
      </c>
      <c r="S45" s="39">
        <f t="shared" si="44"/>
        <v>4.3763644148395661E-3</v>
      </c>
      <c r="T45" s="39">
        <f t="shared" si="44"/>
        <v>4.8238704174495897E-3</v>
      </c>
      <c r="U45" s="90">
        <f>SUM(U42:U43)/1</f>
        <v>2.5551345175370097E-2</v>
      </c>
      <c r="V45" s="90">
        <f t="shared" ref="V45:X45" si="45">SUM(V42:V43)/1</f>
        <v>1.3403287081242511E-2</v>
      </c>
      <c r="W45" s="90">
        <f t="shared" si="45"/>
        <v>8.0744311981102088E-3</v>
      </c>
      <c r="X45" s="90">
        <f t="shared" si="45"/>
        <v>9.0010375506709671E-3</v>
      </c>
    </row>
    <row r="48" spans="1:52" x14ac:dyDescent="0.35">
      <c r="A48" s="102" t="s">
        <v>103</v>
      </c>
    </row>
    <row r="51" spans="1:52" x14ac:dyDescent="0.35">
      <c r="A51" s="69" t="s">
        <v>104</v>
      </c>
    </row>
    <row r="52" spans="1:52" x14ac:dyDescent="0.35">
      <c r="B52" s="68">
        <v>2000</v>
      </c>
      <c r="C52" s="68">
        <v>2001</v>
      </c>
      <c r="D52" s="68">
        <v>2002</v>
      </c>
      <c r="E52" s="68">
        <v>2003</v>
      </c>
      <c r="F52" s="68">
        <v>2004</v>
      </c>
      <c r="G52" s="68">
        <v>2005</v>
      </c>
      <c r="H52" s="68">
        <v>2006</v>
      </c>
      <c r="I52" s="68">
        <v>2007</v>
      </c>
      <c r="J52" s="68">
        <v>2008</v>
      </c>
      <c r="K52" s="68">
        <v>2009</v>
      </c>
      <c r="L52" s="68">
        <v>2010</v>
      </c>
      <c r="M52" s="68">
        <v>2011</v>
      </c>
      <c r="N52" s="68">
        <v>2012</v>
      </c>
      <c r="O52" s="68">
        <v>2013</v>
      </c>
      <c r="P52" s="68">
        <v>2014</v>
      </c>
      <c r="Q52" s="68">
        <v>2015</v>
      </c>
      <c r="R52" s="68">
        <v>2016</v>
      </c>
      <c r="S52" s="68">
        <v>2017</v>
      </c>
      <c r="T52" s="68">
        <v>2018</v>
      </c>
      <c r="U52" s="68">
        <v>2019</v>
      </c>
      <c r="V52" s="68">
        <v>2020</v>
      </c>
      <c r="W52" s="68">
        <v>2021</v>
      </c>
      <c r="X52" s="68">
        <v>2022</v>
      </c>
      <c r="Y52" s="68">
        <v>2023</v>
      </c>
      <c r="Z52" s="68">
        <v>2024</v>
      </c>
      <c r="AA52" s="68">
        <v>2025</v>
      </c>
      <c r="AB52" s="68">
        <v>2026</v>
      </c>
      <c r="AC52" s="68">
        <v>2027</v>
      </c>
      <c r="AD52" s="68">
        <v>2028</v>
      </c>
      <c r="AE52" s="68">
        <v>2029</v>
      </c>
      <c r="AF52" s="68">
        <v>2030</v>
      </c>
      <c r="AG52" s="68">
        <v>2031</v>
      </c>
      <c r="AH52" s="68">
        <v>2032</v>
      </c>
      <c r="AI52" s="68">
        <v>2033</v>
      </c>
      <c r="AJ52" s="68">
        <v>2034</v>
      </c>
      <c r="AK52" s="68">
        <v>2035</v>
      </c>
      <c r="AL52" s="68">
        <v>2036</v>
      </c>
      <c r="AM52" s="68">
        <v>2037</v>
      </c>
      <c r="AN52" s="68">
        <v>2038</v>
      </c>
      <c r="AO52" s="68">
        <v>2039</v>
      </c>
      <c r="AP52" s="68">
        <v>2040</v>
      </c>
      <c r="AQ52" s="68">
        <v>2041</v>
      </c>
      <c r="AR52" s="68">
        <v>2042</v>
      </c>
      <c r="AS52" s="68">
        <v>2043</v>
      </c>
      <c r="AT52" s="68">
        <v>2044</v>
      </c>
      <c r="AU52" s="68">
        <v>2045</v>
      </c>
      <c r="AV52" s="68">
        <v>2046</v>
      </c>
      <c r="AW52" s="68">
        <v>2047</v>
      </c>
      <c r="AX52" s="68">
        <v>2048</v>
      </c>
      <c r="AY52" s="68">
        <v>2049</v>
      </c>
      <c r="AZ52" s="68">
        <v>2050</v>
      </c>
    </row>
    <row r="53" spans="1:52" x14ac:dyDescent="0.35">
      <c r="A53" s="71" t="s">
        <v>96</v>
      </c>
      <c r="B53" s="93">
        <f>B9</f>
        <v>64.293241077760882</v>
      </c>
      <c r="C53" s="93">
        <f t="shared" ref="C53:L53" si="46">C9</f>
        <v>65.604677338852909</v>
      </c>
      <c r="D53" s="93">
        <f t="shared" si="46"/>
        <v>66.942473215906759</v>
      </c>
      <c r="E53" s="93">
        <f t="shared" si="46"/>
        <v>68.306433146971571</v>
      </c>
      <c r="F53" s="93">
        <f t="shared" si="46"/>
        <v>69.697474423265476</v>
      </c>
      <c r="G53" s="93">
        <f t="shared" si="46"/>
        <v>71.116527688691988</v>
      </c>
      <c r="H53" s="93">
        <f t="shared" si="46"/>
        <v>72.562817016128989</v>
      </c>
      <c r="I53" s="93">
        <f t="shared" si="46"/>
        <v>74.036945563891322</v>
      </c>
      <c r="J53" s="93">
        <f t="shared" si="46"/>
        <v>75.540225835870203</v>
      </c>
      <c r="K53" s="93">
        <f t="shared" si="46"/>
        <v>77.072854057266056</v>
      </c>
      <c r="L53" s="93">
        <f t="shared" si="46"/>
        <v>78.637334063589407</v>
      </c>
      <c r="M53" s="93">
        <f>M9*100</f>
        <v>80.255101907184098</v>
      </c>
      <c r="N53" s="93">
        <f t="shared" ref="N53:X53" si="47">N9*100</f>
        <v>80.085396016719059</v>
      </c>
      <c r="O53" s="93">
        <f t="shared" si="47"/>
        <v>78.963645669588914</v>
      </c>
      <c r="P53" s="93">
        <f t="shared" si="47"/>
        <v>78.818944259061183</v>
      </c>
      <c r="Q53" s="93">
        <f t="shared" si="47"/>
        <v>79.459443291085336</v>
      </c>
      <c r="R53" s="93">
        <f t="shared" si="47"/>
        <v>78.678583905801815</v>
      </c>
      <c r="S53" s="93">
        <f t="shared" si="47"/>
        <v>78.13270964786318</v>
      </c>
      <c r="T53" s="93">
        <f t="shared" si="47"/>
        <v>80.184876546870626</v>
      </c>
      <c r="U53" s="93">
        <f t="shared" si="47"/>
        <v>79.828123330346784</v>
      </c>
      <c r="V53" s="93">
        <f t="shared" si="47"/>
        <v>75.583568656928676</v>
      </c>
      <c r="W53" s="93">
        <f t="shared" si="47"/>
        <v>79.810813797676431</v>
      </c>
      <c r="X53" s="93">
        <f t="shared" si="47"/>
        <v>81.532687913622809</v>
      </c>
      <c r="Y53" s="82">
        <f t="shared" ref="Y53:AZ53" si="48">Y9</f>
        <v>0.81125334999999998</v>
      </c>
      <c r="Z53" s="82">
        <f t="shared" si="48"/>
        <v>0.80719708324999995</v>
      </c>
      <c r="AA53" s="82">
        <f t="shared" si="48"/>
        <v>0.80316109783374989</v>
      </c>
      <c r="AB53" s="82">
        <f t="shared" si="48"/>
        <v>0.79914529234458109</v>
      </c>
      <c r="AC53" s="82">
        <f t="shared" si="48"/>
        <v>0.79514956588285823</v>
      </c>
      <c r="AD53" s="82">
        <f t="shared" si="48"/>
        <v>0.79117381805344389</v>
      </c>
      <c r="AE53" s="82">
        <f t="shared" si="48"/>
        <v>0.78721794896317665</v>
      </c>
      <c r="AF53" s="82">
        <f t="shared" si="48"/>
        <v>0.7832818592183608</v>
      </c>
      <c r="AG53" s="82">
        <f t="shared" si="48"/>
        <v>0.77936544992226897</v>
      </c>
      <c r="AH53" s="82">
        <f t="shared" si="48"/>
        <v>0.77546862267265759</v>
      </c>
      <c r="AI53" s="82">
        <f t="shared" si="48"/>
        <v>0.7715912795592943</v>
      </c>
      <c r="AJ53" s="82">
        <f t="shared" si="48"/>
        <v>0.76773332316149778</v>
      </c>
      <c r="AK53" s="82">
        <f t="shared" si="48"/>
        <v>0.76389465654569033</v>
      </c>
      <c r="AL53" s="82">
        <f t="shared" si="48"/>
        <v>0.75625570998023339</v>
      </c>
      <c r="AM53" s="82">
        <f t="shared" si="48"/>
        <v>0.74869315288043103</v>
      </c>
      <c r="AN53" s="82">
        <f t="shared" si="48"/>
        <v>0.74120622135162673</v>
      </c>
      <c r="AO53" s="82">
        <f t="shared" si="48"/>
        <v>0.73379415913811041</v>
      </c>
      <c r="AP53" s="82">
        <f t="shared" si="48"/>
        <v>0.72645621754672929</v>
      </c>
      <c r="AQ53" s="82">
        <f t="shared" si="48"/>
        <v>0.71919165537126195</v>
      </c>
      <c r="AR53" s="82">
        <f t="shared" si="48"/>
        <v>0.7119997388175493</v>
      </c>
      <c r="AS53" s="82">
        <f t="shared" si="48"/>
        <v>0.70487974142937382</v>
      </c>
      <c r="AT53" s="82">
        <f t="shared" si="48"/>
        <v>0.69783094401508006</v>
      </c>
      <c r="AU53" s="82">
        <f t="shared" si="48"/>
        <v>0.69085263457492929</v>
      </c>
      <c r="AV53" s="82">
        <f t="shared" si="48"/>
        <v>0.68394410822917995</v>
      </c>
      <c r="AW53" s="82">
        <f t="shared" si="48"/>
        <v>0.67710466714688811</v>
      </c>
      <c r="AX53" s="82">
        <f t="shared" si="48"/>
        <v>0.67033362047541922</v>
      </c>
      <c r="AY53" s="82">
        <f t="shared" si="48"/>
        <v>0.66363028427066506</v>
      </c>
      <c r="AZ53" s="82">
        <f t="shared" si="48"/>
        <v>0.6569939814279584</v>
      </c>
    </row>
    <row r="54" spans="1:52" x14ac:dyDescent="0.35">
      <c r="A54" s="85" t="s">
        <v>98</v>
      </c>
      <c r="B54" s="93">
        <f t="shared" ref="B54:L54" si="49">B15</f>
        <v>8.9262246331306123</v>
      </c>
      <c r="C54" s="93">
        <f t="shared" si="49"/>
        <v>8.1157558963133507</v>
      </c>
      <c r="D54" s="93">
        <f t="shared" si="49"/>
        <v>7.3793968731450486</v>
      </c>
      <c r="E54" s="93">
        <f t="shared" si="49"/>
        <v>6.7111778245480025</v>
      </c>
      <c r="F54" s="93">
        <f t="shared" si="49"/>
        <v>6.1042190000367604</v>
      </c>
      <c r="G54" s="93">
        <f t="shared" si="49"/>
        <v>5.552450757921302</v>
      </c>
      <c r="H54" s="93">
        <f t="shared" si="49"/>
        <v>5.0519503189416453</v>
      </c>
      <c r="I54" s="93">
        <f t="shared" si="49"/>
        <v>4.5977423199917249</v>
      </c>
      <c r="J54" s="93">
        <f t="shared" si="49"/>
        <v>4.184897190246935</v>
      </c>
      <c r="K54" s="93">
        <f t="shared" si="49"/>
        <v>3.8098163121161348</v>
      </c>
      <c r="L54" s="93">
        <f t="shared" si="49"/>
        <v>3.4679441824927411</v>
      </c>
      <c r="M54" s="93">
        <f t="shared" ref="M54:X54" si="50">M15*100</f>
        <v>3.16558708769979</v>
      </c>
      <c r="N54" s="93">
        <f t="shared" si="50"/>
        <v>3.4860278301873509</v>
      </c>
      <c r="O54" s="93">
        <f t="shared" si="50"/>
        <v>4.2143127018606732</v>
      </c>
      <c r="P54" s="93">
        <f t="shared" si="50"/>
        <v>3.9189791322813248</v>
      </c>
      <c r="Q54" s="93">
        <f t="shared" si="50"/>
        <v>3.7897041756016008</v>
      </c>
      <c r="R54" s="93">
        <f t="shared" si="50"/>
        <v>3.7560056655828316</v>
      </c>
      <c r="S54" s="93">
        <f t="shared" si="50"/>
        <v>5.0606192472778195</v>
      </c>
      <c r="T54" s="93">
        <f t="shared" si="50"/>
        <v>2.9020101246554737</v>
      </c>
      <c r="U54" s="93">
        <f t="shared" si="50"/>
        <v>2.4556745604445283</v>
      </c>
      <c r="V54" s="93">
        <f t="shared" si="50"/>
        <v>1.9815844616376532</v>
      </c>
      <c r="W54" s="93">
        <f t="shared" si="50"/>
        <v>1.9980496922170532</v>
      </c>
      <c r="X54" s="93">
        <f t="shared" si="50"/>
        <v>1.9140003671498675</v>
      </c>
      <c r="Y54" s="82">
        <f t="shared" ref="Y54:AZ54" si="51">Y15</f>
        <v>1.8948599999999999E-2</v>
      </c>
      <c r="Z54" s="103">
        <f t="shared" si="51"/>
        <v>1.8759114E-2</v>
      </c>
      <c r="AA54" s="103">
        <f t="shared" si="51"/>
        <v>1.8665318430000001E-2</v>
      </c>
      <c r="AB54" s="103">
        <f t="shared" si="51"/>
        <v>1.8571991837850001E-2</v>
      </c>
      <c r="AC54" s="103">
        <f t="shared" si="51"/>
        <v>1.8479131878660751E-2</v>
      </c>
      <c r="AD54" s="103">
        <f t="shared" si="51"/>
        <v>1.8386736219267449E-2</v>
      </c>
      <c r="AE54" s="103">
        <f t="shared" si="51"/>
        <v>1.8294802538171111E-2</v>
      </c>
      <c r="AF54" s="103">
        <f t="shared" si="51"/>
        <v>1.8203328525480254E-2</v>
      </c>
      <c r="AG54" s="103">
        <f t="shared" si="51"/>
        <v>1.8112311882852852E-2</v>
      </c>
      <c r="AH54" s="103">
        <f t="shared" si="51"/>
        <v>1.8021750323438588E-2</v>
      </c>
      <c r="AI54" s="103">
        <f t="shared" si="51"/>
        <v>1.7931641571821394E-2</v>
      </c>
      <c r="AJ54" s="103">
        <f t="shared" si="51"/>
        <v>1.7841983363962286E-2</v>
      </c>
      <c r="AK54" s="103">
        <f t="shared" si="51"/>
        <v>1.7752773447142475E-2</v>
      </c>
      <c r="AL54" s="103">
        <f t="shared" si="51"/>
        <v>1.7664009579906763E-2</v>
      </c>
      <c r="AM54" s="103">
        <f t="shared" si="51"/>
        <v>1.7575689532007228E-2</v>
      </c>
      <c r="AN54" s="103">
        <f t="shared" si="51"/>
        <v>1.7487811084347191E-2</v>
      </c>
      <c r="AO54" s="103">
        <f t="shared" si="51"/>
        <v>1.7400372028925457E-2</v>
      </c>
      <c r="AP54" s="103">
        <f t="shared" si="51"/>
        <v>1.7313370168780828E-2</v>
      </c>
      <c r="AQ54" s="103">
        <f t="shared" si="51"/>
        <v>1.7226803317936922E-2</v>
      </c>
      <c r="AR54" s="103">
        <f t="shared" si="51"/>
        <v>1.7140669301347236E-2</v>
      </c>
      <c r="AS54" s="103">
        <f t="shared" si="51"/>
        <v>1.70549659548405E-2</v>
      </c>
      <c r="AT54" s="103">
        <f t="shared" si="51"/>
        <v>1.6969691125066296E-2</v>
      </c>
      <c r="AU54" s="103">
        <f t="shared" si="51"/>
        <v>1.6884842669440965E-2</v>
      </c>
      <c r="AV54" s="103">
        <f t="shared" si="51"/>
        <v>1.6800418456093761E-2</v>
      </c>
      <c r="AW54" s="103">
        <f t="shared" si="51"/>
        <v>1.6716416363813293E-2</v>
      </c>
      <c r="AX54" s="103">
        <f t="shared" si="51"/>
        <v>1.6632834281994226E-2</v>
      </c>
      <c r="AY54" s="103">
        <f t="shared" si="51"/>
        <v>1.6549670110584256E-2</v>
      </c>
      <c r="AZ54" s="103">
        <f t="shared" si="51"/>
        <v>1.6466921760031335E-2</v>
      </c>
    </row>
    <row r="55" spans="1:52" x14ac:dyDescent="0.35">
      <c r="A55" s="87" t="s">
        <v>99</v>
      </c>
      <c r="B55" s="93">
        <f t="shared" ref="B55:L55" si="52">B21</f>
        <v>5.5425833850815396</v>
      </c>
      <c r="C55" s="93">
        <f t="shared" si="52"/>
        <v>5.6560611376639773</v>
      </c>
      <c r="D55" s="93">
        <f t="shared" si="52"/>
        <v>5.772074114660148</v>
      </c>
      <c r="E55" s="93">
        <f t="shared" si="52"/>
        <v>5.8910719331257528</v>
      </c>
      <c r="F55" s="93">
        <f t="shared" si="52"/>
        <v>6.0129075789546453</v>
      </c>
      <c r="G55" s="93">
        <f t="shared" si="52"/>
        <v>6.1374339492559864</v>
      </c>
      <c r="H55" s="93">
        <f t="shared" si="52"/>
        <v>6.2654369322700418</v>
      </c>
      <c r="I55" s="93">
        <f t="shared" si="52"/>
        <v>6.3969618114368316</v>
      </c>
      <c r="J55" s="93">
        <f t="shared" si="52"/>
        <v>6.5316767027342078</v>
      </c>
      <c r="K55" s="93">
        <f t="shared" si="52"/>
        <v>6.6698629786043382</v>
      </c>
      <c r="L55" s="93">
        <f t="shared" si="52"/>
        <v>6.8105582147017714</v>
      </c>
      <c r="M55" s="93">
        <f t="shared" ref="M55:X55" si="53">M21*100</f>
        <v>6.9614943389746591</v>
      </c>
      <c r="N55" s="93">
        <f t="shared" si="53"/>
        <v>6.587549158489618</v>
      </c>
      <c r="O55" s="93">
        <f t="shared" si="53"/>
        <v>6.0833119250852317</v>
      </c>
      <c r="P55" s="93">
        <f t="shared" si="53"/>
        <v>5.3684127329124944</v>
      </c>
      <c r="Q55" s="93">
        <f t="shared" si="53"/>
        <v>5.1039153885696047</v>
      </c>
      <c r="R55" s="93">
        <f t="shared" si="53"/>
        <v>4.7398620678878896</v>
      </c>
      <c r="S55" s="93">
        <f t="shared" si="53"/>
        <v>4.0889991716850638</v>
      </c>
      <c r="T55" s="93">
        <f t="shared" si="53"/>
        <v>4.0892278727162132</v>
      </c>
      <c r="U55" s="93">
        <f t="shared" si="53"/>
        <v>5.3519320713152556</v>
      </c>
      <c r="V55" s="93">
        <f t="shared" si="53"/>
        <v>5.9286347517730498</v>
      </c>
      <c r="W55" s="93">
        <f t="shared" si="53"/>
        <v>5.9778965117932685</v>
      </c>
      <c r="X55" s="93">
        <f t="shared" si="53"/>
        <v>4.7630909770507737</v>
      </c>
      <c r="Y55" s="82">
        <f t="shared" ref="Y55:AZ55" si="54">Y21</f>
        <v>4.6677400000000001E-2</v>
      </c>
      <c r="Z55" s="103">
        <f t="shared" si="54"/>
        <v>4.5277077999999998E-2</v>
      </c>
      <c r="AA55" s="103">
        <f t="shared" si="54"/>
        <v>4.3465994879999997E-2</v>
      </c>
      <c r="AB55" s="103">
        <f t="shared" si="54"/>
        <v>4.1292695136E-2</v>
      </c>
      <c r="AC55" s="103">
        <f t="shared" si="54"/>
        <v>3.8815133427840001E-2</v>
      </c>
      <c r="AD55" s="103">
        <f t="shared" si="54"/>
        <v>3.6098074087891202E-2</v>
      </c>
      <c r="AE55" s="103">
        <f t="shared" si="54"/>
        <v>3.3210228160859903E-2</v>
      </c>
      <c r="AF55" s="103">
        <f t="shared" si="54"/>
        <v>3.0221307626382511E-2</v>
      </c>
      <c r="AG55" s="103">
        <f t="shared" si="54"/>
        <v>2.7199176863744259E-2</v>
      </c>
      <c r="AH55" s="103">
        <f t="shared" si="54"/>
        <v>2.4479259177369834E-2</v>
      </c>
      <c r="AI55" s="103">
        <f t="shared" si="54"/>
        <v>2.203133325963285E-2</v>
      </c>
      <c r="AJ55" s="103">
        <f t="shared" si="54"/>
        <v>1.9828199933669566E-2</v>
      </c>
      <c r="AK55" s="103">
        <f t="shared" si="54"/>
        <v>1.7845379940302608E-2</v>
      </c>
      <c r="AL55" s="103">
        <f t="shared" si="54"/>
        <v>1.6060841946272348E-2</v>
      </c>
      <c r="AM55" s="103">
        <f t="shared" si="54"/>
        <v>1.4454757751645113E-2</v>
      </c>
      <c r="AN55" s="103">
        <f t="shared" si="54"/>
        <v>1.3009281976480602E-2</v>
      </c>
      <c r="AO55" s="103">
        <f t="shared" si="54"/>
        <v>1.1708353778832541E-2</v>
      </c>
      <c r="AP55" s="103">
        <f t="shared" si="54"/>
        <v>1.0537518400949287E-2</v>
      </c>
      <c r="AQ55" s="103">
        <f t="shared" si="54"/>
        <v>9.4837665608543589E-3</v>
      </c>
      <c r="AR55" s="103">
        <f t="shared" si="54"/>
        <v>8.5353899047689238E-3</v>
      </c>
      <c r="AS55" s="103">
        <f t="shared" si="54"/>
        <v>7.6818509142920315E-3</v>
      </c>
      <c r="AT55" s="103">
        <f t="shared" si="54"/>
        <v>6.9136658228628285E-3</v>
      </c>
      <c r="AU55" s="103">
        <f t="shared" si="54"/>
        <v>0</v>
      </c>
      <c r="AV55" s="103">
        <f t="shared" si="54"/>
        <v>0</v>
      </c>
      <c r="AW55" s="103">
        <f t="shared" si="54"/>
        <v>0</v>
      </c>
      <c r="AX55" s="103">
        <f t="shared" si="54"/>
        <v>0</v>
      </c>
      <c r="AY55" s="103">
        <f t="shared" si="54"/>
        <v>0</v>
      </c>
      <c r="AZ55" s="103">
        <f t="shared" si="54"/>
        <v>0</v>
      </c>
    </row>
    <row r="56" spans="1:52" x14ac:dyDescent="0.35">
      <c r="A56" s="91" t="s">
        <v>100</v>
      </c>
      <c r="B56" s="93">
        <f t="shared" ref="B56:L56" si="55">B27</f>
        <v>17.243563420215995</v>
      </c>
      <c r="C56" s="93">
        <f t="shared" si="55"/>
        <v>15.675811237404298</v>
      </c>
      <c r="D56" s="93">
        <f t="shared" si="55"/>
        <v>14.250515411768491</v>
      </c>
      <c r="E56" s="93">
        <f t="shared" si="55"/>
        <v>12.954606750569852</v>
      </c>
      <c r="F56" s="93">
        <f t="shared" si="55"/>
        <v>11.77642867999432</v>
      </c>
      <c r="G56" s="93">
        <f t="shared" si="55"/>
        <v>10.705355773775798</v>
      </c>
      <c r="H56" s="93">
        <f t="shared" si="55"/>
        <v>9.7314820416181096</v>
      </c>
      <c r="I56" s="93">
        <f t="shared" si="55"/>
        <v>8.8460198232740073</v>
      </c>
      <c r="J56" s="93">
        <f t="shared" si="55"/>
        <v>8.041043161507293</v>
      </c>
      <c r="K56" s="93">
        <f t="shared" si="55"/>
        <v>7.3092102063093254</v>
      </c>
      <c r="L56" s="93">
        <f t="shared" si="55"/>
        <v>6.6440449899783944</v>
      </c>
      <c r="M56" s="93">
        <f t="shared" ref="M56:X56" si="56">M27*100</f>
        <v>6.0390962990270785</v>
      </c>
      <c r="N56" s="93">
        <f t="shared" si="56"/>
        <v>5.6439734722289563</v>
      </c>
      <c r="O56" s="93">
        <f t="shared" si="56"/>
        <v>6.0143513139336902</v>
      </c>
      <c r="P56" s="93">
        <f t="shared" si="56"/>
        <v>5.6414198175693944</v>
      </c>
      <c r="Q56" s="93">
        <f t="shared" si="56"/>
        <v>5.6964489652819896</v>
      </c>
      <c r="R56" s="93">
        <f t="shared" si="56"/>
        <v>5.5330198041866367</v>
      </c>
      <c r="S56" s="93">
        <f t="shared" si="56"/>
        <v>6.1818861448625109</v>
      </c>
      <c r="T56" s="93">
        <f t="shared" si="56"/>
        <v>5.3866582658683679</v>
      </c>
      <c r="U56" s="93">
        <f t="shared" si="56"/>
        <v>3.8846922084220386</v>
      </c>
      <c r="V56" s="93">
        <f t="shared" si="56"/>
        <v>4.9062430164760382</v>
      </c>
      <c r="W56" s="93">
        <f t="shared" si="56"/>
        <v>4.0372155990551049</v>
      </c>
      <c r="X56" s="93">
        <f t="shared" si="56"/>
        <v>3.0557260819024652</v>
      </c>
      <c r="Y56" s="82">
        <f t="shared" ref="Y56:AZ56" si="57">Y27</f>
        <v>2.7540000000000002E-2</v>
      </c>
      <c r="Z56" s="103">
        <f t="shared" si="57"/>
        <v>2.4786000000000002E-2</v>
      </c>
      <c r="AA56" s="103">
        <f t="shared" si="57"/>
        <v>2.2307400000000002E-2</v>
      </c>
      <c r="AB56" s="103">
        <f t="shared" si="57"/>
        <v>2.0076660000000003E-2</v>
      </c>
      <c r="AC56" s="103">
        <f t="shared" si="57"/>
        <v>1.8068994000000001E-2</v>
      </c>
      <c r="AD56" s="103">
        <f t="shared" si="57"/>
        <v>1.6262094600000002E-2</v>
      </c>
      <c r="AE56" s="103">
        <f t="shared" si="57"/>
        <v>1.4635885140000002E-2</v>
      </c>
      <c r="AF56" s="103">
        <f t="shared" si="57"/>
        <v>1.3172296626000002E-2</v>
      </c>
      <c r="AG56" s="103">
        <f t="shared" si="57"/>
        <v>1.1855066963400001E-2</v>
      </c>
      <c r="AH56" s="103">
        <f t="shared" si="57"/>
        <v>1.0669560267060001E-2</v>
      </c>
      <c r="AI56" s="103">
        <f t="shared" si="57"/>
        <v>9.6026042403540013E-3</v>
      </c>
      <c r="AJ56" s="103">
        <f t="shared" si="57"/>
        <v>8.6423438163186015E-3</v>
      </c>
      <c r="AK56" s="103">
        <f t="shared" si="57"/>
        <v>0</v>
      </c>
      <c r="AL56" s="103">
        <f t="shared" si="57"/>
        <v>0</v>
      </c>
      <c r="AM56" s="103">
        <f t="shared" si="57"/>
        <v>0</v>
      </c>
      <c r="AN56" s="103">
        <f t="shared" si="57"/>
        <v>0</v>
      </c>
      <c r="AO56" s="103">
        <f t="shared" si="57"/>
        <v>0</v>
      </c>
      <c r="AP56" s="103">
        <f t="shared" si="57"/>
        <v>0</v>
      </c>
      <c r="AQ56" s="103">
        <f t="shared" si="57"/>
        <v>0</v>
      </c>
      <c r="AR56" s="103">
        <f t="shared" si="57"/>
        <v>0</v>
      </c>
      <c r="AS56" s="103">
        <f t="shared" si="57"/>
        <v>0</v>
      </c>
      <c r="AT56" s="103">
        <f t="shared" si="57"/>
        <v>0</v>
      </c>
      <c r="AU56" s="103">
        <f t="shared" si="57"/>
        <v>0</v>
      </c>
      <c r="AV56" s="103">
        <f t="shared" si="57"/>
        <v>0</v>
      </c>
      <c r="AW56" s="103">
        <f t="shared" si="57"/>
        <v>0</v>
      </c>
      <c r="AX56" s="103">
        <f t="shared" si="57"/>
        <v>0</v>
      </c>
      <c r="AY56" s="103">
        <f t="shared" si="57"/>
        <v>0</v>
      </c>
      <c r="AZ56" s="103">
        <f t="shared" si="57"/>
        <v>0</v>
      </c>
    </row>
    <row r="57" spans="1:52" x14ac:dyDescent="0.35">
      <c r="A57" s="95" t="s">
        <v>101</v>
      </c>
      <c r="B57" s="93">
        <f t="shared" ref="B57:L57" si="58">B32</f>
        <v>0.46442418343488162</v>
      </c>
      <c r="C57" s="93">
        <f t="shared" si="58"/>
        <v>0.47390222799477721</v>
      </c>
      <c r="D57" s="93">
        <f t="shared" si="58"/>
        <v>0.483573702035487</v>
      </c>
      <c r="E57" s="93">
        <f t="shared" si="58"/>
        <v>0.49344255309743568</v>
      </c>
      <c r="F57" s="93">
        <f t="shared" si="58"/>
        <v>0.50351280928309761</v>
      </c>
      <c r="G57" s="93">
        <f t="shared" si="58"/>
        <v>0.51378858090112001</v>
      </c>
      <c r="H57" s="93">
        <f t="shared" si="58"/>
        <v>0.52427406214399996</v>
      </c>
      <c r="I57" s="93">
        <f t="shared" si="58"/>
        <v>0.53497353279999993</v>
      </c>
      <c r="J57" s="93">
        <f t="shared" si="58"/>
        <v>0.54589135999999994</v>
      </c>
      <c r="K57" s="93">
        <f t="shared" si="58"/>
        <v>0.55703199999999997</v>
      </c>
      <c r="L57" s="93">
        <f t="shared" si="58"/>
        <v>0.56840000000000002</v>
      </c>
      <c r="M57" s="93">
        <f t="shared" ref="M57:X57" si="59">M32*100</f>
        <v>0.57713199348180333</v>
      </c>
      <c r="N57" s="93">
        <f t="shared" si="59"/>
        <v>0.84074150644338785</v>
      </c>
      <c r="O57" s="93">
        <f t="shared" si="59"/>
        <v>0.6275727107092246</v>
      </c>
      <c r="P57" s="93">
        <f t="shared" si="59"/>
        <v>0.69920756475993873</v>
      </c>
      <c r="Q57" s="93">
        <f t="shared" si="59"/>
        <v>0.82553302132085293</v>
      </c>
      <c r="R57" s="93">
        <f t="shared" si="59"/>
        <v>1.0022550739163119</v>
      </c>
      <c r="S57" s="93">
        <f t="shared" si="59"/>
        <v>1.1206659338907843</v>
      </c>
      <c r="T57" s="93">
        <f t="shared" si="59"/>
        <v>1.1707441805247345</v>
      </c>
      <c r="U57" s="93">
        <f t="shared" si="59"/>
        <v>1.0669340851738907</v>
      </c>
      <c r="V57" s="93">
        <f t="shared" si="59"/>
        <v>0.79787234042553201</v>
      </c>
      <c r="W57" s="93">
        <f t="shared" si="59"/>
        <v>1.271256682645153</v>
      </c>
      <c r="X57" s="93">
        <f t="shared" si="59"/>
        <v>0.85487469544314532</v>
      </c>
      <c r="Y57" s="82">
        <f t="shared" ref="Y57:AZ57" si="60">Y32</f>
        <v>8.8920000000000006E-3</v>
      </c>
      <c r="Z57" s="103">
        <f t="shared" si="60"/>
        <v>9.2476800000000012E-3</v>
      </c>
      <c r="AA57" s="103">
        <f t="shared" si="60"/>
        <v>9.7100640000000009E-3</v>
      </c>
      <c r="AB57" s="103">
        <f t="shared" si="60"/>
        <v>1.0195567200000002E-2</v>
      </c>
      <c r="AC57" s="103">
        <f t="shared" si="60"/>
        <v>1.0705345560000003E-2</v>
      </c>
      <c r="AD57" s="103">
        <f t="shared" si="60"/>
        <v>1.1240612838000003E-2</v>
      </c>
      <c r="AE57" s="103">
        <f t="shared" si="60"/>
        <v>1.1802643479900003E-2</v>
      </c>
      <c r="AF57" s="103">
        <f t="shared" si="60"/>
        <v>1.2392775653895004E-2</v>
      </c>
      <c r="AG57" s="103">
        <f t="shared" si="60"/>
        <v>1.3260269949667655E-2</v>
      </c>
      <c r="AH57" s="103">
        <f t="shared" si="60"/>
        <v>1.4188488846144392E-2</v>
      </c>
      <c r="AI57" s="103">
        <f t="shared" si="60"/>
        <v>1.5181683065374499E-2</v>
      </c>
      <c r="AJ57" s="103">
        <f t="shared" si="60"/>
        <v>1.6244400879950716E-2</v>
      </c>
      <c r="AK57" s="103">
        <f t="shared" si="60"/>
        <v>1.7381508941547268E-2</v>
      </c>
      <c r="AL57" s="103">
        <f t="shared" si="60"/>
        <v>1.877202965687105E-2</v>
      </c>
      <c r="AM57" s="103">
        <f t="shared" si="60"/>
        <v>2.0273792029420735E-2</v>
      </c>
      <c r="AN57" s="103">
        <f t="shared" si="60"/>
        <v>2.1895695391774394E-2</v>
      </c>
      <c r="AO57" s="103">
        <f t="shared" si="60"/>
        <v>2.3647351023116346E-2</v>
      </c>
      <c r="AP57" s="103">
        <f t="shared" si="60"/>
        <v>2.5539139104965653E-2</v>
      </c>
      <c r="AQ57" s="103">
        <f t="shared" si="60"/>
        <v>2.7582270233362904E-2</v>
      </c>
      <c r="AR57" s="103">
        <f t="shared" si="60"/>
        <v>2.9788851852031936E-2</v>
      </c>
      <c r="AS57" s="103">
        <f t="shared" si="60"/>
        <v>3.217196000019449E-2</v>
      </c>
      <c r="AT57" s="103">
        <f t="shared" si="60"/>
        <v>3.4745716800210047E-2</v>
      </c>
      <c r="AU57" s="103">
        <f t="shared" si="60"/>
        <v>3.7525374144226853E-2</v>
      </c>
      <c r="AV57" s="103">
        <f t="shared" si="60"/>
        <v>4.0902657817207269E-2</v>
      </c>
      <c r="AW57" s="103">
        <f t="shared" si="60"/>
        <v>4.4583897020755922E-2</v>
      </c>
      <c r="AX57" s="103">
        <f t="shared" si="60"/>
        <v>4.8596447752623957E-2</v>
      </c>
      <c r="AY57" s="103">
        <f t="shared" si="60"/>
        <v>5.297012805036011E-2</v>
      </c>
      <c r="AZ57" s="103">
        <f t="shared" si="60"/>
        <v>5.7737439574892517E-2</v>
      </c>
    </row>
    <row r="58" spans="1:52" x14ac:dyDescent="0.35">
      <c r="A58" s="98" t="s">
        <v>102</v>
      </c>
      <c r="B58" s="93">
        <f t="shared" ref="B58:L58" si="61">B38</f>
        <v>1.8683576948840623</v>
      </c>
      <c r="C58" s="93">
        <f t="shared" si="61"/>
        <v>1.9065342702674213</v>
      </c>
      <c r="D58" s="93">
        <f t="shared" si="61"/>
        <v>1.9455181928485361</v>
      </c>
      <c r="E58" s="93">
        <f t="shared" si="61"/>
        <v>1.9853771510925677</v>
      </c>
      <c r="F58" s="93">
        <f t="shared" si="61"/>
        <v>2.0261022397009167</v>
      </c>
      <c r="G58" s="93">
        <f t="shared" si="61"/>
        <v>2.0676847463821328</v>
      </c>
      <c r="H58" s="93">
        <f t="shared" si="61"/>
        <v>2.1102362554191543</v>
      </c>
      <c r="I58" s="93">
        <f t="shared" si="61"/>
        <v>2.1537732385888999</v>
      </c>
      <c r="J58" s="93">
        <f t="shared" si="61"/>
        <v>2.1982638385697495</v>
      </c>
      <c r="K58" s="93">
        <f t="shared" si="61"/>
        <v>2.2437553536817467</v>
      </c>
      <c r="L58" s="93">
        <f t="shared" si="61"/>
        <v>2.2901352157536938</v>
      </c>
      <c r="M58" s="93">
        <f t="shared" ref="M58:X58" si="62">M38*100</f>
        <v>2.342172306242591</v>
      </c>
      <c r="N58" s="93">
        <f t="shared" si="62"/>
        <v>2.3796640780994669</v>
      </c>
      <c r="O58" s="93">
        <f t="shared" si="62"/>
        <v>3.0122513424922759</v>
      </c>
      <c r="P58" s="93">
        <f t="shared" si="62"/>
        <v>4.4681275151059072</v>
      </c>
      <c r="Q58" s="93">
        <f t="shared" si="62"/>
        <v>4.2094101187907746</v>
      </c>
      <c r="R58" s="93">
        <f t="shared" si="62"/>
        <v>5.3167908195474958</v>
      </c>
      <c r="S58" s="93">
        <f t="shared" si="62"/>
        <v>4.623562812492402</v>
      </c>
      <c r="T58" s="93">
        <f t="shared" si="62"/>
        <v>5.4479024612713127</v>
      </c>
      <c r="U58" s="93">
        <f t="shared" si="62"/>
        <v>4.8575092267604827</v>
      </c>
      <c r="V58" s="93">
        <f t="shared" si="62"/>
        <v>9.3894114539950841</v>
      </c>
      <c r="W58" s="93">
        <f t="shared" si="62"/>
        <v>7.7263120087306083</v>
      </c>
      <c r="X58" s="93">
        <f t="shared" si="62"/>
        <v>6.9795162097638475</v>
      </c>
      <c r="Y58" s="82">
        <f t="shared" ref="Y58:AZ58" si="63">Y38</f>
        <v>7.3289999999999994E-2</v>
      </c>
      <c r="Z58" s="103">
        <f t="shared" si="63"/>
        <v>7.6954499999999995E-2</v>
      </c>
      <c r="AA58" s="103">
        <f t="shared" si="63"/>
        <v>8.0802224999999991E-2</v>
      </c>
      <c r="AB58" s="103">
        <f t="shared" si="63"/>
        <v>8.4842336249999997E-2</v>
      </c>
      <c r="AC58" s="103">
        <f t="shared" si="63"/>
        <v>8.9084453062499999E-2</v>
      </c>
      <c r="AD58" s="103">
        <f t="shared" si="63"/>
        <v>9.3538675715625005E-2</v>
      </c>
      <c r="AE58" s="103">
        <f t="shared" si="63"/>
        <v>9.8215609501406259E-2</v>
      </c>
      <c r="AF58" s="103">
        <f t="shared" si="63"/>
        <v>0.10312638997647658</v>
      </c>
      <c r="AG58" s="103">
        <f t="shared" si="63"/>
        <v>0.10828270947530041</v>
      </c>
      <c r="AH58" s="103">
        <f t="shared" si="63"/>
        <v>0.11369684494906543</v>
      </c>
      <c r="AI58" s="103">
        <f t="shared" si="63"/>
        <v>0.1193816871965187</v>
      </c>
      <c r="AJ58" s="103">
        <f t="shared" si="63"/>
        <v>0.12535077155634464</v>
      </c>
      <c r="AK58" s="103">
        <f t="shared" si="63"/>
        <v>0.13161831013416186</v>
      </c>
      <c r="AL58" s="103">
        <f t="shared" si="63"/>
        <v>0.13819922564086995</v>
      </c>
      <c r="AM58" s="103">
        <f t="shared" si="63"/>
        <v>0.14510918692291344</v>
      </c>
      <c r="AN58" s="103">
        <f t="shared" si="63"/>
        <v>0.1523646462690591</v>
      </c>
      <c r="AO58" s="103">
        <f t="shared" si="63"/>
        <v>0.15998287858251206</v>
      </c>
      <c r="AP58" s="103">
        <f t="shared" si="63"/>
        <v>0.16798202251163766</v>
      </c>
      <c r="AQ58" s="103">
        <f t="shared" si="63"/>
        <v>0.17638112363721953</v>
      </c>
      <c r="AR58" s="103">
        <f t="shared" si="63"/>
        <v>0.18520017981908049</v>
      </c>
      <c r="AS58" s="103">
        <f t="shared" si="63"/>
        <v>0.19446018881003452</v>
      </c>
      <c r="AT58" s="103">
        <f t="shared" si="63"/>
        <v>0.20418319825053624</v>
      </c>
      <c r="AU58" s="103">
        <f t="shared" si="63"/>
        <v>0.21439235816306307</v>
      </c>
      <c r="AV58" s="103">
        <f t="shared" si="63"/>
        <v>0.22511197607121622</v>
      </c>
      <c r="AW58" s="103">
        <f t="shared" si="63"/>
        <v>0.23186533535335271</v>
      </c>
      <c r="AX58" s="103">
        <f t="shared" si="63"/>
        <v>0.23882129541395331</v>
      </c>
      <c r="AY58" s="103">
        <f t="shared" si="63"/>
        <v>0.24598593427637191</v>
      </c>
      <c r="AZ58" s="103">
        <f t="shared" si="63"/>
        <v>0.25336551230466309</v>
      </c>
    </row>
    <row r="59" spans="1:52" x14ac:dyDescent="0.35">
      <c r="A59" s="100" t="s">
        <v>56</v>
      </c>
      <c r="B59" s="93">
        <f>B44</f>
        <v>0.75815519699821654</v>
      </c>
      <c r="C59" s="93">
        <f t="shared" ref="C59:L59" si="64">C44</f>
        <v>0.74347284956580628</v>
      </c>
      <c r="D59" s="93">
        <f t="shared" si="64"/>
        <v>0.72904830145258093</v>
      </c>
      <c r="E59" s="93">
        <f t="shared" si="64"/>
        <v>0.71481351098110557</v>
      </c>
      <c r="F59" s="93">
        <f t="shared" si="64"/>
        <v>0.70080714535044808</v>
      </c>
      <c r="G59" s="93">
        <f t="shared" si="64"/>
        <v>0.68706173914026802</v>
      </c>
      <c r="H59" s="93">
        <f t="shared" si="64"/>
        <v>0.67346782861483123</v>
      </c>
      <c r="I59" s="93">
        <f t="shared" si="64"/>
        <v>0.66003817971509215</v>
      </c>
      <c r="J59" s="93">
        <f t="shared" si="64"/>
        <v>0.64683472530963737</v>
      </c>
      <c r="K59" s="93">
        <f t="shared" si="64"/>
        <v>0.63383091920329404</v>
      </c>
      <c r="L59" s="93">
        <f t="shared" si="64"/>
        <v>0.62115697718840734</v>
      </c>
      <c r="M59" s="93">
        <f>M44*100</f>
        <v>0.6040192651367412</v>
      </c>
      <c r="N59" s="93">
        <f t="shared" ref="N59:X59" si="65">N44*100</f>
        <v>0.81549775624301657</v>
      </c>
      <c r="O59" s="93">
        <f t="shared" si="65"/>
        <v>0.91211386120278592</v>
      </c>
      <c r="P59" s="93">
        <f t="shared" si="65"/>
        <v>0.9031321684865401</v>
      </c>
      <c r="Q59" s="93">
        <f t="shared" si="65"/>
        <v>0.78228585008893003</v>
      </c>
      <c r="R59" s="93">
        <f t="shared" si="65"/>
        <v>0.90437925883560788</v>
      </c>
      <c r="S59" s="93">
        <f t="shared" si="65"/>
        <v>0.75328065193794314</v>
      </c>
      <c r="T59" s="93">
        <f t="shared" si="65"/>
        <v>0.82259183244776812</v>
      </c>
      <c r="U59" s="93">
        <f t="shared" si="65"/>
        <v>2.5551345175370095</v>
      </c>
      <c r="V59" s="93">
        <f t="shared" si="65"/>
        <v>1.340328708124251</v>
      </c>
      <c r="W59" s="93">
        <f t="shared" si="65"/>
        <v>0.8074431198110209</v>
      </c>
      <c r="X59" s="93">
        <f t="shared" si="65"/>
        <v>0.90010375506709672</v>
      </c>
      <c r="Y59" s="82">
        <f>Y44</f>
        <v>9.0286000000000012E-3</v>
      </c>
      <c r="Z59" s="103">
        <f t="shared" ref="Z59:AZ59" si="66">Z44</f>
        <v>9.2091720000000016E-3</v>
      </c>
      <c r="AA59" s="103">
        <f t="shared" si="66"/>
        <v>9.3933554400000008E-3</v>
      </c>
      <c r="AB59" s="103">
        <f t="shared" si="66"/>
        <v>9.5812225488000006E-3</v>
      </c>
      <c r="AC59" s="103">
        <f t="shared" si="66"/>
        <v>9.7728469997759998E-3</v>
      </c>
      <c r="AD59" s="103">
        <f t="shared" si="66"/>
        <v>9.9683039397715206E-3</v>
      </c>
      <c r="AE59" s="103">
        <f t="shared" si="66"/>
        <v>1.016767001856695E-2</v>
      </c>
      <c r="AF59" s="103">
        <f t="shared" si="66"/>
        <v>1.0371023418938289E-2</v>
      </c>
      <c r="AG59" s="103">
        <f t="shared" si="66"/>
        <v>1.0578443887317055E-2</v>
      </c>
      <c r="AH59" s="103">
        <f t="shared" si="66"/>
        <v>1.0790012765063396E-2</v>
      </c>
      <c r="AI59" s="103">
        <f t="shared" si="66"/>
        <v>1.1005813020364665E-2</v>
      </c>
      <c r="AJ59" s="103">
        <f t="shared" si="66"/>
        <v>1.1225929280771959E-2</v>
      </c>
      <c r="AK59" s="103">
        <f t="shared" si="66"/>
        <v>1.1450447866387398E-2</v>
      </c>
      <c r="AL59" s="103">
        <f t="shared" si="66"/>
        <v>1.1679456823715146E-2</v>
      </c>
      <c r="AM59" s="103">
        <f t="shared" si="66"/>
        <v>1.1913045960189449E-2</v>
      </c>
      <c r="AN59" s="103">
        <f t="shared" si="66"/>
        <v>1.2151306879393238E-2</v>
      </c>
      <c r="AO59" s="103">
        <f t="shared" si="66"/>
        <v>1.2394333016981103E-2</v>
      </c>
      <c r="AP59" s="103">
        <f t="shared" si="66"/>
        <v>1.2642219677320725E-2</v>
      </c>
      <c r="AQ59" s="103">
        <f t="shared" si="66"/>
        <v>1.289506407086714E-2</v>
      </c>
      <c r="AR59" s="103">
        <f t="shared" si="66"/>
        <v>1.3152965352284482E-2</v>
      </c>
      <c r="AS59" s="103">
        <f t="shared" si="66"/>
        <v>1.3416024659330172E-2</v>
      </c>
      <c r="AT59" s="103">
        <f t="shared" si="66"/>
        <v>1.3684345152516776E-2</v>
      </c>
      <c r="AU59" s="103">
        <f t="shared" si="66"/>
        <v>1.3958032055567112E-2</v>
      </c>
      <c r="AV59" s="103">
        <f t="shared" si="66"/>
        <v>1.4237192696678454E-2</v>
      </c>
      <c r="AW59" s="103">
        <f t="shared" si="66"/>
        <v>1.4521936550612022E-2</v>
      </c>
      <c r="AX59" s="103">
        <f t="shared" si="66"/>
        <v>1.4812375281624263E-2</v>
      </c>
      <c r="AY59" s="103">
        <f t="shared" si="66"/>
        <v>1.5108622787256748E-2</v>
      </c>
      <c r="AZ59" s="103">
        <f t="shared" si="66"/>
        <v>1.5410795243001882E-2</v>
      </c>
    </row>
    <row r="60" spans="1:52" x14ac:dyDescent="0.35">
      <c r="B60" s="93">
        <f>SUM(B53:B59)</f>
        <v>99.096549591506204</v>
      </c>
      <c r="C60" s="93">
        <f t="shared" ref="C60:AZ60" si="67">SUM(C53:C59)</f>
        <v>98.176214958062531</v>
      </c>
      <c r="D60" s="93">
        <f t="shared" si="67"/>
        <v>97.502599811817049</v>
      </c>
      <c r="E60" s="93">
        <f t="shared" si="67"/>
        <v>97.056922870386288</v>
      </c>
      <c r="F60" s="93">
        <f t="shared" si="67"/>
        <v>96.82145187658567</v>
      </c>
      <c r="G60" s="93">
        <f t="shared" si="67"/>
        <v>96.78030323606859</v>
      </c>
      <c r="H60" s="93">
        <f t="shared" si="67"/>
        <v>96.919664455136768</v>
      </c>
      <c r="I60" s="93">
        <f t="shared" si="67"/>
        <v>97.22645446969787</v>
      </c>
      <c r="J60" s="93">
        <f t="shared" si="67"/>
        <v>97.688832814237998</v>
      </c>
      <c r="K60" s="93">
        <f t="shared" si="67"/>
        <v>98.296361827180917</v>
      </c>
      <c r="L60" s="93">
        <f t="shared" si="67"/>
        <v>99.039573643704415</v>
      </c>
      <c r="M60" s="93">
        <f t="shared" si="67"/>
        <v>99.944603197746758</v>
      </c>
      <c r="N60" s="93">
        <f t="shared" si="67"/>
        <v>99.838849818410864</v>
      </c>
      <c r="O60" s="93">
        <f t="shared" si="67"/>
        <v>99.827559524872797</v>
      </c>
      <c r="P60" s="93">
        <f t="shared" si="67"/>
        <v>99.818223190176781</v>
      </c>
      <c r="Q60" s="93">
        <f t="shared" si="67"/>
        <v>99.866740810739074</v>
      </c>
      <c r="R60" s="93">
        <f t="shared" si="67"/>
        <v>99.930896595758583</v>
      </c>
      <c r="S60" s="93">
        <f t="shared" si="67"/>
        <v>99.961723610009713</v>
      </c>
      <c r="T60" s="93">
        <f t="shared" si="67"/>
        <v>100.00401128435449</v>
      </c>
      <c r="U60" s="93">
        <f t="shared" si="67"/>
        <v>99.999999999999986</v>
      </c>
      <c r="V60" s="93">
        <f t="shared" si="67"/>
        <v>99.92764338936027</v>
      </c>
      <c r="W60" s="93">
        <f t="shared" si="67"/>
        <v>101.62898741192865</v>
      </c>
      <c r="X60" s="93">
        <f t="shared" si="67"/>
        <v>100</v>
      </c>
      <c r="Y60" s="82">
        <f t="shared" si="67"/>
        <v>0.99562994999999999</v>
      </c>
      <c r="Z60" s="82">
        <f t="shared" si="67"/>
        <v>0.99143062724999997</v>
      </c>
      <c r="AA60" s="82">
        <f t="shared" si="67"/>
        <v>0.9875054555837498</v>
      </c>
      <c r="AB60" s="82">
        <f t="shared" si="67"/>
        <v>0.98370576531723108</v>
      </c>
      <c r="AC60" s="82">
        <f t="shared" si="67"/>
        <v>0.98007547081163504</v>
      </c>
      <c r="AD60" s="82">
        <f t="shared" si="67"/>
        <v>0.97666831545399924</v>
      </c>
      <c r="AE60" s="82">
        <f t="shared" si="67"/>
        <v>0.97354478780208098</v>
      </c>
      <c r="AF60" s="82">
        <f t="shared" si="67"/>
        <v>0.97076898104553333</v>
      </c>
      <c r="AG60" s="82">
        <f t="shared" si="67"/>
        <v>0.96865342894455131</v>
      </c>
      <c r="AH60" s="82">
        <f t="shared" si="67"/>
        <v>0.96731453900079922</v>
      </c>
      <c r="AI60" s="82">
        <f t="shared" si="67"/>
        <v>0.9667260419133602</v>
      </c>
      <c r="AJ60" s="82">
        <f t="shared" si="67"/>
        <v>0.96686695199251549</v>
      </c>
      <c r="AK60" s="82">
        <f t="shared" si="67"/>
        <v>0.95994307687523184</v>
      </c>
      <c r="AL60" s="82">
        <f t="shared" si="67"/>
        <v>0.95863127362786871</v>
      </c>
      <c r="AM60" s="82">
        <f t="shared" si="67"/>
        <v>0.95801962507660698</v>
      </c>
      <c r="AN60" s="82">
        <f t="shared" si="67"/>
        <v>0.95811496295268128</v>
      </c>
      <c r="AO60" s="82">
        <f t="shared" si="67"/>
        <v>0.95892744756847781</v>
      </c>
      <c r="AP60" s="82">
        <f t="shared" si="67"/>
        <v>0.96047048741038343</v>
      </c>
      <c r="AQ60" s="82">
        <f t="shared" si="67"/>
        <v>0.96276068319150276</v>
      </c>
      <c r="AR60" s="82">
        <f t="shared" si="67"/>
        <v>0.96581779504706244</v>
      </c>
      <c r="AS60" s="82">
        <f t="shared" si="67"/>
        <v>0.96966473176806556</v>
      </c>
      <c r="AT60" s="82">
        <f t="shared" si="67"/>
        <v>0.97432756116627228</v>
      </c>
      <c r="AU60" s="82">
        <f t="shared" si="67"/>
        <v>0.97361324160722729</v>
      </c>
      <c r="AV60" s="82">
        <f t="shared" si="67"/>
        <v>0.98099635327037571</v>
      </c>
      <c r="AW60" s="82">
        <f t="shared" si="67"/>
        <v>0.98479225243542212</v>
      </c>
      <c r="AX60" s="82">
        <f t="shared" si="67"/>
        <v>0.98919657320561494</v>
      </c>
      <c r="AY60" s="82">
        <f t="shared" si="67"/>
        <v>0.99424463949523822</v>
      </c>
      <c r="AZ60" s="82">
        <f t="shared" si="67"/>
        <v>0.99997465031054722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Coll. portables Zn-based</vt:lpstr>
      <vt:lpstr>Coll. portables Li-Rechargeable</vt:lpstr>
      <vt:lpstr>Coll. portables Li-Primary</vt:lpstr>
      <vt:lpstr>Coll. portables Lead-acid</vt:lpstr>
      <vt:lpstr>Coll. portables NiMH</vt:lpstr>
      <vt:lpstr>Coll. portables NiCd</vt:lpstr>
      <vt:lpstr>Coll. portables Other</vt:lpstr>
      <vt:lpstr>Collection Rate</vt:lpstr>
      <vt:lpstr>Weighted Average</vt:lpstr>
      <vt:lpstr>Eurostat Collected Portables</vt:lpstr>
      <vt:lpstr>Eurostat POM Portables</vt:lpstr>
      <vt:lpstr>POM Portables Zn-based</vt:lpstr>
      <vt:lpstr>POM Portables Li-Rechargeab</vt:lpstr>
      <vt:lpstr>POM Portables Li-Primary</vt:lpstr>
      <vt:lpstr>POM Portables Lead-acid</vt:lpstr>
      <vt:lpstr>POM Portables NiMH</vt:lpstr>
      <vt:lpstr>POM Portables NiCd</vt:lpstr>
      <vt:lpstr>POM Portables Other</vt:lpstr>
      <vt:lpstr>Market assumptions</vt:lpstr>
      <vt:lpstr>Overview Graphics</vt:lpstr>
      <vt:lpstr>Overview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 Itirit</dc:creator>
  <cp:lastModifiedBy>Maisel, Franziska</cp:lastModifiedBy>
  <dcterms:created xsi:type="dcterms:W3CDTF">2016-10-20T09:52:22Z</dcterms:created>
  <dcterms:modified xsi:type="dcterms:W3CDTF">2024-06-06T11:34:15Z</dcterms:modified>
</cp:coreProperties>
</file>