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780" tabRatio="500" activeTab="1"/>
  </bookViews>
  <sheets>
    <sheet name="rawData_AWOpizzaDMOP" sheetId="1" r:id="rId1"/>
    <sheet name="clicksCalcuationsAndGraphs" sheetId="3" r:id="rId2"/>
    <sheet name="stats" sheetId="5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8" i="3" l="1"/>
  <c r="AD8" i="3"/>
  <c r="AE8" i="3"/>
  <c r="AF8" i="3"/>
  <c r="AG8" i="3"/>
  <c r="AB8" i="3"/>
  <c r="AL29" i="3"/>
  <c r="AM29" i="3"/>
  <c r="AN29" i="3"/>
  <c r="AO29" i="3"/>
  <c r="AP29" i="3"/>
  <c r="AQ29" i="3"/>
  <c r="AL28" i="3"/>
  <c r="AM28" i="3"/>
  <c r="AN28" i="3"/>
  <c r="AO28" i="3"/>
  <c r="AP28" i="3"/>
  <c r="AQ28" i="3"/>
  <c r="AL27" i="3"/>
  <c r="AM27" i="3"/>
  <c r="AN27" i="3"/>
  <c r="AO27" i="3"/>
  <c r="AP27" i="3"/>
  <c r="AQ27" i="3"/>
  <c r="AL26" i="3"/>
  <c r="AM26" i="3"/>
  <c r="AN26" i="3"/>
  <c r="AO26" i="3"/>
  <c r="AP26" i="3"/>
  <c r="AQ26" i="3"/>
  <c r="AL25" i="3"/>
  <c r="AM25" i="3"/>
  <c r="AN25" i="3"/>
  <c r="AO25" i="3"/>
  <c r="AP25" i="3"/>
  <c r="AQ25" i="3"/>
  <c r="AL24" i="3"/>
  <c r="AM24" i="3"/>
  <c r="AN24" i="3"/>
  <c r="AO24" i="3"/>
  <c r="AP24" i="3"/>
  <c r="AQ24" i="3"/>
  <c r="AL23" i="3"/>
  <c r="AM23" i="3"/>
  <c r="AN23" i="3"/>
  <c r="AO23" i="3"/>
  <c r="AP23" i="3"/>
  <c r="AQ23" i="3"/>
  <c r="AL22" i="3"/>
  <c r="AM22" i="3"/>
  <c r="AN22" i="3"/>
  <c r="AO22" i="3"/>
  <c r="AP22" i="3"/>
  <c r="AQ22" i="3"/>
  <c r="AL21" i="3"/>
  <c r="AM21" i="3"/>
  <c r="AN21" i="3"/>
  <c r="AO21" i="3"/>
  <c r="AP21" i="3"/>
  <c r="AQ21" i="3"/>
  <c r="AL20" i="3"/>
  <c r="AM20" i="3"/>
  <c r="AN20" i="3"/>
  <c r="AO20" i="3"/>
  <c r="AP20" i="3"/>
  <c r="AQ20" i="3"/>
  <c r="AL19" i="3"/>
  <c r="AM19" i="3"/>
  <c r="AN19" i="3"/>
  <c r="AO19" i="3"/>
  <c r="AP19" i="3"/>
  <c r="AQ19" i="3"/>
  <c r="AL18" i="3"/>
  <c r="AM18" i="3"/>
  <c r="AN18" i="3"/>
  <c r="AO18" i="3"/>
  <c r="AP18" i="3"/>
  <c r="AQ18" i="3"/>
  <c r="AL17" i="3"/>
  <c r="AM17" i="3"/>
  <c r="AN17" i="3"/>
  <c r="AO17" i="3"/>
  <c r="AP17" i="3"/>
  <c r="AQ17" i="3"/>
  <c r="AL16" i="3"/>
  <c r="AM16" i="3"/>
  <c r="AN16" i="3"/>
  <c r="AO16" i="3"/>
  <c r="AP16" i="3"/>
  <c r="AQ16" i="3"/>
  <c r="AL15" i="3"/>
  <c r="AM15" i="3"/>
  <c r="AN15" i="3"/>
  <c r="AO15" i="3"/>
  <c r="AP15" i="3"/>
  <c r="AQ15" i="3"/>
  <c r="AL14" i="3"/>
  <c r="AM14" i="3"/>
  <c r="AN14" i="3"/>
  <c r="AO14" i="3"/>
  <c r="AP14" i="3"/>
  <c r="AQ14" i="3"/>
  <c r="AL13" i="3"/>
  <c r="AM13" i="3"/>
  <c r="AN13" i="3"/>
  <c r="AO13" i="3"/>
  <c r="AP13" i="3"/>
  <c r="AQ13" i="3"/>
  <c r="AL12" i="3"/>
  <c r="AM12" i="3"/>
  <c r="AN12" i="3"/>
  <c r="AO12" i="3"/>
  <c r="AP12" i="3"/>
  <c r="AQ12" i="3"/>
  <c r="AK29" i="3"/>
  <c r="AK28" i="3"/>
  <c r="AK27" i="3"/>
  <c r="AK26" i="3"/>
  <c r="AK25" i="3"/>
  <c r="AK23" i="3"/>
  <c r="AK21" i="3"/>
  <c r="AK19" i="3"/>
  <c r="AK17" i="3"/>
  <c r="AK15" i="3"/>
  <c r="AK13" i="3"/>
  <c r="AK24" i="3"/>
  <c r="AK22" i="3"/>
  <c r="AK20" i="3"/>
  <c r="AK18" i="3"/>
  <c r="AK16" i="3"/>
  <c r="AK14" i="3"/>
  <c r="AK12" i="3"/>
  <c r="D29" i="3"/>
  <c r="E29" i="3"/>
  <c r="F29" i="3"/>
  <c r="G29" i="3"/>
  <c r="H29" i="3"/>
  <c r="D27" i="3"/>
  <c r="E27" i="3"/>
  <c r="F27" i="3"/>
  <c r="G27" i="3"/>
  <c r="H27" i="3"/>
  <c r="D25" i="3"/>
  <c r="E25" i="3"/>
  <c r="F25" i="3"/>
  <c r="G25" i="3"/>
  <c r="H25" i="3"/>
  <c r="D23" i="3"/>
  <c r="E23" i="3"/>
  <c r="F23" i="3"/>
  <c r="G23" i="3"/>
  <c r="H23" i="3"/>
  <c r="D21" i="3"/>
  <c r="E21" i="3"/>
  <c r="F21" i="3"/>
  <c r="G21" i="3"/>
  <c r="H21" i="3"/>
  <c r="D19" i="3"/>
  <c r="E19" i="3"/>
  <c r="F19" i="3"/>
  <c r="G19" i="3"/>
  <c r="H19" i="3"/>
  <c r="D17" i="3"/>
  <c r="E17" i="3"/>
  <c r="F17" i="3"/>
  <c r="G17" i="3"/>
  <c r="H17" i="3"/>
  <c r="D15" i="3"/>
  <c r="E15" i="3"/>
  <c r="F15" i="3"/>
  <c r="G15" i="3"/>
  <c r="H15" i="3"/>
  <c r="D13" i="3"/>
  <c r="E13" i="3"/>
  <c r="F13" i="3"/>
  <c r="G13" i="3"/>
  <c r="H13" i="3"/>
  <c r="C29" i="3"/>
  <c r="C28" i="3"/>
  <c r="C27" i="3"/>
  <c r="C25" i="3"/>
  <c r="C23" i="3"/>
  <c r="C21" i="3"/>
  <c r="C19" i="3"/>
  <c r="C17" i="3"/>
  <c r="C15" i="3"/>
  <c r="C13" i="3"/>
  <c r="L29" i="3"/>
  <c r="M29" i="3"/>
  <c r="N29" i="3"/>
  <c r="O29" i="3"/>
  <c r="P29" i="3"/>
  <c r="L27" i="3"/>
  <c r="M27" i="3"/>
  <c r="N27" i="3"/>
  <c r="O27" i="3"/>
  <c r="P27" i="3"/>
  <c r="L25" i="3"/>
  <c r="M25" i="3"/>
  <c r="N25" i="3"/>
  <c r="O25" i="3"/>
  <c r="P25" i="3"/>
  <c r="L23" i="3"/>
  <c r="M23" i="3"/>
  <c r="N23" i="3"/>
  <c r="O23" i="3"/>
  <c r="P23" i="3"/>
  <c r="L21" i="3"/>
  <c r="M21" i="3"/>
  <c r="N21" i="3"/>
  <c r="O21" i="3"/>
  <c r="P21" i="3"/>
  <c r="L19" i="3"/>
  <c r="M19" i="3"/>
  <c r="N19" i="3"/>
  <c r="O19" i="3"/>
  <c r="P19" i="3"/>
  <c r="L17" i="3"/>
  <c r="M17" i="3"/>
  <c r="N17" i="3"/>
  <c r="O17" i="3"/>
  <c r="P17" i="3"/>
  <c r="L15" i="3"/>
  <c r="M15" i="3"/>
  <c r="N15" i="3"/>
  <c r="O15" i="3"/>
  <c r="P15" i="3"/>
  <c r="L13" i="3"/>
  <c r="M13" i="3"/>
  <c r="N13" i="3"/>
  <c r="O13" i="3"/>
  <c r="P13" i="3"/>
  <c r="K29" i="3"/>
  <c r="K27" i="3"/>
  <c r="K25" i="3"/>
  <c r="K23" i="3"/>
  <c r="K21" i="3"/>
  <c r="K19" i="3"/>
  <c r="K17" i="3"/>
  <c r="K15" i="3"/>
  <c r="T29" i="3"/>
  <c r="U29" i="3"/>
  <c r="V29" i="3"/>
  <c r="W29" i="3"/>
  <c r="X29" i="3"/>
  <c r="T27" i="3"/>
  <c r="U27" i="3"/>
  <c r="V27" i="3"/>
  <c r="W27" i="3"/>
  <c r="X27" i="3"/>
  <c r="T25" i="3"/>
  <c r="U25" i="3"/>
  <c r="V25" i="3"/>
  <c r="W25" i="3"/>
  <c r="X25" i="3"/>
  <c r="T23" i="3"/>
  <c r="U23" i="3"/>
  <c r="V23" i="3"/>
  <c r="W23" i="3"/>
  <c r="X23" i="3"/>
  <c r="T21" i="3"/>
  <c r="U21" i="3"/>
  <c r="V21" i="3"/>
  <c r="W21" i="3"/>
  <c r="X21" i="3"/>
  <c r="T19" i="3"/>
  <c r="U19" i="3"/>
  <c r="V19" i="3"/>
  <c r="W19" i="3"/>
  <c r="X19" i="3"/>
  <c r="T17" i="3"/>
  <c r="U17" i="3"/>
  <c r="V17" i="3"/>
  <c r="W17" i="3"/>
  <c r="X17" i="3"/>
  <c r="T15" i="3"/>
  <c r="U15" i="3"/>
  <c r="V15" i="3"/>
  <c r="W15" i="3"/>
  <c r="X15" i="3"/>
  <c r="T13" i="3"/>
  <c r="U13" i="3"/>
  <c r="V13" i="3"/>
  <c r="W13" i="3"/>
  <c r="X13" i="3"/>
  <c r="K13" i="3"/>
  <c r="S29" i="3"/>
  <c r="S27" i="3"/>
  <c r="S25" i="3"/>
  <c r="S23" i="3"/>
  <c r="S21" i="3"/>
  <c r="S19" i="3"/>
  <c r="S17" i="3"/>
  <c r="S15" i="3"/>
  <c r="S13" i="3"/>
  <c r="AB29" i="3"/>
  <c r="AC29" i="3"/>
  <c r="AD29" i="3"/>
  <c r="AE29" i="3"/>
  <c r="AF29" i="3"/>
  <c r="AG29" i="3"/>
  <c r="AB27" i="3"/>
  <c r="AC27" i="3"/>
  <c r="AD27" i="3"/>
  <c r="AE27" i="3"/>
  <c r="AF27" i="3"/>
  <c r="AG27" i="3"/>
  <c r="AB25" i="3"/>
  <c r="AC25" i="3"/>
  <c r="AD25" i="3"/>
  <c r="AE25" i="3"/>
  <c r="AF25" i="3"/>
  <c r="AG25" i="3"/>
  <c r="AB23" i="3"/>
  <c r="AC23" i="3"/>
  <c r="AD23" i="3"/>
  <c r="AE23" i="3"/>
  <c r="AF23" i="3"/>
  <c r="AG23" i="3"/>
  <c r="AB21" i="3"/>
  <c r="AC21" i="3"/>
  <c r="AD21" i="3"/>
  <c r="AE21" i="3"/>
  <c r="AF21" i="3"/>
  <c r="AG21" i="3"/>
  <c r="AB19" i="3"/>
  <c r="AC19" i="3"/>
  <c r="AD19" i="3"/>
  <c r="AE19" i="3"/>
  <c r="AF19" i="3"/>
  <c r="AG19" i="3"/>
  <c r="AB17" i="3"/>
  <c r="AC17" i="3"/>
  <c r="AD17" i="3"/>
  <c r="AE17" i="3"/>
  <c r="AF17" i="3"/>
  <c r="AG17" i="3"/>
  <c r="AB15" i="3"/>
  <c r="AC15" i="3"/>
  <c r="AD15" i="3"/>
  <c r="AE15" i="3"/>
  <c r="AF15" i="3"/>
  <c r="AG15" i="3"/>
  <c r="AB13" i="3"/>
  <c r="AC13" i="3"/>
  <c r="AD13" i="3"/>
  <c r="AE13" i="3"/>
  <c r="AF13" i="3"/>
  <c r="AG13" i="3"/>
  <c r="AA29" i="3"/>
  <c r="AA27" i="3"/>
  <c r="AA25" i="3"/>
  <c r="AA23" i="3"/>
  <c r="AA21" i="3"/>
  <c r="AA19" i="3"/>
  <c r="AA17" i="3"/>
  <c r="AA15" i="3"/>
  <c r="AA13" i="3"/>
  <c r="AG5" i="3"/>
  <c r="AG7" i="3"/>
  <c r="AG6" i="3"/>
  <c r="AG4" i="3"/>
  <c r="AG28" i="3"/>
  <c r="AG26" i="3"/>
  <c r="AG24" i="3"/>
  <c r="AG22" i="3"/>
  <c r="AG20" i="3"/>
  <c r="AG18" i="3"/>
  <c r="AG16" i="3"/>
  <c r="AG14" i="3"/>
  <c r="AG12" i="3"/>
  <c r="AC5" i="3"/>
  <c r="AC7" i="3"/>
  <c r="AD5" i="3"/>
  <c r="AD7" i="3"/>
  <c r="AE5" i="3"/>
  <c r="AE7" i="3"/>
  <c r="AF5" i="3"/>
  <c r="AF7" i="3"/>
  <c r="AB5" i="3"/>
  <c r="AB7" i="3"/>
  <c r="AC14" i="3"/>
  <c r="AC24" i="3"/>
  <c r="AC4" i="3"/>
  <c r="AC6" i="3"/>
  <c r="AD14" i="3"/>
  <c r="AD24" i="3"/>
  <c r="AD4" i="3"/>
  <c r="AD6" i="3"/>
  <c r="AE6" i="3"/>
  <c r="AF6" i="3"/>
  <c r="AB14" i="3"/>
  <c r="AB24" i="3"/>
  <c r="AB4" i="3"/>
  <c r="AB6" i="3"/>
  <c r="AE4" i="3"/>
  <c r="AF4" i="3"/>
  <c r="AE28" i="3"/>
  <c r="AF28" i="3"/>
  <c r="AE26" i="3"/>
  <c r="AF26" i="3"/>
  <c r="AE24" i="3"/>
  <c r="AF24" i="3"/>
  <c r="AE22" i="3"/>
  <c r="AF22" i="3"/>
  <c r="AE20" i="3"/>
  <c r="AF20" i="3"/>
  <c r="AE18" i="3"/>
  <c r="AF18" i="3"/>
  <c r="AE16" i="3"/>
  <c r="AF16" i="3"/>
  <c r="AE14" i="3"/>
  <c r="AF14" i="3"/>
  <c r="AE12" i="3"/>
  <c r="AF12" i="3"/>
  <c r="W28" i="3"/>
  <c r="X28" i="3"/>
  <c r="W26" i="3"/>
  <c r="X26" i="3"/>
  <c r="W24" i="3"/>
  <c r="X24" i="3"/>
  <c r="W22" i="3"/>
  <c r="X22" i="3"/>
  <c r="W20" i="3"/>
  <c r="X20" i="3"/>
  <c r="W18" i="3"/>
  <c r="X18" i="3"/>
  <c r="W16" i="3"/>
  <c r="X16" i="3"/>
  <c r="W14" i="3"/>
  <c r="X14" i="3"/>
  <c r="W12" i="3"/>
  <c r="X12" i="3"/>
  <c r="O28" i="3"/>
  <c r="P28" i="3"/>
  <c r="O26" i="3"/>
  <c r="P26" i="3"/>
  <c r="O24" i="3"/>
  <c r="P24" i="3"/>
  <c r="O22" i="3"/>
  <c r="P22" i="3"/>
  <c r="O20" i="3"/>
  <c r="P20" i="3"/>
  <c r="O18" i="3"/>
  <c r="P18" i="3"/>
  <c r="O16" i="3"/>
  <c r="P16" i="3"/>
  <c r="O14" i="3"/>
  <c r="P14" i="3"/>
  <c r="P12" i="3"/>
  <c r="O12" i="3"/>
  <c r="G28" i="3"/>
  <c r="H28" i="3"/>
  <c r="G26" i="3"/>
  <c r="H26" i="3"/>
  <c r="G24" i="3"/>
  <c r="H24" i="3"/>
  <c r="G22" i="3"/>
  <c r="H22" i="3"/>
  <c r="H20" i="3"/>
  <c r="G20" i="3"/>
  <c r="H18" i="3"/>
  <c r="G18" i="3"/>
  <c r="G16" i="3"/>
  <c r="H16" i="3"/>
  <c r="G14" i="3"/>
  <c r="H14" i="3"/>
  <c r="G12" i="3"/>
  <c r="H12" i="3"/>
  <c r="L28" i="3"/>
  <c r="M28" i="3"/>
  <c r="N28" i="3"/>
  <c r="K28" i="3"/>
  <c r="L26" i="3"/>
  <c r="M26" i="3"/>
  <c r="N26" i="3"/>
  <c r="K26" i="3"/>
  <c r="AB22" i="3"/>
  <c r="AC22" i="3"/>
  <c r="AD22" i="3"/>
  <c r="AB20" i="3"/>
  <c r="AC20" i="3"/>
  <c r="AD20" i="3"/>
  <c r="AB18" i="3"/>
  <c r="AC18" i="3"/>
  <c r="AD18" i="3"/>
  <c r="AD16" i="3"/>
  <c r="AB16" i="3"/>
  <c r="AC16" i="3"/>
  <c r="AB12" i="3"/>
  <c r="AC12" i="3"/>
  <c r="AD12" i="3"/>
  <c r="T22" i="3"/>
  <c r="U22" i="3"/>
  <c r="V22" i="3"/>
  <c r="T24" i="3"/>
  <c r="U24" i="3"/>
  <c r="V24" i="3"/>
  <c r="T26" i="3"/>
  <c r="U26" i="3"/>
  <c r="V26" i="3"/>
  <c r="T28" i="3"/>
  <c r="U28" i="3"/>
  <c r="V28" i="3"/>
  <c r="S26" i="3"/>
  <c r="S28" i="3"/>
  <c r="AB28" i="3"/>
  <c r="AC28" i="3"/>
  <c r="AD28" i="3"/>
  <c r="AB26" i="3"/>
  <c r="AC26" i="3"/>
  <c r="AD26" i="3"/>
  <c r="AA28" i="3"/>
  <c r="AA26" i="3"/>
  <c r="AA24" i="3"/>
  <c r="AA22" i="3"/>
  <c r="AA20" i="3"/>
  <c r="AA18" i="3"/>
  <c r="AA16" i="3"/>
  <c r="AA14" i="3"/>
  <c r="AA12" i="3"/>
  <c r="T20" i="3"/>
  <c r="U20" i="3"/>
  <c r="V20" i="3"/>
  <c r="T18" i="3"/>
  <c r="U18" i="3"/>
  <c r="V18" i="3"/>
  <c r="T16" i="3"/>
  <c r="U16" i="3"/>
  <c r="V16" i="3"/>
  <c r="T14" i="3"/>
  <c r="U14" i="3"/>
  <c r="V14" i="3"/>
  <c r="T12" i="3"/>
  <c r="U12" i="3"/>
  <c r="V12" i="3"/>
  <c r="S24" i="3"/>
  <c r="S22" i="3"/>
  <c r="S20" i="3"/>
  <c r="S18" i="3"/>
  <c r="S16" i="3"/>
  <c r="S14" i="3"/>
  <c r="S12" i="3"/>
  <c r="L24" i="3"/>
  <c r="M24" i="3"/>
  <c r="N24" i="3"/>
  <c r="L22" i="3"/>
  <c r="M22" i="3"/>
  <c r="N22" i="3"/>
  <c r="L20" i="3"/>
  <c r="M20" i="3"/>
  <c r="N20" i="3"/>
  <c r="L18" i="3"/>
  <c r="M18" i="3"/>
  <c r="N18" i="3"/>
  <c r="L16" i="3"/>
  <c r="M16" i="3"/>
  <c r="N16" i="3"/>
  <c r="L14" i="3"/>
  <c r="M14" i="3"/>
  <c r="N14" i="3"/>
  <c r="L12" i="3"/>
  <c r="M12" i="3"/>
  <c r="N12" i="3"/>
  <c r="K24" i="3"/>
  <c r="K22" i="3"/>
  <c r="K20" i="3"/>
  <c r="K18" i="3"/>
  <c r="K16" i="3"/>
  <c r="K12" i="3"/>
  <c r="K14" i="3"/>
  <c r="D28" i="3"/>
  <c r="E28" i="3"/>
  <c r="F28" i="3"/>
  <c r="D26" i="3"/>
  <c r="E26" i="3"/>
  <c r="F26" i="3"/>
  <c r="C26" i="3"/>
  <c r="D24" i="3"/>
  <c r="E24" i="3"/>
  <c r="F24" i="3"/>
  <c r="C24" i="3"/>
  <c r="D22" i="3"/>
  <c r="E22" i="3"/>
  <c r="F22" i="3"/>
  <c r="C22" i="3"/>
  <c r="D20" i="3"/>
  <c r="E20" i="3"/>
  <c r="F20" i="3"/>
  <c r="C20" i="3"/>
  <c r="D18" i="3"/>
  <c r="E18" i="3"/>
  <c r="F18" i="3"/>
  <c r="C18" i="3"/>
  <c r="D14" i="3"/>
  <c r="E14" i="3"/>
  <c r="F14" i="3"/>
  <c r="C14" i="3"/>
  <c r="D16" i="3"/>
  <c r="E16" i="3"/>
  <c r="F16" i="3"/>
  <c r="C16" i="3"/>
  <c r="D12" i="3"/>
  <c r="E12" i="3"/>
  <c r="F12" i="3"/>
  <c r="C12" i="3"/>
</calcChain>
</file>

<file path=xl/comments1.xml><?xml version="1.0" encoding="utf-8"?>
<comments xmlns="http://schemas.openxmlformats.org/spreadsheetml/2006/main">
  <authors>
    <author>Maria Keet</author>
  </authors>
  <commentList>
    <comment ref="C12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option 1c, though dragging would work in some cases.</t>
        </r>
      </text>
    </comment>
    <comment ref="K12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option 1c, though dragging would work in some cases.</t>
        </r>
      </text>
    </comment>
    <comment ref="S12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option 1c, though dragging would work in some cases.</t>
        </r>
      </text>
    </comment>
    <comment ref="AA12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option 1c, though dragging would work in some cases.</t>
        </r>
      </text>
    </comment>
    <comment ref="AK12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option 1c, though dragging would work in some cases.</t>
        </r>
      </text>
    </comment>
    <comment ref="C14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2b</t>
        </r>
      </text>
    </comment>
    <comment ref="K14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2b</t>
        </r>
      </text>
    </comment>
    <comment ref="S14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2b</t>
        </r>
      </text>
    </comment>
    <comment ref="AA14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2b</t>
        </r>
      </text>
    </comment>
    <comment ref="AK14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2b</t>
        </r>
      </text>
    </comment>
    <comment ref="C16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3b</t>
        </r>
      </text>
    </comment>
    <comment ref="K16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3b</t>
        </r>
      </text>
    </comment>
    <comment ref="S16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3b</t>
        </r>
      </text>
    </comment>
    <comment ref="AA16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3b</t>
        </r>
      </text>
    </comment>
    <comment ref="AK16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3b</t>
        </r>
      </text>
    </comment>
    <comment ref="C18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4b</t>
        </r>
      </text>
    </comment>
    <comment ref="K18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4b</t>
        </r>
      </text>
    </comment>
    <comment ref="S18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4b</t>
        </r>
      </text>
    </comment>
    <comment ref="AA18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4b</t>
        </r>
      </text>
    </comment>
    <comment ref="AK18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4b</t>
        </r>
      </text>
    </comment>
    <comment ref="C22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6b
</t>
        </r>
      </text>
    </comment>
    <comment ref="K22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6b
</t>
        </r>
      </text>
    </comment>
    <comment ref="S22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6b
</t>
        </r>
      </text>
    </comment>
    <comment ref="AA22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6b
</t>
        </r>
      </text>
    </comment>
    <comment ref="AK22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6b
</t>
        </r>
      </text>
    </comment>
  </commentList>
</comments>
</file>

<file path=xl/sharedStrings.xml><?xml version="1.0" encoding="utf-8"?>
<sst xmlns="http://schemas.openxmlformats.org/spreadsheetml/2006/main" count="504" uniqueCount="257">
  <si>
    <t># African Wildlife Ontology</t>
  </si>
  <si>
    <t>Reasoning time 0.81 s</t>
  </si>
  <si>
    <t>Class name 7.06</t>
  </si>
  <si>
    <t>Class depth 2.00</t>
  </si>
  <si>
    <t>Object property name 9.40</t>
  </si>
  <si>
    <t>Object property depth 1.20</t>
  </si>
  <si>
    <t>Individual name 0.00</t>
  </si>
  <si>
    <t>(i) SubClassOf</t>
  </si>
  <si>
    <t>Basic   2.81 s</t>
  </si>
  <si>
    <t>TDD     8.54 s</t>
  </si>
  <si>
    <t>(ii) SubClassOfObjectSomeOrAllValuesFrom</t>
  </si>
  <si>
    <t>Basic  10.95 s</t>
  </si>
  <si>
    <t>TDD    12.56 s</t>
  </si>
  <si>
    <t>(iii) DisjointClasses</t>
  </si>
  <si>
    <t>Basic   6.93 s</t>
  </si>
  <si>
    <t>TDD     9.44 s</t>
  </si>
  <si>
    <t>(iv) ObjectPropertyDomain</t>
  </si>
  <si>
    <t>TDD    10.44 s</t>
  </si>
  <si>
    <t>(v) ObjectPropertyRange</t>
  </si>
  <si>
    <t>TDD    13.14 s</t>
  </si>
  <si>
    <t>(vi) ClassAssertion</t>
  </si>
  <si>
    <t>Basic   5.81 s</t>
  </si>
  <si>
    <t>TDD     4.62 s</t>
  </si>
  <si>
    <t>(vii) ObjectPropertyRange</t>
  </si>
  <si>
    <t>(viii) TypedAxiom</t>
  </si>
  <si>
    <t>skipping</t>
  </si>
  <si>
    <t>(ix) SubClassOfObjectSomeAndAllValuesFrom</t>
  </si>
  <si>
    <t>Basic  19.79 s</t>
  </si>
  <si>
    <t>TDD    19.60 s</t>
  </si>
  <si>
    <t>(x) ComplicatedThing</t>
  </si>
  <si>
    <t>Basic  20.31 s</t>
  </si>
  <si>
    <t>TDD    22.92 s</t>
  </si>
  <si>
    <t># DMOP</t>
  </si>
  <si>
    <t>Reasoning time 1196.53 s</t>
  </si>
  <si>
    <t>Class name 21.09</t>
  </si>
  <si>
    <t>Class depth 8.39</t>
  </si>
  <si>
    <t>Object property name 14.14</t>
  </si>
  <si>
    <t>Object property depth 2.20</t>
  </si>
  <si>
    <t>Individual name 19.03</t>
  </si>
  <si>
    <t>Basic 1198.53 s</t>
  </si>
  <si>
    <t>TDD    16.96 s</t>
  </si>
  <si>
    <t>Basic 1212.30 s</t>
  </si>
  <si>
    <t>TDD    22.40 s</t>
  </si>
  <si>
    <t>Basic 1206.86 s</t>
  </si>
  <si>
    <t>TDD    17.86 s</t>
  </si>
  <si>
    <t>TDD    16.07 s</t>
  </si>
  <si>
    <t>TDD    18.77 s</t>
  </si>
  <si>
    <t>Basic 1201.53 s</t>
  </si>
  <si>
    <t>TDD    14.54 s</t>
  </si>
  <si>
    <t>Basic 1226.77 s</t>
  </si>
  <si>
    <t>TDD    35.07 s</t>
  </si>
  <si>
    <t>Basic 1231.50 s</t>
  </si>
  <si>
    <t>TDD    42.59 s</t>
  </si>
  <si>
    <t>Reasoning</t>
  </si>
  <si>
    <t>time</t>
  </si>
  <si>
    <t>s</t>
  </si>
  <si>
    <t>Class</t>
  </si>
  <si>
    <t>name</t>
  </si>
  <si>
    <t>depth</t>
  </si>
  <si>
    <t>Object</t>
  </si>
  <si>
    <t>property</t>
  </si>
  <si>
    <t>Individual</t>
  </si>
  <si>
    <t>AWO</t>
  </si>
  <si>
    <t>DMOP</t>
  </si>
  <si>
    <t>Reasoning time (s)</t>
  </si>
  <si>
    <t>ontologies (illustrative selection of results)</t>
  </si>
  <si>
    <t>Average Class name</t>
  </si>
  <si>
    <t>Average Class depth</t>
  </si>
  <si>
    <t>Average Object property name</t>
  </si>
  <si>
    <t>Average Object property depth</t>
  </si>
  <si>
    <t>Average Individual name</t>
  </si>
  <si>
    <t>(i)</t>
  </si>
  <si>
    <t xml:space="preserve">(ii) </t>
  </si>
  <si>
    <t xml:space="preserve">(iii) </t>
  </si>
  <si>
    <t xml:space="preserve">(iv) </t>
  </si>
  <si>
    <t xml:space="preserve">(v) </t>
  </si>
  <si>
    <t xml:space="preserve">(vi) </t>
  </si>
  <si>
    <t xml:space="preserve">(vii) </t>
  </si>
  <si>
    <t xml:space="preserve">(ix) </t>
  </si>
  <si>
    <t xml:space="preserve">(x) </t>
  </si>
  <si>
    <t>SubClassOf</t>
  </si>
  <si>
    <t xml:space="preserve">	Basic</t>
  </si>
  <si>
    <t xml:space="preserve">	TDD</t>
  </si>
  <si>
    <t>(ii)</t>
  </si>
  <si>
    <t>SubClassOfObjectSomeOrAllValuesFrom</t>
  </si>
  <si>
    <t>(iii)</t>
  </si>
  <si>
    <t>DisjointClasses</t>
  </si>
  <si>
    <t>(iv)</t>
  </si>
  <si>
    <t>ObjectPropertyDomain</t>
  </si>
  <si>
    <t>(v)</t>
  </si>
  <si>
    <t>ObjectPropertyRange</t>
  </si>
  <si>
    <t>(vi)</t>
  </si>
  <si>
    <t>ClassAssertion</t>
  </si>
  <si>
    <t>(vii)</t>
  </si>
  <si>
    <t>(viii)</t>
  </si>
  <si>
    <t>TypedAxiom</t>
  </si>
  <si>
    <t xml:space="preserve">	skipping</t>
  </si>
  <si>
    <t>(ix)</t>
  </si>
  <si>
    <t>SubClassOfObjectSomeAndAllValuesFrom</t>
  </si>
  <si>
    <t>(x)</t>
  </si>
  <si>
    <t>ComplicatedThing</t>
  </si>
  <si>
    <t>Pizza</t>
  </si>
  <si>
    <t>Total Protégé</t>
  </si>
  <si>
    <t>Total Protégé - single edit reasoner</t>
  </si>
  <si>
    <t>scenario 1</t>
  </si>
  <si>
    <t>click time</t>
  </si>
  <si>
    <t>keystroke time</t>
  </si>
  <si>
    <t>autocomplete</t>
  </si>
  <si>
    <t>none</t>
  </si>
  <si>
    <t>scenario 2</t>
  </si>
  <si>
    <t>scenario 3</t>
  </si>
  <si>
    <t>after 4 keystrokes</t>
  </si>
  <si>
    <t>r</t>
  </si>
  <si>
    <t>a_c</t>
  </si>
  <si>
    <t>b_c</t>
  </si>
  <si>
    <t>a_op</t>
  </si>
  <si>
    <t>b_op</t>
  </si>
  <si>
    <t>c</t>
  </si>
  <si>
    <t>just numbers</t>
  </si>
  <si>
    <t>Protégé 5.2</t>
  </si>
  <si>
    <t>TDDonto2</t>
  </si>
  <si>
    <t>tdd wins</t>
  </si>
  <si>
    <t>protégé wins</t>
  </si>
  <si>
    <t>tdd mostly wins</t>
  </si>
  <si>
    <t>mock1</t>
  </si>
  <si>
    <t>mock2</t>
  </si>
  <si>
    <t>protégé mostly wins</t>
  </si>
  <si>
    <t>Total TDDonto2</t>
  </si>
  <si>
    <t>Total TDDonto2 - with reasoner</t>
  </si>
  <si>
    <t>mock3</t>
  </si>
  <si>
    <t>protégé  wins</t>
  </si>
  <si>
    <t>scenario 4</t>
  </si>
  <si>
    <t>after 8 keystrokes</t>
  </si>
  <si>
    <t>data, with reasoner in the 'basic'</t>
  </si>
  <si>
    <t>Results:</t>
  </si>
  <si>
    <t xml:space="preserve">   n = 22</t>
  </si>
  <si>
    <t>Mean = 12.727272727272728</t>
  </si>
  <si>
    <t xml:space="preserve">  SD = 3.951554464256147</t>
  </si>
  <si>
    <t xml:space="preserve">   W = 0.9467223873357772</t>
  </si>
  <si>
    <t>Threshold (p=0.01) = 0.878000020980835 --&gt; HO accepted</t>
  </si>
  <si>
    <t>Threshold (p=0.05) = 0.9110000133514404 --&gt; HO accepted</t>
  </si>
  <si>
    <t>Threshold (p=0.10) = 0.9259999990463257 --&gt; HO accepted</t>
  </si>
  <si>
    <t>--&gt; Your data seems normal</t>
  </si>
  <si>
    <t xml:space="preserve">protégé columns: </t>
  </si>
  <si>
    <t>Mean = 9.108727272727274</t>
  </si>
  <si>
    <t xml:space="preserve">  SD = 3.7579449194095464</t>
  </si>
  <si>
    <t xml:space="preserve">   W = 0.900053550817884</t>
  </si>
  <si>
    <t>Threshold (p=0.05) = 0.9110000133514404 --&gt; HO rejected</t>
  </si>
  <si>
    <t>Threshold (p=0.10) = 0.9259999990463257 --&gt; HO rejected</t>
  </si>
  <si>
    <t>--&gt; Your data is not normally distributed p&lt;0.05</t>
  </si>
  <si>
    <t>normal</t>
  </si>
  <si>
    <t xml:space="preserve">not-normal </t>
  </si>
  <si>
    <t>TDDonto2 columns -- never nromal</t>
  </si>
  <si>
    <t>i</t>
  </si>
  <si>
    <t>ii</t>
  </si>
  <si>
    <t>iii</t>
  </si>
  <si>
    <t>iv</t>
  </si>
  <si>
    <t>v</t>
  </si>
  <si>
    <t>vi</t>
  </si>
  <si>
    <t>vii</t>
  </si>
  <si>
    <t>ix</t>
  </si>
  <si>
    <t>x</t>
  </si>
  <si>
    <t>axiom typ i</t>
  </si>
  <si>
    <t>Result 1 - Z-value</t>
  </si>
  <si>
    <t>The Z-value is -3.3927. The p-value is 0.0007. The result is significant at p≤ 0.05.</t>
  </si>
  <si>
    <t>Result 2 - W-value</t>
  </si>
  <si>
    <r>
      <t xml:space="preserve">The W-value is 22. The critical value of </t>
    </r>
    <r>
      <rPr>
        <i/>
        <sz val="12"/>
        <color rgb="FF0000FF"/>
        <rFont val="Calibri"/>
        <family val="2"/>
        <scheme val="minor"/>
      </rPr>
      <t>W</t>
    </r>
    <r>
      <rPr>
        <sz val="12"/>
        <color rgb="FF0000FF"/>
        <rFont val="Calibri"/>
        <family val="2"/>
        <scheme val="minor"/>
      </rPr>
      <t xml:space="preserve"> for </t>
    </r>
    <r>
      <rPr>
        <i/>
        <sz val="12"/>
        <color rgb="FF0000FF"/>
        <rFont val="Calibri"/>
        <family val="2"/>
        <scheme val="minor"/>
      </rPr>
      <t>N</t>
    </r>
    <r>
      <rPr>
        <sz val="12"/>
        <color rgb="FF0000FF"/>
        <rFont val="Calibri"/>
        <family val="2"/>
        <scheme val="minor"/>
      </rPr>
      <t xml:space="preserve"> = 22 at p≤ 0.05 is 65. Therefore, the result is significant at p≤ 0.05.</t>
    </r>
  </si>
  <si>
    <t>Result Details</t>
  </si>
  <si>
    <r>
      <t>W-value</t>
    </r>
    <r>
      <rPr>
        <sz val="12"/>
        <color theme="1"/>
        <rFont val="Calibri"/>
        <family val="2"/>
        <scheme val="minor"/>
      </rPr>
      <t>: 22</t>
    </r>
  </si>
  <si>
    <r>
      <t>Mean Difference</t>
    </r>
    <r>
      <rPr>
        <sz val="12"/>
        <color theme="1"/>
        <rFont val="Calibri"/>
        <family val="2"/>
        <scheme val="minor"/>
      </rPr>
      <t>: 0.59</t>
    </r>
  </si>
  <si>
    <r>
      <t>Sum of pos. ranks</t>
    </r>
    <r>
      <rPr>
        <sz val="12"/>
        <color theme="1"/>
        <rFont val="Calibri"/>
        <family val="2"/>
        <scheme val="minor"/>
      </rPr>
      <t>: 231</t>
    </r>
  </si>
  <si>
    <r>
      <t>Sum of neg. ranks</t>
    </r>
    <r>
      <rPr>
        <sz val="12"/>
        <color theme="1"/>
        <rFont val="Calibri"/>
        <family val="2"/>
        <scheme val="minor"/>
      </rPr>
      <t>: 22</t>
    </r>
  </si>
  <si>
    <r>
      <t>Z-value</t>
    </r>
    <r>
      <rPr>
        <sz val="12"/>
        <color theme="1"/>
        <rFont val="Calibri"/>
        <family val="2"/>
        <scheme val="minor"/>
      </rPr>
      <t>: -3.3927</t>
    </r>
  </si>
  <si>
    <r>
      <t>Mean (</t>
    </r>
    <r>
      <rPr>
        <i/>
        <sz val="12"/>
        <color theme="1"/>
        <rFont val="Calibri"/>
        <family val="2"/>
        <scheme val="minor"/>
      </rPr>
      <t>W</t>
    </r>
    <r>
      <rPr>
        <sz val="12"/>
        <color theme="1"/>
        <rFont val="Calibri"/>
        <family val="2"/>
        <scheme val="minor"/>
      </rPr>
      <t>): 126.5</t>
    </r>
  </si>
  <si>
    <r>
      <t>Standard Deviation (</t>
    </r>
    <r>
      <rPr>
        <i/>
        <sz val="12"/>
        <color theme="1"/>
        <rFont val="Calibri"/>
        <family val="2"/>
        <scheme val="minor"/>
      </rPr>
      <t>W</t>
    </r>
    <r>
      <rPr>
        <sz val="12"/>
        <color theme="1"/>
        <rFont val="Calibri"/>
        <family val="2"/>
        <scheme val="minor"/>
      </rPr>
      <t>): 30.8</t>
    </r>
  </si>
  <si>
    <r>
      <t>Sample Size (</t>
    </r>
    <r>
      <rPr>
        <i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): 22</t>
    </r>
  </si>
  <si>
    <t>axiom type ii</t>
  </si>
  <si>
    <t>The Z-value is -1.9966. The p-value is 0.0455. The result is significant at p≤ 0.05.</t>
  </si>
  <si>
    <r>
      <t xml:space="preserve">The W-value is 65. The critical value of </t>
    </r>
    <r>
      <rPr>
        <i/>
        <sz val="12"/>
        <color rgb="FF0000FF"/>
        <rFont val="Calibri"/>
        <family val="2"/>
        <scheme val="minor"/>
      </rPr>
      <t>W</t>
    </r>
    <r>
      <rPr>
        <sz val="12"/>
        <color rgb="FF0000FF"/>
        <rFont val="Calibri"/>
        <family val="2"/>
        <scheme val="minor"/>
      </rPr>
      <t xml:space="preserve"> for </t>
    </r>
    <r>
      <rPr>
        <i/>
        <sz val="12"/>
        <color rgb="FF0000FF"/>
        <rFont val="Calibri"/>
        <family val="2"/>
        <scheme val="minor"/>
      </rPr>
      <t>N</t>
    </r>
    <r>
      <rPr>
        <sz val="12"/>
        <color rgb="FF0000FF"/>
        <rFont val="Calibri"/>
        <family val="2"/>
        <scheme val="minor"/>
      </rPr>
      <t xml:space="preserve"> = 22 at p≤ 0.05 is 65. Therefore, the result is significant at p≤ 0.05.</t>
    </r>
  </si>
  <si>
    <r>
      <t>W-value</t>
    </r>
    <r>
      <rPr>
        <sz val="12"/>
        <color theme="1"/>
        <rFont val="Calibri"/>
        <family val="2"/>
        <scheme val="minor"/>
      </rPr>
      <t>: 65</t>
    </r>
  </si>
  <si>
    <r>
      <t>Mean Difference</t>
    </r>
    <r>
      <rPr>
        <sz val="12"/>
        <color theme="1"/>
        <rFont val="Calibri"/>
        <family val="2"/>
        <scheme val="minor"/>
      </rPr>
      <t>: -0.94</t>
    </r>
  </si>
  <si>
    <r>
      <t>Sum of pos. ranks</t>
    </r>
    <r>
      <rPr>
        <sz val="12"/>
        <color theme="1"/>
        <rFont val="Calibri"/>
        <family val="2"/>
        <scheme val="minor"/>
      </rPr>
      <t>: 188</t>
    </r>
  </si>
  <si>
    <r>
      <t>Sum of neg. ranks</t>
    </r>
    <r>
      <rPr>
        <sz val="12"/>
        <color theme="1"/>
        <rFont val="Calibri"/>
        <family val="2"/>
        <scheme val="minor"/>
      </rPr>
      <t>: 65</t>
    </r>
  </si>
  <si>
    <r>
      <t>Z-value</t>
    </r>
    <r>
      <rPr>
        <sz val="12"/>
        <color theme="1"/>
        <rFont val="Calibri"/>
        <family val="2"/>
        <scheme val="minor"/>
      </rPr>
      <t>: -1.9966</t>
    </r>
  </si>
  <si>
    <t>axiom type iii</t>
  </si>
  <si>
    <t>The Z-value is -2.3862. The p-value is 0.01684. The result is significant at p≤ 0.05.</t>
  </si>
  <si>
    <r>
      <t xml:space="preserve">The W-value is 53. The critical value of </t>
    </r>
    <r>
      <rPr>
        <i/>
        <sz val="12"/>
        <color rgb="FF0000FF"/>
        <rFont val="Calibri"/>
        <family val="2"/>
        <scheme val="minor"/>
      </rPr>
      <t>W</t>
    </r>
    <r>
      <rPr>
        <sz val="12"/>
        <color rgb="FF0000FF"/>
        <rFont val="Calibri"/>
        <family val="2"/>
        <scheme val="minor"/>
      </rPr>
      <t xml:space="preserve"> for </t>
    </r>
    <r>
      <rPr>
        <i/>
        <sz val="12"/>
        <color rgb="FF0000FF"/>
        <rFont val="Calibri"/>
        <family val="2"/>
        <scheme val="minor"/>
      </rPr>
      <t>N</t>
    </r>
    <r>
      <rPr>
        <sz val="12"/>
        <color rgb="FF0000FF"/>
        <rFont val="Calibri"/>
        <family val="2"/>
        <scheme val="minor"/>
      </rPr>
      <t xml:space="preserve"> = 22 at p≤ 0.05 is 65. Therefore, the result is significant at p≤ 0.05.</t>
    </r>
  </si>
  <si>
    <r>
      <t>W-value</t>
    </r>
    <r>
      <rPr>
        <sz val="12"/>
        <color theme="1"/>
        <rFont val="Calibri"/>
        <family val="2"/>
        <scheme val="minor"/>
      </rPr>
      <t>: 53</t>
    </r>
  </si>
  <si>
    <r>
      <t>Mean Difference</t>
    </r>
    <r>
      <rPr>
        <sz val="12"/>
        <color theme="1"/>
        <rFont val="Calibri"/>
        <family val="2"/>
        <scheme val="minor"/>
      </rPr>
      <t>: -0.31</t>
    </r>
  </si>
  <si>
    <r>
      <t>Sum of pos. ranks</t>
    </r>
    <r>
      <rPr>
        <sz val="12"/>
        <color theme="1"/>
        <rFont val="Calibri"/>
        <family val="2"/>
        <scheme val="minor"/>
      </rPr>
      <t>: 200</t>
    </r>
  </si>
  <si>
    <r>
      <t>Sum of neg. ranks</t>
    </r>
    <r>
      <rPr>
        <sz val="12"/>
        <color theme="1"/>
        <rFont val="Calibri"/>
        <family val="2"/>
        <scheme val="minor"/>
      </rPr>
      <t>: 53</t>
    </r>
  </si>
  <si>
    <r>
      <t>Z-value</t>
    </r>
    <r>
      <rPr>
        <sz val="12"/>
        <color theme="1"/>
        <rFont val="Calibri"/>
        <family val="2"/>
        <scheme val="minor"/>
      </rPr>
      <t>: -2.3862</t>
    </r>
  </si>
  <si>
    <t>axiom type iv</t>
  </si>
  <si>
    <t>The Z-value is -2.4187. The p-value is 0.01552. The result is significant at p≤ 0.05.</t>
  </si>
  <si>
    <r>
      <t xml:space="preserve">The W-value is 52. The critical value of </t>
    </r>
    <r>
      <rPr>
        <i/>
        <sz val="12"/>
        <color rgb="FF0000FF"/>
        <rFont val="Calibri"/>
        <family val="2"/>
        <scheme val="minor"/>
      </rPr>
      <t>W</t>
    </r>
    <r>
      <rPr>
        <sz val="12"/>
        <color rgb="FF0000FF"/>
        <rFont val="Calibri"/>
        <family val="2"/>
        <scheme val="minor"/>
      </rPr>
      <t xml:space="preserve"> for </t>
    </r>
    <r>
      <rPr>
        <i/>
        <sz val="12"/>
        <color rgb="FF0000FF"/>
        <rFont val="Calibri"/>
        <family val="2"/>
        <scheme val="minor"/>
      </rPr>
      <t>N</t>
    </r>
    <r>
      <rPr>
        <sz val="12"/>
        <color rgb="FF0000FF"/>
        <rFont val="Calibri"/>
        <family val="2"/>
        <scheme val="minor"/>
      </rPr>
      <t xml:space="preserve"> = 22 at p≤ 0.05 is 65. Therefore, the result is significant at p≤ 0.05.</t>
    </r>
  </si>
  <si>
    <r>
      <t>W-value</t>
    </r>
    <r>
      <rPr>
        <sz val="12"/>
        <color theme="1"/>
        <rFont val="Calibri"/>
        <family val="2"/>
        <scheme val="minor"/>
      </rPr>
      <t>: 52</t>
    </r>
  </si>
  <si>
    <r>
      <t>Mean Difference</t>
    </r>
    <r>
      <rPr>
        <sz val="12"/>
        <color theme="1"/>
        <rFont val="Calibri"/>
        <family val="2"/>
        <scheme val="minor"/>
      </rPr>
      <t>: -0.18</t>
    </r>
  </si>
  <si>
    <r>
      <t>Sum of pos. ranks</t>
    </r>
    <r>
      <rPr>
        <sz val="12"/>
        <color theme="1"/>
        <rFont val="Calibri"/>
        <family val="2"/>
        <scheme val="minor"/>
      </rPr>
      <t>: 201</t>
    </r>
  </si>
  <si>
    <r>
      <t>Sum of neg. ranks</t>
    </r>
    <r>
      <rPr>
        <sz val="12"/>
        <color theme="1"/>
        <rFont val="Calibri"/>
        <family val="2"/>
        <scheme val="minor"/>
      </rPr>
      <t>: 52</t>
    </r>
  </si>
  <si>
    <r>
      <t>Z-value</t>
    </r>
    <r>
      <rPr>
        <sz val="12"/>
        <color theme="1"/>
        <rFont val="Calibri"/>
        <family val="2"/>
        <scheme val="minor"/>
      </rPr>
      <t>: -2.4187</t>
    </r>
  </si>
  <si>
    <t>axiom type v</t>
  </si>
  <si>
    <r>
      <t xml:space="preserve">The Z-value is -0.1136. The p-value is 0.9124. The result is </t>
    </r>
    <r>
      <rPr>
        <i/>
        <sz val="12"/>
        <color rgb="FFFF0000"/>
        <rFont val="Calibri"/>
        <family val="2"/>
        <scheme val="minor"/>
      </rPr>
      <t>not</t>
    </r>
    <r>
      <rPr>
        <sz val="12"/>
        <color rgb="FFFF0000"/>
        <rFont val="Calibri"/>
        <family val="2"/>
        <scheme val="minor"/>
      </rPr>
      <t xml:space="preserve"> significant at p≤ 0.05.</t>
    </r>
  </si>
  <si>
    <r>
      <t xml:space="preserve">The W-value is 123. The critical value of </t>
    </r>
    <r>
      <rPr>
        <i/>
        <sz val="12"/>
        <color rgb="FFFF0000"/>
        <rFont val="Calibri"/>
        <family val="2"/>
        <scheme val="minor"/>
      </rPr>
      <t>W</t>
    </r>
    <r>
      <rPr>
        <sz val="12"/>
        <color rgb="FFFF0000"/>
        <rFont val="Calibri"/>
        <family val="2"/>
        <scheme val="minor"/>
      </rPr>
      <t xml:space="preserve"> for </t>
    </r>
    <r>
      <rPr>
        <i/>
        <sz val="12"/>
        <color rgb="FFFF0000"/>
        <rFont val="Calibri"/>
        <family val="2"/>
        <scheme val="minor"/>
      </rPr>
      <t>N</t>
    </r>
    <r>
      <rPr>
        <sz val="12"/>
        <color rgb="FFFF0000"/>
        <rFont val="Calibri"/>
        <family val="2"/>
        <scheme val="minor"/>
      </rPr>
      <t xml:space="preserve"> = 22 at p≤ 0.05 is 65. Therefore, the result is </t>
    </r>
    <r>
      <rPr>
        <i/>
        <sz val="12"/>
        <color rgb="FFFF0000"/>
        <rFont val="Calibri"/>
        <family val="2"/>
        <scheme val="minor"/>
      </rPr>
      <t>not</t>
    </r>
    <r>
      <rPr>
        <sz val="12"/>
        <color rgb="FFFF0000"/>
        <rFont val="Calibri"/>
        <family val="2"/>
        <scheme val="minor"/>
      </rPr>
      <t xml:space="preserve"> significant at p≤ 0.05.</t>
    </r>
  </si>
  <si>
    <r>
      <t>W-value</t>
    </r>
    <r>
      <rPr>
        <sz val="12"/>
        <color theme="1"/>
        <rFont val="Calibri"/>
        <family val="2"/>
        <scheme val="minor"/>
      </rPr>
      <t>: 123</t>
    </r>
  </si>
  <si>
    <r>
      <t>Mean Difference</t>
    </r>
    <r>
      <rPr>
        <sz val="12"/>
        <color theme="1"/>
        <rFont val="Calibri"/>
        <family val="2"/>
        <scheme val="minor"/>
      </rPr>
      <t>: -2.88</t>
    </r>
  </si>
  <si>
    <r>
      <t>Sum of pos. ranks</t>
    </r>
    <r>
      <rPr>
        <sz val="12"/>
        <color theme="1"/>
        <rFont val="Calibri"/>
        <family val="2"/>
        <scheme val="minor"/>
      </rPr>
      <t>: 123</t>
    </r>
  </si>
  <si>
    <r>
      <t>Sum of neg. ranks</t>
    </r>
    <r>
      <rPr>
        <sz val="12"/>
        <color theme="1"/>
        <rFont val="Calibri"/>
        <family val="2"/>
        <scheme val="minor"/>
      </rPr>
      <t>: 130</t>
    </r>
  </si>
  <si>
    <r>
      <t>Z-value</t>
    </r>
    <r>
      <rPr>
        <sz val="12"/>
        <color theme="1"/>
        <rFont val="Calibri"/>
        <family val="2"/>
        <scheme val="minor"/>
      </rPr>
      <t>: -0.1136</t>
    </r>
  </si>
  <si>
    <t>axiom type vi</t>
  </si>
  <si>
    <t>The Z-value is -3.4931. The p-value is 0.00048. The result is significant at p≤ 0.05.</t>
  </si>
  <si>
    <r>
      <t xml:space="preserve">The W-value is 15. The critical value of </t>
    </r>
    <r>
      <rPr>
        <i/>
        <sz val="12"/>
        <color rgb="FF0000FF"/>
        <rFont val="Calibri"/>
        <family val="2"/>
        <scheme val="minor"/>
      </rPr>
      <t>W</t>
    </r>
    <r>
      <rPr>
        <sz val="12"/>
        <color rgb="FF0000FF"/>
        <rFont val="Calibri"/>
        <family val="2"/>
        <scheme val="minor"/>
      </rPr>
      <t xml:space="preserve"> for </t>
    </r>
    <r>
      <rPr>
        <i/>
        <sz val="12"/>
        <color rgb="FF0000FF"/>
        <rFont val="Calibri"/>
        <family val="2"/>
        <scheme val="minor"/>
      </rPr>
      <t>N</t>
    </r>
    <r>
      <rPr>
        <sz val="12"/>
        <color rgb="FF0000FF"/>
        <rFont val="Calibri"/>
        <family val="2"/>
        <scheme val="minor"/>
      </rPr>
      <t xml:space="preserve"> = 21 at p≤ 0.05 is 58. Therefore, the result is significant at p≤ 0.05.</t>
    </r>
  </si>
  <si>
    <r>
      <t>W-value</t>
    </r>
    <r>
      <rPr>
        <sz val="12"/>
        <color theme="1"/>
        <rFont val="Calibri"/>
        <family val="2"/>
        <scheme val="minor"/>
      </rPr>
      <t>: 15</t>
    </r>
  </si>
  <si>
    <r>
      <t>Mean Difference</t>
    </r>
    <r>
      <rPr>
        <sz val="12"/>
        <color theme="1"/>
        <rFont val="Calibri"/>
        <family val="2"/>
        <scheme val="minor"/>
      </rPr>
      <t>: 3.31</t>
    </r>
  </si>
  <si>
    <r>
      <t>Sum of pos. ranks</t>
    </r>
    <r>
      <rPr>
        <sz val="12"/>
        <color theme="1"/>
        <rFont val="Calibri"/>
        <family val="2"/>
        <scheme val="minor"/>
      </rPr>
      <t>: 216</t>
    </r>
  </si>
  <si>
    <r>
      <t>Sum of neg. ranks</t>
    </r>
    <r>
      <rPr>
        <sz val="12"/>
        <color theme="1"/>
        <rFont val="Calibri"/>
        <family val="2"/>
        <scheme val="minor"/>
      </rPr>
      <t>: 15</t>
    </r>
  </si>
  <si>
    <r>
      <t>Z-value</t>
    </r>
    <r>
      <rPr>
        <sz val="12"/>
        <color theme="1"/>
        <rFont val="Calibri"/>
        <family val="2"/>
        <scheme val="minor"/>
      </rPr>
      <t>: -3.4931</t>
    </r>
  </si>
  <si>
    <r>
      <t>Mean (</t>
    </r>
    <r>
      <rPr>
        <i/>
        <sz val="12"/>
        <color theme="1"/>
        <rFont val="Calibri"/>
        <family val="2"/>
        <scheme val="minor"/>
      </rPr>
      <t>W</t>
    </r>
    <r>
      <rPr>
        <sz val="12"/>
        <color theme="1"/>
        <rFont val="Calibri"/>
        <family val="2"/>
        <scheme val="minor"/>
      </rPr>
      <t>): 115.5</t>
    </r>
  </si>
  <si>
    <r>
      <t>Standard Deviation (</t>
    </r>
    <r>
      <rPr>
        <i/>
        <sz val="12"/>
        <color theme="1"/>
        <rFont val="Calibri"/>
        <family val="2"/>
        <scheme val="minor"/>
      </rPr>
      <t>W</t>
    </r>
    <r>
      <rPr>
        <sz val="12"/>
        <color theme="1"/>
        <rFont val="Calibri"/>
        <family val="2"/>
        <scheme val="minor"/>
      </rPr>
      <t>): 28.77</t>
    </r>
  </si>
  <si>
    <r>
      <t>Sample Size (</t>
    </r>
    <r>
      <rPr>
        <i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): 21</t>
    </r>
  </si>
  <si>
    <t>axiom type vii</t>
  </si>
  <si>
    <t>The Z-value is -2.4512. The p-value is 0.01428. The result is significant at p≤ 0.05.</t>
  </si>
  <si>
    <r>
      <t xml:space="preserve">The W-value is 51. The critical value of </t>
    </r>
    <r>
      <rPr>
        <i/>
        <sz val="12"/>
        <color rgb="FF0000FF"/>
        <rFont val="Calibri"/>
        <family val="2"/>
        <scheme val="minor"/>
      </rPr>
      <t>W</t>
    </r>
    <r>
      <rPr>
        <sz val="12"/>
        <color rgb="FF0000FF"/>
        <rFont val="Calibri"/>
        <family val="2"/>
        <scheme val="minor"/>
      </rPr>
      <t xml:space="preserve"> for </t>
    </r>
    <r>
      <rPr>
        <i/>
        <sz val="12"/>
        <color rgb="FF0000FF"/>
        <rFont val="Calibri"/>
        <family val="2"/>
        <scheme val="minor"/>
      </rPr>
      <t>N</t>
    </r>
    <r>
      <rPr>
        <sz val="12"/>
        <color rgb="FF0000FF"/>
        <rFont val="Calibri"/>
        <family val="2"/>
        <scheme val="minor"/>
      </rPr>
      <t xml:space="preserve"> = 22 at p≤ 0.05 is 65. Therefore, the result is significant at p≤ 0.05.</t>
    </r>
  </si>
  <si>
    <r>
      <t>W-value</t>
    </r>
    <r>
      <rPr>
        <sz val="12"/>
        <color theme="1"/>
        <rFont val="Calibri"/>
        <family val="2"/>
        <scheme val="minor"/>
      </rPr>
      <t>: 51</t>
    </r>
  </si>
  <si>
    <r>
      <t>Mean Difference</t>
    </r>
    <r>
      <rPr>
        <sz val="12"/>
        <color theme="1"/>
        <rFont val="Calibri"/>
        <family val="2"/>
        <scheme val="minor"/>
      </rPr>
      <t>: -0.3</t>
    </r>
  </si>
  <si>
    <r>
      <t>Sum of pos. ranks</t>
    </r>
    <r>
      <rPr>
        <sz val="12"/>
        <color theme="1"/>
        <rFont val="Calibri"/>
        <family val="2"/>
        <scheme val="minor"/>
      </rPr>
      <t>: 202</t>
    </r>
  </si>
  <si>
    <r>
      <t>Sum of neg. ranks</t>
    </r>
    <r>
      <rPr>
        <sz val="12"/>
        <color theme="1"/>
        <rFont val="Calibri"/>
        <family val="2"/>
        <scheme val="minor"/>
      </rPr>
      <t>: 51</t>
    </r>
  </si>
  <si>
    <r>
      <t>Z-value</t>
    </r>
    <r>
      <rPr>
        <sz val="12"/>
        <color theme="1"/>
        <rFont val="Calibri"/>
        <family val="2"/>
        <scheme val="minor"/>
      </rPr>
      <t>: -2.4512</t>
    </r>
  </si>
  <si>
    <t>axiom type ix</t>
  </si>
  <si>
    <t>The Z-value is -4.1069. The p-value is 0. The result is significant at p≤ 0.05.</t>
  </si>
  <si>
    <r>
      <t xml:space="preserve">The W-value is 0. The critical value of </t>
    </r>
    <r>
      <rPr>
        <i/>
        <sz val="12"/>
        <color rgb="FF0000FF"/>
        <rFont val="Calibri"/>
        <family val="2"/>
        <scheme val="minor"/>
      </rPr>
      <t>W</t>
    </r>
    <r>
      <rPr>
        <sz val="12"/>
        <color rgb="FF0000FF"/>
        <rFont val="Calibri"/>
        <family val="2"/>
        <scheme val="minor"/>
      </rPr>
      <t xml:space="preserve"> for </t>
    </r>
    <r>
      <rPr>
        <i/>
        <sz val="12"/>
        <color rgb="FF0000FF"/>
        <rFont val="Calibri"/>
        <family val="2"/>
        <scheme val="minor"/>
      </rPr>
      <t>N</t>
    </r>
    <r>
      <rPr>
        <sz val="12"/>
        <color rgb="FF0000FF"/>
        <rFont val="Calibri"/>
        <family val="2"/>
        <scheme val="minor"/>
      </rPr>
      <t xml:space="preserve"> = 22 at p≤ 0.05 is 65. Therefore, the result is significant at p≤ 0.05.</t>
    </r>
  </si>
  <si>
    <r>
      <t>W-value</t>
    </r>
    <r>
      <rPr>
        <sz val="12"/>
        <color theme="1"/>
        <rFont val="Calibri"/>
        <family val="2"/>
        <scheme val="minor"/>
      </rPr>
      <t>: 0</t>
    </r>
  </si>
  <si>
    <r>
      <t>Mean Difference</t>
    </r>
    <r>
      <rPr>
        <sz val="12"/>
        <color theme="1"/>
        <rFont val="Calibri"/>
        <family val="2"/>
        <scheme val="minor"/>
      </rPr>
      <t>: -9.8</t>
    </r>
  </si>
  <si>
    <r>
      <t>Sum of pos. ranks</t>
    </r>
    <r>
      <rPr>
        <sz val="12"/>
        <color theme="1"/>
        <rFont val="Calibri"/>
        <family val="2"/>
        <scheme val="minor"/>
      </rPr>
      <t>: 0</t>
    </r>
  </si>
  <si>
    <r>
      <t>Sum of neg. ranks</t>
    </r>
    <r>
      <rPr>
        <sz val="12"/>
        <color theme="1"/>
        <rFont val="Calibri"/>
        <family val="2"/>
        <scheme val="minor"/>
      </rPr>
      <t>: 253</t>
    </r>
  </si>
  <si>
    <r>
      <t>Z-value</t>
    </r>
    <r>
      <rPr>
        <sz val="12"/>
        <color theme="1"/>
        <rFont val="Calibri"/>
        <family val="2"/>
        <scheme val="minor"/>
      </rPr>
      <t>: -4.1069</t>
    </r>
  </si>
  <si>
    <t>axiom type x</t>
  </si>
  <si>
    <r>
      <t>Mean Difference</t>
    </r>
    <r>
      <rPr>
        <sz val="12"/>
        <color theme="1"/>
        <rFont val="Calibri"/>
        <family val="2"/>
        <scheme val="minor"/>
      </rPr>
      <t>: -10.51</t>
    </r>
  </si>
  <si>
    <t>Wilcoxon, 2-tailed, significance level 0.05</t>
  </si>
  <si>
    <t>and axiom type v with scenarios 2-4 only:</t>
  </si>
  <si>
    <r>
      <t xml:space="preserve">The Z-value is -1.2071. The p-value is 0.22628. The result is </t>
    </r>
    <r>
      <rPr>
        <i/>
        <sz val="12"/>
        <color rgb="FFFF0000"/>
        <rFont val="Calibri"/>
        <family val="2"/>
        <scheme val="minor"/>
      </rPr>
      <t>not</t>
    </r>
    <r>
      <rPr>
        <sz val="12"/>
        <color rgb="FFFF0000"/>
        <rFont val="Calibri"/>
        <family val="2"/>
        <scheme val="minor"/>
      </rPr>
      <t xml:space="preserve"> significant at p≤ 0.05.</t>
    </r>
  </si>
  <si>
    <r>
      <t xml:space="preserve">The W-value is 51. The critical value of </t>
    </r>
    <r>
      <rPr>
        <i/>
        <sz val="12"/>
        <color rgb="FFFF0000"/>
        <rFont val="Calibri"/>
        <family val="2"/>
        <scheme val="minor"/>
      </rPr>
      <t>W</t>
    </r>
    <r>
      <rPr>
        <sz val="12"/>
        <color rgb="FFFF0000"/>
        <rFont val="Calibri"/>
        <family val="2"/>
        <scheme val="minor"/>
      </rPr>
      <t xml:space="preserve"> for </t>
    </r>
    <r>
      <rPr>
        <i/>
        <sz val="12"/>
        <color rgb="FFFF0000"/>
        <rFont val="Calibri"/>
        <family val="2"/>
        <scheme val="minor"/>
      </rPr>
      <t>N</t>
    </r>
    <r>
      <rPr>
        <sz val="12"/>
        <color rgb="FFFF0000"/>
        <rFont val="Calibri"/>
        <family val="2"/>
        <scheme val="minor"/>
      </rPr>
      <t xml:space="preserve"> = 17 at p≤ 0.05 is 34. Therefore, the result is </t>
    </r>
    <r>
      <rPr>
        <i/>
        <sz val="12"/>
        <color rgb="FFFF0000"/>
        <rFont val="Calibri"/>
        <family val="2"/>
        <scheme val="minor"/>
      </rPr>
      <t>not</t>
    </r>
    <r>
      <rPr>
        <sz val="12"/>
        <color rgb="FFFF0000"/>
        <rFont val="Calibri"/>
        <family val="2"/>
        <scheme val="minor"/>
      </rPr>
      <t xml:space="preserve"> significant at p≤ 0.05.</t>
    </r>
  </si>
  <si>
    <r>
      <t>Mean Difference</t>
    </r>
    <r>
      <rPr>
        <sz val="12"/>
        <color theme="1"/>
        <rFont val="Calibri"/>
        <family val="2"/>
        <scheme val="minor"/>
      </rPr>
      <t>: -1.13</t>
    </r>
  </si>
  <si>
    <r>
      <t>Sum of pos. ranks</t>
    </r>
    <r>
      <rPr>
        <sz val="12"/>
        <color theme="1"/>
        <rFont val="Calibri"/>
        <family val="2"/>
        <scheme val="minor"/>
      </rPr>
      <t>: 102</t>
    </r>
  </si>
  <si>
    <r>
      <t>Z-value</t>
    </r>
    <r>
      <rPr>
        <sz val="12"/>
        <color theme="1"/>
        <rFont val="Calibri"/>
        <family val="2"/>
        <scheme val="minor"/>
      </rPr>
      <t>: -1.2071</t>
    </r>
  </si>
  <si>
    <r>
      <t>Mean (</t>
    </r>
    <r>
      <rPr>
        <i/>
        <sz val="12"/>
        <color theme="1"/>
        <rFont val="Calibri"/>
        <family val="2"/>
        <scheme val="minor"/>
      </rPr>
      <t>W</t>
    </r>
    <r>
      <rPr>
        <sz val="12"/>
        <color theme="1"/>
        <rFont val="Calibri"/>
        <family val="2"/>
        <scheme val="minor"/>
      </rPr>
      <t>): 76.5</t>
    </r>
  </si>
  <si>
    <r>
      <t>Standard Deviation (</t>
    </r>
    <r>
      <rPr>
        <i/>
        <sz val="12"/>
        <color theme="1"/>
        <rFont val="Calibri"/>
        <family val="2"/>
        <scheme val="minor"/>
      </rPr>
      <t>W</t>
    </r>
    <r>
      <rPr>
        <sz val="12"/>
        <color theme="1"/>
        <rFont val="Calibri"/>
        <family val="2"/>
        <scheme val="minor"/>
      </rPr>
      <t>): 21.12</t>
    </r>
  </si>
  <si>
    <r>
      <t>Sample Size (</t>
    </r>
    <r>
      <rPr>
        <i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): 17</t>
    </r>
  </si>
  <si>
    <t>and with scenarions 3-4 only</t>
  </si>
  <si>
    <r>
      <t xml:space="preserve">The Z-value is -0.6276. The p-value is 0.5287. The result is </t>
    </r>
    <r>
      <rPr>
        <i/>
        <sz val="12"/>
        <color rgb="FFFF0000"/>
        <rFont val="Calibri"/>
        <family val="2"/>
        <scheme val="minor"/>
      </rPr>
      <t>not</t>
    </r>
    <r>
      <rPr>
        <sz val="12"/>
        <color rgb="FFFF0000"/>
        <rFont val="Calibri"/>
        <family val="2"/>
        <scheme val="minor"/>
      </rPr>
      <t xml:space="preserve"> significant at p≤ 0.05.</t>
    </r>
  </si>
  <si>
    <r>
      <t xml:space="preserve">The W-value is 31. The critical value of </t>
    </r>
    <r>
      <rPr>
        <i/>
        <sz val="12"/>
        <color rgb="FFFF0000"/>
        <rFont val="Calibri"/>
        <family val="2"/>
        <scheme val="minor"/>
      </rPr>
      <t>W</t>
    </r>
    <r>
      <rPr>
        <sz val="12"/>
        <color rgb="FFFF0000"/>
        <rFont val="Calibri"/>
        <family val="2"/>
        <scheme val="minor"/>
      </rPr>
      <t xml:space="preserve"> for </t>
    </r>
    <r>
      <rPr>
        <i/>
        <sz val="12"/>
        <color rgb="FFFF0000"/>
        <rFont val="Calibri"/>
        <family val="2"/>
        <scheme val="minor"/>
      </rPr>
      <t>N</t>
    </r>
    <r>
      <rPr>
        <sz val="12"/>
        <color rgb="FFFF0000"/>
        <rFont val="Calibri"/>
        <family val="2"/>
        <scheme val="minor"/>
      </rPr>
      <t xml:space="preserve"> = 12 at p≤ 0.05 is 13. Therefore, the result is </t>
    </r>
    <r>
      <rPr>
        <i/>
        <sz val="12"/>
        <color rgb="FFFF0000"/>
        <rFont val="Calibri"/>
        <family val="2"/>
        <scheme val="minor"/>
      </rPr>
      <t>not</t>
    </r>
    <r>
      <rPr>
        <sz val="12"/>
        <color rgb="FFFF0000"/>
        <rFont val="Calibri"/>
        <family val="2"/>
        <scheme val="minor"/>
      </rPr>
      <t xml:space="preserve"> significant at p≤ 0.05.</t>
    </r>
  </si>
  <si>
    <t>finally, scenarion 3 only…</t>
  </si>
  <si>
    <r>
      <t xml:space="preserve">The Z-value is -1.7821. However, the size of </t>
    </r>
    <r>
      <rPr>
        <i/>
        <sz val="12"/>
        <color rgb="FF800000"/>
        <rFont val="Calibri"/>
        <family val="2"/>
        <scheme val="minor"/>
      </rPr>
      <t>N</t>
    </r>
    <r>
      <rPr>
        <sz val="12"/>
        <color rgb="FF800000"/>
        <rFont val="Calibri"/>
        <family val="2"/>
        <scheme val="minor"/>
      </rPr>
      <t xml:space="preserve"> (6) is not large enough for the distribution of the Wilcoxon </t>
    </r>
    <r>
      <rPr>
        <i/>
        <sz val="12"/>
        <color rgb="FF800000"/>
        <rFont val="Calibri"/>
        <family val="2"/>
        <scheme val="minor"/>
      </rPr>
      <t>W</t>
    </r>
    <r>
      <rPr>
        <sz val="12"/>
        <color rgb="FF800000"/>
        <rFont val="Calibri"/>
        <family val="2"/>
        <scheme val="minor"/>
      </rPr>
      <t xml:space="preserve"> statistic to form a normal distribution. Therefore, it is not possible to calculate an accurate p-value.</t>
    </r>
  </si>
  <si>
    <r>
      <t xml:space="preserve">The W-value is 2. The critical value of </t>
    </r>
    <r>
      <rPr>
        <i/>
        <sz val="12"/>
        <color rgb="FFFF0000"/>
        <rFont val="Calibri"/>
        <family val="2"/>
        <scheme val="minor"/>
      </rPr>
      <t>W</t>
    </r>
    <r>
      <rPr>
        <sz val="12"/>
        <color rgb="FFFF0000"/>
        <rFont val="Calibri"/>
        <family val="2"/>
        <scheme val="minor"/>
      </rPr>
      <t xml:space="preserve"> for </t>
    </r>
    <r>
      <rPr>
        <i/>
        <sz val="12"/>
        <color rgb="FFFF0000"/>
        <rFont val="Calibri"/>
        <family val="2"/>
        <scheme val="minor"/>
      </rPr>
      <t>N</t>
    </r>
    <r>
      <rPr>
        <sz val="12"/>
        <color rgb="FFFF0000"/>
        <rFont val="Calibri"/>
        <family val="2"/>
        <scheme val="minor"/>
      </rPr>
      <t xml:space="preserve"> = 6 at p≤ 0.05 is 0. Therefore, the result is </t>
    </r>
    <r>
      <rPr>
        <i/>
        <sz val="12"/>
        <color rgb="FFFF0000"/>
        <rFont val="Calibri"/>
        <family val="2"/>
        <scheme val="minor"/>
      </rPr>
      <t>not</t>
    </r>
    <r>
      <rPr>
        <sz val="12"/>
        <color rgb="FFFF0000"/>
        <rFont val="Calibri"/>
        <family val="2"/>
        <scheme val="minor"/>
      </rPr>
      <t xml:space="preserve"> significant at p≤ 0.05.</t>
    </r>
  </si>
  <si>
    <t>http://www.socscistatistics.com/tests/signedranks/Default2.aspx</t>
  </si>
  <si>
    <t>diff</t>
  </si>
  <si>
    <t>copied in the alternate scenarions for axioms ix and x:</t>
  </si>
  <si>
    <t>and copied in the corresponding graph: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</si>
</sst>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ourier"/>
    </font>
    <font>
      <i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i/>
      <sz val="12"/>
      <color rgb="FF0000FF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800000"/>
      <name val="Calibri"/>
      <family val="2"/>
      <scheme val="minor"/>
    </font>
    <font>
      <i/>
      <sz val="12"/>
      <color rgb="FF8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5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3" fillId="0" borderId="0" xfId="0" applyFont="1"/>
    <xf numFmtId="0" fontId="6" fillId="0" borderId="0" xfId="0" applyFont="1" applyAlignment="1">
      <alignment vertical="center"/>
    </xf>
    <xf numFmtId="0" fontId="15" fillId="0" borderId="0" xfId="0" applyFont="1" applyAlignment="1">
      <alignment vertical="center"/>
    </xf>
  </cellXfs>
  <cellStyles count="2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clicksCalcuationsAndGraphs!$AB$11</c:f>
              <c:strCache>
                <c:ptCount val="1"/>
                <c:pt idx="0">
                  <c:v>AWO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clicksCalcuationsAndGraphs!$AB$12:$AB$29</c:f>
              <c:numCache>
                <c:formatCode>General</c:formatCode>
                <c:ptCount val="18"/>
                <c:pt idx="0">
                  <c:v>7.0</c:v>
                </c:pt>
                <c:pt idx="1">
                  <c:v>4.6</c:v>
                </c:pt>
                <c:pt idx="2">
                  <c:v>9.2</c:v>
                </c:pt>
                <c:pt idx="3">
                  <c:v>7.0</c:v>
                </c:pt>
                <c:pt idx="4">
                  <c:v>7.0</c:v>
                </c:pt>
                <c:pt idx="5">
                  <c:v>5.5</c:v>
                </c:pt>
                <c:pt idx="6">
                  <c:v>7.0</c:v>
                </c:pt>
                <c:pt idx="7">
                  <c:v>5.8</c:v>
                </c:pt>
                <c:pt idx="8">
                  <c:v>7.0</c:v>
                </c:pt>
                <c:pt idx="9">
                  <c:v>8.5</c:v>
                </c:pt>
                <c:pt idx="10">
                  <c:v>6.0</c:v>
                </c:pt>
                <c:pt idx="11">
                  <c:v>4.6</c:v>
                </c:pt>
                <c:pt idx="12">
                  <c:v>11.2</c:v>
                </c:pt>
                <c:pt idx="13">
                  <c:v>7.0</c:v>
                </c:pt>
                <c:pt idx="14">
                  <c:v>9.700000000000001</c:v>
                </c:pt>
                <c:pt idx="15">
                  <c:v>11.5</c:v>
                </c:pt>
                <c:pt idx="16">
                  <c:v>11.8</c:v>
                </c:pt>
                <c:pt idx="17">
                  <c:v>13.9</c:v>
                </c:pt>
              </c:numCache>
            </c:numRef>
          </c:val>
        </c:ser>
        <c:ser>
          <c:idx val="1"/>
          <c:order val="1"/>
          <c:tx>
            <c:strRef>
              <c:f>clicksCalcuationsAndGraphs!$AC$11</c:f>
              <c:strCache>
                <c:ptCount val="1"/>
                <c:pt idx="0">
                  <c:v>Pizza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clicksCalcuationsAndGraphs!$AC$12:$AC$29</c:f>
              <c:numCache>
                <c:formatCode>General</c:formatCode>
                <c:ptCount val="18"/>
                <c:pt idx="0">
                  <c:v>9.86</c:v>
                </c:pt>
                <c:pt idx="1">
                  <c:v>4.6</c:v>
                </c:pt>
                <c:pt idx="2">
                  <c:v>12.36</c:v>
                </c:pt>
                <c:pt idx="3">
                  <c:v>7.0</c:v>
                </c:pt>
                <c:pt idx="4">
                  <c:v>9.86</c:v>
                </c:pt>
                <c:pt idx="5">
                  <c:v>5.5</c:v>
                </c:pt>
                <c:pt idx="6">
                  <c:v>9.86</c:v>
                </c:pt>
                <c:pt idx="7">
                  <c:v>5.8</c:v>
                </c:pt>
                <c:pt idx="8">
                  <c:v>9.86</c:v>
                </c:pt>
                <c:pt idx="9">
                  <c:v>8.5</c:v>
                </c:pt>
                <c:pt idx="10">
                  <c:v>8.86</c:v>
                </c:pt>
                <c:pt idx="11">
                  <c:v>4.6</c:v>
                </c:pt>
                <c:pt idx="12">
                  <c:v>14.36</c:v>
                </c:pt>
                <c:pt idx="13">
                  <c:v>7.0</c:v>
                </c:pt>
                <c:pt idx="14">
                  <c:v>9.700000000000001</c:v>
                </c:pt>
                <c:pt idx="15">
                  <c:v>11.5</c:v>
                </c:pt>
                <c:pt idx="16">
                  <c:v>11.8</c:v>
                </c:pt>
                <c:pt idx="17">
                  <c:v>13.9</c:v>
                </c:pt>
              </c:numCache>
            </c:numRef>
          </c:val>
        </c:ser>
        <c:ser>
          <c:idx val="2"/>
          <c:order val="2"/>
          <c:tx>
            <c:strRef>
              <c:f>clicksCalcuationsAndGraphs!$AD$11</c:f>
              <c:strCache>
                <c:ptCount val="1"/>
                <c:pt idx="0">
                  <c:v>DMOP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clicksCalcuationsAndGraphs!$AD$12:$AD$29</c:f>
              <c:numCache>
                <c:formatCode>General</c:formatCode>
                <c:ptCount val="18"/>
                <c:pt idx="0">
                  <c:v>13.39</c:v>
                </c:pt>
                <c:pt idx="1">
                  <c:v>4.6</c:v>
                </c:pt>
                <c:pt idx="2">
                  <c:v>16.59</c:v>
                </c:pt>
                <c:pt idx="3">
                  <c:v>7.0</c:v>
                </c:pt>
                <c:pt idx="4">
                  <c:v>13.39</c:v>
                </c:pt>
                <c:pt idx="5">
                  <c:v>5.5</c:v>
                </c:pt>
                <c:pt idx="6">
                  <c:v>13.39</c:v>
                </c:pt>
                <c:pt idx="7">
                  <c:v>5.8</c:v>
                </c:pt>
                <c:pt idx="8">
                  <c:v>13.39</c:v>
                </c:pt>
                <c:pt idx="9">
                  <c:v>8.5</c:v>
                </c:pt>
                <c:pt idx="10">
                  <c:v>12.39</c:v>
                </c:pt>
                <c:pt idx="11">
                  <c:v>4.6</c:v>
                </c:pt>
                <c:pt idx="12">
                  <c:v>18.59</c:v>
                </c:pt>
                <c:pt idx="13">
                  <c:v>7.0</c:v>
                </c:pt>
                <c:pt idx="14">
                  <c:v>9.700000000000001</c:v>
                </c:pt>
                <c:pt idx="15">
                  <c:v>11.5</c:v>
                </c:pt>
                <c:pt idx="16">
                  <c:v>11.8</c:v>
                </c:pt>
                <c:pt idx="17">
                  <c:v>13.9</c:v>
                </c:pt>
              </c:numCache>
            </c:numRef>
          </c:val>
        </c:ser>
        <c:ser>
          <c:idx val="3"/>
          <c:order val="3"/>
          <c:tx>
            <c:strRef>
              <c:f>clicksCalcuationsAndGraphs!$AE$11</c:f>
              <c:strCache>
                <c:ptCount val="1"/>
                <c:pt idx="0">
                  <c:v>mock1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clicksCalcuationsAndGraphs!$AE$12:$AE$29</c:f>
              <c:numCache>
                <c:formatCode>General</c:formatCode>
                <c:ptCount val="18"/>
                <c:pt idx="0">
                  <c:v>11.0</c:v>
                </c:pt>
                <c:pt idx="1">
                  <c:v>4.6</c:v>
                </c:pt>
                <c:pt idx="2">
                  <c:v>14.0</c:v>
                </c:pt>
                <c:pt idx="3">
                  <c:v>7.0</c:v>
                </c:pt>
                <c:pt idx="4">
                  <c:v>11.0</c:v>
                </c:pt>
                <c:pt idx="5">
                  <c:v>5.5</c:v>
                </c:pt>
                <c:pt idx="6">
                  <c:v>11.0</c:v>
                </c:pt>
                <c:pt idx="7">
                  <c:v>5.8</c:v>
                </c:pt>
                <c:pt idx="8">
                  <c:v>11.0</c:v>
                </c:pt>
                <c:pt idx="9">
                  <c:v>8.5</c:v>
                </c:pt>
                <c:pt idx="10">
                  <c:v>10.0</c:v>
                </c:pt>
                <c:pt idx="11">
                  <c:v>4.6</c:v>
                </c:pt>
                <c:pt idx="12">
                  <c:v>16.0</c:v>
                </c:pt>
                <c:pt idx="13">
                  <c:v>7.0</c:v>
                </c:pt>
                <c:pt idx="14">
                  <c:v>9.700000000000001</c:v>
                </c:pt>
                <c:pt idx="15">
                  <c:v>11.5</c:v>
                </c:pt>
                <c:pt idx="16">
                  <c:v>11.8</c:v>
                </c:pt>
                <c:pt idx="17">
                  <c:v>13.9</c:v>
                </c:pt>
              </c:numCache>
            </c:numRef>
          </c:val>
        </c:ser>
        <c:ser>
          <c:idx val="4"/>
          <c:order val="4"/>
          <c:tx>
            <c:strRef>
              <c:f>clicksCalcuationsAndGraphs!$AF$11</c:f>
              <c:strCache>
                <c:ptCount val="1"/>
                <c:pt idx="0">
                  <c:v>mock2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clicksCalcuationsAndGraphs!$AF$12:$AF$29</c:f>
              <c:numCache>
                <c:formatCode>General</c:formatCode>
                <c:ptCount val="18"/>
                <c:pt idx="0">
                  <c:v>17.0</c:v>
                </c:pt>
                <c:pt idx="1">
                  <c:v>4.6</c:v>
                </c:pt>
                <c:pt idx="2">
                  <c:v>21.0</c:v>
                </c:pt>
                <c:pt idx="3">
                  <c:v>7.0</c:v>
                </c:pt>
                <c:pt idx="4">
                  <c:v>17.0</c:v>
                </c:pt>
                <c:pt idx="5">
                  <c:v>5.5</c:v>
                </c:pt>
                <c:pt idx="6">
                  <c:v>17.0</c:v>
                </c:pt>
                <c:pt idx="7">
                  <c:v>5.8</c:v>
                </c:pt>
                <c:pt idx="8">
                  <c:v>17.0</c:v>
                </c:pt>
                <c:pt idx="9">
                  <c:v>8.5</c:v>
                </c:pt>
                <c:pt idx="10">
                  <c:v>16.0</c:v>
                </c:pt>
                <c:pt idx="11">
                  <c:v>4.6</c:v>
                </c:pt>
                <c:pt idx="12">
                  <c:v>23.0</c:v>
                </c:pt>
                <c:pt idx="13">
                  <c:v>7.0</c:v>
                </c:pt>
                <c:pt idx="14">
                  <c:v>9.700000000000001</c:v>
                </c:pt>
                <c:pt idx="15">
                  <c:v>11.5</c:v>
                </c:pt>
                <c:pt idx="16">
                  <c:v>11.8</c:v>
                </c:pt>
                <c:pt idx="17">
                  <c:v>13.9</c:v>
                </c:pt>
              </c:numCache>
            </c:numRef>
          </c:val>
        </c:ser>
        <c:ser>
          <c:idx val="5"/>
          <c:order val="5"/>
          <c:tx>
            <c:strRef>
              <c:f>clicksCalcuationsAndGraphs!$AG$11</c:f>
              <c:strCache>
                <c:ptCount val="1"/>
                <c:pt idx="0">
                  <c:v>mock3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clicksCalcuationsAndGraphs!$AG$12:$AG$29</c:f>
              <c:numCache>
                <c:formatCode>General</c:formatCode>
                <c:ptCount val="18"/>
                <c:pt idx="0">
                  <c:v>11.0</c:v>
                </c:pt>
                <c:pt idx="1">
                  <c:v>4.6</c:v>
                </c:pt>
                <c:pt idx="2">
                  <c:v>13.5</c:v>
                </c:pt>
                <c:pt idx="3">
                  <c:v>7.0</c:v>
                </c:pt>
                <c:pt idx="4">
                  <c:v>11.0</c:v>
                </c:pt>
                <c:pt idx="5">
                  <c:v>5.5</c:v>
                </c:pt>
                <c:pt idx="6">
                  <c:v>11.0</c:v>
                </c:pt>
                <c:pt idx="7">
                  <c:v>5.8</c:v>
                </c:pt>
                <c:pt idx="8">
                  <c:v>11.0</c:v>
                </c:pt>
                <c:pt idx="9">
                  <c:v>8.5</c:v>
                </c:pt>
                <c:pt idx="10">
                  <c:v>10.0</c:v>
                </c:pt>
                <c:pt idx="11">
                  <c:v>4.6</c:v>
                </c:pt>
                <c:pt idx="12">
                  <c:v>15.5</c:v>
                </c:pt>
                <c:pt idx="13">
                  <c:v>7.0</c:v>
                </c:pt>
                <c:pt idx="14">
                  <c:v>9.700000000000001</c:v>
                </c:pt>
                <c:pt idx="15">
                  <c:v>11.5</c:v>
                </c:pt>
                <c:pt idx="16">
                  <c:v>11.8</c:v>
                </c:pt>
                <c:pt idx="17">
                  <c:v>13.9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371432"/>
        <c:axId val="2073365464"/>
      </c:barChart>
      <c:catAx>
        <c:axId val="20733714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3365464"/>
        <c:crosses val="autoZero"/>
        <c:auto val="1"/>
        <c:lblAlgn val="ctr"/>
        <c:lblOffset val="100"/>
        <c:noMultiLvlLbl val="0"/>
      </c:catAx>
      <c:valAx>
        <c:axId val="207336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33714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clicksCalcuationsAndGraphs!$T$11</c:f>
              <c:strCache>
                <c:ptCount val="1"/>
                <c:pt idx="0">
                  <c:v>AWO</c:v>
                </c:pt>
              </c:strCache>
            </c:strRef>
          </c:tx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clicksCalcuationsAndGraphs!$T$12:$T$29</c:f>
              <c:numCache>
                <c:formatCode>General</c:formatCode>
                <c:ptCount val="18"/>
                <c:pt idx="0">
                  <c:v>12.0</c:v>
                </c:pt>
                <c:pt idx="1">
                  <c:v>8.28</c:v>
                </c:pt>
                <c:pt idx="2">
                  <c:v>15.2</c:v>
                </c:pt>
                <c:pt idx="3">
                  <c:v>11.63</c:v>
                </c:pt>
                <c:pt idx="4">
                  <c:v>12.0</c:v>
                </c:pt>
                <c:pt idx="5">
                  <c:v>9.03</c:v>
                </c:pt>
                <c:pt idx="6">
                  <c:v>12.0</c:v>
                </c:pt>
                <c:pt idx="7">
                  <c:v>9.864999999999998</c:v>
                </c:pt>
                <c:pt idx="8">
                  <c:v>12.0</c:v>
                </c:pt>
                <c:pt idx="9">
                  <c:v>12.115</c:v>
                </c:pt>
                <c:pt idx="10">
                  <c:v>10.0</c:v>
                </c:pt>
                <c:pt idx="11">
                  <c:v>5.015</c:v>
                </c:pt>
                <c:pt idx="12">
                  <c:v>11.2</c:v>
                </c:pt>
                <c:pt idx="13">
                  <c:v>11.63</c:v>
                </c:pt>
                <c:pt idx="14">
                  <c:v>16.98</c:v>
                </c:pt>
                <c:pt idx="15">
                  <c:v>17.495</c:v>
                </c:pt>
                <c:pt idx="16">
                  <c:v>19.745</c:v>
                </c:pt>
                <c:pt idx="17">
                  <c:v>20.26</c:v>
                </c:pt>
              </c:numCache>
            </c:numRef>
          </c:val>
        </c:ser>
        <c:ser>
          <c:idx val="1"/>
          <c:order val="1"/>
          <c:tx>
            <c:strRef>
              <c:f>clicksCalcuationsAndGraphs!$U$11</c:f>
              <c:strCache>
                <c:ptCount val="1"/>
                <c:pt idx="0">
                  <c:v>Pizza</c:v>
                </c:pt>
              </c:strCache>
            </c:strRef>
          </c:tx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clicksCalcuationsAndGraphs!$U$12:$U$29</c:f>
              <c:numCache>
                <c:formatCode>General</c:formatCode>
                <c:ptCount val="18"/>
                <c:pt idx="0">
                  <c:v>14.86</c:v>
                </c:pt>
                <c:pt idx="1">
                  <c:v>11.285</c:v>
                </c:pt>
                <c:pt idx="2">
                  <c:v>18.36</c:v>
                </c:pt>
                <c:pt idx="3">
                  <c:v>15.1925</c:v>
                </c:pt>
                <c:pt idx="4">
                  <c:v>14.86</c:v>
                </c:pt>
                <c:pt idx="5">
                  <c:v>12.035</c:v>
                </c:pt>
                <c:pt idx="6">
                  <c:v>14.86</c:v>
                </c:pt>
                <c:pt idx="7">
                  <c:v>11.925</c:v>
                </c:pt>
                <c:pt idx="8">
                  <c:v>14.86</c:v>
                </c:pt>
                <c:pt idx="9">
                  <c:v>14.175</c:v>
                </c:pt>
                <c:pt idx="10">
                  <c:v>12.86</c:v>
                </c:pt>
                <c:pt idx="11">
                  <c:v>8.1175</c:v>
                </c:pt>
                <c:pt idx="12">
                  <c:v>14.36</c:v>
                </c:pt>
                <c:pt idx="13">
                  <c:v>15.1925</c:v>
                </c:pt>
                <c:pt idx="14">
                  <c:v>21.1</c:v>
                </c:pt>
                <c:pt idx="15">
                  <c:v>23.1175</c:v>
                </c:pt>
                <c:pt idx="16">
                  <c:v>25.3675</c:v>
                </c:pt>
                <c:pt idx="17">
                  <c:v>27.385</c:v>
                </c:pt>
              </c:numCache>
            </c:numRef>
          </c:val>
        </c:ser>
        <c:ser>
          <c:idx val="2"/>
          <c:order val="2"/>
          <c:tx>
            <c:strRef>
              <c:f>clicksCalcuationsAndGraphs!$V$11</c:f>
              <c:strCache>
                <c:ptCount val="1"/>
                <c:pt idx="0">
                  <c:v>DMOP</c:v>
                </c:pt>
              </c:strCache>
            </c:strRef>
          </c:tx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clicksCalcuationsAndGraphs!$V$12:$V$29</c:f>
              <c:numCache>
                <c:formatCode>General</c:formatCode>
                <c:ptCount val="18"/>
                <c:pt idx="0">
                  <c:v>18.39</c:v>
                </c:pt>
                <c:pt idx="1">
                  <c:v>15.295</c:v>
                </c:pt>
                <c:pt idx="2">
                  <c:v>22.59</c:v>
                </c:pt>
                <c:pt idx="3">
                  <c:v>19.83</c:v>
                </c:pt>
                <c:pt idx="4">
                  <c:v>18.39</c:v>
                </c:pt>
                <c:pt idx="5">
                  <c:v>16.045</c:v>
                </c:pt>
                <c:pt idx="6">
                  <c:v>18.39</c:v>
                </c:pt>
                <c:pt idx="7">
                  <c:v>14.5575</c:v>
                </c:pt>
                <c:pt idx="8">
                  <c:v>18.39</c:v>
                </c:pt>
                <c:pt idx="9">
                  <c:v>16.8075</c:v>
                </c:pt>
                <c:pt idx="10">
                  <c:v>16.39</c:v>
                </c:pt>
                <c:pt idx="11">
                  <c:v>13.28</c:v>
                </c:pt>
                <c:pt idx="12">
                  <c:v>18.59</c:v>
                </c:pt>
                <c:pt idx="13">
                  <c:v>19.83</c:v>
                </c:pt>
                <c:pt idx="14">
                  <c:v>26.365</c:v>
                </c:pt>
                <c:pt idx="15">
                  <c:v>30.3875</c:v>
                </c:pt>
                <c:pt idx="16">
                  <c:v>32.6375</c:v>
                </c:pt>
                <c:pt idx="17">
                  <c:v>36.66</c:v>
                </c:pt>
              </c:numCache>
            </c:numRef>
          </c:val>
        </c:ser>
        <c:ser>
          <c:idx val="3"/>
          <c:order val="3"/>
          <c:tx>
            <c:strRef>
              <c:f>clicksCalcuationsAndGraphs!$W$11</c:f>
              <c:strCache>
                <c:ptCount val="1"/>
                <c:pt idx="0">
                  <c:v>mock1</c:v>
                </c:pt>
              </c:strCache>
            </c:strRef>
          </c:tx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clicksCalcuationsAndGraphs!$W$12:$W$29</c:f>
              <c:numCache>
                <c:formatCode>General</c:formatCode>
                <c:ptCount val="18"/>
                <c:pt idx="0">
                  <c:v>16.0</c:v>
                </c:pt>
                <c:pt idx="1">
                  <c:v>12.25</c:v>
                </c:pt>
                <c:pt idx="2">
                  <c:v>20.0</c:v>
                </c:pt>
                <c:pt idx="3">
                  <c:v>16.25</c:v>
                </c:pt>
                <c:pt idx="4">
                  <c:v>16.0</c:v>
                </c:pt>
                <c:pt idx="5">
                  <c:v>13.0</c:v>
                </c:pt>
                <c:pt idx="6">
                  <c:v>16.0</c:v>
                </c:pt>
                <c:pt idx="7">
                  <c:v>12.5</c:v>
                </c:pt>
                <c:pt idx="8">
                  <c:v>16.0</c:v>
                </c:pt>
                <c:pt idx="9">
                  <c:v>14.75</c:v>
                </c:pt>
                <c:pt idx="10">
                  <c:v>14.0</c:v>
                </c:pt>
                <c:pt idx="11">
                  <c:v>9.5</c:v>
                </c:pt>
                <c:pt idx="12">
                  <c:v>16.0</c:v>
                </c:pt>
                <c:pt idx="13">
                  <c:v>16.25</c:v>
                </c:pt>
                <c:pt idx="14">
                  <c:v>22.25</c:v>
                </c:pt>
                <c:pt idx="15">
                  <c:v>24.75</c:v>
                </c:pt>
                <c:pt idx="16">
                  <c:v>27.0</c:v>
                </c:pt>
                <c:pt idx="17">
                  <c:v>29.5</c:v>
                </c:pt>
              </c:numCache>
            </c:numRef>
          </c:val>
        </c:ser>
        <c:ser>
          <c:idx val="4"/>
          <c:order val="4"/>
          <c:tx>
            <c:strRef>
              <c:f>clicksCalcuationsAndGraphs!$X$11</c:f>
              <c:strCache>
                <c:ptCount val="1"/>
                <c:pt idx="0">
                  <c:v>mock2</c:v>
                </c:pt>
              </c:strCache>
            </c:strRef>
          </c:tx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clicksCalcuationsAndGraphs!$X$12:$X$29</c:f>
              <c:numCache>
                <c:formatCode>General</c:formatCode>
                <c:ptCount val="18"/>
                <c:pt idx="0">
                  <c:v>22.0</c:v>
                </c:pt>
                <c:pt idx="1">
                  <c:v>12.25</c:v>
                </c:pt>
                <c:pt idx="2">
                  <c:v>27.0</c:v>
                </c:pt>
                <c:pt idx="3">
                  <c:v>16.25</c:v>
                </c:pt>
                <c:pt idx="4">
                  <c:v>22.0</c:v>
                </c:pt>
                <c:pt idx="5">
                  <c:v>13.0</c:v>
                </c:pt>
                <c:pt idx="6">
                  <c:v>22.0</c:v>
                </c:pt>
                <c:pt idx="7">
                  <c:v>12.5</c:v>
                </c:pt>
                <c:pt idx="8">
                  <c:v>22.0</c:v>
                </c:pt>
                <c:pt idx="9">
                  <c:v>14.75</c:v>
                </c:pt>
                <c:pt idx="10">
                  <c:v>20.0</c:v>
                </c:pt>
                <c:pt idx="11">
                  <c:v>9.5</c:v>
                </c:pt>
                <c:pt idx="12">
                  <c:v>23.0</c:v>
                </c:pt>
                <c:pt idx="13">
                  <c:v>16.25</c:v>
                </c:pt>
                <c:pt idx="14">
                  <c:v>22.25</c:v>
                </c:pt>
                <c:pt idx="15">
                  <c:v>24.75</c:v>
                </c:pt>
                <c:pt idx="16">
                  <c:v>27.0</c:v>
                </c:pt>
                <c:pt idx="17">
                  <c:v>29.5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321608"/>
        <c:axId val="2073307288"/>
      </c:barChart>
      <c:catAx>
        <c:axId val="207332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307288"/>
        <c:crosses val="autoZero"/>
        <c:auto val="1"/>
        <c:lblAlgn val="ctr"/>
        <c:lblOffset val="100"/>
        <c:noMultiLvlLbl val="0"/>
      </c:catAx>
      <c:valAx>
        <c:axId val="207330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321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clicksCalcuationsAndGraphs!$L$11</c:f>
              <c:strCache>
                <c:ptCount val="1"/>
                <c:pt idx="0">
                  <c:v>AWO</c:v>
                </c:pt>
              </c:strCache>
            </c:strRef>
          </c:tx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clicksCalcuationsAndGraphs!$L$12:$L$29</c:f>
              <c:numCache>
                <c:formatCode>General</c:formatCode>
                <c:ptCount val="18"/>
                <c:pt idx="0">
                  <c:v>7.0</c:v>
                </c:pt>
                <c:pt idx="1">
                  <c:v>8.536</c:v>
                </c:pt>
                <c:pt idx="2">
                  <c:v>9.2</c:v>
                </c:pt>
                <c:pt idx="3">
                  <c:v>12.556</c:v>
                </c:pt>
                <c:pt idx="4">
                  <c:v>7.0</c:v>
                </c:pt>
                <c:pt idx="5">
                  <c:v>9.436</c:v>
                </c:pt>
                <c:pt idx="6">
                  <c:v>7.0</c:v>
                </c:pt>
                <c:pt idx="7">
                  <c:v>10.438</c:v>
                </c:pt>
                <c:pt idx="8">
                  <c:v>7.0</c:v>
                </c:pt>
                <c:pt idx="9">
                  <c:v>13.138</c:v>
                </c:pt>
                <c:pt idx="10">
                  <c:v>6.0</c:v>
                </c:pt>
                <c:pt idx="11">
                  <c:v>4.618</c:v>
                </c:pt>
                <c:pt idx="12">
                  <c:v>11.2</c:v>
                </c:pt>
                <c:pt idx="13">
                  <c:v>12.556</c:v>
                </c:pt>
                <c:pt idx="14">
                  <c:v>16.176</c:v>
                </c:pt>
                <c:pt idx="15">
                  <c:v>19.594</c:v>
                </c:pt>
                <c:pt idx="16">
                  <c:v>19.494</c:v>
                </c:pt>
                <c:pt idx="17">
                  <c:v>22.912</c:v>
                </c:pt>
              </c:numCache>
            </c:numRef>
          </c:val>
        </c:ser>
        <c:ser>
          <c:idx val="1"/>
          <c:order val="1"/>
          <c:tx>
            <c:strRef>
              <c:f>clicksCalcuationsAndGraphs!$M$11</c:f>
              <c:strCache>
                <c:ptCount val="1"/>
                <c:pt idx="0">
                  <c:v>Pizza</c:v>
                </c:pt>
              </c:strCache>
            </c:strRef>
          </c:tx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clicksCalcuationsAndGraphs!$M$12:$M$29</c:f>
              <c:numCache>
                <c:formatCode>General</c:formatCode>
                <c:ptCount val="18"/>
                <c:pt idx="0">
                  <c:v>9.86</c:v>
                </c:pt>
                <c:pt idx="1">
                  <c:v>12.142</c:v>
                </c:pt>
                <c:pt idx="2">
                  <c:v>12.36</c:v>
                </c:pt>
                <c:pt idx="3">
                  <c:v>16.831</c:v>
                </c:pt>
                <c:pt idx="4">
                  <c:v>9.86</c:v>
                </c:pt>
                <c:pt idx="5">
                  <c:v>13.042</c:v>
                </c:pt>
                <c:pt idx="6">
                  <c:v>9.86</c:v>
                </c:pt>
                <c:pt idx="7">
                  <c:v>12.91</c:v>
                </c:pt>
                <c:pt idx="8">
                  <c:v>9.86</c:v>
                </c:pt>
                <c:pt idx="9">
                  <c:v>15.61</c:v>
                </c:pt>
                <c:pt idx="10">
                  <c:v>8.86</c:v>
                </c:pt>
                <c:pt idx="11">
                  <c:v>8.341</c:v>
                </c:pt>
                <c:pt idx="12">
                  <c:v>14.36</c:v>
                </c:pt>
                <c:pt idx="13">
                  <c:v>16.831</c:v>
                </c:pt>
                <c:pt idx="14">
                  <c:v>21.12</c:v>
                </c:pt>
                <c:pt idx="15">
                  <c:v>26.341</c:v>
                </c:pt>
                <c:pt idx="16">
                  <c:v>26.241</c:v>
                </c:pt>
                <c:pt idx="17">
                  <c:v>31.462</c:v>
                </c:pt>
              </c:numCache>
            </c:numRef>
          </c:val>
        </c:ser>
        <c:ser>
          <c:idx val="2"/>
          <c:order val="2"/>
          <c:tx>
            <c:strRef>
              <c:f>clicksCalcuationsAndGraphs!$N$11</c:f>
              <c:strCache>
                <c:ptCount val="1"/>
                <c:pt idx="0">
                  <c:v>DMOP</c:v>
                </c:pt>
              </c:strCache>
            </c:strRef>
          </c:tx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clicksCalcuationsAndGraphs!$N$12:$N$29</c:f>
              <c:numCache>
                <c:formatCode>General</c:formatCode>
                <c:ptCount val="18"/>
                <c:pt idx="0">
                  <c:v>13.39</c:v>
                </c:pt>
                <c:pt idx="1">
                  <c:v>16.954</c:v>
                </c:pt>
                <c:pt idx="2">
                  <c:v>16.59</c:v>
                </c:pt>
                <c:pt idx="3">
                  <c:v>22.396</c:v>
                </c:pt>
                <c:pt idx="4">
                  <c:v>13.39</c:v>
                </c:pt>
                <c:pt idx="5">
                  <c:v>17.854</c:v>
                </c:pt>
                <c:pt idx="6">
                  <c:v>13.39</c:v>
                </c:pt>
                <c:pt idx="7">
                  <c:v>16.069</c:v>
                </c:pt>
                <c:pt idx="8">
                  <c:v>13.39</c:v>
                </c:pt>
                <c:pt idx="9">
                  <c:v>18.769</c:v>
                </c:pt>
                <c:pt idx="10">
                  <c:v>12.39</c:v>
                </c:pt>
                <c:pt idx="11">
                  <c:v>14.536</c:v>
                </c:pt>
                <c:pt idx="12">
                  <c:v>18.59</c:v>
                </c:pt>
                <c:pt idx="13">
                  <c:v>22.396</c:v>
                </c:pt>
                <c:pt idx="14">
                  <c:v>27.438</c:v>
                </c:pt>
                <c:pt idx="15">
                  <c:v>35.065</c:v>
                </c:pt>
                <c:pt idx="16">
                  <c:v>34.965</c:v>
                </c:pt>
                <c:pt idx="17">
                  <c:v>42.592</c:v>
                </c:pt>
              </c:numCache>
            </c:numRef>
          </c:val>
        </c:ser>
        <c:ser>
          <c:idx val="3"/>
          <c:order val="3"/>
          <c:tx>
            <c:strRef>
              <c:f>clicksCalcuationsAndGraphs!$O$11</c:f>
              <c:strCache>
                <c:ptCount val="1"/>
                <c:pt idx="0">
                  <c:v>mock1</c:v>
                </c:pt>
              </c:strCache>
            </c:strRef>
          </c:tx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clicksCalcuationsAndGraphs!$O$12:$O$29</c:f>
              <c:numCache>
                <c:formatCode>General</c:formatCode>
                <c:ptCount val="18"/>
                <c:pt idx="0">
                  <c:v>11.0</c:v>
                </c:pt>
                <c:pt idx="1">
                  <c:v>13.3</c:v>
                </c:pt>
                <c:pt idx="2">
                  <c:v>14.0</c:v>
                </c:pt>
                <c:pt idx="3">
                  <c:v>18.1</c:v>
                </c:pt>
                <c:pt idx="4">
                  <c:v>11.0</c:v>
                </c:pt>
                <c:pt idx="5">
                  <c:v>14.2</c:v>
                </c:pt>
                <c:pt idx="6">
                  <c:v>11.0</c:v>
                </c:pt>
                <c:pt idx="7">
                  <c:v>13.6</c:v>
                </c:pt>
                <c:pt idx="8">
                  <c:v>11.0</c:v>
                </c:pt>
                <c:pt idx="9">
                  <c:v>16.3</c:v>
                </c:pt>
                <c:pt idx="10">
                  <c:v>10.0</c:v>
                </c:pt>
                <c:pt idx="11">
                  <c:v>10.0</c:v>
                </c:pt>
                <c:pt idx="12">
                  <c:v>16.0</c:v>
                </c:pt>
                <c:pt idx="13">
                  <c:v>18.1</c:v>
                </c:pt>
                <c:pt idx="14">
                  <c:v>22.5</c:v>
                </c:pt>
                <c:pt idx="15">
                  <c:v>28.3</c:v>
                </c:pt>
                <c:pt idx="16">
                  <c:v>28.2</c:v>
                </c:pt>
                <c:pt idx="17">
                  <c:v>34.0</c:v>
                </c:pt>
              </c:numCache>
            </c:numRef>
          </c:val>
        </c:ser>
        <c:ser>
          <c:idx val="4"/>
          <c:order val="4"/>
          <c:tx>
            <c:strRef>
              <c:f>clicksCalcuationsAndGraphs!$P$11</c:f>
              <c:strCache>
                <c:ptCount val="1"/>
                <c:pt idx="0">
                  <c:v>mock2</c:v>
                </c:pt>
              </c:strCache>
            </c:strRef>
          </c:tx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clicksCalcuationsAndGraphs!$P$12:$P$29</c:f>
              <c:numCache>
                <c:formatCode>General</c:formatCode>
                <c:ptCount val="18"/>
                <c:pt idx="0">
                  <c:v>17.0</c:v>
                </c:pt>
                <c:pt idx="1">
                  <c:v>13.3</c:v>
                </c:pt>
                <c:pt idx="2">
                  <c:v>21.0</c:v>
                </c:pt>
                <c:pt idx="3">
                  <c:v>18.1</c:v>
                </c:pt>
                <c:pt idx="4">
                  <c:v>17.0</c:v>
                </c:pt>
                <c:pt idx="5">
                  <c:v>14.2</c:v>
                </c:pt>
                <c:pt idx="6">
                  <c:v>17.0</c:v>
                </c:pt>
                <c:pt idx="7">
                  <c:v>13.6</c:v>
                </c:pt>
                <c:pt idx="8">
                  <c:v>17.0</c:v>
                </c:pt>
                <c:pt idx="9">
                  <c:v>16.3</c:v>
                </c:pt>
                <c:pt idx="10">
                  <c:v>16.0</c:v>
                </c:pt>
                <c:pt idx="11">
                  <c:v>10.0</c:v>
                </c:pt>
                <c:pt idx="12">
                  <c:v>23.0</c:v>
                </c:pt>
                <c:pt idx="13">
                  <c:v>18.1</c:v>
                </c:pt>
                <c:pt idx="14">
                  <c:v>22.5</c:v>
                </c:pt>
                <c:pt idx="15">
                  <c:v>28.3</c:v>
                </c:pt>
                <c:pt idx="16">
                  <c:v>28.2</c:v>
                </c:pt>
                <c:pt idx="17">
                  <c:v>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265832"/>
        <c:axId val="2073268888"/>
      </c:barChart>
      <c:catAx>
        <c:axId val="207326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268888"/>
        <c:crosses val="autoZero"/>
        <c:auto val="1"/>
        <c:lblAlgn val="ctr"/>
        <c:lblOffset val="100"/>
        <c:noMultiLvlLbl val="0"/>
      </c:catAx>
      <c:valAx>
        <c:axId val="2073268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26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clicksCalcuationsAndGraphs!$AB$3</c:f>
              <c:strCache>
                <c:ptCount val="1"/>
                <c:pt idx="0">
                  <c:v>AWO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clicksCalcuationsAndGraphs!$AA$4:$AA$7</c:f>
              <c:strCache>
                <c:ptCount val="4"/>
                <c:pt idx="0">
                  <c:v>Total Protégé</c:v>
                </c:pt>
                <c:pt idx="1">
                  <c:v>Total TDDonto2</c:v>
                </c:pt>
                <c:pt idx="2">
                  <c:v>Total Protégé - single edit reasoner</c:v>
                </c:pt>
                <c:pt idx="3">
                  <c:v>Total TDDonto2 - with reasoner</c:v>
                </c:pt>
              </c:strCache>
            </c:strRef>
          </c:cat>
          <c:val>
            <c:numRef>
              <c:f>clicksCalcuationsAndGraphs!$AB$4:$AB$7</c:f>
              <c:numCache>
                <c:formatCode>General</c:formatCode>
                <c:ptCount val="4"/>
                <c:pt idx="0">
                  <c:v>75.9</c:v>
                </c:pt>
                <c:pt idx="1">
                  <c:v>68.4</c:v>
                </c:pt>
                <c:pt idx="2">
                  <c:v>83.19000000000001</c:v>
                </c:pt>
                <c:pt idx="3">
                  <c:v>70.02</c:v>
                </c:pt>
              </c:numCache>
            </c:numRef>
          </c:val>
        </c:ser>
        <c:ser>
          <c:idx val="1"/>
          <c:order val="1"/>
          <c:tx>
            <c:strRef>
              <c:f>clicksCalcuationsAndGraphs!$AC$3</c:f>
              <c:strCache>
                <c:ptCount val="1"/>
                <c:pt idx="0">
                  <c:v>Pizza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strRef>
              <c:f>clicksCalcuationsAndGraphs!$AA$4:$AA$7</c:f>
              <c:strCache>
                <c:ptCount val="4"/>
                <c:pt idx="0">
                  <c:v>Total Protégé</c:v>
                </c:pt>
                <c:pt idx="1">
                  <c:v>Total TDDonto2</c:v>
                </c:pt>
                <c:pt idx="2">
                  <c:v>Total Protégé - single edit reasoner</c:v>
                </c:pt>
                <c:pt idx="3">
                  <c:v>Total TDDonto2 - with reasoner</c:v>
                </c:pt>
              </c:strCache>
            </c:strRef>
          </c:cat>
          <c:val>
            <c:numRef>
              <c:f>clicksCalcuationsAndGraphs!$AC$4:$AC$7</c:f>
              <c:numCache>
                <c:formatCode>General</c:formatCode>
                <c:ptCount val="4"/>
                <c:pt idx="0">
                  <c:v>96.52</c:v>
                </c:pt>
                <c:pt idx="1">
                  <c:v>68.4</c:v>
                </c:pt>
                <c:pt idx="2">
                  <c:v>97.42</c:v>
                </c:pt>
                <c:pt idx="3">
                  <c:v>68.6</c:v>
                </c:pt>
              </c:numCache>
            </c:numRef>
          </c:val>
        </c:ser>
        <c:ser>
          <c:idx val="2"/>
          <c:order val="2"/>
          <c:tx>
            <c:strRef>
              <c:f>clicksCalcuationsAndGraphs!$AD$3</c:f>
              <c:strCache>
                <c:ptCount val="1"/>
                <c:pt idx="0">
                  <c:v>DMOP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clicksCalcuationsAndGraphs!$AA$4:$AA$7</c:f>
              <c:strCache>
                <c:ptCount val="4"/>
                <c:pt idx="0">
                  <c:v>Total Protégé</c:v>
                </c:pt>
                <c:pt idx="1">
                  <c:v>Total TDDonto2</c:v>
                </c:pt>
                <c:pt idx="2">
                  <c:v>Total Protégé - single edit reasoner</c:v>
                </c:pt>
                <c:pt idx="3">
                  <c:v>Total TDDonto2 - with reasoner</c:v>
                </c:pt>
              </c:strCache>
            </c:strRef>
          </c:cat>
          <c:val>
            <c:numRef>
              <c:f>clicksCalcuationsAndGraphs!$AD$4:$AD$7</c:f>
              <c:numCache>
                <c:formatCode>General</c:formatCode>
                <c:ptCount val="4"/>
                <c:pt idx="0">
                  <c:v>122.63</c:v>
                </c:pt>
                <c:pt idx="1">
                  <c:v>68.4</c:v>
                </c:pt>
                <c:pt idx="2">
                  <c:v>10891.4</c:v>
                </c:pt>
                <c:pt idx="3">
                  <c:v>2461.46</c:v>
                </c:pt>
              </c:numCache>
            </c:numRef>
          </c:val>
        </c:ser>
        <c:ser>
          <c:idx val="3"/>
          <c:order val="3"/>
          <c:tx>
            <c:strRef>
              <c:f>clicksCalcuationsAndGraphs!$AE$3</c:f>
              <c:strCache>
                <c:ptCount val="1"/>
                <c:pt idx="0">
                  <c:v>mock1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cat>
            <c:strRef>
              <c:f>clicksCalcuationsAndGraphs!$AA$4:$AA$7</c:f>
              <c:strCache>
                <c:ptCount val="4"/>
                <c:pt idx="0">
                  <c:v>Total Protégé</c:v>
                </c:pt>
                <c:pt idx="1">
                  <c:v>Total TDDonto2</c:v>
                </c:pt>
                <c:pt idx="2">
                  <c:v>Total Protégé - single edit reasoner</c:v>
                </c:pt>
                <c:pt idx="3">
                  <c:v>Total TDDonto2 - with reasoner</c:v>
                </c:pt>
              </c:strCache>
            </c:strRef>
          </c:cat>
          <c:val>
            <c:numRef>
              <c:f>clicksCalcuationsAndGraphs!$AE$4:$AE$7</c:f>
              <c:numCache>
                <c:formatCode>General</c:formatCode>
                <c:ptCount val="4"/>
                <c:pt idx="0">
                  <c:v>105.5</c:v>
                </c:pt>
                <c:pt idx="1">
                  <c:v>68.4</c:v>
                </c:pt>
                <c:pt idx="2">
                  <c:v>1005.5</c:v>
                </c:pt>
                <c:pt idx="3">
                  <c:v>268.4</c:v>
                </c:pt>
              </c:numCache>
            </c:numRef>
          </c:val>
        </c:ser>
        <c:ser>
          <c:idx val="4"/>
          <c:order val="4"/>
          <c:tx>
            <c:strRef>
              <c:f>clicksCalcuationsAndGraphs!$AF$3</c:f>
              <c:strCache>
                <c:ptCount val="1"/>
                <c:pt idx="0">
                  <c:v>mock2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clicksCalcuationsAndGraphs!$AA$4:$AA$7</c:f>
              <c:strCache>
                <c:ptCount val="4"/>
                <c:pt idx="0">
                  <c:v>Total Protégé</c:v>
                </c:pt>
                <c:pt idx="1">
                  <c:v>Total TDDonto2</c:v>
                </c:pt>
                <c:pt idx="2">
                  <c:v>Total Protégé - single edit reasoner</c:v>
                </c:pt>
                <c:pt idx="3">
                  <c:v>Total TDDonto2 - with reasoner</c:v>
                </c:pt>
              </c:strCache>
            </c:strRef>
          </c:cat>
          <c:val>
            <c:numRef>
              <c:f>clicksCalcuationsAndGraphs!$AF$4:$AF$7</c:f>
              <c:numCache>
                <c:formatCode>General</c:formatCode>
                <c:ptCount val="4"/>
                <c:pt idx="0">
                  <c:v>149.5</c:v>
                </c:pt>
                <c:pt idx="1">
                  <c:v>68.4</c:v>
                </c:pt>
                <c:pt idx="2">
                  <c:v>4649.5</c:v>
                </c:pt>
                <c:pt idx="3">
                  <c:v>1068.4</c:v>
                </c:pt>
              </c:numCache>
            </c:numRef>
          </c:val>
        </c:ser>
        <c:ser>
          <c:idx val="5"/>
          <c:order val="5"/>
          <c:tx>
            <c:strRef>
              <c:f>clicksCalcuationsAndGraphs!$AG$3</c:f>
              <c:strCache>
                <c:ptCount val="1"/>
                <c:pt idx="0">
                  <c:v>mock3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cat>
            <c:strRef>
              <c:f>clicksCalcuationsAndGraphs!$AA$4:$AA$7</c:f>
              <c:strCache>
                <c:ptCount val="4"/>
                <c:pt idx="0">
                  <c:v>Total Protégé</c:v>
                </c:pt>
                <c:pt idx="1">
                  <c:v>Total TDDonto2</c:v>
                </c:pt>
                <c:pt idx="2">
                  <c:v>Total Protégé - single edit reasoner</c:v>
                </c:pt>
                <c:pt idx="3">
                  <c:v>Total TDDonto2 - with reasoner</c:v>
                </c:pt>
              </c:strCache>
            </c:strRef>
          </c:cat>
          <c:val>
            <c:numRef>
              <c:f>clicksCalcuationsAndGraphs!$AG$4:$AG$7</c:f>
              <c:numCache>
                <c:formatCode>General</c:formatCode>
                <c:ptCount val="4"/>
                <c:pt idx="0">
                  <c:v>104.5</c:v>
                </c:pt>
                <c:pt idx="1">
                  <c:v>68.4</c:v>
                </c:pt>
                <c:pt idx="2">
                  <c:v>329.5</c:v>
                </c:pt>
                <c:pt idx="3">
                  <c:v>118.4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739688"/>
        <c:axId val="2027999000"/>
      </c:barChart>
      <c:catAx>
        <c:axId val="20207396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27999000"/>
        <c:crosses val="autoZero"/>
        <c:auto val="1"/>
        <c:lblAlgn val="ctr"/>
        <c:lblOffset val="100"/>
        <c:noMultiLvlLbl val="0"/>
      </c:catAx>
      <c:valAx>
        <c:axId val="202799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207396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[1]clicksCalcuationsAndGraphs!$AB$11</c:f>
              <c:strCache>
                <c:ptCount val="1"/>
                <c:pt idx="0">
                  <c:v>AWO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multiLvlStrRef>
              <c:f>[1]clicksCalcuationsAndGraphs!$A$12:$B$29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[1]clicksCalcuationsAndGraphs!$AB$12:$AB$29</c:f>
              <c:numCache>
                <c:formatCode>General</c:formatCode>
                <c:ptCount val="18"/>
                <c:pt idx="0">
                  <c:v>7.0</c:v>
                </c:pt>
                <c:pt idx="1">
                  <c:v>4.6</c:v>
                </c:pt>
                <c:pt idx="2">
                  <c:v>9.2</c:v>
                </c:pt>
                <c:pt idx="3">
                  <c:v>7.0</c:v>
                </c:pt>
                <c:pt idx="4">
                  <c:v>7.0</c:v>
                </c:pt>
                <c:pt idx="5">
                  <c:v>5.5</c:v>
                </c:pt>
                <c:pt idx="6">
                  <c:v>7.0</c:v>
                </c:pt>
                <c:pt idx="7">
                  <c:v>5.8</c:v>
                </c:pt>
                <c:pt idx="8">
                  <c:v>7.0</c:v>
                </c:pt>
                <c:pt idx="9">
                  <c:v>8.5</c:v>
                </c:pt>
                <c:pt idx="10">
                  <c:v>6.0</c:v>
                </c:pt>
                <c:pt idx="11">
                  <c:v>4.6</c:v>
                </c:pt>
                <c:pt idx="12">
                  <c:v>11.2</c:v>
                </c:pt>
                <c:pt idx="13">
                  <c:v>7.0</c:v>
                </c:pt>
                <c:pt idx="14">
                  <c:v>18.4</c:v>
                </c:pt>
                <c:pt idx="15">
                  <c:v>11.5</c:v>
                </c:pt>
                <c:pt idx="16">
                  <c:v>32</c:v>
                </c:pt>
                <c:pt idx="17">
                  <c:v>13.9</c:v>
                </c:pt>
              </c:numCache>
            </c:numRef>
          </c:val>
        </c:ser>
        <c:ser>
          <c:idx val="1"/>
          <c:order val="1"/>
          <c:tx>
            <c:strRef>
              <c:f>[1]clicksCalcuationsAndGraphs!$AC$11</c:f>
              <c:strCache>
                <c:ptCount val="1"/>
                <c:pt idx="0">
                  <c:v>Pizza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[1]clicksCalcuationsAndGraphs!$A$12:$B$29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[1]clicksCalcuationsAndGraphs!$AC$12:$AC$29</c:f>
              <c:numCache>
                <c:formatCode>General</c:formatCode>
                <c:ptCount val="18"/>
                <c:pt idx="0">
                  <c:v>9.86</c:v>
                </c:pt>
                <c:pt idx="1">
                  <c:v>4.6</c:v>
                </c:pt>
                <c:pt idx="2">
                  <c:v>12.36</c:v>
                </c:pt>
                <c:pt idx="3">
                  <c:v>7.0</c:v>
                </c:pt>
                <c:pt idx="4">
                  <c:v>9.86</c:v>
                </c:pt>
                <c:pt idx="5">
                  <c:v>5.5</c:v>
                </c:pt>
                <c:pt idx="6">
                  <c:v>9.86</c:v>
                </c:pt>
                <c:pt idx="7">
                  <c:v>5.8</c:v>
                </c:pt>
                <c:pt idx="8">
                  <c:v>9.86</c:v>
                </c:pt>
                <c:pt idx="9">
                  <c:v>8.5</c:v>
                </c:pt>
                <c:pt idx="10">
                  <c:v>8.86</c:v>
                </c:pt>
                <c:pt idx="11">
                  <c:v>4.6</c:v>
                </c:pt>
                <c:pt idx="12">
                  <c:v>14.36</c:v>
                </c:pt>
                <c:pt idx="13">
                  <c:v>7.0</c:v>
                </c:pt>
                <c:pt idx="14">
                  <c:v>24.72</c:v>
                </c:pt>
                <c:pt idx="15">
                  <c:v>11.5</c:v>
                </c:pt>
                <c:pt idx="16">
                  <c:v>38.32000000000001</c:v>
                </c:pt>
                <c:pt idx="17">
                  <c:v>13.9</c:v>
                </c:pt>
              </c:numCache>
            </c:numRef>
          </c:val>
        </c:ser>
        <c:ser>
          <c:idx val="2"/>
          <c:order val="2"/>
          <c:tx>
            <c:strRef>
              <c:f>[1]clicksCalcuationsAndGraphs!$AD$11</c:f>
              <c:strCache>
                <c:ptCount val="1"/>
                <c:pt idx="0">
                  <c:v>DMOP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multiLvlStrRef>
              <c:f>[1]clicksCalcuationsAndGraphs!$A$12:$B$29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[1]clicksCalcuationsAndGraphs!$AD$12:$AD$29</c:f>
              <c:numCache>
                <c:formatCode>General</c:formatCode>
                <c:ptCount val="18"/>
                <c:pt idx="0">
                  <c:v>13.39</c:v>
                </c:pt>
                <c:pt idx="1">
                  <c:v>4.6</c:v>
                </c:pt>
                <c:pt idx="2">
                  <c:v>16.59</c:v>
                </c:pt>
                <c:pt idx="3">
                  <c:v>7.0</c:v>
                </c:pt>
                <c:pt idx="4">
                  <c:v>13.39</c:v>
                </c:pt>
                <c:pt idx="5">
                  <c:v>5.5</c:v>
                </c:pt>
                <c:pt idx="6">
                  <c:v>13.39</c:v>
                </c:pt>
                <c:pt idx="7">
                  <c:v>5.8</c:v>
                </c:pt>
                <c:pt idx="8">
                  <c:v>13.39</c:v>
                </c:pt>
                <c:pt idx="9">
                  <c:v>8.5</c:v>
                </c:pt>
                <c:pt idx="10">
                  <c:v>12.39</c:v>
                </c:pt>
                <c:pt idx="11">
                  <c:v>4.6</c:v>
                </c:pt>
                <c:pt idx="12">
                  <c:v>18.59</c:v>
                </c:pt>
                <c:pt idx="13">
                  <c:v>7.0</c:v>
                </c:pt>
                <c:pt idx="14">
                  <c:v>33.18</c:v>
                </c:pt>
                <c:pt idx="15">
                  <c:v>11.5</c:v>
                </c:pt>
                <c:pt idx="16">
                  <c:v>46.78000000000001</c:v>
                </c:pt>
                <c:pt idx="17">
                  <c:v>13.9</c:v>
                </c:pt>
              </c:numCache>
            </c:numRef>
          </c:val>
        </c:ser>
        <c:ser>
          <c:idx val="3"/>
          <c:order val="3"/>
          <c:tx>
            <c:strRef>
              <c:f>[1]clicksCalcuationsAndGraphs!$AE$11</c:f>
              <c:strCache>
                <c:ptCount val="1"/>
                <c:pt idx="0">
                  <c:v>mock1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cat>
            <c:multiLvlStrRef>
              <c:f>[1]clicksCalcuationsAndGraphs!$A$12:$B$29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[1]clicksCalcuationsAndGraphs!$AE$12:$AE$29</c:f>
              <c:numCache>
                <c:formatCode>General</c:formatCode>
                <c:ptCount val="18"/>
                <c:pt idx="0">
                  <c:v>11.0</c:v>
                </c:pt>
                <c:pt idx="1">
                  <c:v>4.6</c:v>
                </c:pt>
                <c:pt idx="2">
                  <c:v>14.0</c:v>
                </c:pt>
                <c:pt idx="3">
                  <c:v>7.0</c:v>
                </c:pt>
                <c:pt idx="4">
                  <c:v>11.0</c:v>
                </c:pt>
                <c:pt idx="5">
                  <c:v>5.5</c:v>
                </c:pt>
                <c:pt idx="6">
                  <c:v>11.0</c:v>
                </c:pt>
                <c:pt idx="7">
                  <c:v>5.8</c:v>
                </c:pt>
                <c:pt idx="8">
                  <c:v>11.0</c:v>
                </c:pt>
                <c:pt idx="9">
                  <c:v>8.5</c:v>
                </c:pt>
                <c:pt idx="10">
                  <c:v>10.0</c:v>
                </c:pt>
                <c:pt idx="11">
                  <c:v>4.6</c:v>
                </c:pt>
                <c:pt idx="12">
                  <c:v>16.0</c:v>
                </c:pt>
                <c:pt idx="13">
                  <c:v>7.0</c:v>
                </c:pt>
                <c:pt idx="14">
                  <c:v>28.0</c:v>
                </c:pt>
                <c:pt idx="15">
                  <c:v>11.5</c:v>
                </c:pt>
                <c:pt idx="16">
                  <c:v>41.60000000000001</c:v>
                </c:pt>
                <c:pt idx="17">
                  <c:v>13.9</c:v>
                </c:pt>
              </c:numCache>
            </c:numRef>
          </c:val>
        </c:ser>
        <c:ser>
          <c:idx val="4"/>
          <c:order val="4"/>
          <c:tx>
            <c:strRef>
              <c:f>[1]clicksCalcuationsAndGraphs!$AF$11</c:f>
              <c:strCache>
                <c:ptCount val="1"/>
                <c:pt idx="0">
                  <c:v>mock2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multiLvlStrRef>
              <c:f>[1]clicksCalcuationsAndGraphs!$A$12:$B$29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[1]clicksCalcuationsAndGraphs!$AF$12:$AF$29</c:f>
              <c:numCache>
                <c:formatCode>General</c:formatCode>
                <c:ptCount val="18"/>
                <c:pt idx="0">
                  <c:v>17.0</c:v>
                </c:pt>
                <c:pt idx="1">
                  <c:v>4.6</c:v>
                </c:pt>
                <c:pt idx="2">
                  <c:v>21.0</c:v>
                </c:pt>
                <c:pt idx="3">
                  <c:v>7.0</c:v>
                </c:pt>
                <c:pt idx="4">
                  <c:v>17.0</c:v>
                </c:pt>
                <c:pt idx="5">
                  <c:v>5.5</c:v>
                </c:pt>
                <c:pt idx="6">
                  <c:v>17.0</c:v>
                </c:pt>
                <c:pt idx="7">
                  <c:v>5.8</c:v>
                </c:pt>
                <c:pt idx="8">
                  <c:v>17.0</c:v>
                </c:pt>
                <c:pt idx="9">
                  <c:v>8.5</c:v>
                </c:pt>
                <c:pt idx="10">
                  <c:v>16.0</c:v>
                </c:pt>
                <c:pt idx="11">
                  <c:v>4.6</c:v>
                </c:pt>
                <c:pt idx="12">
                  <c:v>23.0</c:v>
                </c:pt>
                <c:pt idx="13">
                  <c:v>7.0</c:v>
                </c:pt>
                <c:pt idx="14">
                  <c:v>42.0</c:v>
                </c:pt>
                <c:pt idx="15">
                  <c:v>11.5</c:v>
                </c:pt>
                <c:pt idx="16">
                  <c:v>55.60000000000001</c:v>
                </c:pt>
                <c:pt idx="17">
                  <c:v>13.9</c:v>
                </c:pt>
              </c:numCache>
            </c:numRef>
          </c:val>
        </c:ser>
        <c:ser>
          <c:idx val="5"/>
          <c:order val="5"/>
          <c:tx>
            <c:strRef>
              <c:f>[1]clicksCalcuationsAndGraphs!$AG$11</c:f>
              <c:strCache>
                <c:ptCount val="1"/>
                <c:pt idx="0">
                  <c:v>mock3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cat>
            <c:multiLvlStrRef>
              <c:f>[1]clicksCalcuationsAndGraphs!$A$12:$B$29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[1]clicksCalcuationsAndGraphs!$AG$12:$AG$29</c:f>
              <c:numCache>
                <c:formatCode>General</c:formatCode>
                <c:ptCount val="18"/>
                <c:pt idx="0">
                  <c:v>11.0</c:v>
                </c:pt>
                <c:pt idx="1">
                  <c:v>4.6</c:v>
                </c:pt>
                <c:pt idx="2">
                  <c:v>13.5</c:v>
                </c:pt>
                <c:pt idx="3">
                  <c:v>7.0</c:v>
                </c:pt>
                <c:pt idx="4">
                  <c:v>11.0</c:v>
                </c:pt>
                <c:pt idx="5">
                  <c:v>5.5</c:v>
                </c:pt>
                <c:pt idx="6">
                  <c:v>11.0</c:v>
                </c:pt>
                <c:pt idx="7">
                  <c:v>5.8</c:v>
                </c:pt>
                <c:pt idx="8">
                  <c:v>11.0</c:v>
                </c:pt>
                <c:pt idx="9">
                  <c:v>8.5</c:v>
                </c:pt>
                <c:pt idx="10">
                  <c:v>10.0</c:v>
                </c:pt>
                <c:pt idx="11">
                  <c:v>4.6</c:v>
                </c:pt>
                <c:pt idx="12">
                  <c:v>15.5</c:v>
                </c:pt>
                <c:pt idx="13">
                  <c:v>7.0</c:v>
                </c:pt>
                <c:pt idx="14">
                  <c:v>27.0</c:v>
                </c:pt>
                <c:pt idx="15">
                  <c:v>11.5</c:v>
                </c:pt>
                <c:pt idx="16">
                  <c:v>40.60000000000001</c:v>
                </c:pt>
                <c:pt idx="17">
                  <c:v>13.9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583496"/>
        <c:axId val="2075913608"/>
      </c:barChart>
      <c:catAx>
        <c:axId val="2070583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5913608"/>
        <c:crosses val="autoZero"/>
        <c:auto val="1"/>
        <c:lblAlgn val="ctr"/>
        <c:lblOffset val="100"/>
        <c:noMultiLvlLbl val="0"/>
      </c:catAx>
      <c:valAx>
        <c:axId val="2075913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05834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624840</xdr:colOff>
      <xdr:row>29</xdr:row>
      <xdr:rowOff>116840</xdr:rowOff>
    </xdr:from>
    <xdr:to>
      <xdr:col>40</xdr:col>
      <xdr:colOff>139700</xdr:colOff>
      <xdr:row>49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396240</xdr:colOff>
      <xdr:row>29</xdr:row>
      <xdr:rowOff>50800</xdr:rowOff>
    </xdr:from>
    <xdr:to>
      <xdr:col>26</xdr:col>
      <xdr:colOff>284480</xdr:colOff>
      <xdr:row>51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716280</xdr:colOff>
      <xdr:row>31</xdr:row>
      <xdr:rowOff>167640</xdr:rowOff>
    </xdr:from>
    <xdr:to>
      <xdr:col>13</xdr:col>
      <xdr:colOff>802640</xdr:colOff>
      <xdr:row>52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615950</xdr:colOff>
      <xdr:row>30</xdr:row>
      <xdr:rowOff>101600</xdr:rowOff>
    </xdr:from>
    <xdr:to>
      <xdr:col>46</xdr:col>
      <xdr:colOff>254000</xdr:colOff>
      <xdr:row>49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80</xdr:row>
      <xdr:rowOff>0</xdr:rowOff>
    </xdr:from>
    <xdr:to>
      <xdr:col>39</xdr:col>
      <xdr:colOff>480060</xdr:colOff>
      <xdr:row>100</xdr:row>
      <xdr:rowOff>5080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icksDataprocessedDiffScenarionfor9and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wData_AWOpizzaDMOP"/>
      <sheetName val="clicksCalcuationsAndGraphs"/>
    </sheetNames>
    <sheetDataSet>
      <sheetData sheetId="0"/>
      <sheetData sheetId="1">
        <row r="11">
          <cell r="AB11" t="str">
            <v>AWO</v>
          </cell>
          <cell r="AC11" t="str">
            <v>Pizza</v>
          </cell>
          <cell r="AD11" t="str">
            <v>DMOP</v>
          </cell>
          <cell r="AE11" t="str">
            <v>mock1</v>
          </cell>
          <cell r="AF11" t="str">
            <v>mock2</v>
          </cell>
          <cell r="AG11" t="str">
            <v>mock3</v>
          </cell>
        </row>
        <row r="12">
          <cell r="A12" t="str">
            <v>(i)</v>
          </cell>
          <cell r="B12" t="str">
            <v>Protégé 5.2</v>
          </cell>
          <cell r="AB12">
            <v>7</v>
          </cell>
          <cell r="AC12">
            <v>9.86</v>
          </cell>
          <cell r="AD12">
            <v>13.39</v>
          </cell>
          <cell r="AE12">
            <v>11</v>
          </cell>
          <cell r="AF12">
            <v>17</v>
          </cell>
          <cell r="AG12">
            <v>11</v>
          </cell>
        </row>
        <row r="13">
          <cell r="B13" t="str">
            <v>TDDonto2</v>
          </cell>
          <cell r="AB13">
            <v>4.5999999999999996</v>
          </cell>
          <cell r="AC13">
            <v>4.5999999999999996</v>
          </cell>
          <cell r="AD13">
            <v>4.5999999999999996</v>
          </cell>
          <cell r="AE13">
            <v>4.5999999999999996</v>
          </cell>
          <cell r="AF13">
            <v>4.5999999999999996</v>
          </cell>
          <cell r="AG13">
            <v>4.5999999999999996</v>
          </cell>
        </row>
        <row r="14">
          <cell r="A14" t="str">
            <v xml:space="preserve">(ii) </v>
          </cell>
          <cell r="B14" t="str">
            <v>Protégé 5.2</v>
          </cell>
          <cell r="AB14">
            <v>9.1999999999999993</v>
          </cell>
          <cell r="AC14">
            <v>12.36</v>
          </cell>
          <cell r="AD14">
            <v>16.59</v>
          </cell>
          <cell r="AE14">
            <v>14</v>
          </cell>
          <cell r="AF14">
            <v>21</v>
          </cell>
          <cell r="AG14">
            <v>13.5</v>
          </cell>
        </row>
        <row r="15">
          <cell r="B15" t="str">
            <v>TDDonto2</v>
          </cell>
          <cell r="AB15">
            <v>7</v>
          </cell>
          <cell r="AC15">
            <v>7</v>
          </cell>
          <cell r="AD15">
            <v>7</v>
          </cell>
          <cell r="AE15">
            <v>7</v>
          </cell>
          <cell r="AF15">
            <v>7</v>
          </cell>
          <cell r="AG15">
            <v>7</v>
          </cell>
        </row>
        <row r="16">
          <cell r="A16" t="str">
            <v xml:space="preserve">(iii) </v>
          </cell>
          <cell r="B16" t="str">
            <v>Protégé 5.2</v>
          </cell>
          <cell r="AB16">
            <v>7</v>
          </cell>
          <cell r="AC16">
            <v>9.86</v>
          </cell>
          <cell r="AD16">
            <v>13.39</v>
          </cell>
          <cell r="AE16">
            <v>11</v>
          </cell>
          <cell r="AF16">
            <v>17</v>
          </cell>
          <cell r="AG16">
            <v>11</v>
          </cell>
        </row>
        <row r="17">
          <cell r="B17" t="str">
            <v>TDDonto2</v>
          </cell>
          <cell r="AB17">
            <v>5.5</v>
          </cell>
          <cell r="AC17">
            <v>5.5</v>
          </cell>
          <cell r="AD17">
            <v>5.5</v>
          </cell>
          <cell r="AE17">
            <v>5.5</v>
          </cell>
          <cell r="AF17">
            <v>5.5</v>
          </cell>
          <cell r="AG17">
            <v>5.5</v>
          </cell>
        </row>
        <row r="18">
          <cell r="A18" t="str">
            <v xml:space="preserve">(iv) </v>
          </cell>
          <cell r="B18" t="str">
            <v>Protégé 5.2</v>
          </cell>
          <cell r="AB18">
            <v>7</v>
          </cell>
          <cell r="AC18">
            <v>9.86</v>
          </cell>
          <cell r="AD18">
            <v>13.39</v>
          </cell>
          <cell r="AE18">
            <v>11</v>
          </cell>
          <cell r="AF18">
            <v>17</v>
          </cell>
          <cell r="AG18">
            <v>11</v>
          </cell>
        </row>
        <row r="19">
          <cell r="B19" t="str">
            <v>TDDonto2</v>
          </cell>
          <cell r="AB19">
            <v>5.8</v>
          </cell>
          <cell r="AC19">
            <v>5.8</v>
          </cell>
          <cell r="AD19">
            <v>5.8</v>
          </cell>
          <cell r="AE19">
            <v>5.8</v>
          </cell>
          <cell r="AF19">
            <v>5.8</v>
          </cell>
          <cell r="AG19">
            <v>5.8</v>
          </cell>
        </row>
        <row r="20">
          <cell r="A20" t="str">
            <v xml:space="preserve">(v) </v>
          </cell>
          <cell r="B20" t="str">
            <v>Protégé 5.2</v>
          </cell>
          <cell r="AB20">
            <v>7</v>
          </cell>
          <cell r="AC20">
            <v>9.86</v>
          </cell>
          <cell r="AD20">
            <v>13.39</v>
          </cell>
          <cell r="AE20">
            <v>11</v>
          </cell>
          <cell r="AF20">
            <v>17</v>
          </cell>
          <cell r="AG20">
            <v>11</v>
          </cell>
        </row>
        <row r="21">
          <cell r="B21" t="str">
            <v>TDDonto2</v>
          </cell>
          <cell r="AB21">
            <v>8.5</v>
          </cell>
          <cell r="AC21">
            <v>8.5</v>
          </cell>
          <cell r="AD21">
            <v>8.5</v>
          </cell>
          <cell r="AE21">
            <v>8.5</v>
          </cell>
          <cell r="AF21">
            <v>8.5</v>
          </cell>
          <cell r="AG21">
            <v>8.5</v>
          </cell>
        </row>
        <row r="22">
          <cell r="A22" t="str">
            <v xml:space="preserve">(vi) </v>
          </cell>
          <cell r="B22" t="str">
            <v>Protégé 5.2</v>
          </cell>
          <cell r="AB22">
            <v>6</v>
          </cell>
          <cell r="AC22">
            <v>8.86</v>
          </cell>
          <cell r="AD22">
            <v>12.39</v>
          </cell>
          <cell r="AE22">
            <v>10</v>
          </cell>
          <cell r="AF22">
            <v>16</v>
          </cell>
          <cell r="AG22">
            <v>10</v>
          </cell>
        </row>
        <row r="23">
          <cell r="B23" t="str">
            <v>TDDonto2</v>
          </cell>
          <cell r="AB23">
            <v>4.5999999999999996</v>
          </cell>
          <cell r="AC23">
            <v>4.5999999999999996</v>
          </cell>
          <cell r="AD23">
            <v>4.5999999999999996</v>
          </cell>
          <cell r="AE23">
            <v>4.5999999999999996</v>
          </cell>
          <cell r="AF23">
            <v>4.5999999999999996</v>
          </cell>
          <cell r="AG23">
            <v>4.5999999999999996</v>
          </cell>
        </row>
        <row r="24">
          <cell r="A24" t="str">
            <v xml:space="preserve">(vii) </v>
          </cell>
          <cell r="B24" t="str">
            <v>Protégé 5.2</v>
          </cell>
          <cell r="AB24">
            <v>11.2</v>
          </cell>
          <cell r="AC24">
            <v>14.36</v>
          </cell>
          <cell r="AD24">
            <v>18.59</v>
          </cell>
          <cell r="AE24">
            <v>16</v>
          </cell>
          <cell r="AF24">
            <v>23</v>
          </cell>
          <cell r="AG24">
            <v>15.5</v>
          </cell>
        </row>
        <row r="25">
          <cell r="B25" t="str">
            <v>TDDonto2</v>
          </cell>
          <cell r="AB25">
            <v>7</v>
          </cell>
          <cell r="AC25">
            <v>7</v>
          </cell>
          <cell r="AD25">
            <v>7</v>
          </cell>
          <cell r="AE25">
            <v>7</v>
          </cell>
          <cell r="AF25">
            <v>7</v>
          </cell>
          <cell r="AG25">
            <v>7</v>
          </cell>
        </row>
        <row r="26">
          <cell r="A26" t="str">
            <v xml:space="preserve">(ix) </v>
          </cell>
          <cell r="B26" t="str">
            <v>Protégé 5.2</v>
          </cell>
          <cell r="AB26">
            <v>18.399999999999999</v>
          </cell>
          <cell r="AC26">
            <v>24.72</v>
          </cell>
          <cell r="AD26">
            <v>33.18</v>
          </cell>
          <cell r="AE26">
            <v>28</v>
          </cell>
          <cell r="AF26">
            <v>42</v>
          </cell>
          <cell r="AG26">
            <v>27</v>
          </cell>
        </row>
        <row r="27">
          <cell r="B27" t="str">
            <v>TDDonto2</v>
          </cell>
          <cell r="AB27">
            <v>11.5</v>
          </cell>
          <cell r="AC27">
            <v>11.5</v>
          </cell>
          <cell r="AD27">
            <v>11.5</v>
          </cell>
          <cell r="AE27">
            <v>11.5</v>
          </cell>
          <cell r="AF27">
            <v>11.5</v>
          </cell>
          <cell r="AG27">
            <v>11.5</v>
          </cell>
        </row>
        <row r="28">
          <cell r="A28" t="str">
            <v xml:space="preserve">(x) </v>
          </cell>
          <cell r="B28" t="str">
            <v>Protégé 5.2</v>
          </cell>
          <cell r="AB28">
            <v>31.999999999999996</v>
          </cell>
          <cell r="AC28">
            <v>38.320000000000007</v>
          </cell>
          <cell r="AD28">
            <v>46.780000000000008</v>
          </cell>
          <cell r="AE28">
            <v>41.600000000000009</v>
          </cell>
          <cell r="AF28">
            <v>55.600000000000009</v>
          </cell>
          <cell r="AG28">
            <v>40.600000000000009</v>
          </cell>
        </row>
        <row r="29">
          <cell r="B29" t="str">
            <v>TDDonto2</v>
          </cell>
          <cell r="AB29">
            <v>13.899999999999997</v>
          </cell>
          <cell r="AC29">
            <v>13.899999999999997</v>
          </cell>
          <cell r="AD29">
            <v>13.899999999999997</v>
          </cell>
          <cell r="AE29">
            <v>13.899999999999997</v>
          </cell>
          <cell r="AF29">
            <v>13.899999999999997</v>
          </cell>
          <cell r="AG29">
            <v>13.899999999999997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workbookViewId="0">
      <selection activeCell="A2" sqref="A2"/>
    </sheetView>
  </sheetViews>
  <sheetFormatPr baseColWidth="10" defaultRowHeight="15" x14ac:dyDescent="0"/>
  <sheetData>
    <row r="1" spans="1:2">
      <c r="A1" t="s">
        <v>133</v>
      </c>
    </row>
    <row r="3" spans="1:2">
      <c r="A3" t="s">
        <v>0</v>
      </c>
    </row>
    <row r="5" spans="1:2">
      <c r="A5" t="s">
        <v>1</v>
      </c>
    </row>
    <row r="6" spans="1:2">
      <c r="A6" t="s">
        <v>2</v>
      </c>
    </row>
    <row r="7" spans="1:2">
      <c r="A7" t="s">
        <v>3</v>
      </c>
    </row>
    <row r="8" spans="1:2">
      <c r="A8" t="s">
        <v>4</v>
      </c>
    </row>
    <row r="9" spans="1:2">
      <c r="A9" t="s">
        <v>5</v>
      </c>
    </row>
    <row r="10" spans="1:2">
      <c r="A10" t="s">
        <v>6</v>
      </c>
    </row>
    <row r="12" spans="1:2">
      <c r="A12" t="s">
        <v>7</v>
      </c>
    </row>
    <row r="13" spans="1:2">
      <c r="B13" t="s">
        <v>8</v>
      </c>
    </row>
    <row r="14" spans="1:2">
      <c r="B14" t="s">
        <v>9</v>
      </c>
    </row>
    <row r="15" spans="1:2">
      <c r="A15" t="s">
        <v>10</v>
      </c>
    </row>
    <row r="16" spans="1:2">
      <c r="B16" t="s">
        <v>11</v>
      </c>
    </row>
    <row r="17" spans="1:2">
      <c r="B17" t="s">
        <v>12</v>
      </c>
    </row>
    <row r="18" spans="1:2">
      <c r="A18" t="s">
        <v>13</v>
      </c>
    </row>
    <row r="19" spans="1:2">
      <c r="B19" t="s">
        <v>14</v>
      </c>
    </row>
    <row r="20" spans="1:2">
      <c r="B20" t="s">
        <v>15</v>
      </c>
    </row>
    <row r="21" spans="1:2">
      <c r="A21" t="s">
        <v>16</v>
      </c>
    </row>
    <row r="22" spans="1:2">
      <c r="B22" t="s">
        <v>14</v>
      </c>
    </row>
    <row r="23" spans="1:2">
      <c r="B23" t="s">
        <v>17</v>
      </c>
    </row>
    <row r="24" spans="1:2">
      <c r="A24" t="s">
        <v>18</v>
      </c>
    </row>
    <row r="25" spans="1:2">
      <c r="B25" t="s">
        <v>14</v>
      </c>
    </row>
    <row r="26" spans="1:2">
      <c r="B26" t="s">
        <v>19</v>
      </c>
    </row>
    <row r="27" spans="1:2">
      <c r="A27" t="s">
        <v>20</v>
      </c>
    </row>
    <row r="28" spans="1:2">
      <c r="B28" t="s">
        <v>21</v>
      </c>
    </row>
    <row r="29" spans="1:2">
      <c r="B29" t="s">
        <v>22</v>
      </c>
    </row>
    <row r="30" spans="1:2">
      <c r="A30" t="s">
        <v>23</v>
      </c>
    </row>
    <row r="31" spans="1:2">
      <c r="B31" t="s">
        <v>14</v>
      </c>
    </row>
    <row r="32" spans="1:2">
      <c r="B32" t="s">
        <v>19</v>
      </c>
    </row>
    <row r="33" spans="1:2">
      <c r="A33" t="s">
        <v>24</v>
      </c>
    </row>
    <row r="34" spans="1:2">
      <c r="B34" t="s">
        <v>25</v>
      </c>
    </row>
    <row r="35" spans="1:2">
      <c r="A35" t="s">
        <v>26</v>
      </c>
    </row>
    <row r="36" spans="1:2">
      <c r="B36" t="s">
        <v>27</v>
      </c>
    </row>
    <row r="37" spans="1:2">
      <c r="B37" t="s">
        <v>28</v>
      </c>
    </row>
    <row r="38" spans="1:2">
      <c r="A38" t="s">
        <v>29</v>
      </c>
    </row>
    <row r="39" spans="1:2">
      <c r="B39" t="s">
        <v>30</v>
      </c>
    </row>
    <row r="40" spans="1:2">
      <c r="B40" t="s">
        <v>31</v>
      </c>
    </row>
    <row r="42" spans="1:2">
      <c r="A42" t="s">
        <v>32</v>
      </c>
    </row>
    <row r="44" spans="1:2">
      <c r="A44" t="s">
        <v>33</v>
      </c>
    </row>
    <row r="45" spans="1:2">
      <c r="A45" t="s">
        <v>34</v>
      </c>
    </row>
    <row r="46" spans="1:2">
      <c r="A46" t="s">
        <v>35</v>
      </c>
    </row>
    <row r="47" spans="1:2">
      <c r="A47" t="s">
        <v>36</v>
      </c>
    </row>
    <row r="48" spans="1:2">
      <c r="A48" t="s">
        <v>37</v>
      </c>
    </row>
    <row r="49" spans="1:2">
      <c r="A49" t="s">
        <v>38</v>
      </c>
    </row>
    <row r="51" spans="1:2">
      <c r="A51" t="s">
        <v>7</v>
      </c>
    </row>
    <row r="52" spans="1:2">
      <c r="B52" t="s">
        <v>39</v>
      </c>
    </row>
    <row r="53" spans="1:2">
      <c r="B53" t="s">
        <v>40</v>
      </c>
    </row>
    <row r="54" spans="1:2">
      <c r="A54" t="s">
        <v>10</v>
      </c>
    </row>
    <row r="55" spans="1:2">
      <c r="B55" t="s">
        <v>41</v>
      </c>
    </row>
    <row r="56" spans="1:2">
      <c r="B56" t="s">
        <v>42</v>
      </c>
    </row>
    <row r="57" spans="1:2">
      <c r="A57" t="s">
        <v>13</v>
      </c>
    </row>
    <row r="58" spans="1:2">
      <c r="B58" t="s">
        <v>43</v>
      </c>
    </row>
    <row r="59" spans="1:2">
      <c r="B59" t="s">
        <v>44</v>
      </c>
    </row>
    <row r="60" spans="1:2">
      <c r="A60" t="s">
        <v>16</v>
      </c>
    </row>
    <row r="61" spans="1:2">
      <c r="B61" t="s">
        <v>43</v>
      </c>
    </row>
    <row r="62" spans="1:2">
      <c r="B62" t="s">
        <v>45</v>
      </c>
    </row>
    <row r="63" spans="1:2">
      <c r="A63" t="s">
        <v>18</v>
      </c>
    </row>
    <row r="64" spans="1:2">
      <c r="B64" t="s">
        <v>43</v>
      </c>
    </row>
    <row r="65" spans="1:2">
      <c r="B65" t="s">
        <v>46</v>
      </c>
    </row>
    <row r="66" spans="1:2">
      <c r="A66" t="s">
        <v>20</v>
      </c>
    </row>
    <row r="67" spans="1:2">
      <c r="B67" t="s">
        <v>47</v>
      </c>
    </row>
    <row r="68" spans="1:2">
      <c r="B68" t="s">
        <v>48</v>
      </c>
    </row>
    <row r="69" spans="1:2">
      <c r="A69" t="s">
        <v>23</v>
      </c>
    </row>
    <row r="70" spans="1:2">
      <c r="B70" t="s">
        <v>43</v>
      </c>
    </row>
    <row r="71" spans="1:2">
      <c r="B71" t="s">
        <v>46</v>
      </c>
    </row>
    <row r="72" spans="1:2">
      <c r="A72" t="s">
        <v>24</v>
      </c>
    </row>
    <row r="73" spans="1:2">
      <c r="B73" t="s">
        <v>25</v>
      </c>
    </row>
    <row r="74" spans="1:2">
      <c r="A74" t="s">
        <v>26</v>
      </c>
    </row>
    <row r="75" spans="1:2">
      <c r="B75" t="s">
        <v>49</v>
      </c>
    </row>
    <row r="76" spans="1:2">
      <c r="B76" t="s">
        <v>50</v>
      </c>
    </row>
    <row r="77" spans="1:2">
      <c r="A77" t="s">
        <v>29</v>
      </c>
    </row>
    <row r="78" spans="1:2">
      <c r="B78" t="s">
        <v>51</v>
      </c>
    </row>
    <row r="79" spans="1:2">
      <c r="B79" t="s">
        <v>52</v>
      </c>
    </row>
    <row r="82" spans="1:4">
      <c r="A82" t="s">
        <v>53</v>
      </c>
      <c r="B82" t="s">
        <v>54</v>
      </c>
      <c r="C82">
        <v>0.1</v>
      </c>
      <c r="D82" t="s">
        <v>55</v>
      </c>
    </row>
    <row r="83" spans="1:4">
      <c r="A83" t="s">
        <v>56</v>
      </c>
      <c r="B83" t="s">
        <v>57</v>
      </c>
      <c r="C83">
        <v>13.07</v>
      </c>
    </row>
    <row r="84" spans="1:4">
      <c r="A84" t="s">
        <v>56</v>
      </c>
      <c r="B84" t="s">
        <v>58</v>
      </c>
      <c r="C84">
        <v>4.8600000000000003</v>
      </c>
    </row>
    <row r="85" spans="1:4">
      <c r="A85" t="s">
        <v>59</v>
      </c>
      <c r="B85" t="s">
        <v>60</v>
      </c>
      <c r="C85" t="s">
        <v>57</v>
      </c>
      <c r="D85">
        <v>11.63</v>
      </c>
    </row>
    <row r="86" spans="1:4">
      <c r="A86" t="s">
        <v>59</v>
      </c>
      <c r="B86" t="s">
        <v>60</v>
      </c>
      <c r="C86" t="s">
        <v>58</v>
      </c>
      <c r="D86">
        <v>1.5</v>
      </c>
    </row>
    <row r="87" spans="1:4">
      <c r="A87" t="s">
        <v>61</v>
      </c>
      <c r="B87" t="s">
        <v>57</v>
      </c>
      <c r="C87">
        <v>6.4</v>
      </c>
    </row>
    <row r="89" spans="1:4">
      <c r="A89" t="s">
        <v>71</v>
      </c>
      <c r="B89" t="s">
        <v>80</v>
      </c>
    </row>
    <row r="90" spans="1:4">
      <c r="A90" t="s">
        <v>81</v>
      </c>
      <c r="B90">
        <v>2.1</v>
      </c>
      <c r="C90" t="s">
        <v>55</v>
      </c>
    </row>
    <row r="91" spans="1:4">
      <c r="A91" t="s">
        <v>82</v>
      </c>
      <c r="B91">
        <v>12.14</v>
      </c>
      <c r="C91" t="s">
        <v>55</v>
      </c>
    </row>
    <row r="92" spans="1:4">
      <c r="A92" t="s">
        <v>83</v>
      </c>
      <c r="B92" t="s">
        <v>84</v>
      </c>
    </row>
    <row r="93" spans="1:4">
      <c r="A93" t="s">
        <v>81</v>
      </c>
      <c r="B93">
        <v>12.71</v>
      </c>
      <c r="C93" t="s">
        <v>55</v>
      </c>
    </row>
    <row r="94" spans="1:4">
      <c r="A94" t="s">
        <v>82</v>
      </c>
      <c r="B94">
        <v>16.829999999999998</v>
      </c>
      <c r="C94" t="s">
        <v>55</v>
      </c>
    </row>
    <row r="95" spans="1:4">
      <c r="A95" t="s">
        <v>85</v>
      </c>
      <c r="B95" t="s">
        <v>86</v>
      </c>
    </row>
    <row r="96" spans="1:4">
      <c r="A96" t="s">
        <v>81</v>
      </c>
      <c r="B96">
        <v>8.02</v>
      </c>
      <c r="C96" t="s">
        <v>55</v>
      </c>
    </row>
    <row r="97" spans="1:3">
      <c r="A97" t="s">
        <v>82</v>
      </c>
      <c r="B97">
        <v>13.04</v>
      </c>
      <c r="C97" t="s">
        <v>55</v>
      </c>
    </row>
    <row r="98" spans="1:3">
      <c r="A98" t="s">
        <v>87</v>
      </c>
      <c r="B98" t="s">
        <v>88</v>
      </c>
    </row>
    <row r="99" spans="1:3">
      <c r="A99" t="s">
        <v>81</v>
      </c>
      <c r="B99">
        <v>8.02</v>
      </c>
      <c r="C99" t="s">
        <v>55</v>
      </c>
    </row>
    <row r="100" spans="1:3">
      <c r="A100" t="s">
        <v>82</v>
      </c>
      <c r="B100">
        <v>12.91</v>
      </c>
      <c r="C100" t="s">
        <v>55</v>
      </c>
    </row>
    <row r="101" spans="1:3">
      <c r="A101" t="s">
        <v>89</v>
      </c>
      <c r="B101" t="s">
        <v>90</v>
      </c>
    </row>
    <row r="102" spans="1:3">
      <c r="A102" t="s">
        <v>81</v>
      </c>
      <c r="B102">
        <v>8.02</v>
      </c>
      <c r="C102" t="s">
        <v>55</v>
      </c>
    </row>
    <row r="103" spans="1:3">
      <c r="A103" t="s">
        <v>82</v>
      </c>
      <c r="B103">
        <v>15.61</v>
      </c>
      <c r="C103" t="s">
        <v>55</v>
      </c>
    </row>
    <row r="104" spans="1:3">
      <c r="A104" t="s">
        <v>91</v>
      </c>
      <c r="B104" t="s">
        <v>92</v>
      </c>
    </row>
    <row r="105" spans="1:3">
      <c r="A105" t="s">
        <v>81</v>
      </c>
      <c r="B105">
        <v>5.0999999999999996</v>
      </c>
      <c r="C105" t="s">
        <v>55</v>
      </c>
    </row>
    <row r="106" spans="1:3">
      <c r="A106" t="s">
        <v>82</v>
      </c>
      <c r="B106">
        <v>8.34</v>
      </c>
      <c r="C106" t="s">
        <v>55</v>
      </c>
    </row>
    <row r="107" spans="1:3">
      <c r="A107" t="s">
        <v>93</v>
      </c>
      <c r="B107" t="s">
        <v>90</v>
      </c>
    </row>
    <row r="108" spans="1:3">
      <c r="A108" t="s">
        <v>81</v>
      </c>
      <c r="B108">
        <v>8.02</v>
      </c>
      <c r="C108" t="s">
        <v>55</v>
      </c>
    </row>
    <row r="109" spans="1:3">
      <c r="A109" t="s">
        <v>82</v>
      </c>
      <c r="B109">
        <v>15.61</v>
      </c>
      <c r="C109" t="s">
        <v>55</v>
      </c>
    </row>
    <row r="110" spans="1:3">
      <c r="A110" t="s">
        <v>94</v>
      </c>
      <c r="B110" t="s">
        <v>95</v>
      </c>
    </row>
    <row r="111" spans="1:3">
      <c r="A111" t="s">
        <v>96</v>
      </c>
    </row>
    <row r="112" spans="1:3">
      <c r="A112" t="s">
        <v>97</v>
      </c>
      <c r="B112" t="s">
        <v>98</v>
      </c>
    </row>
    <row r="113" spans="1:3">
      <c r="A113" t="s">
        <v>81</v>
      </c>
      <c r="B113">
        <v>24.02</v>
      </c>
      <c r="C113" t="s">
        <v>55</v>
      </c>
    </row>
    <row r="114" spans="1:3">
      <c r="A114" t="s">
        <v>82</v>
      </c>
      <c r="B114">
        <v>26.34</v>
      </c>
      <c r="C114" t="s">
        <v>55</v>
      </c>
    </row>
    <row r="115" spans="1:3">
      <c r="A115" t="s">
        <v>99</v>
      </c>
      <c r="B115" t="s">
        <v>100</v>
      </c>
    </row>
    <row r="116" spans="1:3">
      <c r="A116" t="s">
        <v>81</v>
      </c>
      <c r="B116">
        <v>26.34</v>
      </c>
      <c r="C116" t="s">
        <v>55</v>
      </c>
    </row>
    <row r="117" spans="1:3">
      <c r="A117" t="s">
        <v>82</v>
      </c>
      <c r="B117">
        <v>31.46</v>
      </c>
      <c r="C117" t="s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78"/>
  <sheetViews>
    <sheetView tabSelected="1" topLeftCell="X61" workbookViewId="0">
      <selection activeCell="AA78" sqref="AA78"/>
    </sheetView>
  </sheetViews>
  <sheetFormatPr baseColWidth="10" defaultRowHeight="15" x14ac:dyDescent="0"/>
  <cols>
    <col min="13" max="13" width="12.83203125" customWidth="1"/>
  </cols>
  <sheetData>
    <row r="1" spans="1:44">
      <c r="D1" t="s">
        <v>65</v>
      </c>
      <c r="L1" t="s">
        <v>105</v>
      </c>
      <c r="M1" t="s">
        <v>106</v>
      </c>
      <c r="N1" t="s">
        <v>107</v>
      </c>
      <c r="AA1" t="s">
        <v>110</v>
      </c>
    </row>
    <row r="2" spans="1:44">
      <c r="D2" t="s">
        <v>62</v>
      </c>
      <c r="E2" t="s">
        <v>101</v>
      </c>
      <c r="F2" t="s">
        <v>63</v>
      </c>
      <c r="G2" t="s">
        <v>124</v>
      </c>
      <c r="H2" t="s">
        <v>125</v>
      </c>
      <c r="I2" t="s">
        <v>129</v>
      </c>
      <c r="K2" t="s">
        <v>104</v>
      </c>
      <c r="L2">
        <v>1</v>
      </c>
      <c r="M2">
        <v>0.3</v>
      </c>
      <c r="N2" t="s">
        <v>108</v>
      </c>
    </row>
    <row r="3" spans="1:44">
      <c r="A3" t="s">
        <v>64</v>
      </c>
      <c r="C3" t="s">
        <v>112</v>
      </c>
      <c r="D3">
        <v>0.81</v>
      </c>
      <c r="E3">
        <v>0.1</v>
      </c>
      <c r="F3">
        <v>1196.53</v>
      </c>
      <c r="G3">
        <v>100</v>
      </c>
      <c r="H3">
        <v>500</v>
      </c>
      <c r="I3">
        <v>25</v>
      </c>
      <c r="K3" t="s">
        <v>109</v>
      </c>
      <c r="L3">
        <v>2</v>
      </c>
      <c r="M3">
        <v>0.25</v>
      </c>
      <c r="N3" t="s">
        <v>108</v>
      </c>
      <c r="AB3" t="s">
        <v>62</v>
      </c>
      <c r="AC3" t="s">
        <v>101</v>
      </c>
      <c r="AD3" t="s">
        <v>63</v>
      </c>
      <c r="AE3" s="1" t="s">
        <v>124</v>
      </c>
      <c r="AF3" s="1" t="s">
        <v>125</v>
      </c>
      <c r="AG3" s="1" t="s">
        <v>129</v>
      </c>
      <c r="AH3" s="1"/>
    </row>
    <row r="4" spans="1:44">
      <c r="A4" t="s">
        <v>66</v>
      </c>
      <c r="C4" t="s">
        <v>113</v>
      </c>
      <c r="D4">
        <v>7.06</v>
      </c>
      <c r="E4">
        <v>13.07</v>
      </c>
      <c r="F4">
        <v>21.09</v>
      </c>
      <c r="G4">
        <v>15</v>
      </c>
      <c r="H4">
        <v>15</v>
      </c>
      <c r="I4">
        <v>23</v>
      </c>
      <c r="K4" t="s">
        <v>110</v>
      </c>
      <c r="L4">
        <v>1</v>
      </c>
      <c r="M4">
        <v>0.3</v>
      </c>
      <c r="N4" t="s">
        <v>111</v>
      </c>
      <c r="AA4" t="s">
        <v>102</v>
      </c>
      <c r="AB4">
        <f>SUM(AB12,AB14,AB16,AB18,AB20,AB22,AB24,AB26,AB28)</f>
        <v>75.900000000000006</v>
      </c>
      <c r="AC4">
        <f t="shared" ref="AC4:AG4" si="0">SUM(AC12,AC14,AC16,AC18,AC20,AC22,AC24,AC26,AC28)</f>
        <v>96.52</v>
      </c>
      <c r="AD4">
        <f t="shared" si="0"/>
        <v>122.63000000000001</v>
      </c>
      <c r="AE4">
        <f t="shared" si="0"/>
        <v>105.5</v>
      </c>
      <c r="AF4">
        <f t="shared" si="0"/>
        <v>149.5</v>
      </c>
      <c r="AG4">
        <f t="shared" si="0"/>
        <v>104.5</v>
      </c>
    </row>
    <row r="5" spans="1:44">
      <c r="A5" t="s">
        <v>67</v>
      </c>
      <c r="C5" t="s">
        <v>114</v>
      </c>
      <c r="D5">
        <v>2</v>
      </c>
      <c r="E5">
        <v>4.8600000000000003</v>
      </c>
      <c r="F5">
        <v>8.39</v>
      </c>
      <c r="G5">
        <v>6</v>
      </c>
      <c r="H5">
        <v>12</v>
      </c>
      <c r="I5">
        <v>6</v>
      </c>
      <c r="K5" t="s">
        <v>131</v>
      </c>
      <c r="L5">
        <v>1</v>
      </c>
      <c r="M5">
        <v>0.3</v>
      </c>
      <c r="N5" t="s">
        <v>132</v>
      </c>
      <c r="AA5" t="s">
        <v>127</v>
      </c>
      <c r="AB5">
        <f>SUM(AB13,AB15,AB17,AB19,AB21,AB23,AB25,AB27,AB29)</f>
        <v>68.399999999999991</v>
      </c>
      <c r="AC5">
        <f t="shared" ref="AC5:AG5" si="1">SUM(AC13,AC15,AC17,AC19,AC21,AC23,AC25,AC27,AC29)</f>
        <v>68.399999999999991</v>
      </c>
      <c r="AD5">
        <f t="shared" si="1"/>
        <v>68.399999999999991</v>
      </c>
      <c r="AE5">
        <f t="shared" si="1"/>
        <v>68.399999999999991</v>
      </c>
      <c r="AF5">
        <f t="shared" si="1"/>
        <v>68.399999999999991</v>
      </c>
      <c r="AG5">
        <f t="shared" si="1"/>
        <v>68.399999999999991</v>
      </c>
    </row>
    <row r="6" spans="1:44">
      <c r="A6" t="s">
        <v>68</v>
      </c>
      <c r="C6" t="s">
        <v>115</v>
      </c>
      <c r="D6">
        <v>9.4</v>
      </c>
      <c r="E6">
        <v>11.63</v>
      </c>
      <c r="F6">
        <v>14.14</v>
      </c>
      <c r="G6">
        <v>12</v>
      </c>
      <c r="H6">
        <v>12</v>
      </c>
      <c r="I6">
        <v>15</v>
      </c>
      <c r="AA6" t="s">
        <v>103</v>
      </c>
      <c r="AB6">
        <f t="shared" ref="AB6:AG6" si="2">AB4+9*D3</f>
        <v>83.190000000000012</v>
      </c>
      <c r="AC6">
        <f t="shared" si="2"/>
        <v>97.42</v>
      </c>
      <c r="AD6">
        <f t="shared" si="2"/>
        <v>10891.4</v>
      </c>
      <c r="AE6">
        <f t="shared" si="2"/>
        <v>1005.5</v>
      </c>
      <c r="AF6">
        <f t="shared" si="2"/>
        <v>4649.5</v>
      </c>
      <c r="AG6">
        <f t="shared" si="2"/>
        <v>329.5</v>
      </c>
    </row>
    <row r="7" spans="1:44">
      <c r="A7" t="s">
        <v>69</v>
      </c>
      <c r="C7" t="s">
        <v>116</v>
      </c>
      <c r="D7">
        <v>1.2</v>
      </c>
      <c r="E7">
        <v>1.5</v>
      </c>
      <c r="F7">
        <v>2.2000000000000002</v>
      </c>
      <c r="G7">
        <v>2</v>
      </c>
      <c r="H7">
        <v>3</v>
      </c>
      <c r="I7">
        <v>1.5</v>
      </c>
      <c r="AA7" t="s">
        <v>128</v>
      </c>
      <c r="AB7">
        <f t="shared" ref="AB7:AG7" si="3">AB5+2*D3</f>
        <v>70.02</v>
      </c>
      <c r="AC7">
        <f t="shared" si="3"/>
        <v>68.599999999999994</v>
      </c>
      <c r="AD7">
        <f t="shared" si="3"/>
        <v>2461.46</v>
      </c>
      <c r="AE7">
        <f t="shared" si="3"/>
        <v>268.39999999999998</v>
      </c>
      <c r="AF7">
        <f t="shared" si="3"/>
        <v>1068.4000000000001</v>
      </c>
      <c r="AG7">
        <f t="shared" si="3"/>
        <v>118.39999999999999</v>
      </c>
    </row>
    <row r="8" spans="1:44">
      <c r="A8" t="s">
        <v>70</v>
      </c>
      <c r="C8" t="s">
        <v>117</v>
      </c>
      <c r="D8">
        <v>0</v>
      </c>
      <c r="E8">
        <v>6.4</v>
      </c>
      <c r="F8">
        <v>19.03</v>
      </c>
      <c r="G8">
        <v>10</v>
      </c>
      <c r="H8">
        <v>10</v>
      </c>
      <c r="I8">
        <v>19</v>
      </c>
      <c r="AA8" t="s">
        <v>254</v>
      </c>
      <c r="AB8">
        <f>AB6-AB7</f>
        <v>13.170000000000016</v>
      </c>
      <c r="AC8">
        <f t="shared" ref="AC8:AG8" si="4">AC6-AC7</f>
        <v>28.820000000000007</v>
      </c>
      <c r="AD8">
        <f t="shared" si="4"/>
        <v>8429.9399999999987</v>
      </c>
      <c r="AE8">
        <f t="shared" si="4"/>
        <v>737.1</v>
      </c>
      <c r="AF8">
        <f t="shared" si="4"/>
        <v>3581.1</v>
      </c>
      <c r="AG8">
        <f t="shared" si="4"/>
        <v>211.10000000000002</v>
      </c>
    </row>
    <row r="10" spans="1:44">
      <c r="C10" t="s">
        <v>118</v>
      </c>
      <c r="K10" t="s">
        <v>104</v>
      </c>
      <c r="S10" t="s">
        <v>109</v>
      </c>
      <c r="AA10" t="s">
        <v>110</v>
      </c>
      <c r="AK10" t="s">
        <v>131</v>
      </c>
    </row>
    <row r="11" spans="1:44">
      <c r="D11" t="s">
        <v>62</v>
      </c>
      <c r="E11" t="s">
        <v>101</v>
      </c>
      <c r="F11" t="s">
        <v>63</v>
      </c>
      <c r="G11" t="s">
        <v>124</v>
      </c>
      <c r="H11" t="s">
        <v>125</v>
      </c>
      <c r="L11" t="s">
        <v>62</v>
      </c>
      <c r="M11" t="s">
        <v>101</v>
      </c>
      <c r="N11" t="s">
        <v>63</v>
      </c>
      <c r="O11" t="s">
        <v>124</v>
      </c>
      <c r="P11" t="s">
        <v>125</v>
      </c>
      <c r="T11" t="s">
        <v>62</v>
      </c>
      <c r="U11" t="s">
        <v>101</v>
      </c>
      <c r="V11" t="s">
        <v>63</v>
      </c>
      <c r="W11" s="1" t="s">
        <v>124</v>
      </c>
      <c r="X11" s="1" t="s">
        <v>125</v>
      </c>
      <c r="AB11" t="s">
        <v>62</v>
      </c>
      <c r="AC11" t="s">
        <v>101</v>
      </c>
      <c r="AD11" t="s">
        <v>63</v>
      </c>
      <c r="AE11" s="1" t="s">
        <v>124</v>
      </c>
      <c r="AF11" s="1" t="s">
        <v>125</v>
      </c>
      <c r="AG11" s="1" t="s">
        <v>129</v>
      </c>
      <c r="AH11" s="1"/>
      <c r="AL11" t="s">
        <v>62</v>
      </c>
      <c r="AM11" t="s">
        <v>101</v>
      </c>
      <c r="AN11" t="s">
        <v>63</v>
      </c>
      <c r="AO11" s="1" t="s">
        <v>124</v>
      </c>
      <c r="AP11" s="1" t="s">
        <v>125</v>
      </c>
      <c r="AQ11" s="1" t="s">
        <v>129</v>
      </c>
    </row>
    <row r="12" spans="1:44">
      <c r="A12" t="s">
        <v>71</v>
      </c>
      <c r="B12" t="s">
        <v>119</v>
      </c>
      <c r="C12" t="e">
        <f>1+4+C5</f>
        <v>#VALUE!</v>
      </c>
      <c r="D12">
        <f t="shared" ref="D12:H12" si="5">1+4+D5</f>
        <v>7</v>
      </c>
      <c r="E12">
        <f t="shared" si="5"/>
        <v>9.86</v>
      </c>
      <c r="F12">
        <f t="shared" si="5"/>
        <v>13.39</v>
      </c>
      <c r="G12">
        <f t="shared" si="5"/>
        <v>11</v>
      </c>
      <c r="H12">
        <f t="shared" si="5"/>
        <v>17</v>
      </c>
      <c r="K12" t="e">
        <f>1+4+C5</f>
        <v>#VALUE!</v>
      </c>
      <c r="L12">
        <f t="shared" ref="L12:P12" si="6">1+4+D5</f>
        <v>7</v>
      </c>
      <c r="M12">
        <f t="shared" si="6"/>
        <v>9.86</v>
      </c>
      <c r="N12">
        <f t="shared" si="6"/>
        <v>13.39</v>
      </c>
      <c r="O12">
        <f t="shared" si="6"/>
        <v>11</v>
      </c>
      <c r="P12">
        <f t="shared" si="6"/>
        <v>17</v>
      </c>
      <c r="Q12" t="s">
        <v>122</v>
      </c>
      <c r="S12" t="e">
        <f>1+4+C5 + 5</f>
        <v>#VALUE!</v>
      </c>
      <c r="T12">
        <f>1+4+D5 + 5</f>
        <v>12</v>
      </c>
      <c r="U12">
        <f>1+4+E5 + 5</f>
        <v>14.86</v>
      </c>
      <c r="V12">
        <f>1+4+F5 + 5</f>
        <v>18.39</v>
      </c>
      <c r="W12">
        <f t="shared" ref="W12" si="7">1+4+G5 + 5</f>
        <v>16</v>
      </c>
      <c r="X12">
        <f t="shared" ref="X12" si="8">1+4+H5 + 5</f>
        <v>22</v>
      </c>
      <c r="Y12" t="s">
        <v>121</v>
      </c>
      <c r="AA12" t="e">
        <f>1+4+C5</f>
        <v>#VALUE!</v>
      </c>
      <c r="AB12">
        <f t="shared" ref="AB12:AD12" si="9">1+4+D5</f>
        <v>7</v>
      </c>
      <c r="AC12">
        <f t="shared" si="9"/>
        <v>9.86</v>
      </c>
      <c r="AD12">
        <f t="shared" si="9"/>
        <v>13.39</v>
      </c>
      <c r="AE12">
        <f t="shared" ref="AE12" si="10">1+4+G5</f>
        <v>11</v>
      </c>
      <c r="AF12">
        <f t="shared" ref="AF12:AG12" si="11">1+4+H5</f>
        <v>17</v>
      </c>
      <c r="AG12">
        <f t="shared" si="11"/>
        <v>11</v>
      </c>
      <c r="AH12" t="s">
        <v>121</v>
      </c>
      <c r="AK12" t="e">
        <f>1+4+C5</f>
        <v>#VALUE!</v>
      </c>
      <c r="AL12">
        <f t="shared" ref="AL12:AQ12" si="12">1+4+D5</f>
        <v>7</v>
      </c>
      <c r="AM12">
        <f t="shared" si="12"/>
        <v>9.86</v>
      </c>
      <c r="AN12">
        <f t="shared" si="12"/>
        <v>13.39</v>
      </c>
      <c r="AO12">
        <f t="shared" si="12"/>
        <v>11</v>
      </c>
      <c r="AP12">
        <f t="shared" si="12"/>
        <v>17</v>
      </c>
      <c r="AQ12">
        <f t="shared" si="12"/>
        <v>11</v>
      </c>
      <c r="AR12" t="s">
        <v>123</v>
      </c>
    </row>
    <row r="13" spans="1:44">
      <c r="B13" t="s">
        <v>120</v>
      </c>
      <c r="C13" t="e">
        <f>11+C4+C4+1</f>
        <v>#VALUE!</v>
      </c>
      <c r="D13">
        <f t="shared" ref="D13:H13" si="13">11+D4+D4+1</f>
        <v>26.119999999999997</v>
      </c>
      <c r="E13">
        <f t="shared" si="13"/>
        <v>38.14</v>
      </c>
      <c r="F13">
        <f t="shared" si="13"/>
        <v>54.180000000000007</v>
      </c>
      <c r="G13">
        <f t="shared" si="13"/>
        <v>42</v>
      </c>
      <c r="H13">
        <f t="shared" si="13"/>
        <v>42</v>
      </c>
      <c r="K13" t="e">
        <f>$M$2*11+$M$2*C4+$M$2*C4+1</f>
        <v>#VALUE!</v>
      </c>
      <c r="L13">
        <f t="shared" ref="L13:P13" si="14">$M$2*11+$M$2*D4+$M$2*D4+1</f>
        <v>8.5359999999999996</v>
      </c>
      <c r="M13">
        <f t="shared" si="14"/>
        <v>12.141999999999999</v>
      </c>
      <c r="N13">
        <f t="shared" si="14"/>
        <v>16.954000000000001</v>
      </c>
      <c r="O13">
        <f t="shared" si="14"/>
        <v>13.3</v>
      </c>
      <c r="P13">
        <f t="shared" si="14"/>
        <v>13.3</v>
      </c>
      <c r="S13" t="e">
        <f>$M$3*11+$M$3*C4+$M$3*C4+2</f>
        <v>#VALUE!</v>
      </c>
      <c r="T13">
        <f t="shared" ref="T13:X13" si="15">$M$3*11+$M$3*D4+$M$3*D4+2</f>
        <v>8.2799999999999994</v>
      </c>
      <c r="U13">
        <f t="shared" si="15"/>
        <v>11.285</v>
      </c>
      <c r="V13">
        <f t="shared" si="15"/>
        <v>15.295000000000002</v>
      </c>
      <c r="W13">
        <f t="shared" si="15"/>
        <v>12.25</v>
      </c>
      <c r="X13">
        <f t="shared" si="15"/>
        <v>12.25</v>
      </c>
      <c r="AA13">
        <f>$M$2*4+$M$2*4+$M$2*4+1</f>
        <v>4.5999999999999996</v>
      </c>
      <c r="AB13">
        <f t="shared" ref="AB13:AG13" si="16">$M$2*4+$M$2*4+$M$2*4+1</f>
        <v>4.5999999999999996</v>
      </c>
      <c r="AC13">
        <f t="shared" si="16"/>
        <v>4.5999999999999996</v>
      </c>
      <c r="AD13">
        <f t="shared" si="16"/>
        <v>4.5999999999999996</v>
      </c>
      <c r="AE13">
        <f t="shared" si="16"/>
        <v>4.5999999999999996</v>
      </c>
      <c r="AF13">
        <f t="shared" si="16"/>
        <v>4.5999999999999996</v>
      </c>
      <c r="AG13">
        <f t="shared" si="16"/>
        <v>4.5999999999999996</v>
      </c>
      <c r="AK13">
        <f>$M$2*8+$M$2*8+$M$2*8+1</f>
        <v>8.1999999999999993</v>
      </c>
      <c r="AL13">
        <f t="shared" ref="AL13:AQ13" si="17">$M$2*8+$M$2*8+$M$2*8+1</f>
        <v>8.1999999999999993</v>
      </c>
      <c r="AM13">
        <f t="shared" si="17"/>
        <v>8.1999999999999993</v>
      </c>
      <c r="AN13">
        <f t="shared" si="17"/>
        <v>8.1999999999999993</v>
      </c>
      <c r="AO13">
        <f t="shared" si="17"/>
        <v>8.1999999999999993</v>
      </c>
      <c r="AP13">
        <f t="shared" si="17"/>
        <v>8.1999999999999993</v>
      </c>
      <c r="AQ13">
        <f t="shared" si="17"/>
        <v>8.1999999999999993</v>
      </c>
    </row>
    <row r="14" spans="1:44">
      <c r="A14" t="s">
        <v>72</v>
      </c>
      <c r="B14" t="s">
        <v>119</v>
      </c>
      <c r="C14" t="e">
        <f>1+5+C7+C5</f>
        <v>#VALUE!</v>
      </c>
      <c r="D14">
        <f t="shared" ref="D14:H14" si="18">1+5+D7+D5</f>
        <v>9.1999999999999993</v>
      </c>
      <c r="E14">
        <f t="shared" si="18"/>
        <v>12.36</v>
      </c>
      <c r="F14">
        <f t="shared" si="18"/>
        <v>16.59</v>
      </c>
      <c r="G14">
        <f t="shared" si="18"/>
        <v>14</v>
      </c>
      <c r="H14">
        <f t="shared" si="18"/>
        <v>21</v>
      </c>
      <c r="K14" t="e">
        <f>1+5+C7+C5</f>
        <v>#VALUE!</v>
      </c>
      <c r="L14">
        <f>1+5+D7+D5</f>
        <v>9.1999999999999993</v>
      </c>
      <c r="M14">
        <f>1+5+E7+E5</f>
        <v>12.36</v>
      </c>
      <c r="N14">
        <f>1+5+F7+F5</f>
        <v>16.59</v>
      </c>
      <c r="O14">
        <f t="shared" ref="O14" si="19">1+5+G7+G5</f>
        <v>14</v>
      </c>
      <c r="P14">
        <f t="shared" ref="P14" si="20">1+5+H7+H5</f>
        <v>21</v>
      </c>
      <c r="Q14" t="s">
        <v>122</v>
      </c>
      <c r="S14" t="e">
        <f>1+5+C7+C5 + 6</f>
        <v>#VALUE!</v>
      </c>
      <c r="T14">
        <f>1+5+D7+D5 + 6</f>
        <v>15.2</v>
      </c>
      <c r="U14">
        <f>1+5+E7+E5 + 6</f>
        <v>18.36</v>
      </c>
      <c r="V14">
        <f>1+5+F7+F5 + 6</f>
        <v>22.59</v>
      </c>
      <c r="W14">
        <f t="shared" ref="W14" si="21">1+5+G7+G5 + 6</f>
        <v>20</v>
      </c>
      <c r="X14">
        <f t="shared" ref="X14" si="22">1+5+H7+H5 + 6</f>
        <v>27</v>
      </c>
      <c r="Y14" t="s">
        <v>121</v>
      </c>
      <c r="AA14" t="e">
        <f>1+5+C7+C5</f>
        <v>#VALUE!</v>
      </c>
      <c r="AB14">
        <f>1+5+D7+D5</f>
        <v>9.1999999999999993</v>
      </c>
      <c r="AC14">
        <f>1+5+E7+E5</f>
        <v>12.36</v>
      </c>
      <c r="AD14">
        <f>1+5+F7+F5</f>
        <v>16.59</v>
      </c>
      <c r="AE14">
        <f t="shared" ref="AE14" si="23">1+5+G7+G5</f>
        <v>14</v>
      </c>
      <c r="AF14">
        <f t="shared" ref="AF14:AG14" si="24">1+5+H7+H5</f>
        <v>21</v>
      </c>
      <c r="AG14">
        <f t="shared" si="24"/>
        <v>13.5</v>
      </c>
      <c r="AH14" t="s">
        <v>121</v>
      </c>
      <c r="AK14" t="e">
        <f>1+5+C7+C5</f>
        <v>#VALUE!</v>
      </c>
      <c r="AL14">
        <f t="shared" ref="AL14:AQ14" si="25">1+5+D7+D5</f>
        <v>9.1999999999999993</v>
      </c>
      <c r="AM14">
        <f t="shared" si="25"/>
        <v>12.36</v>
      </c>
      <c r="AN14">
        <f t="shared" si="25"/>
        <v>16.59</v>
      </c>
      <c r="AO14">
        <f t="shared" si="25"/>
        <v>14</v>
      </c>
      <c r="AP14">
        <f t="shared" si="25"/>
        <v>21</v>
      </c>
      <c r="AQ14">
        <f t="shared" si="25"/>
        <v>13.5</v>
      </c>
      <c r="AR14" t="s">
        <v>123</v>
      </c>
    </row>
    <row r="15" spans="1:44">
      <c r="B15" t="s">
        <v>120</v>
      </c>
      <c r="C15" t="e">
        <f>15+C4+C6+C4+1</f>
        <v>#VALUE!</v>
      </c>
      <c r="D15">
        <f t="shared" ref="D15:H15" si="26">15+D4+D6+D4+1</f>
        <v>39.520000000000003</v>
      </c>
      <c r="E15">
        <f t="shared" si="26"/>
        <v>53.77</v>
      </c>
      <c r="F15">
        <f t="shared" si="26"/>
        <v>72.320000000000007</v>
      </c>
      <c r="G15">
        <f t="shared" si="26"/>
        <v>58</v>
      </c>
      <c r="H15">
        <f t="shared" si="26"/>
        <v>58</v>
      </c>
      <c r="K15" t="e">
        <f>$M$2*15+$M$2*C4+$M$2*C6+$M$2*C4+1</f>
        <v>#VALUE!</v>
      </c>
      <c r="L15">
        <f t="shared" ref="L15:P15" si="27">$M$2*15+$M$2*D4+$M$2*D6+$M$2*D4+1</f>
        <v>12.556000000000001</v>
      </c>
      <c r="M15">
        <f t="shared" si="27"/>
        <v>16.831</v>
      </c>
      <c r="N15">
        <f t="shared" si="27"/>
        <v>22.396000000000001</v>
      </c>
      <c r="O15">
        <f t="shared" si="27"/>
        <v>18.100000000000001</v>
      </c>
      <c r="P15">
        <f t="shared" si="27"/>
        <v>18.100000000000001</v>
      </c>
      <c r="S15" t="e">
        <f>$M$3*15+$M$3*C4+$M$3*C6+$M$3*C4+2</f>
        <v>#VALUE!</v>
      </c>
      <c r="T15">
        <f t="shared" ref="T15:X15" si="28">$M$3*15+$M$3*D4+$M$3*D6+$M$3*D4+2</f>
        <v>11.63</v>
      </c>
      <c r="U15">
        <f t="shared" si="28"/>
        <v>15.192500000000001</v>
      </c>
      <c r="V15">
        <f t="shared" si="28"/>
        <v>19.830000000000002</v>
      </c>
      <c r="W15">
        <f t="shared" si="28"/>
        <v>16.25</v>
      </c>
      <c r="X15">
        <f t="shared" si="28"/>
        <v>16.25</v>
      </c>
      <c r="AA15">
        <f>$M$2*4+$M$2*4+$M$2*4+$M$2*4+$M$2*4+1</f>
        <v>7</v>
      </c>
      <c r="AB15">
        <f t="shared" ref="AB15:AG15" si="29">$M$2*4+$M$2*4+$M$2*4+$M$2*4+$M$2*4+1</f>
        <v>7</v>
      </c>
      <c r="AC15">
        <f t="shared" si="29"/>
        <v>7</v>
      </c>
      <c r="AD15">
        <f t="shared" si="29"/>
        <v>7</v>
      </c>
      <c r="AE15">
        <f t="shared" si="29"/>
        <v>7</v>
      </c>
      <c r="AF15">
        <f t="shared" si="29"/>
        <v>7</v>
      </c>
      <c r="AG15">
        <f t="shared" si="29"/>
        <v>7</v>
      </c>
      <c r="AK15">
        <f>$M$2*8+$M$2*8+$M$2*8+$M$2*8+$M$2*8+1</f>
        <v>13</v>
      </c>
      <c r="AL15">
        <f t="shared" ref="AL15:AQ15" si="30">$M$2*8+$M$2*8+$M$2*8+$M$2*8+$M$2*8+1</f>
        <v>13</v>
      </c>
      <c r="AM15">
        <f t="shared" si="30"/>
        <v>13</v>
      </c>
      <c r="AN15">
        <f t="shared" si="30"/>
        <v>13</v>
      </c>
      <c r="AO15">
        <f t="shared" si="30"/>
        <v>13</v>
      </c>
      <c r="AP15">
        <f t="shared" si="30"/>
        <v>13</v>
      </c>
      <c r="AQ15">
        <f t="shared" si="30"/>
        <v>13</v>
      </c>
    </row>
    <row r="16" spans="1:44">
      <c r="A16" t="s">
        <v>73</v>
      </c>
      <c r="B16" t="s">
        <v>119</v>
      </c>
      <c r="C16" t="e">
        <f>1+4+C5</f>
        <v>#VALUE!</v>
      </c>
      <c r="D16">
        <f t="shared" ref="D16:H16" si="31">1+4+D5</f>
        <v>7</v>
      </c>
      <c r="E16">
        <f t="shared" si="31"/>
        <v>9.86</v>
      </c>
      <c r="F16">
        <f t="shared" si="31"/>
        <v>13.39</v>
      </c>
      <c r="G16">
        <f t="shared" si="31"/>
        <v>11</v>
      </c>
      <c r="H16">
        <f t="shared" si="31"/>
        <v>17</v>
      </c>
      <c r="K16" t="e">
        <f>1+4+C5</f>
        <v>#VALUE!</v>
      </c>
      <c r="L16">
        <f t="shared" ref="L16:N16" si="32">1+4+D5</f>
        <v>7</v>
      </c>
      <c r="M16">
        <f t="shared" si="32"/>
        <v>9.86</v>
      </c>
      <c r="N16">
        <f t="shared" si="32"/>
        <v>13.39</v>
      </c>
      <c r="O16">
        <f t="shared" ref="O16" si="33">1+4+G5</f>
        <v>11</v>
      </c>
      <c r="P16">
        <f t="shared" ref="P16" si="34">1+4+H5</f>
        <v>17</v>
      </c>
      <c r="Q16" t="s">
        <v>122</v>
      </c>
      <c r="S16" t="e">
        <f>1+4+C5 + 5</f>
        <v>#VALUE!</v>
      </c>
      <c r="T16">
        <f>1+4+D5 + 5</f>
        <v>12</v>
      </c>
      <c r="U16">
        <f>1+4+E5 + 5</f>
        <v>14.86</v>
      </c>
      <c r="V16">
        <f>1+4+F5 + 5</f>
        <v>18.39</v>
      </c>
      <c r="W16">
        <f t="shared" ref="W16" si="35">1+4+G5 + 5</f>
        <v>16</v>
      </c>
      <c r="X16">
        <f t="shared" ref="X16" si="36">1+4+H5 + 5</f>
        <v>22</v>
      </c>
      <c r="Y16" t="s">
        <v>121</v>
      </c>
      <c r="AA16" t="e">
        <f>1+4+C5</f>
        <v>#VALUE!</v>
      </c>
      <c r="AB16">
        <f t="shared" ref="AB16:AD16" si="37">1+4+D5</f>
        <v>7</v>
      </c>
      <c r="AC16">
        <f t="shared" si="37"/>
        <v>9.86</v>
      </c>
      <c r="AD16">
        <f t="shared" si="37"/>
        <v>13.39</v>
      </c>
      <c r="AE16">
        <f t="shared" ref="AE16" si="38">1+4+G5</f>
        <v>11</v>
      </c>
      <c r="AF16">
        <f t="shared" ref="AF16:AG16" si="39">1+4+H5</f>
        <v>17</v>
      </c>
      <c r="AG16">
        <f t="shared" si="39"/>
        <v>11</v>
      </c>
      <c r="AH16" t="s">
        <v>121</v>
      </c>
      <c r="AK16" t="e">
        <f>1+4+C5</f>
        <v>#VALUE!</v>
      </c>
      <c r="AL16">
        <f t="shared" ref="AL16:AQ16" si="40">1+4+D5</f>
        <v>7</v>
      </c>
      <c r="AM16">
        <f t="shared" si="40"/>
        <v>9.86</v>
      </c>
      <c r="AN16">
        <f t="shared" si="40"/>
        <v>13.39</v>
      </c>
      <c r="AO16">
        <f t="shared" si="40"/>
        <v>11</v>
      </c>
      <c r="AP16">
        <f t="shared" si="40"/>
        <v>17</v>
      </c>
      <c r="AQ16">
        <f t="shared" si="40"/>
        <v>11</v>
      </c>
      <c r="AR16" t="s">
        <v>123</v>
      </c>
    </row>
    <row r="17" spans="1:44">
      <c r="B17" t="s">
        <v>120</v>
      </c>
      <c r="C17" t="e">
        <f>C4+C4+14+1</f>
        <v>#VALUE!</v>
      </c>
      <c r="D17">
        <f t="shared" ref="D17:H17" si="41">D4+D4+14+1</f>
        <v>29.119999999999997</v>
      </c>
      <c r="E17">
        <f t="shared" si="41"/>
        <v>41.14</v>
      </c>
      <c r="F17">
        <f t="shared" si="41"/>
        <v>57.18</v>
      </c>
      <c r="G17">
        <f t="shared" si="41"/>
        <v>45</v>
      </c>
      <c r="H17">
        <f t="shared" si="41"/>
        <v>45</v>
      </c>
      <c r="K17" t="e">
        <f>$M$2*C4+$M$2*C4+$M$2*14+1</f>
        <v>#VALUE!</v>
      </c>
      <c r="L17">
        <f t="shared" ref="L17:P17" si="42">$M$2*D4+$M$2*D4+$M$2*14+1</f>
        <v>9.4359999999999999</v>
      </c>
      <c r="M17">
        <f t="shared" si="42"/>
        <v>13.042</v>
      </c>
      <c r="N17">
        <f t="shared" si="42"/>
        <v>17.853999999999999</v>
      </c>
      <c r="O17">
        <f t="shared" si="42"/>
        <v>14.2</v>
      </c>
      <c r="P17">
        <f t="shared" si="42"/>
        <v>14.2</v>
      </c>
      <c r="S17" t="e">
        <f>$M$3*C4+$M$3*C4+$M$3*14+2</f>
        <v>#VALUE!</v>
      </c>
      <c r="T17">
        <f t="shared" ref="T17:X17" si="43">$M$3*D4+$M$3*D4+$M$3*14+2</f>
        <v>9.0299999999999994</v>
      </c>
      <c r="U17">
        <f t="shared" si="43"/>
        <v>12.035</v>
      </c>
      <c r="V17">
        <f t="shared" si="43"/>
        <v>16.045000000000002</v>
      </c>
      <c r="W17">
        <f t="shared" si="43"/>
        <v>13</v>
      </c>
      <c r="X17">
        <f t="shared" si="43"/>
        <v>13</v>
      </c>
      <c r="AA17">
        <f>$M$2*4+$M$2*4+$M$2*4+$M$2*3+1</f>
        <v>5.5</v>
      </c>
      <c r="AB17">
        <f t="shared" ref="AB17:AG17" si="44">$M$2*4+$M$2*4+$M$2*4+$M$2*3+1</f>
        <v>5.5</v>
      </c>
      <c r="AC17">
        <f t="shared" si="44"/>
        <v>5.5</v>
      </c>
      <c r="AD17">
        <f t="shared" si="44"/>
        <v>5.5</v>
      </c>
      <c r="AE17">
        <f t="shared" si="44"/>
        <v>5.5</v>
      </c>
      <c r="AF17">
        <f t="shared" si="44"/>
        <v>5.5</v>
      </c>
      <c r="AG17">
        <f t="shared" si="44"/>
        <v>5.5</v>
      </c>
      <c r="AK17">
        <f>$M$2*8+$M$2*8+$M$2*8+$M$2*3+1</f>
        <v>9.1</v>
      </c>
      <c r="AL17">
        <f t="shared" ref="AL17:AQ17" si="45">$M$2*8+$M$2*8+$M$2*8+$M$2*3+1</f>
        <v>9.1</v>
      </c>
      <c r="AM17">
        <f t="shared" si="45"/>
        <v>9.1</v>
      </c>
      <c r="AN17">
        <f t="shared" si="45"/>
        <v>9.1</v>
      </c>
      <c r="AO17">
        <f t="shared" si="45"/>
        <v>9.1</v>
      </c>
      <c r="AP17">
        <f t="shared" si="45"/>
        <v>9.1</v>
      </c>
      <c r="AQ17">
        <f t="shared" si="45"/>
        <v>9.1</v>
      </c>
    </row>
    <row r="18" spans="1:44">
      <c r="A18" t="s">
        <v>74</v>
      </c>
      <c r="B18" t="s">
        <v>119</v>
      </c>
      <c r="C18" t="e">
        <f>1+4+C5</f>
        <v>#VALUE!</v>
      </c>
      <c r="D18">
        <f t="shared" ref="D18:H18" si="46">1+4+D5</f>
        <v>7</v>
      </c>
      <c r="E18">
        <f t="shared" si="46"/>
        <v>9.86</v>
      </c>
      <c r="F18">
        <f t="shared" si="46"/>
        <v>13.39</v>
      </c>
      <c r="G18">
        <f t="shared" si="46"/>
        <v>11</v>
      </c>
      <c r="H18">
        <f t="shared" si="46"/>
        <v>17</v>
      </c>
      <c r="K18" t="e">
        <f>1+4+C5</f>
        <v>#VALUE!</v>
      </c>
      <c r="L18">
        <f t="shared" ref="L18:N18" si="47">1+4+D5</f>
        <v>7</v>
      </c>
      <c r="M18">
        <f t="shared" si="47"/>
        <v>9.86</v>
      </c>
      <c r="N18">
        <f t="shared" si="47"/>
        <v>13.39</v>
      </c>
      <c r="O18">
        <f t="shared" ref="O18" si="48">1+4+G5</f>
        <v>11</v>
      </c>
      <c r="P18">
        <f t="shared" ref="P18" si="49">1+4+H5</f>
        <v>17</v>
      </c>
      <c r="Q18" t="s">
        <v>122</v>
      </c>
      <c r="S18" t="e">
        <f>1+4+C5 + 5</f>
        <v>#VALUE!</v>
      </c>
      <c r="T18">
        <f>1+4+D5 + 5</f>
        <v>12</v>
      </c>
      <c r="U18">
        <f>1+4+E5 + 5</f>
        <v>14.86</v>
      </c>
      <c r="V18">
        <f>1+4+F5 + 5</f>
        <v>18.39</v>
      </c>
      <c r="W18">
        <f t="shared" ref="W18" si="50">1+4+G5 + 5</f>
        <v>16</v>
      </c>
      <c r="X18">
        <f t="shared" ref="X18" si="51">1+4+H5 + 5</f>
        <v>22</v>
      </c>
      <c r="Y18" t="s">
        <v>121</v>
      </c>
      <c r="AA18" t="e">
        <f>1+4+C5</f>
        <v>#VALUE!</v>
      </c>
      <c r="AB18">
        <f t="shared" ref="AB18:AD18" si="52">1+4+D5</f>
        <v>7</v>
      </c>
      <c r="AC18">
        <f t="shared" si="52"/>
        <v>9.86</v>
      </c>
      <c r="AD18">
        <f t="shared" si="52"/>
        <v>13.39</v>
      </c>
      <c r="AE18">
        <f t="shared" ref="AE18" si="53">1+4+G5</f>
        <v>11</v>
      </c>
      <c r="AF18">
        <f t="shared" ref="AF18:AG18" si="54">1+4+H5</f>
        <v>17</v>
      </c>
      <c r="AG18">
        <f t="shared" si="54"/>
        <v>11</v>
      </c>
      <c r="AH18" t="s">
        <v>121</v>
      </c>
      <c r="AK18" t="e">
        <f>1+4+C5</f>
        <v>#VALUE!</v>
      </c>
      <c r="AL18">
        <f t="shared" ref="AL18:AQ18" si="55">1+4+D5</f>
        <v>7</v>
      </c>
      <c r="AM18">
        <f t="shared" si="55"/>
        <v>9.86</v>
      </c>
      <c r="AN18">
        <f t="shared" si="55"/>
        <v>13.39</v>
      </c>
      <c r="AO18">
        <f t="shared" si="55"/>
        <v>11</v>
      </c>
      <c r="AP18">
        <f t="shared" si="55"/>
        <v>17</v>
      </c>
      <c r="AQ18">
        <f t="shared" si="55"/>
        <v>11</v>
      </c>
      <c r="AR18" t="s">
        <v>123</v>
      </c>
    </row>
    <row r="19" spans="1:44">
      <c r="B19" t="s">
        <v>120</v>
      </c>
      <c r="C19" t="e">
        <f>15+C6+C4+1</f>
        <v>#VALUE!</v>
      </c>
      <c r="D19">
        <f t="shared" ref="D19:H19" si="56">15+D6+D4+1</f>
        <v>32.459999999999994</v>
      </c>
      <c r="E19">
        <f t="shared" si="56"/>
        <v>40.700000000000003</v>
      </c>
      <c r="F19">
        <f t="shared" si="56"/>
        <v>51.230000000000004</v>
      </c>
      <c r="G19">
        <f t="shared" si="56"/>
        <v>43</v>
      </c>
      <c r="H19">
        <f t="shared" si="56"/>
        <v>43</v>
      </c>
      <c r="K19" t="e">
        <f>$M$2*15+$M$2*C6+$M$2*C4+1</f>
        <v>#VALUE!</v>
      </c>
      <c r="L19">
        <f t="shared" ref="L19:P19" si="57">$M$2*15+$M$2*D6+$M$2*D4+1</f>
        <v>10.438000000000001</v>
      </c>
      <c r="M19">
        <f t="shared" si="57"/>
        <v>12.91</v>
      </c>
      <c r="N19">
        <f t="shared" si="57"/>
        <v>16.069000000000003</v>
      </c>
      <c r="O19">
        <f t="shared" si="57"/>
        <v>13.6</v>
      </c>
      <c r="P19">
        <f t="shared" si="57"/>
        <v>13.6</v>
      </c>
      <c r="S19" t="e">
        <f>$M$3*15+$M$3*C6+$M$3*C4+2</f>
        <v>#VALUE!</v>
      </c>
      <c r="T19">
        <f t="shared" ref="T19:X19" si="58">$M$3*15+$M$3*D6+$M$3*D4+2</f>
        <v>9.8649999999999984</v>
      </c>
      <c r="U19">
        <f t="shared" si="58"/>
        <v>11.925000000000001</v>
      </c>
      <c r="V19">
        <f t="shared" si="58"/>
        <v>14.557500000000001</v>
      </c>
      <c r="W19">
        <f t="shared" si="58"/>
        <v>12.5</v>
      </c>
      <c r="X19">
        <f t="shared" si="58"/>
        <v>12.5</v>
      </c>
      <c r="AA19">
        <f>$M$2*4+$M$2*4+$M$2*4+$M$2*4+1</f>
        <v>5.8</v>
      </c>
      <c r="AB19">
        <f t="shared" ref="AB19:AG19" si="59">$M$2*4+$M$2*4+$M$2*4+$M$2*4+1</f>
        <v>5.8</v>
      </c>
      <c r="AC19">
        <f t="shared" si="59"/>
        <v>5.8</v>
      </c>
      <c r="AD19">
        <f t="shared" si="59"/>
        <v>5.8</v>
      </c>
      <c r="AE19">
        <f t="shared" si="59"/>
        <v>5.8</v>
      </c>
      <c r="AF19">
        <f t="shared" si="59"/>
        <v>5.8</v>
      </c>
      <c r="AG19">
        <f t="shared" si="59"/>
        <v>5.8</v>
      </c>
      <c r="AK19">
        <f>$M$2*8+$M$2*8+$M$2*8+$M$2*8+1</f>
        <v>10.6</v>
      </c>
      <c r="AL19">
        <f t="shared" ref="AL19:AQ19" si="60">$M$2*8+$M$2*8+$M$2*8+$M$2*8+1</f>
        <v>10.6</v>
      </c>
      <c r="AM19">
        <f t="shared" si="60"/>
        <v>10.6</v>
      </c>
      <c r="AN19">
        <f t="shared" si="60"/>
        <v>10.6</v>
      </c>
      <c r="AO19">
        <f t="shared" si="60"/>
        <v>10.6</v>
      </c>
      <c r="AP19">
        <f t="shared" si="60"/>
        <v>10.6</v>
      </c>
      <c r="AQ19">
        <f t="shared" si="60"/>
        <v>10.6</v>
      </c>
    </row>
    <row r="20" spans="1:44">
      <c r="A20" t="s">
        <v>75</v>
      </c>
      <c r="B20" t="s">
        <v>119</v>
      </c>
      <c r="C20" t="e">
        <f>1+4+C5</f>
        <v>#VALUE!</v>
      </c>
      <c r="D20">
        <f t="shared" ref="D20:H20" si="61">1+4+D5</f>
        <v>7</v>
      </c>
      <c r="E20">
        <f t="shared" si="61"/>
        <v>9.86</v>
      </c>
      <c r="F20">
        <f t="shared" si="61"/>
        <v>13.39</v>
      </c>
      <c r="G20">
        <f t="shared" si="61"/>
        <v>11</v>
      </c>
      <c r="H20">
        <f t="shared" si="61"/>
        <v>17</v>
      </c>
      <c r="K20" t="e">
        <f>1+4+C5</f>
        <v>#VALUE!</v>
      </c>
      <c r="L20">
        <f t="shared" ref="L20:N20" si="62">1+4+D5</f>
        <v>7</v>
      </c>
      <c r="M20">
        <f t="shared" si="62"/>
        <v>9.86</v>
      </c>
      <c r="N20">
        <f t="shared" si="62"/>
        <v>13.39</v>
      </c>
      <c r="O20">
        <f t="shared" ref="O20" si="63">1+4+G5</f>
        <v>11</v>
      </c>
      <c r="P20">
        <f t="shared" ref="P20" si="64">1+4+H5</f>
        <v>17</v>
      </c>
      <c r="Q20" t="s">
        <v>122</v>
      </c>
      <c r="S20" t="e">
        <f>1+4+C5 + 5</f>
        <v>#VALUE!</v>
      </c>
      <c r="T20">
        <f>1+4+D5 + 5</f>
        <v>12</v>
      </c>
      <c r="U20">
        <f>1+4+E5 + 5</f>
        <v>14.86</v>
      </c>
      <c r="V20">
        <f>1+4+F5 + 5</f>
        <v>18.39</v>
      </c>
      <c r="W20">
        <f t="shared" ref="W20" si="65">1+4+G5 + 5</f>
        <v>16</v>
      </c>
      <c r="X20">
        <f t="shared" ref="X20" si="66">1+4+H5 + 5</f>
        <v>22</v>
      </c>
      <c r="Y20" t="s">
        <v>121</v>
      </c>
      <c r="AA20" t="e">
        <f>1+4+C5</f>
        <v>#VALUE!</v>
      </c>
      <c r="AB20">
        <f t="shared" ref="AB20:AD20" si="67">1+4+D5</f>
        <v>7</v>
      </c>
      <c r="AC20">
        <f t="shared" si="67"/>
        <v>9.86</v>
      </c>
      <c r="AD20">
        <f t="shared" si="67"/>
        <v>13.39</v>
      </c>
      <c r="AE20">
        <f t="shared" ref="AE20" si="68">1+4+G5</f>
        <v>11</v>
      </c>
      <c r="AF20">
        <f t="shared" ref="AF20:AG20" si="69">1+4+H5</f>
        <v>17</v>
      </c>
      <c r="AG20">
        <f t="shared" si="69"/>
        <v>11</v>
      </c>
      <c r="AH20" t="s">
        <v>123</v>
      </c>
      <c r="AK20" t="e">
        <f>1+4+C5</f>
        <v>#VALUE!</v>
      </c>
      <c r="AL20">
        <f t="shared" ref="AL20:AQ20" si="70">1+4+D5</f>
        <v>7</v>
      </c>
      <c r="AM20">
        <f t="shared" si="70"/>
        <v>9.86</v>
      </c>
      <c r="AN20">
        <f t="shared" si="70"/>
        <v>13.39</v>
      </c>
      <c r="AO20">
        <f t="shared" si="70"/>
        <v>11</v>
      </c>
      <c r="AP20">
        <f t="shared" si="70"/>
        <v>17</v>
      </c>
      <c r="AQ20">
        <f t="shared" si="70"/>
        <v>11</v>
      </c>
      <c r="AR20" t="s">
        <v>126</v>
      </c>
    </row>
    <row r="21" spans="1:44">
      <c r="B21" t="s">
        <v>120</v>
      </c>
      <c r="C21" t="e">
        <f>24+C6+C4+1</f>
        <v>#VALUE!</v>
      </c>
      <c r="D21">
        <f t="shared" ref="D21:H21" si="71">24+D6+D4+1</f>
        <v>41.46</v>
      </c>
      <c r="E21">
        <f t="shared" si="71"/>
        <v>49.7</v>
      </c>
      <c r="F21">
        <f t="shared" si="71"/>
        <v>60.230000000000004</v>
      </c>
      <c r="G21">
        <f t="shared" si="71"/>
        <v>52</v>
      </c>
      <c r="H21">
        <f t="shared" si="71"/>
        <v>52</v>
      </c>
      <c r="K21" t="e">
        <f>$M$2*24+$M$2*C6+$M$2*C4+1</f>
        <v>#VALUE!</v>
      </c>
      <c r="L21">
        <f t="shared" ref="L21:P21" si="72">$M$2*24+$M$2*D6+$M$2*D4+1</f>
        <v>13.138</v>
      </c>
      <c r="M21">
        <f t="shared" si="72"/>
        <v>15.61</v>
      </c>
      <c r="N21">
        <f t="shared" si="72"/>
        <v>18.768999999999998</v>
      </c>
      <c r="O21">
        <f t="shared" si="72"/>
        <v>16.299999999999997</v>
      </c>
      <c r="P21">
        <f t="shared" si="72"/>
        <v>16.299999999999997</v>
      </c>
      <c r="S21" t="e">
        <f>$M$3*24+$M$3*C6+$M$3*C4+2</f>
        <v>#VALUE!</v>
      </c>
      <c r="T21">
        <f t="shared" ref="T21:X21" si="73">$M$3*24+$M$3*D6+$M$3*D4+2</f>
        <v>12.115</v>
      </c>
      <c r="U21">
        <f t="shared" si="73"/>
        <v>14.175000000000001</v>
      </c>
      <c r="V21">
        <f t="shared" si="73"/>
        <v>16.807500000000001</v>
      </c>
      <c r="W21">
        <f t="shared" si="73"/>
        <v>14.75</v>
      </c>
      <c r="X21">
        <f t="shared" si="73"/>
        <v>14.75</v>
      </c>
      <c r="AA21">
        <f>$M$2*4+$M$2*9+$M$2*4+$M$2*4+$M$2*4+1</f>
        <v>8.5</v>
      </c>
      <c r="AB21">
        <f t="shared" ref="AB21:AG21" si="74">$M$2*4+$M$2*9+$M$2*4+$M$2*4+$M$2*4+1</f>
        <v>8.5</v>
      </c>
      <c r="AC21">
        <f t="shared" si="74"/>
        <v>8.5</v>
      </c>
      <c r="AD21">
        <f t="shared" si="74"/>
        <v>8.5</v>
      </c>
      <c r="AE21">
        <f t="shared" si="74"/>
        <v>8.5</v>
      </c>
      <c r="AF21">
        <f t="shared" si="74"/>
        <v>8.5</v>
      </c>
      <c r="AG21">
        <f t="shared" si="74"/>
        <v>8.5</v>
      </c>
      <c r="AK21">
        <f>$M$2*8+$M$2*8+$M$2*8+$M$2*8+$M$2*8+1</f>
        <v>13</v>
      </c>
      <c r="AL21">
        <f t="shared" ref="AL21:AQ21" si="75">$M$2*8+$M$2*8+$M$2*8+$M$2*8+$M$2*8+1</f>
        <v>13</v>
      </c>
      <c r="AM21">
        <f t="shared" si="75"/>
        <v>13</v>
      </c>
      <c r="AN21">
        <f t="shared" si="75"/>
        <v>13</v>
      </c>
      <c r="AO21">
        <f t="shared" si="75"/>
        <v>13</v>
      </c>
      <c r="AP21">
        <f t="shared" si="75"/>
        <v>13</v>
      </c>
      <c r="AQ21">
        <f t="shared" si="75"/>
        <v>13</v>
      </c>
    </row>
    <row r="22" spans="1:44">
      <c r="A22" t="s">
        <v>76</v>
      </c>
      <c r="B22" t="s">
        <v>119</v>
      </c>
      <c r="C22" t="e">
        <f>1+3+C5</f>
        <v>#VALUE!</v>
      </c>
      <c r="D22">
        <f t="shared" ref="D22:H22" si="76">1+3+D5</f>
        <v>6</v>
      </c>
      <c r="E22">
        <f t="shared" si="76"/>
        <v>8.86</v>
      </c>
      <c r="F22">
        <f t="shared" si="76"/>
        <v>12.39</v>
      </c>
      <c r="G22">
        <f t="shared" si="76"/>
        <v>10</v>
      </c>
      <c r="H22">
        <f t="shared" si="76"/>
        <v>16</v>
      </c>
      <c r="K22" t="e">
        <f>1+3+C5</f>
        <v>#VALUE!</v>
      </c>
      <c r="L22">
        <f t="shared" ref="L22:N22" si="77">1+3+D5</f>
        <v>6</v>
      </c>
      <c r="M22">
        <f t="shared" si="77"/>
        <v>8.86</v>
      </c>
      <c r="N22">
        <f t="shared" si="77"/>
        <v>12.39</v>
      </c>
      <c r="O22">
        <f t="shared" ref="O22" si="78">1+3+G5</f>
        <v>10</v>
      </c>
      <c r="P22">
        <f t="shared" ref="P22" si="79">1+3+H5</f>
        <v>16</v>
      </c>
      <c r="Q22" t="s">
        <v>123</v>
      </c>
      <c r="S22" t="e">
        <f>1+3+C5+4</f>
        <v>#VALUE!</v>
      </c>
      <c r="T22">
        <f>1+3+D5+4</f>
        <v>10</v>
      </c>
      <c r="U22">
        <f>1+3+E5+4</f>
        <v>12.86</v>
      </c>
      <c r="V22">
        <f>1+3+F5+4</f>
        <v>16.39</v>
      </c>
      <c r="W22">
        <f t="shared" ref="W22" si="80">1+3+G5+4</f>
        <v>14</v>
      </c>
      <c r="X22">
        <f t="shared" ref="X22" si="81">1+3+H5+4</f>
        <v>20</v>
      </c>
      <c r="Y22" t="s">
        <v>121</v>
      </c>
      <c r="AA22" t="e">
        <f>1+3+C5</f>
        <v>#VALUE!</v>
      </c>
      <c r="AB22">
        <f t="shared" ref="AB22:AD22" si="82">1+3+D5</f>
        <v>6</v>
      </c>
      <c r="AC22">
        <f t="shared" si="82"/>
        <v>8.86</v>
      </c>
      <c r="AD22">
        <f t="shared" si="82"/>
        <v>12.39</v>
      </c>
      <c r="AE22">
        <f t="shared" ref="AE22" si="83">1+3+G5</f>
        <v>10</v>
      </c>
      <c r="AF22">
        <f t="shared" ref="AF22:AG22" si="84">1+3+H5</f>
        <v>16</v>
      </c>
      <c r="AG22">
        <f t="shared" si="84"/>
        <v>10</v>
      </c>
      <c r="AH22" t="s">
        <v>121</v>
      </c>
      <c r="AK22" t="e">
        <f>1+3+C5</f>
        <v>#VALUE!</v>
      </c>
      <c r="AL22">
        <f t="shared" ref="AL22:AQ22" si="85">1+3+D5</f>
        <v>6</v>
      </c>
      <c r="AM22">
        <f t="shared" si="85"/>
        <v>8.86</v>
      </c>
      <c r="AN22">
        <f t="shared" si="85"/>
        <v>12.39</v>
      </c>
      <c r="AO22">
        <f t="shared" si="85"/>
        <v>10</v>
      </c>
      <c r="AP22">
        <f t="shared" si="85"/>
        <v>16</v>
      </c>
      <c r="AQ22">
        <f t="shared" si="85"/>
        <v>10</v>
      </c>
      <c r="AR22" t="s">
        <v>123</v>
      </c>
    </row>
    <row r="23" spans="1:44">
      <c r="B23" t="s">
        <v>120</v>
      </c>
      <c r="C23" t="e">
        <f>C8+5+C4+1</f>
        <v>#VALUE!</v>
      </c>
      <c r="D23">
        <f t="shared" ref="D23:H23" si="86">D8+5+D4+1</f>
        <v>13.059999999999999</v>
      </c>
      <c r="E23">
        <f t="shared" si="86"/>
        <v>25.47</v>
      </c>
      <c r="F23">
        <f t="shared" si="86"/>
        <v>46.120000000000005</v>
      </c>
      <c r="G23">
        <f t="shared" si="86"/>
        <v>31</v>
      </c>
      <c r="H23">
        <f t="shared" si="86"/>
        <v>31</v>
      </c>
      <c r="K23" t="e">
        <f>$M$2*C8+$M$2*5+$M$2*C4+1</f>
        <v>#VALUE!</v>
      </c>
      <c r="L23">
        <f t="shared" ref="L23:P23" si="87">$M$2*D8+$M$2*5+$M$2*D4+1</f>
        <v>4.6180000000000003</v>
      </c>
      <c r="M23">
        <f t="shared" si="87"/>
        <v>8.3409999999999993</v>
      </c>
      <c r="N23">
        <f t="shared" si="87"/>
        <v>14.536000000000001</v>
      </c>
      <c r="O23">
        <f t="shared" si="87"/>
        <v>10</v>
      </c>
      <c r="P23">
        <f t="shared" si="87"/>
        <v>10</v>
      </c>
      <c r="S23" t="e">
        <f>$M$3*C8+$M$3*5+$M$3*C4+2</f>
        <v>#VALUE!</v>
      </c>
      <c r="T23">
        <f t="shared" ref="T23:X23" si="88">$M$3*D8+$M$3*5+$M$3*D4+2</f>
        <v>5.0149999999999997</v>
      </c>
      <c r="U23">
        <f t="shared" si="88"/>
        <v>8.1174999999999997</v>
      </c>
      <c r="V23">
        <f t="shared" si="88"/>
        <v>13.280000000000001</v>
      </c>
      <c r="W23">
        <f t="shared" si="88"/>
        <v>9.5</v>
      </c>
      <c r="X23">
        <f t="shared" si="88"/>
        <v>9.5</v>
      </c>
      <c r="AA23">
        <f>$M$2*4+$M$2*4+$M$2*4+1</f>
        <v>4.5999999999999996</v>
      </c>
      <c r="AB23">
        <f t="shared" ref="AB23:AG23" si="89">$M$2*4+$M$2*4+$M$2*4+1</f>
        <v>4.5999999999999996</v>
      </c>
      <c r="AC23">
        <f t="shared" si="89"/>
        <v>4.5999999999999996</v>
      </c>
      <c r="AD23">
        <f t="shared" si="89"/>
        <v>4.5999999999999996</v>
      </c>
      <c r="AE23">
        <f t="shared" si="89"/>
        <v>4.5999999999999996</v>
      </c>
      <c r="AF23">
        <f t="shared" si="89"/>
        <v>4.5999999999999996</v>
      </c>
      <c r="AG23">
        <f t="shared" si="89"/>
        <v>4.5999999999999996</v>
      </c>
      <c r="AK23">
        <f>$M$2*8+$M$2*8+$M$2*8+1</f>
        <v>8.1999999999999993</v>
      </c>
      <c r="AL23">
        <f t="shared" ref="AL23:AQ23" si="90">$M$2*8+$M$2*8+$M$2*8+1</f>
        <v>8.1999999999999993</v>
      </c>
      <c r="AM23">
        <f t="shared" si="90"/>
        <v>8.1999999999999993</v>
      </c>
      <c r="AN23">
        <f t="shared" si="90"/>
        <v>8.1999999999999993</v>
      </c>
      <c r="AO23">
        <f t="shared" si="90"/>
        <v>8.1999999999999993</v>
      </c>
      <c r="AP23">
        <f t="shared" si="90"/>
        <v>8.1999999999999993</v>
      </c>
      <c r="AQ23">
        <f t="shared" si="90"/>
        <v>8.1999999999999993</v>
      </c>
    </row>
    <row r="24" spans="1:44">
      <c r="A24" t="s">
        <v>77</v>
      </c>
      <c r="B24" t="s">
        <v>119</v>
      </c>
      <c r="C24" t="e">
        <f>1+7+C7+C5</f>
        <v>#VALUE!</v>
      </c>
      <c r="D24">
        <f t="shared" ref="D24:H24" si="91">1+7+D7+D5</f>
        <v>11.2</v>
      </c>
      <c r="E24">
        <f t="shared" si="91"/>
        <v>14.36</v>
      </c>
      <c r="F24">
        <f t="shared" si="91"/>
        <v>18.59</v>
      </c>
      <c r="G24">
        <f t="shared" si="91"/>
        <v>16</v>
      </c>
      <c r="H24">
        <f t="shared" si="91"/>
        <v>23</v>
      </c>
      <c r="K24" t="e">
        <f>1+7+C7+C5</f>
        <v>#VALUE!</v>
      </c>
      <c r="L24">
        <f>1+7+D7+D5</f>
        <v>11.2</v>
      </c>
      <c r="M24">
        <f>1+7+E7+E5</f>
        <v>14.36</v>
      </c>
      <c r="N24">
        <f>1+7+F7+F5</f>
        <v>18.59</v>
      </c>
      <c r="O24">
        <f t="shared" ref="O24" si="92">1+7+G7+G5</f>
        <v>16</v>
      </c>
      <c r="P24">
        <f t="shared" ref="P24" si="93">1+7+H7+H5</f>
        <v>23</v>
      </c>
      <c r="Q24" t="s">
        <v>130</v>
      </c>
      <c r="S24" t="e">
        <f>1+7+C7+C5</f>
        <v>#VALUE!</v>
      </c>
      <c r="T24">
        <f>1+7+D7+D5</f>
        <v>11.2</v>
      </c>
      <c r="U24">
        <f>1+7+E7+E5</f>
        <v>14.36</v>
      </c>
      <c r="V24">
        <f>1+7+F7+F5</f>
        <v>18.59</v>
      </c>
      <c r="W24">
        <f t="shared" ref="W24" si="94">1+7+G7+G5</f>
        <v>16</v>
      </c>
      <c r="X24">
        <f t="shared" ref="X24" si="95">1+7+H7+H5</f>
        <v>23</v>
      </c>
      <c r="Y24" t="s">
        <v>121</v>
      </c>
      <c r="AA24" t="e">
        <f>1+7+C7+C5</f>
        <v>#VALUE!</v>
      </c>
      <c r="AB24">
        <f>1+7+D7+D5</f>
        <v>11.2</v>
      </c>
      <c r="AC24">
        <f>1+7+E7+E5</f>
        <v>14.36</v>
      </c>
      <c r="AD24">
        <f>1+7+F7+F5</f>
        <v>18.59</v>
      </c>
      <c r="AE24">
        <f t="shared" ref="AE24" si="96">1+7+G7+G5</f>
        <v>16</v>
      </c>
      <c r="AF24">
        <f t="shared" ref="AF24:AG24" si="97">1+7+H7+H5</f>
        <v>23</v>
      </c>
      <c r="AG24">
        <f t="shared" si="97"/>
        <v>15.5</v>
      </c>
      <c r="AH24" t="s">
        <v>121</v>
      </c>
      <c r="AK24" t="e">
        <f>1+7+C7+C5</f>
        <v>#VALUE!</v>
      </c>
      <c r="AL24">
        <f t="shared" ref="AL24:AQ24" si="98">1+7+D7+D5</f>
        <v>11.2</v>
      </c>
      <c r="AM24">
        <f t="shared" si="98"/>
        <v>14.36</v>
      </c>
      <c r="AN24">
        <f t="shared" si="98"/>
        <v>18.59</v>
      </c>
      <c r="AO24">
        <f t="shared" si="98"/>
        <v>16</v>
      </c>
      <c r="AP24">
        <f t="shared" si="98"/>
        <v>23</v>
      </c>
      <c r="AQ24">
        <f t="shared" si="98"/>
        <v>15.5</v>
      </c>
      <c r="AR24" t="s">
        <v>123</v>
      </c>
    </row>
    <row r="25" spans="1:44">
      <c r="B25" t="s">
        <v>120</v>
      </c>
      <c r="C25" t="e">
        <f>C4+15+C6+C4+1</f>
        <v>#VALUE!</v>
      </c>
      <c r="D25">
        <f t="shared" ref="D25:H25" si="99">D4+15+D6+D4+1</f>
        <v>39.520000000000003</v>
      </c>
      <c r="E25">
        <f t="shared" si="99"/>
        <v>53.77</v>
      </c>
      <c r="F25">
        <f t="shared" si="99"/>
        <v>72.320000000000007</v>
      </c>
      <c r="G25">
        <f t="shared" si="99"/>
        <v>58</v>
      </c>
      <c r="H25">
        <f t="shared" si="99"/>
        <v>58</v>
      </c>
      <c r="K25" t="e">
        <f>$M$2*C4+$M$2*15+$M$2*C6+$M$2*C4+1</f>
        <v>#VALUE!</v>
      </c>
      <c r="L25">
        <f t="shared" ref="L25:P25" si="100">$M$2*D4+$M$2*15+$M$2*D6+$M$2*D4+1</f>
        <v>12.556000000000001</v>
      </c>
      <c r="M25">
        <f t="shared" si="100"/>
        <v>16.831</v>
      </c>
      <c r="N25">
        <f t="shared" si="100"/>
        <v>22.396000000000001</v>
      </c>
      <c r="O25">
        <f t="shared" si="100"/>
        <v>18.100000000000001</v>
      </c>
      <c r="P25">
        <f t="shared" si="100"/>
        <v>18.100000000000001</v>
      </c>
      <c r="S25" t="e">
        <f>$M$3*C4+$M$3*15+$M$3*C6+$M$3*C4+2</f>
        <v>#VALUE!</v>
      </c>
      <c r="T25">
        <f t="shared" ref="T25:X25" si="101">$M$3*D4+$M$3*15+$M$3*D6+$M$3*D4+2</f>
        <v>11.63</v>
      </c>
      <c r="U25">
        <f t="shared" si="101"/>
        <v>15.192500000000001</v>
      </c>
      <c r="V25">
        <f t="shared" si="101"/>
        <v>19.830000000000002</v>
      </c>
      <c r="W25">
        <f t="shared" si="101"/>
        <v>16.25</v>
      </c>
      <c r="X25">
        <f t="shared" si="101"/>
        <v>16.25</v>
      </c>
      <c r="AA25">
        <f>$M$2*4+$M$2*4+$M$2*4+$M$2*4+$M$2*4+1</f>
        <v>7</v>
      </c>
      <c r="AB25">
        <f t="shared" ref="AB25:AG25" si="102">$M$2*4+$M$2*4+$M$2*4+$M$2*4+$M$2*4+1</f>
        <v>7</v>
      </c>
      <c r="AC25">
        <f t="shared" si="102"/>
        <v>7</v>
      </c>
      <c r="AD25">
        <f t="shared" si="102"/>
        <v>7</v>
      </c>
      <c r="AE25">
        <f t="shared" si="102"/>
        <v>7</v>
      </c>
      <c r="AF25">
        <f t="shared" si="102"/>
        <v>7</v>
      </c>
      <c r="AG25">
        <f t="shared" si="102"/>
        <v>7</v>
      </c>
      <c r="AK25">
        <f>$M$2*8+$M$2*8+$M$2*8+$M$2*8+$M$2*8+1</f>
        <v>13</v>
      </c>
      <c r="AL25">
        <f t="shared" ref="AL25:AQ25" si="103">$M$2*8+$M$2*8+$M$2*8+$M$2*8+$M$2*8+1</f>
        <v>13</v>
      </c>
      <c r="AM25">
        <f t="shared" si="103"/>
        <v>13</v>
      </c>
      <c r="AN25">
        <f t="shared" si="103"/>
        <v>13</v>
      </c>
      <c r="AO25">
        <f t="shared" si="103"/>
        <v>13</v>
      </c>
      <c r="AP25">
        <f t="shared" si="103"/>
        <v>13</v>
      </c>
      <c r="AQ25">
        <f t="shared" si="103"/>
        <v>13</v>
      </c>
    </row>
    <row r="26" spans="1:44">
      <c r="A26" t="s">
        <v>78</v>
      </c>
      <c r="B26" t="s">
        <v>119</v>
      </c>
      <c r="C26" t="e">
        <f>1+13+2*C6+2*C4</f>
        <v>#VALUE!</v>
      </c>
      <c r="D26">
        <f t="shared" ref="D26:H26" si="104">1+13+2*D6+2*D4</f>
        <v>46.919999999999995</v>
      </c>
      <c r="E26">
        <f t="shared" si="104"/>
        <v>63.400000000000006</v>
      </c>
      <c r="F26">
        <f t="shared" si="104"/>
        <v>84.460000000000008</v>
      </c>
      <c r="G26">
        <f t="shared" si="104"/>
        <v>68</v>
      </c>
      <c r="H26">
        <f t="shared" si="104"/>
        <v>68</v>
      </c>
      <c r="K26" t="e">
        <f>1+2+$M$2*4+$M$2*3+$M$2*4+2*$M$2*C6+2*$M$2*C4</f>
        <v>#VALUE!</v>
      </c>
      <c r="L26">
        <f>1+2+$M$2*4+$M$2*3+$M$2*4+2*$M$2*D6+2*$M$2*D4</f>
        <v>16.175999999999998</v>
      </c>
      <c r="M26">
        <f>1+2+$M$2*4+$M$2*3+$M$2*4+2*$M$2*E6+2*$M$2*E4</f>
        <v>21.12</v>
      </c>
      <c r="N26">
        <f>1+2+$M$2*4+$M$2*3+$M$2*4+2*$M$2*F6+2*$M$2*F4</f>
        <v>27.437999999999999</v>
      </c>
      <c r="O26">
        <f t="shared" ref="O26" si="105">1+2+$M$2*4+$M$2*3+$M$2*4+2*$M$2*G6+2*$M$2*G4</f>
        <v>22.5</v>
      </c>
      <c r="P26">
        <f t="shared" ref="P26" si="106">1+2+$M$2*4+$M$2*3+$M$2*4+2*$M$2*H6+2*$M$2*H4</f>
        <v>22.5</v>
      </c>
      <c r="Q26" t="s">
        <v>122</v>
      </c>
      <c r="S26" t="e">
        <f>1+2+$M$3*4+$M$3*3+$M$3*4+2*$M$3*C6+2*$M$3*C4+3</f>
        <v>#VALUE!</v>
      </c>
      <c r="T26">
        <f>1+2+$M$3*4+$M$3*3+$M$3*4+2*$M$3*D6+2*$M$3*D4+3</f>
        <v>16.979999999999997</v>
      </c>
      <c r="U26">
        <f>1+2+$M$3*4+$M$3*3+$M$3*4+2*$M$3*E6+2*$M$3*E4+3</f>
        <v>21.1</v>
      </c>
      <c r="V26">
        <f>1+2+$M$3*4+$M$3*3+$M$3*4+2*$M$3*F6+2*$M$3*F4+3</f>
        <v>26.365000000000002</v>
      </c>
      <c r="W26">
        <f t="shared" ref="W26" si="107">1+2+$M$3*4+$M$3*3+$M$3*4+2*$M$3*G6+2*$M$3*G4+3</f>
        <v>22.25</v>
      </c>
      <c r="X26">
        <f t="shared" ref="X26" si="108">1+2+$M$3*4+$M$3*3+$M$3*4+2*$M$3*H6+2*$M$3*H4+3</f>
        <v>22.25</v>
      </c>
      <c r="Y26" t="s">
        <v>122</v>
      </c>
      <c r="AA26">
        <f>1+$M$2*13+2*$M$2*4+2*$M$2*4</f>
        <v>9.7000000000000011</v>
      </c>
      <c r="AB26">
        <f t="shared" ref="AB26:AG26" si="109">1+$M$2*13+2*$M$2*4+2*$M$2*4</f>
        <v>9.7000000000000011</v>
      </c>
      <c r="AC26">
        <f t="shared" si="109"/>
        <v>9.7000000000000011</v>
      </c>
      <c r="AD26">
        <f t="shared" si="109"/>
        <v>9.7000000000000011</v>
      </c>
      <c r="AE26">
        <f t="shared" si="109"/>
        <v>9.7000000000000011</v>
      </c>
      <c r="AF26">
        <f t="shared" si="109"/>
        <v>9.7000000000000011</v>
      </c>
      <c r="AG26">
        <f t="shared" si="109"/>
        <v>9.7000000000000011</v>
      </c>
      <c r="AH26" t="s">
        <v>122</v>
      </c>
      <c r="AK26">
        <f>1+$M$2*13+2*$M$2*8+2*$M$2*8</f>
        <v>14.5</v>
      </c>
      <c r="AL26">
        <f t="shared" ref="AL26:AQ26" si="110">1+$M$2*13+2*$M$2*8+2*$M$2*8</f>
        <v>14.5</v>
      </c>
      <c r="AM26">
        <f t="shared" si="110"/>
        <v>14.5</v>
      </c>
      <c r="AN26">
        <f t="shared" si="110"/>
        <v>14.5</v>
      </c>
      <c r="AO26">
        <f t="shared" si="110"/>
        <v>14.5</v>
      </c>
      <c r="AP26">
        <f t="shared" si="110"/>
        <v>14.5</v>
      </c>
      <c r="AQ26">
        <f t="shared" si="110"/>
        <v>14.5</v>
      </c>
      <c r="AR26" t="s">
        <v>122</v>
      </c>
    </row>
    <row r="27" spans="1:44">
      <c r="B27" t="s">
        <v>120</v>
      </c>
      <c r="C27" t="e">
        <f>22+C4+2*C6+2*C4+1</f>
        <v>#VALUE!</v>
      </c>
      <c r="D27">
        <f t="shared" ref="D27:H27" si="111">22+D4+2*D6+2*D4+1</f>
        <v>62.98</v>
      </c>
      <c r="E27">
        <f t="shared" si="111"/>
        <v>85.47</v>
      </c>
      <c r="F27">
        <f t="shared" si="111"/>
        <v>114.55000000000001</v>
      </c>
      <c r="G27">
        <f t="shared" si="111"/>
        <v>92</v>
      </c>
      <c r="H27">
        <f t="shared" si="111"/>
        <v>92</v>
      </c>
      <c r="K27" t="e">
        <f>$M$2*22+$M$2*C4+2*$M$2*C6+2*$M$2*C4+1</f>
        <v>#VALUE!</v>
      </c>
      <c r="L27">
        <f t="shared" ref="L27:P27" si="112">$M$2*22+$M$2*D4+2*$M$2*D6+2*$M$2*D4+1</f>
        <v>19.594000000000001</v>
      </c>
      <c r="M27">
        <f t="shared" si="112"/>
        <v>26.340999999999998</v>
      </c>
      <c r="N27">
        <f t="shared" si="112"/>
        <v>35.064999999999998</v>
      </c>
      <c r="O27">
        <f t="shared" si="112"/>
        <v>28.299999999999997</v>
      </c>
      <c r="P27">
        <f t="shared" si="112"/>
        <v>28.299999999999997</v>
      </c>
      <c r="S27" t="e">
        <f>$M$3*22+$M$3*C4+2*$M$3*C6+2*$M$3*C4+2</f>
        <v>#VALUE!</v>
      </c>
      <c r="T27">
        <f t="shared" ref="T27:X27" si="113">$M$3*22+$M$3*D4+2*$M$3*D6+2*$M$3*D4+2</f>
        <v>17.494999999999997</v>
      </c>
      <c r="U27">
        <f t="shared" si="113"/>
        <v>23.1175</v>
      </c>
      <c r="V27">
        <f t="shared" si="113"/>
        <v>30.387500000000003</v>
      </c>
      <c r="W27">
        <f t="shared" si="113"/>
        <v>24.75</v>
      </c>
      <c r="X27">
        <f t="shared" si="113"/>
        <v>24.75</v>
      </c>
      <c r="AA27">
        <f>$M$2*4+$M$2*4+$M$2*3+$M$2*4+$M$2*4+2*$M$2*4+2*$M$2*4+1</f>
        <v>11.5</v>
      </c>
      <c r="AB27">
        <f t="shared" ref="AB27:AG27" si="114">$M$2*4+$M$2*4+$M$2*3+$M$2*4+$M$2*4+2*$M$2*4+2*$M$2*4+1</f>
        <v>11.5</v>
      </c>
      <c r="AC27">
        <f t="shared" si="114"/>
        <v>11.5</v>
      </c>
      <c r="AD27">
        <f t="shared" si="114"/>
        <v>11.5</v>
      </c>
      <c r="AE27">
        <f t="shared" si="114"/>
        <v>11.5</v>
      </c>
      <c r="AF27">
        <f t="shared" si="114"/>
        <v>11.5</v>
      </c>
      <c r="AG27">
        <f t="shared" si="114"/>
        <v>11.5</v>
      </c>
      <c r="AK27">
        <f>$M$2*8+$M$2*8+$M$2*3+$M$2*8+$M$2*8+2*$M$2*8+2*$M$2*8+1</f>
        <v>21.1</v>
      </c>
      <c r="AL27">
        <f t="shared" ref="AL27:AQ27" si="115">$M$2*8+$M$2*8+$M$2*3+$M$2*8+$M$2*8+2*$M$2*8+2*$M$2*8+1</f>
        <v>21.1</v>
      </c>
      <c r="AM27">
        <f t="shared" si="115"/>
        <v>21.1</v>
      </c>
      <c r="AN27">
        <f t="shared" si="115"/>
        <v>21.1</v>
      </c>
      <c r="AO27">
        <f t="shared" si="115"/>
        <v>21.1</v>
      </c>
      <c r="AP27">
        <f t="shared" si="115"/>
        <v>21.1</v>
      </c>
      <c r="AQ27">
        <f t="shared" si="115"/>
        <v>21.1</v>
      </c>
    </row>
    <row r="28" spans="1:44">
      <c r="A28" t="s">
        <v>79</v>
      </c>
      <c r="B28" t="s">
        <v>119</v>
      </c>
      <c r="C28" t="e">
        <f>1+16+C6+C4+C6+C4+C4</f>
        <v>#VALUE!</v>
      </c>
      <c r="D28">
        <f t="shared" ref="D28:H28" si="116">1+16+D6+D4+D6+D4+D4</f>
        <v>56.980000000000004</v>
      </c>
      <c r="E28">
        <f t="shared" si="116"/>
        <v>79.47</v>
      </c>
      <c r="F28">
        <f t="shared" si="116"/>
        <v>108.55000000000001</v>
      </c>
      <c r="G28">
        <f t="shared" si="116"/>
        <v>86</v>
      </c>
      <c r="H28">
        <f t="shared" si="116"/>
        <v>86</v>
      </c>
      <c r="K28" t="e">
        <f>1+2+$M$2*4+$M$2*3+$M$2*4+$M$2*1+$M$2*2+$M$2*1+$M$2*C6+$M$2*C4+$M$2*C6+$M$2*C4+$M$2*C4</f>
        <v>#VALUE!</v>
      </c>
      <c r="L28">
        <f>1+2+$M$2*4+$M$2*3+$M$2*4+$M$2*1+$M$2*2+$M$2*1+$M$2*D6+$M$2*D4+$M$2*D6+$M$2*D4+$M$2*D4</f>
        <v>19.493999999999996</v>
      </c>
      <c r="M28">
        <f>1+2+$M$2*4+$M$2*3+$M$2*4+$M$2*1+$M$2*2+$M$2*1+$M$2*E6+$M$2*E4+$M$2*E6+$M$2*E4+$M$2*E4</f>
        <v>26.240999999999996</v>
      </c>
      <c r="N28">
        <f>1+2+$M$2*4+$M$2*3+$M$2*4+$M$2*1+$M$2*2+$M$2*1+$M$2*F6+$M$2*F4+$M$2*F6+$M$2*F4+$M$2*F4</f>
        <v>34.964999999999996</v>
      </c>
      <c r="O28">
        <f t="shared" ref="O28" si="117">1+2+$M$2*4+$M$2*3+$M$2*4+$M$2*1+$M$2*2+$M$2*1+$M$2*G6+$M$2*G4+$M$2*G6+$M$2*G4+$M$2*G4</f>
        <v>28.199999999999996</v>
      </c>
      <c r="P28">
        <f t="shared" ref="P28" si="118">1+2+$M$2*4+$M$2*3+$M$2*4+$M$2*1+$M$2*2+$M$2*1+$M$2*H6+$M$2*H4+$M$2*H6+$M$2*H4+$M$2*H4</f>
        <v>28.199999999999996</v>
      </c>
      <c r="Q28" t="s">
        <v>122</v>
      </c>
      <c r="S28" t="e">
        <f>1+2+$M$3*4+$M$3*3+$M$3*4+$M$3*1+$M$3*2+$M$3*1+$M$3*C6+$M$3*C4+$M$3*C6+$M$3*C4+$M$3*C4+3</f>
        <v>#VALUE!</v>
      </c>
      <c r="T28">
        <f>1+2+$M$3*4+$M$3*3+$M$3*4+$M$3*1+$M$3*2+$M$3*1+$M$3*D6+$M$3*D4+$M$3*D6+$M$3*D4+$M$3*D4+3</f>
        <v>19.745000000000001</v>
      </c>
      <c r="U28">
        <f>1+2+$M$3*4+$M$3*3+$M$3*4+$M$3*1+$M$3*2+$M$3*1+$M$3*E6+$M$3*E4+$M$3*E6+$M$3*E4+$M$3*E4+3</f>
        <v>25.3675</v>
      </c>
      <c r="V28">
        <f>1+2+$M$3*4+$M$3*3+$M$3*4+$M$3*1+$M$3*2+$M$3*1+$M$3*F6+$M$3*F4+$M$3*F6+$M$3*F4+$M$3*F4+3</f>
        <v>32.637500000000003</v>
      </c>
      <c r="W28">
        <f t="shared" ref="W28" si="119">1+2+$M$3*4+$M$3*3+$M$3*4+$M$3*1+$M$3*2+$M$3*1+$M$3*G6+$M$3*G4+$M$3*G6+$M$3*G4+$M$3*G4+3</f>
        <v>27</v>
      </c>
      <c r="X28">
        <f t="shared" ref="X28" si="120">1+2+$M$3*4+$M$3*3+$M$3*4+$M$3*1+$M$3*2+$M$3*1+$M$3*H6+$M$3*H4+$M$3*H6+$M$3*H4+$M$3*H4+3</f>
        <v>27</v>
      </c>
      <c r="Y28" t="s">
        <v>122</v>
      </c>
      <c r="AA28">
        <f>1+$M$2*1+$M$2*4+$M$2*3+$M$2*4+$M$2*1+$M$2*2+$M$2*1+$M$2*4+$M$2*4+$M$2*4+$M$2*4+$M$2*4</f>
        <v>11.799999999999997</v>
      </c>
      <c r="AB28">
        <f t="shared" ref="AB28:AG28" si="121">1+$M$2*1+$M$2*4+$M$2*3+$M$2*4+$M$2*1+$M$2*2+$M$2*1+$M$2*4+$M$2*4+$M$2*4+$M$2*4+$M$2*4</f>
        <v>11.799999999999997</v>
      </c>
      <c r="AC28">
        <f t="shared" si="121"/>
        <v>11.799999999999997</v>
      </c>
      <c r="AD28">
        <f t="shared" si="121"/>
        <v>11.799999999999997</v>
      </c>
      <c r="AE28">
        <f t="shared" si="121"/>
        <v>11.799999999999997</v>
      </c>
      <c r="AF28">
        <f t="shared" si="121"/>
        <v>11.799999999999997</v>
      </c>
      <c r="AG28">
        <f t="shared" si="121"/>
        <v>11.799999999999997</v>
      </c>
      <c r="AH28" t="s">
        <v>122</v>
      </c>
      <c r="AK28">
        <f>1+$M$2*1+$M$2*8+$M$2*3+$M$2*8+$M$2*1+$M$2*2+$M$2*1+$M$2*8+$M$2*8+$M$2*8+$M$2*8+$M$2*8</f>
        <v>20.2</v>
      </c>
      <c r="AL28">
        <f t="shared" ref="AL28:AQ28" si="122">1+$M$2*1+$M$2*8+$M$2*3+$M$2*8+$M$2*1+$M$2*2+$M$2*1+$M$2*8+$M$2*8+$M$2*8+$M$2*8+$M$2*8</f>
        <v>20.2</v>
      </c>
      <c r="AM28">
        <f t="shared" si="122"/>
        <v>20.2</v>
      </c>
      <c r="AN28">
        <f t="shared" si="122"/>
        <v>20.2</v>
      </c>
      <c r="AO28">
        <f t="shared" si="122"/>
        <v>20.2</v>
      </c>
      <c r="AP28">
        <f t="shared" si="122"/>
        <v>20.2</v>
      </c>
      <c r="AQ28">
        <f t="shared" si="122"/>
        <v>20.2</v>
      </c>
      <c r="AR28" t="s">
        <v>122</v>
      </c>
    </row>
    <row r="29" spans="1:44">
      <c r="B29" t="s">
        <v>120</v>
      </c>
      <c r="C29" t="e">
        <f>26+C4+C6+C4+C6+C4+C4+1</f>
        <v>#VALUE!</v>
      </c>
      <c r="D29">
        <f t="shared" ref="D29:H29" si="123">26+D4+D6+D4+D6+D4+D4+1</f>
        <v>74.040000000000006</v>
      </c>
      <c r="E29">
        <f t="shared" si="123"/>
        <v>102.53999999999999</v>
      </c>
      <c r="F29">
        <f t="shared" si="123"/>
        <v>139.64000000000001</v>
      </c>
      <c r="G29">
        <f t="shared" si="123"/>
        <v>111</v>
      </c>
      <c r="H29">
        <f t="shared" si="123"/>
        <v>111</v>
      </c>
      <c r="K29" t="e">
        <f>$M$2*26+$M$2*C4+$M$2*C6+$M$2*C4+$M$2*C6+$M$2*C4+$M$2*C4+1</f>
        <v>#VALUE!</v>
      </c>
      <c r="L29">
        <f t="shared" ref="L29:P29" si="124">$M$2*26+$M$2*D4+$M$2*D6+$M$2*D4+$M$2*D6+$M$2*D4+$M$2*D4+1</f>
        <v>22.911999999999995</v>
      </c>
      <c r="M29">
        <f t="shared" si="124"/>
        <v>31.462</v>
      </c>
      <c r="N29">
        <f t="shared" si="124"/>
        <v>42.591999999999999</v>
      </c>
      <c r="O29">
        <f t="shared" si="124"/>
        <v>34</v>
      </c>
      <c r="P29">
        <f t="shared" si="124"/>
        <v>34</v>
      </c>
      <c r="S29" t="e">
        <f>$M$3*26+$M$3*C4+$M$3*C6+$M$3*C4+$M$3*C6+$M$3*C4+$M$3*C4+2</f>
        <v>#VALUE!</v>
      </c>
      <c r="T29">
        <f t="shared" ref="T29:X29" si="125">$M$3*26+$M$3*D4+$M$3*D6+$M$3*D4+$M$3*D6+$M$3*D4+$M$3*D4+2</f>
        <v>20.260000000000002</v>
      </c>
      <c r="U29">
        <f t="shared" si="125"/>
        <v>27.384999999999998</v>
      </c>
      <c r="V29">
        <f t="shared" si="125"/>
        <v>36.660000000000004</v>
      </c>
      <c r="W29">
        <f t="shared" si="125"/>
        <v>29.5</v>
      </c>
      <c r="X29">
        <f t="shared" si="125"/>
        <v>29.5</v>
      </c>
      <c r="AA29">
        <f>$M$2*4+$M$2*4+$M$2*3+$M$2*4+$M$2*1+$M$2*2+$M$2*1+$M$2*4+$M$2*4+$M$2*4+$M$2*4+$M$2*4+$M$2*4+1</f>
        <v>13.899999999999997</v>
      </c>
      <c r="AB29">
        <f t="shared" ref="AB29:AG29" si="126">$M$2*4+$M$2*4+$M$2*3+$M$2*4+$M$2*1+$M$2*2+$M$2*1+$M$2*4+$M$2*4+$M$2*4+$M$2*4+$M$2*4+$M$2*4+1</f>
        <v>13.899999999999997</v>
      </c>
      <c r="AC29">
        <f t="shared" si="126"/>
        <v>13.899999999999997</v>
      </c>
      <c r="AD29">
        <f t="shared" si="126"/>
        <v>13.899999999999997</v>
      </c>
      <c r="AE29">
        <f t="shared" si="126"/>
        <v>13.899999999999997</v>
      </c>
      <c r="AF29">
        <f t="shared" si="126"/>
        <v>13.899999999999997</v>
      </c>
      <c r="AG29">
        <f t="shared" si="126"/>
        <v>13.899999999999997</v>
      </c>
      <c r="AK29">
        <f>$M$2*8+$M$2*8+$M$2*3+$M$2*8+$M$2*1+$M$2*2+$M$2*1+$M$2*8+$M$2*8+$M$2*8+$M$2*8+$M$2*8+$M$2*8+1</f>
        <v>24.699999999999996</v>
      </c>
      <c r="AL29">
        <f t="shared" ref="AL29:AQ29" si="127">$M$2*8+$M$2*8+$M$2*3+$M$2*8+$M$2*1+$M$2*2+$M$2*1+$M$2*8+$M$2*8+$M$2*8+$M$2*8+$M$2*8+$M$2*8+1</f>
        <v>24.699999999999996</v>
      </c>
      <c r="AM29">
        <f t="shared" si="127"/>
        <v>24.699999999999996</v>
      </c>
      <c r="AN29">
        <f t="shared" si="127"/>
        <v>24.699999999999996</v>
      </c>
      <c r="AO29">
        <f t="shared" si="127"/>
        <v>24.699999999999996</v>
      </c>
      <c r="AP29">
        <f t="shared" si="127"/>
        <v>24.699999999999996</v>
      </c>
      <c r="AQ29">
        <f t="shared" si="127"/>
        <v>24.699999999999996</v>
      </c>
    </row>
    <row r="55" spans="27:34">
      <c r="AA55" s="5" t="s">
        <v>255</v>
      </c>
    </row>
    <row r="58" spans="27:34">
      <c r="AB58" t="s">
        <v>62</v>
      </c>
      <c r="AC58" t="s">
        <v>101</v>
      </c>
      <c r="AD58" t="s">
        <v>63</v>
      </c>
      <c r="AE58" t="s">
        <v>124</v>
      </c>
      <c r="AF58" t="s">
        <v>125</v>
      </c>
      <c r="AG58" t="s">
        <v>129</v>
      </c>
    </row>
    <row r="59" spans="27:34">
      <c r="AA59" t="e">
        <v>#VALUE!</v>
      </c>
      <c r="AB59">
        <v>7</v>
      </c>
      <c r="AC59">
        <v>9.86</v>
      </c>
      <c r="AD59">
        <v>13.39</v>
      </c>
      <c r="AE59">
        <v>11</v>
      </c>
      <c r="AF59">
        <v>17</v>
      </c>
      <c r="AG59">
        <v>11</v>
      </c>
      <c r="AH59" t="s">
        <v>121</v>
      </c>
    </row>
    <row r="60" spans="27:34">
      <c r="AA60">
        <v>4.5999999999999996</v>
      </c>
      <c r="AB60">
        <v>4.5999999999999996</v>
      </c>
      <c r="AC60">
        <v>4.5999999999999996</v>
      </c>
      <c r="AD60">
        <v>4.5999999999999996</v>
      </c>
      <c r="AE60">
        <v>4.5999999999999996</v>
      </c>
      <c r="AF60">
        <v>4.5999999999999996</v>
      </c>
      <c r="AG60">
        <v>4.5999999999999996</v>
      </c>
    </row>
    <row r="61" spans="27:34">
      <c r="AA61" t="e">
        <v>#VALUE!</v>
      </c>
      <c r="AB61">
        <v>9.1999999999999993</v>
      </c>
      <c r="AC61">
        <v>12.36</v>
      </c>
      <c r="AD61">
        <v>16.59</v>
      </c>
      <c r="AE61">
        <v>14</v>
      </c>
      <c r="AF61">
        <v>21</v>
      </c>
      <c r="AG61">
        <v>13.5</v>
      </c>
      <c r="AH61" t="s">
        <v>121</v>
      </c>
    </row>
    <row r="62" spans="27:34">
      <c r="AA62">
        <v>7</v>
      </c>
      <c r="AB62">
        <v>7</v>
      </c>
      <c r="AC62">
        <v>7</v>
      </c>
      <c r="AD62">
        <v>7</v>
      </c>
      <c r="AE62">
        <v>7</v>
      </c>
      <c r="AF62">
        <v>7</v>
      </c>
      <c r="AG62">
        <v>7</v>
      </c>
    </row>
    <row r="63" spans="27:34">
      <c r="AA63" t="e">
        <v>#VALUE!</v>
      </c>
      <c r="AB63">
        <v>7</v>
      </c>
      <c r="AC63">
        <v>9.86</v>
      </c>
      <c r="AD63">
        <v>13.39</v>
      </c>
      <c r="AE63">
        <v>11</v>
      </c>
      <c r="AF63">
        <v>17</v>
      </c>
      <c r="AG63">
        <v>11</v>
      </c>
      <c r="AH63" t="s">
        <v>121</v>
      </c>
    </row>
    <row r="64" spans="27:34">
      <c r="AA64">
        <v>5.5</v>
      </c>
      <c r="AB64">
        <v>5.5</v>
      </c>
      <c r="AC64">
        <v>5.5</v>
      </c>
      <c r="AD64">
        <v>5.5</v>
      </c>
      <c r="AE64">
        <v>5.5</v>
      </c>
      <c r="AF64">
        <v>5.5</v>
      </c>
      <c r="AG64">
        <v>5.5</v>
      </c>
    </row>
    <row r="65" spans="27:34">
      <c r="AA65" t="e">
        <v>#VALUE!</v>
      </c>
      <c r="AB65">
        <v>7</v>
      </c>
      <c r="AC65">
        <v>9.86</v>
      </c>
      <c r="AD65">
        <v>13.39</v>
      </c>
      <c r="AE65">
        <v>11</v>
      </c>
      <c r="AF65">
        <v>17</v>
      </c>
      <c r="AG65">
        <v>11</v>
      </c>
      <c r="AH65" t="s">
        <v>121</v>
      </c>
    </row>
    <row r="66" spans="27:34">
      <c r="AA66">
        <v>5.8</v>
      </c>
      <c r="AB66">
        <v>5.8</v>
      </c>
      <c r="AC66">
        <v>5.8</v>
      </c>
      <c r="AD66">
        <v>5.8</v>
      </c>
      <c r="AE66">
        <v>5.8</v>
      </c>
      <c r="AF66">
        <v>5.8</v>
      </c>
      <c r="AG66">
        <v>5.8</v>
      </c>
    </row>
    <row r="67" spans="27:34">
      <c r="AA67" t="e">
        <v>#VALUE!</v>
      </c>
      <c r="AB67">
        <v>7</v>
      </c>
      <c r="AC67">
        <v>9.86</v>
      </c>
      <c r="AD67">
        <v>13.39</v>
      </c>
      <c r="AE67">
        <v>11</v>
      </c>
      <c r="AF67">
        <v>17</v>
      </c>
      <c r="AG67">
        <v>11</v>
      </c>
      <c r="AH67" t="s">
        <v>123</v>
      </c>
    </row>
    <row r="68" spans="27:34">
      <c r="AA68">
        <v>8.5</v>
      </c>
      <c r="AB68">
        <v>8.5</v>
      </c>
      <c r="AC68">
        <v>8.5</v>
      </c>
      <c r="AD68">
        <v>8.5</v>
      </c>
      <c r="AE68">
        <v>8.5</v>
      </c>
      <c r="AF68">
        <v>8.5</v>
      </c>
      <c r="AG68">
        <v>8.5</v>
      </c>
    </row>
    <row r="69" spans="27:34">
      <c r="AA69" t="e">
        <v>#VALUE!</v>
      </c>
      <c r="AB69">
        <v>6</v>
      </c>
      <c r="AC69">
        <v>8.86</v>
      </c>
      <c r="AD69">
        <v>12.39</v>
      </c>
      <c r="AE69">
        <v>10</v>
      </c>
      <c r="AF69">
        <v>16</v>
      </c>
      <c r="AG69">
        <v>10</v>
      </c>
      <c r="AH69" t="s">
        <v>121</v>
      </c>
    </row>
    <row r="70" spans="27:34">
      <c r="AA70">
        <v>4.5999999999999996</v>
      </c>
      <c r="AB70">
        <v>4.5999999999999996</v>
      </c>
      <c r="AC70">
        <v>4.5999999999999996</v>
      </c>
      <c r="AD70">
        <v>4.5999999999999996</v>
      </c>
      <c r="AE70">
        <v>4.5999999999999996</v>
      </c>
      <c r="AF70">
        <v>4.5999999999999996</v>
      </c>
      <c r="AG70">
        <v>4.5999999999999996</v>
      </c>
    </row>
    <row r="71" spans="27:34">
      <c r="AA71" t="e">
        <v>#VALUE!</v>
      </c>
      <c r="AB71">
        <v>11.2</v>
      </c>
      <c r="AC71">
        <v>14.36</v>
      </c>
      <c r="AD71">
        <v>18.59</v>
      </c>
      <c r="AE71">
        <v>16</v>
      </c>
      <c r="AF71">
        <v>23</v>
      </c>
      <c r="AG71">
        <v>15.5</v>
      </c>
      <c r="AH71" t="s">
        <v>121</v>
      </c>
    </row>
    <row r="72" spans="27:34">
      <c r="AA72">
        <v>7</v>
      </c>
      <c r="AB72">
        <v>7</v>
      </c>
      <c r="AC72">
        <v>7</v>
      </c>
      <c r="AD72">
        <v>7</v>
      </c>
      <c r="AE72">
        <v>7</v>
      </c>
      <c r="AF72">
        <v>7</v>
      </c>
      <c r="AG72">
        <v>7</v>
      </c>
    </row>
    <row r="73" spans="27:34">
      <c r="AA73" t="e">
        <v>#VALUE!</v>
      </c>
      <c r="AB73">
        <v>18.399999999999999</v>
      </c>
      <c r="AC73">
        <v>24.72</v>
      </c>
      <c r="AD73">
        <v>33.18</v>
      </c>
      <c r="AE73">
        <v>28</v>
      </c>
      <c r="AF73">
        <v>42</v>
      </c>
      <c r="AG73">
        <v>27</v>
      </c>
      <c r="AH73" t="s">
        <v>121</v>
      </c>
    </row>
    <row r="74" spans="27:34">
      <c r="AA74">
        <v>11.5</v>
      </c>
      <c r="AB74">
        <v>11.5</v>
      </c>
      <c r="AC74">
        <v>11.5</v>
      </c>
      <c r="AD74">
        <v>11.5</v>
      </c>
      <c r="AE74">
        <v>11.5</v>
      </c>
      <c r="AF74">
        <v>11.5</v>
      </c>
      <c r="AG74">
        <v>11.5</v>
      </c>
    </row>
    <row r="75" spans="27:34">
      <c r="AA75" t="e">
        <v>#VALUE!</v>
      </c>
      <c r="AB75">
        <v>31.999999999999996</v>
      </c>
      <c r="AC75">
        <v>38.320000000000007</v>
      </c>
      <c r="AD75">
        <v>46.780000000000008</v>
      </c>
      <c r="AE75">
        <v>41.600000000000009</v>
      </c>
      <c r="AF75">
        <v>55.600000000000009</v>
      </c>
      <c r="AG75">
        <v>40.600000000000009</v>
      </c>
      <c r="AH75" t="s">
        <v>121</v>
      </c>
    </row>
    <row r="76" spans="27:34">
      <c r="AA76">
        <v>13.899999999999997</v>
      </c>
      <c r="AB76">
        <v>13.899999999999997</v>
      </c>
      <c r="AC76">
        <v>13.899999999999997</v>
      </c>
      <c r="AD76">
        <v>13.899999999999997</v>
      </c>
      <c r="AE76">
        <v>13.899999999999997</v>
      </c>
      <c r="AF76">
        <v>13.899999999999997</v>
      </c>
      <c r="AG76">
        <v>13.899999999999997</v>
      </c>
    </row>
    <row r="78" spans="27:34">
      <c r="AA78" s="5" t="s">
        <v>256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1"/>
  <sheetViews>
    <sheetView workbookViewId="0">
      <selection activeCell="F9" sqref="F9"/>
    </sheetView>
  </sheetViews>
  <sheetFormatPr baseColWidth="10" defaultRowHeight="15" x14ac:dyDescent="0"/>
  <sheetData>
    <row r="1" spans="1:19">
      <c r="A1" t="s">
        <v>62</v>
      </c>
      <c r="B1">
        <v>7</v>
      </c>
      <c r="C1">
        <v>8.5359999999999996</v>
      </c>
      <c r="D1">
        <v>9.1999999999999993</v>
      </c>
      <c r="E1">
        <v>12.556000000000001</v>
      </c>
      <c r="F1">
        <v>7</v>
      </c>
      <c r="G1">
        <v>9.4359999999999999</v>
      </c>
      <c r="H1">
        <v>7</v>
      </c>
      <c r="I1">
        <v>10.438000000000001</v>
      </c>
      <c r="J1">
        <v>7</v>
      </c>
      <c r="K1">
        <v>13.138</v>
      </c>
      <c r="L1">
        <v>6</v>
      </c>
      <c r="M1">
        <v>4.6180000000000003</v>
      </c>
      <c r="N1">
        <v>11.2</v>
      </c>
      <c r="O1">
        <v>12.556000000000001</v>
      </c>
      <c r="P1">
        <v>16.175999999999998</v>
      </c>
      <c r="Q1">
        <v>19.594000000000001</v>
      </c>
      <c r="R1">
        <v>19.493999999999996</v>
      </c>
      <c r="S1">
        <v>22.911999999999995</v>
      </c>
    </row>
    <row r="2" spans="1:19">
      <c r="A2" t="s">
        <v>101</v>
      </c>
      <c r="B2">
        <v>9.86</v>
      </c>
      <c r="C2">
        <v>12.141999999999999</v>
      </c>
      <c r="D2">
        <v>12.36</v>
      </c>
      <c r="E2">
        <v>16.831</v>
      </c>
      <c r="F2">
        <v>9.86</v>
      </c>
      <c r="G2">
        <v>13.042</v>
      </c>
      <c r="H2">
        <v>9.86</v>
      </c>
      <c r="I2">
        <v>12.91</v>
      </c>
      <c r="J2">
        <v>9.86</v>
      </c>
      <c r="K2">
        <v>15.61</v>
      </c>
      <c r="L2">
        <v>8.86</v>
      </c>
      <c r="M2">
        <v>8.3409999999999993</v>
      </c>
      <c r="N2">
        <v>14.36</v>
      </c>
      <c r="O2">
        <v>16.831</v>
      </c>
      <c r="P2">
        <v>21.12</v>
      </c>
      <c r="Q2">
        <v>26.340999999999998</v>
      </c>
      <c r="R2">
        <v>26.240999999999996</v>
      </c>
      <c r="S2">
        <v>31.462</v>
      </c>
    </row>
    <row r="3" spans="1:19">
      <c r="A3" t="s">
        <v>63</v>
      </c>
      <c r="B3">
        <v>13.39</v>
      </c>
      <c r="C3">
        <v>16.954000000000001</v>
      </c>
      <c r="D3">
        <v>16.59</v>
      </c>
      <c r="E3">
        <v>22.396000000000001</v>
      </c>
      <c r="F3">
        <v>13.39</v>
      </c>
      <c r="G3">
        <v>17.853999999999999</v>
      </c>
      <c r="H3">
        <v>13.39</v>
      </c>
      <c r="I3">
        <v>16.069000000000003</v>
      </c>
      <c r="J3">
        <v>13.39</v>
      </c>
      <c r="K3">
        <v>18.768999999999998</v>
      </c>
      <c r="L3">
        <v>12.39</v>
      </c>
      <c r="M3">
        <v>14.536000000000001</v>
      </c>
      <c r="N3">
        <v>18.59</v>
      </c>
      <c r="O3">
        <v>22.396000000000001</v>
      </c>
      <c r="P3">
        <v>27.437999999999999</v>
      </c>
      <c r="Q3">
        <v>35.064999999999998</v>
      </c>
      <c r="R3">
        <v>34.964999999999996</v>
      </c>
      <c r="S3">
        <v>42.591999999999999</v>
      </c>
    </row>
    <row r="4" spans="1:19">
      <c r="A4" t="s">
        <v>124</v>
      </c>
      <c r="B4">
        <v>11</v>
      </c>
      <c r="C4">
        <v>13.3</v>
      </c>
      <c r="D4">
        <v>14</v>
      </c>
      <c r="E4">
        <v>18.100000000000001</v>
      </c>
      <c r="F4">
        <v>11</v>
      </c>
      <c r="G4">
        <v>14.2</v>
      </c>
      <c r="H4">
        <v>11</v>
      </c>
      <c r="I4">
        <v>13.6</v>
      </c>
      <c r="J4">
        <v>11</v>
      </c>
      <c r="K4">
        <v>16.299999999999997</v>
      </c>
      <c r="L4">
        <v>10</v>
      </c>
      <c r="M4">
        <v>10</v>
      </c>
      <c r="N4">
        <v>16</v>
      </c>
      <c r="O4">
        <v>18.100000000000001</v>
      </c>
      <c r="P4">
        <v>22.5</v>
      </c>
      <c r="Q4">
        <v>28.299999999999997</v>
      </c>
      <c r="R4">
        <v>28.199999999999996</v>
      </c>
      <c r="S4">
        <v>34</v>
      </c>
    </row>
    <row r="5" spans="1:19">
      <c r="A5" t="s">
        <v>125</v>
      </c>
      <c r="B5">
        <v>17</v>
      </c>
      <c r="C5">
        <v>13.3</v>
      </c>
      <c r="D5">
        <v>21</v>
      </c>
      <c r="E5">
        <v>18.100000000000001</v>
      </c>
      <c r="F5">
        <v>17</v>
      </c>
      <c r="G5">
        <v>14.2</v>
      </c>
      <c r="H5">
        <v>17</v>
      </c>
      <c r="I5">
        <v>13.6</v>
      </c>
      <c r="J5">
        <v>17</v>
      </c>
      <c r="K5">
        <v>16.299999999999997</v>
      </c>
      <c r="L5">
        <v>16</v>
      </c>
      <c r="M5">
        <v>10</v>
      </c>
      <c r="N5">
        <v>23</v>
      </c>
      <c r="O5">
        <v>18.100000000000001</v>
      </c>
      <c r="P5">
        <v>22.5</v>
      </c>
      <c r="Q5">
        <v>28.299999999999997</v>
      </c>
      <c r="R5">
        <v>28.199999999999996</v>
      </c>
      <c r="S5">
        <v>34</v>
      </c>
    </row>
    <row r="6" spans="1:19">
      <c r="A6" t="s">
        <v>62</v>
      </c>
      <c r="B6">
        <v>12</v>
      </c>
      <c r="C6">
        <v>8.2799999999999994</v>
      </c>
      <c r="D6">
        <v>15.2</v>
      </c>
      <c r="E6">
        <v>11.63</v>
      </c>
      <c r="F6">
        <v>12</v>
      </c>
      <c r="G6">
        <v>9.0299999999999994</v>
      </c>
      <c r="H6">
        <v>12</v>
      </c>
      <c r="I6">
        <v>9.8649999999999984</v>
      </c>
      <c r="J6">
        <v>12</v>
      </c>
      <c r="K6">
        <v>12.115</v>
      </c>
      <c r="L6">
        <v>10</v>
      </c>
      <c r="M6">
        <v>5.0149999999999997</v>
      </c>
      <c r="N6">
        <v>11.2</v>
      </c>
      <c r="O6">
        <v>11.63</v>
      </c>
      <c r="P6">
        <v>16.979999999999997</v>
      </c>
      <c r="Q6">
        <v>17.494999999999997</v>
      </c>
      <c r="R6">
        <v>19.745000000000001</v>
      </c>
      <c r="S6">
        <v>20.260000000000002</v>
      </c>
    </row>
    <row r="7" spans="1:19">
      <c r="A7" t="s">
        <v>101</v>
      </c>
      <c r="B7">
        <v>14.86</v>
      </c>
      <c r="C7">
        <v>11.285</v>
      </c>
      <c r="D7">
        <v>18.36</v>
      </c>
      <c r="E7">
        <v>15.192500000000001</v>
      </c>
      <c r="F7">
        <v>14.86</v>
      </c>
      <c r="G7">
        <v>12.035</v>
      </c>
      <c r="H7">
        <v>14.86</v>
      </c>
      <c r="I7">
        <v>11.925000000000001</v>
      </c>
      <c r="J7">
        <v>14.86</v>
      </c>
      <c r="K7">
        <v>14.175000000000001</v>
      </c>
      <c r="L7">
        <v>12.86</v>
      </c>
      <c r="M7">
        <v>8.1174999999999997</v>
      </c>
      <c r="N7">
        <v>14.36</v>
      </c>
      <c r="O7">
        <v>15.192500000000001</v>
      </c>
      <c r="P7">
        <v>21.1</v>
      </c>
      <c r="Q7">
        <v>23.1175</v>
      </c>
      <c r="R7">
        <v>25.3675</v>
      </c>
      <c r="S7">
        <v>27.384999999999998</v>
      </c>
    </row>
    <row r="8" spans="1:19">
      <c r="A8" t="s">
        <v>63</v>
      </c>
      <c r="B8">
        <v>18.39</v>
      </c>
      <c r="C8">
        <v>15.295000000000002</v>
      </c>
      <c r="D8">
        <v>22.59</v>
      </c>
      <c r="E8">
        <v>19.830000000000002</v>
      </c>
      <c r="F8">
        <v>18.39</v>
      </c>
      <c r="G8">
        <v>16.045000000000002</v>
      </c>
      <c r="H8">
        <v>18.39</v>
      </c>
      <c r="I8">
        <v>14.557500000000001</v>
      </c>
      <c r="J8">
        <v>18.39</v>
      </c>
      <c r="K8">
        <v>16.807500000000001</v>
      </c>
      <c r="L8">
        <v>16.39</v>
      </c>
      <c r="M8">
        <v>13.280000000000001</v>
      </c>
      <c r="N8">
        <v>18.59</v>
      </c>
      <c r="O8">
        <v>19.830000000000002</v>
      </c>
      <c r="P8">
        <v>26.365000000000002</v>
      </c>
      <c r="Q8">
        <v>30.387500000000003</v>
      </c>
      <c r="R8">
        <v>32.637500000000003</v>
      </c>
      <c r="S8">
        <v>36.660000000000004</v>
      </c>
    </row>
    <row r="9" spans="1:19">
      <c r="A9" t="s">
        <v>124</v>
      </c>
      <c r="B9">
        <v>16</v>
      </c>
      <c r="C9">
        <v>12.25</v>
      </c>
      <c r="D9">
        <v>20</v>
      </c>
      <c r="E9">
        <v>16.25</v>
      </c>
      <c r="F9">
        <v>16</v>
      </c>
      <c r="G9">
        <v>13</v>
      </c>
      <c r="H9">
        <v>16</v>
      </c>
      <c r="I9">
        <v>12.5</v>
      </c>
      <c r="J9">
        <v>16</v>
      </c>
      <c r="K9">
        <v>14.75</v>
      </c>
      <c r="L9">
        <v>14</v>
      </c>
      <c r="M9">
        <v>9.5</v>
      </c>
      <c r="N9">
        <v>16</v>
      </c>
      <c r="O9">
        <v>16.25</v>
      </c>
      <c r="P9">
        <v>22.25</v>
      </c>
      <c r="Q9">
        <v>24.75</v>
      </c>
      <c r="R9">
        <v>27</v>
      </c>
      <c r="S9">
        <v>29.5</v>
      </c>
    </row>
    <row r="10" spans="1:19">
      <c r="A10" t="s">
        <v>125</v>
      </c>
      <c r="B10">
        <v>22</v>
      </c>
      <c r="C10">
        <v>12.25</v>
      </c>
      <c r="D10">
        <v>27</v>
      </c>
      <c r="E10">
        <v>16.25</v>
      </c>
      <c r="F10">
        <v>22</v>
      </c>
      <c r="G10">
        <v>13</v>
      </c>
      <c r="H10">
        <v>22</v>
      </c>
      <c r="I10">
        <v>12.5</v>
      </c>
      <c r="J10">
        <v>22</v>
      </c>
      <c r="K10">
        <v>14.75</v>
      </c>
      <c r="L10">
        <v>20</v>
      </c>
      <c r="M10">
        <v>9.5</v>
      </c>
      <c r="N10">
        <v>23</v>
      </c>
      <c r="O10">
        <v>16.25</v>
      </c>
      <c r="P10">
        <v>22.25</v>
      </c>
      <c r="Q10">
        <v>24.75</v>
      </c>
      <c r="R10">
        <v>27</v>
      </c>
      <c r="S10">
        <v>29.5</v>
      </c>
    </row>
    <row r="11" spans="1:19">
      <c r="A11" t="s">
        <v>62</v>
      </c>
      <c r="B11">
        <v>7</v>
      </c>
      <c r="C11">
        <v>4.5999999999999996</v>
      </c>
      <c r="D11">
        <v>9.1999999999999993</v>
      </c>
      <c r="E11">
        <v>7</v>
      </c>
      <c r="F11">
        <v>7</v>
      </c>
      <c r="G11">
        <v>5.5</v>
      </c>
      <c r="H11">
        <v>7</v>
      </c>
      <c r="I11">
        <v>5.8</v>
      </c>
      <c r="J11">
        <v>7</v>
      </c>
      <c r="K11">
        <v>8.5</v>
      </c>
      <c r="L11">
        <v>6</v>
      </c>
      <c r="M11">
        <v>4.5999999999999996</v>
      </c>
      <c r="N11">
        <v>11.2</v>
      </c>
      <c r="O11">
        <v>7</v>
      </c>
      <c r="P11">
        <v>9.7000000000000011</v>
      </c>
      <c r="Q11">
        <v>11.5</v>
      </c>
      <c r="R11">
        <v>11.799999999999997</v>
      </c>
      <c r="S11">
        <v>13.899999999999997</v>
      </c>
    </row>
    <row r="12" spans="1:19">
      <c r="A12" t="s">
        <v>101</v>
      </c>
      <c r="B12">
        <v>9.86</v>
      </c>
      <c r="C12">
        <v>4.5999999999999996</v>
      </c>
      <c r="D12">
        <v>12.36</v>
      </c>
      <c r="E12">
        <v>7</v>
      </c>
      <c r="F12">
        <v>9.86</v>
      </c>
      <c r="G12">
        <v>5.5</v>
      </c>
      <c r="H12">
        <v>9.86</v>
      </c>
      <c r="I12">
        <v>5.8</v>
      </c>
      <c r="J12">
        <v>9.86</v>
      </c>
      <c r="K12">
        <v>8.5</v>
      </c>
      <c r="L12">
        <v>8.86</v>
      </c>
      <c r="M12">
        <v>4.5999999999999996</v>
      </c>
      <c r="N12">
        <v>14.36</v>
      </c>
      <c r="O12">
        <v>7</v>
      </c>
      <c r="P12">
        <v>9.7000000000000011</v>
      </c>
      <c r="Q12">
        <v>11.5</v>
      </c>
      <c r="R12">
        <v>11.799999999999997</v>
      </c>
      <c r="S12">
        <v>13.899999999999997</v>
      </c>
    </row>
    <row r="13" spans="1:19">
      <c r="A13" t="s">
        <v>63</v>
      </c>
      <c r="B13">
        <v>13.39</v>
      </c>
      <c r="C13">
        <v>4.5999999999999996</v>
      </c>
      <c r="D13">
        <v>16.59</v>
      </c>
      <c r="E13">
        <v>7</v>
      </c>
      <c r="F13">
        <v>13.39</v>
      </c>
      <c r="G13">
        <v>5.5</v>
      </c>
      <c r="H13">
        <v>13.39</v>
      </c>
      <c r="I13">
        <v>5.8</v>
      </c>
      <c r="J13">
        <v>13.39</v>
      </c>
      <c r="K13">
        <v>8.5</v>
      </c>
      <c r="L13">
        <v>12.39</v>
      </c>
      <c r="M13">
        <v>4.5999999999999996</v>
      </c>
      <c r="N13">
        <v>18.59</v>
      </c>
      <c r="O13">
        <v>7</v>
      </c>
      <c r="P13">
        <v>9.7000000000000011</v>
      </c>
      <c r="Q13">
        <v>11.5</v>
      </c>
      <c r="R13">
        <v>11.799999999999997</v>
      </c>
      <c r="S13">
        <v>13.899999999999997</v>
      </c>
    </row>
    <row r="14" spans="1:19">
      <c r="A14" t="s">
        <v>124</v>
      </c>
      <c r="B14">
        <v>11</v>
      </c>
      <c r="C14">
        <v>4.5999999999999996</v>
      </c>
      <c r="D14">
        <v>14</v>
      </c>
      <c r="E14">
        <v>7</v>
      </c>
      <c r="F14">
        <v>11</v>
      </c>
      <c r="G14">
        <v>5.5</v>
      </c>
      <c r="H14">
        <v>11</v>
      </c>
      <c r="I14">
        <v>5.8</v>
      </c>
      <c r="J14">
        <v>11</v>
      </c>
      <c r="K14">
        <v>8.5</v>
      </c>
      <c r="L14">
        <v>10</v>
      </c>
      <c r="M14">
        <v>4.5999999999999996</v>
      </c>
      <c r="N14">
        <v>16</v>
      </c>
      <c r="O14">
        <v>7</v>
      </c>
      <c r="P14">
        <v>9.7000000000000011</v>
      </c>
      <c r="Q14">
        <v>11.5</v>
      </c>
      <c r="R14">
        <v>11.799999999999997</v>
      </c>
      <c r="S14">
        <v>13.899999999999997</v>
      </c>
    </row>
    <row r="15" spans="1:19">
      <c r="A15" t="s">
        <v>125</v>
      </c>
      <c r="B15">
        <v>17</v>
      </c>
      <c r="C15">
        <v>4.5999999999999996</v>
      </c>
      <c r="D15">
        <v>21</v>
      </c>
      <c r="E15">
        <v>7</v>
      </c>
      <c r="F15">
        <v>17</v>
      </c>
      <c r="G15">
        <v>5.5</v>
      </c>
      <c r="H15">
        <v>17</v>
      </c>
      <c r="I15">
        <v>5.8</v>
      </c>
      <c r="J15">
        <v>17</v>
      </c>
      <c r="K15">
        <v>8.5</v>
      </c>
      <c r="L15">
        <v>16</v>
      </c>
      <c r="M15">
        <v>4.5999999999999996</v>
      </c>
      <c r="N15">
        <v>23</v>
      </c>
      <c r="O15">
        <v>7</v>
      </c>
      <c r="P15">
        <v>9.7000000000000011</v>
      </c>
      <c r="Q15">
        <v>11.5</v>
      </c>
      <c r="R15">
        <v>11.799999999999997</v>
      </c>
      <c r="S15">
        <v>13.899999999999997</v>
      </c>
    </row>
    <row r="16" spans="1:19">
      <c r="A16" t="s">
        <v>129</v>
      </c>
      <c r="B16">
        <v>11</v>
      </c>
      <c r="C16">
        <v>4.5999999999999996</v>
      </c>
      <c r="D16">
        <v>13.5</v>
      </c>
      <c r="E16">
        <v>7</v>
      </c>
      <c r="F16">
        <v>11</v>
      </c>
      <c r="G16">
        <v>5.5</v>
      </c>
      <c r="H16">
        <v>11</v>
      </c>
      <c r="I16">
        <v>5.8</v>
      </c>
      <c r="J16">
        <v>11</v>
      </c>
      <c r="K16">
        <v>8.5</v>
      </c>
      <c r="L16">
        <v>10</v>
      </c>
      <c r="M16">
        <v>4.5999999999999996</v>
      </c>
      <c r="N16">
        <v>15.5</v>
      </c>
      <c r="O16">
        <v>7</v>
      </c>
      <c r="P16">
        <v>9.7000000000000011</v>
      </c>
      <c r="Q16">
        <v>11.5</v>
      </c>
      <c r="R16">
        <v>11.799999999999997</v>
      </c>
      <c r="S16">
        <v>13.899999999999997</v>
      </c>
    </row>
    <row r="17" spans="1:19">
      <c r="A17" t="s">
        <v>62</v>
      </c>
      <c r="B17">
        <v>7</v>
      </c>
      <c r="C17">
        <v>8.1999999999999993</v>
      </c>
      <c r="D17">
        <v>9.1999999999999993</v>
      </c>
      <c r="E17">
        <v>13</v>
      </c>
      <c r="F17">
        <v>7</v>
      </c>
      <c r="G17">
        <v>9.1</v>
      </c>
      <c r="H17">
        <v>7</v>
      </c>
      <c r="I17">
        <v>10.6</v>
      </c>
      <c r="J17">
        <v>7</v>
      </c>
      <c r="K17">
        <v>13</v>
      </c>
      <c r="L17">
        <v>6</v>
      </c>
      <c r="M17">
        <v>8.1999999999999993</v>
      </c>
      <c r="N17">
        <v>11.2</v>
      </c>
      <c r="O17">
        <v>13</v>
      </c>
      <c r="P17">
        <v>14.5</v>
      </c>
      <c r="Q17">
        <v>21.1</v>
      </c>
      <c r="R17">
        <v>20.2</v>
      </c>
      <c r="S17">
        <v>24.699999999999996</v>
      </c>
    </row>
    <row r="18" spans="1:19">
      <c r="A18" t="s">
        <v>101</v>
      </c>
      <c r="B18">
        <v>9.86</v>
      </c>
      <c r="C18">
        <v>8.1999999999999993</v>
      </c>
      <c r="D18">
        <v>12.36</v>
      </c>
      <c r="E18">
        <v>13</v>
      </c>
      <c r="F18">
        <v>9.86</v>
      </c>
      <c r="G18">
        <v>9.1</v>
      </c>
      <c r="H18">
        <v>9.86</v>
      </c>
      <c r="I18">
        <v>10.6</v>
      </c>
      <c r="J18">
        <v>9.86</v>
      </c>
      <c r="K18">
        <v>13</v>
      </c>
      <c r="L18">
        <v>8.86</v>
      </c>
      <c r="M18">
        <v>8.1999999999999993</v>
      </c>
      <c r="N18">
        <v>14.36</v>
      </c>
      <c r="O18">
        <v>13</v>
      </c>
      <c r="P18">
        <v>14.5</v>
      </c>
      <c r="Q18">
        <v>21.1</v>
      </c>
      <c r="R18">
        <v>20.2</v>
      </c>
      <c r="S18">
        <v>24.699999999999996</v>
      </c>
    </row>
    <row r="19" spans="1:19">
      <c r="A19" t="s">
        <v>63</v>
      </c>
      <c r="B19">
        <v>13.39</v>
      </c>
      <c r="C19">
        <v>8.1999999999999993</v>
      </c>
      <c r="D19">
        <v>16.59</v>
      </c>
      <c r="E19">
        <v>13</v>
      </c>
      <c r="F19">
        <v>13.39</v>
      </c>
      <c r="G19">
        <v>9.1</v>
      </c>
      <c r="H19">
        <v>13.39</v>
      </c>
      <c r="I19">
        <v>10.6</v>
      </c>
      <c r="J19">
        <v>13.39</v>
      </c>
      <c r="K19">
        <v>13</v>
      </c>
      <c r="L19">
        <v>12.39</v>
      </c>
      <c r="M19">
        <v>8.1999999999999993</v>
      </c>
      <c r="N19">
        <v>18.59</v>
      </c>
      <c r="O19">
        <v>13</v>
      </c>
      <c r="P19">
        <v>14.5</v>
      </c>
      <c r="Q19">
        <v>21.1</v>
      </c>
      <c r="R19">
        <v>20.2</v>
      </c>
      <c r="S19">
        <v>24.699999999999996</v>
      </c>
    </row>
    <row r="20" spans="1:19">
      <c r="A20" t="s">
        <v>124</v>
      </c>
      <c r="B20">
        <v>11</v>
      </c>
      <c r="C20">
        <v>8.1999999999999993</v>
      </c>
      <c r="D20">
        <v>14</v>
      </c>
      <c r="E20">
        <v>13</v>
      </c>
      <c r="F20">
        <v>11</v>
      </c>
      <c r="G20">
        <v>9.1</v>
      </c>
      <c r="H20">
        <v>11</v>
      </c>
      <c r="I20">
        <v>10.6</v>
      </c>
      <c r="J20">
        <v>11</v>
      </c>
      <c r="K20">
        <v>13</v>
      </c>
      <c r="L20">
        <v>10</v>
      </c>
      <c r="M20">
        <v>8.1999999999999993</v>
      </c>
      <c r="N20">
        <v>16</v>
      </c>
      <c r="O20">
        <v>13</v>
      </c>
      <c r="P20">
        <v>14.5</v>
      </c>
      <c r="Q20">
        <v>21.1</v>
      </c>
      <c r="R20">
        <v>20.2</v>
      </c>
      <c r="S20">
        <v>24.699999999999996</v>
      </c>
    </row>
    <row r="21" spans="1:19">
      <c r="A21" t="s">
        <v>125</v>
      </c>
      <c r="B21">
        <v>17</v>
      </c>
      <c r="C21">
        <v>8.1999999999999993</v>
      </c>
      <c r="D21">
        <v>21</v>
      </c>
      <c r="E21">
        <v>13</v>
      </c>
      <c r="F21">
        <v>17</v>
      </c>
      <c r="G21">
        <v>9.1</v>
      </c>
      <c r="H21">
        <v>17</v>
      </c>
      <c r="I21">
        <v>10.6</v>
      </c>
      <c r="J21">
        <v>17</v>
      </c>
      <c r="K21">
        <v>13</v>
      </c>
      <c r="L21">
        <v>16</v>
      </c>
      <c r="M21">
        <v>8.1999999999999993</v>
      </c>
      <c r="N21">
        <v>23</v>
      </c>
      <c r="O21">
        <v>13</v>
      </c>
      <c r="P21">
        <v>14.5</v>
      </c>
      <c r="Q21">
        <v>21.1</v>
      </c>
      <c r="R21">
        <v>20.2</v>
      </c>
      <c r="S21">
        <v>24.699999999999996</v>
      </c>
    </row>
    <row r="22" spans="1:19">
      <c r="A22" t="s">
        <v>129</v>
      </c>
      <c r="B22">
        <v>11</v>
      </c>
      <c r="C22">
        <v>8.1999999999999993</v>
      </c>
      <c r="D22">
        <v>13.5</v>
      </c>
      <c r="E22">
        <v>13</v>
      </c>
      <c r="F22">
        <v>11</v>
      </c>
      <c r="G22">
        <v>9.1</v>
      </c>
      <c r="H22">
        <v>11</v>
      </c>
      <c r="I22">
        <v>10.6</v>
      </c>
      <c r="J22">
        <v>11</v>
      </c>
      <c r="K22">
        <v>13</v>
      </c>
      <c r="L22">
        <v>10</v>
      </c>
      <c r="M22">
        <v>8.1999999999999993</v>
      </c>
      <c r="N22">
        <v>15.5</v>
      </c>
      <c r="O22">
        <v>13</v>
      </c>
      <c r="P22">
        <v>14.5</v>
      </c>
      <c r="Q22">
        <v>21.1</v>
      </c>
      <c r="R22">
        <v>20.2</v>
      </c>
      <c r="S22">
        <v>24.699999999999996</v>
      </c>
    </row>
    <row r="23" spans="1:19">
      <c r="B23" t="s">
        <v>153</v>
      </c>
      <c r="D23" t="s">
        <v>154</v>
      </c>
      <c r="F23" t="s">
        <v>155</v>
      </c>
      <c r="H23" t="s">
        <v>156</v>
      </c>
      <c r="J23" t="s">
        <v>157</v>
      </c>
      <c r="L23" t="s">
        <v>158</v>
      </c>
      <c r="N23" t="s">
        <v>159</v>
      </c>
      <c r="P23" t="s">
        <v>160</v>
      </c>
      <c r="R23" t="s">
        <v>161</v>
      </c>
    </row>
    <row r="24" spans="1:19">
      <c r="L24" t="s">
        <v>150</v>
      </c>
      <c r="N24" t="s">
        <v>151</v>
      </c>
    </row>
    <row r="25" spans="1:19">
      <c r="A25" t="s">
        <v>143</v>
      </c>
      <c r="G25" t="s">
        <v>152</v>
      </c>
    </row>
    <row r="26" spans="1:19" ht="23">
      <c r="A26" s="2" t="s">
        <v>134</v>
      </c>
      <c r="G26" s="2" t="s">
        <v>134</v>
      </c>
    </row>
    <row r="28" spans="1:19">
      <c r="A28" s="4" t="s">
        <v>135</v>
      </c>
      <c r="G28" s="4" t="s">
        <v>135</v>
      </c>
    </row>
    <row r="29" spans="1:19">
      <c r="A29" s="4" t="s">
        <v>136</v>
      </c>
      <c r="G29" s="4" t="s">
        <v>144</v>
      </c>
    </row>
    <row r="30" spans="1:19">
      <c r="A30" s="4" t="s">
        <v>137</v>
      </c>
      <c r="G30" s="4" t="s">
        <v>145</v>
      </c>
    </row>
    <row r="31" spans="1:19">
      <c r="A31" s="4" t="s">
        <v>138</v>
      </c>
      <c r="G31" s="4" t="s">
        <v>146</v>
      </c>
    </row>
    <row r="32" spans="1:19">
      <c r="A32" s="3"/>
      <c r="G32" s="3"/>
    </row>
    <row r="33" spans="1:10">
      <c r="A33" s="4" t="s">
        <v>139</v>
      </c>
      <c r="G33" s="4" t="s">
        <v>139</v>
      </c>
    </row>
    <row r="34" spans="1:10">
      <c r="A34" s="4" t="s">
        <v>140</v>
      </c>
      <c r="G34" s="4" t="s">
        <v>147</v>
      </c>
    </row>
    <row r="35" spans="1:10">
      <c r="A35" s="4" t="s">
        <v>141</v>
      </c>
      <c r="G35" s="4" t="s">
        <v>148</v>
      </c>
    </row>
    <row r="36" spans="1:10">
      <c r="A36" s="5"/>
      <c r="G36" s="5"/>
    </row>
    <row r="37" spans="1:10">
      <c r="A37" s="5" t="s">
        <v>142</v>
      </c>
      <c r="G37" s="5" t="s">
        <v>149</v>
      </c>
    </row>
    <row r="41" spans="1:10">
      <c r="A41" t="s">
        <v>237</v>
      </c>
    </row>
    <row r="42" spans="1:10">
      <c r="A42" t="s">
        <v>253</v>
      </c>
    </row>
    <row r="43" spans="1:10">
      <c r="A43" t="s">
        <v>162</v>
      </c>
    </row>
    <row r="44" spans="1:10">
      <c r="A44" s="6" t="s">
        <v>163</v>
      </c>
    </row>
    <row r="45" spans="1:10">
      <c r="J45" s="8" t="s">
        <v>167</v>
      </c>
    </row>
    <row r="46" spans="1:10">
      <c r="A46" s="7" t="s">
        <v>164</v>
      </c>
    </row>
    <row r="47" spans="1:10">
      <c r="J47" s="6" t="s">
        <v>168</v>
      </c>
    </row>
    <row r="48" spans="1:10">
      <c r="A48" s="6" t="s">
        <v>165</v>
      </c>
      <c r="J48" s="6" t="s">
        <v>169</v>
      </c>
    </row>
    <row r="49" spans="1:10">
      <c r="J49" s="6" t="s">
        <v>170</v>
      </c>
    </row>
    <row r="50" spans="1:10">
      <c r="A50" s="7" t="s">
        <v>166</v>
      </c>
      <c r="J50" s="6" t="s">
        <v>171</v>
      </c>
    </row>
    <row r="52" spans="1:10">
      <c r="J52" s="6" t="s">
        <v>172</v>
      </c>
    </row>
    <row r="53" spans="1:10">
      <c r="J53" t="s">
        <v>173</v>
      </c>
    </row>
    <row r="54" spans="1:10">
      <c r="J54" t="s">
        <v>174</v>
      </c>
    </row>
    <row r="56" spans="1:10">
      <c r="J56" t="s">
        <v>175</v>
      </c>
    </row>
    <row r="58" spans="1:10">
      <c r="A58" t="s">
        <v>176</v>
      </c>
      <c r="J58" s="8" t="s">
        <v>167</v>
      </c>
    </row>
    <row r="60" spans="1:10">
      <c r="A60" s="6" t="s">
        <v>163</v>
      </c>
      <c r="J60" s="6" t="s">
        <v>179</v>
      </c>
    </row>
    <row r="61" spans="1:10">
      <c r="J61" s="6" t="s">
        <v>180</v>
      </c>
    </row>
    <row r="62" spans="1:10">
      <c r="A62" s="7" t="s">
        <v>177</v>
      </c>
      <c r="J62" s="6" t="s">
        <v>181</v>
      </c>
    </row>
    <row r="63" spans="1:10">
      <c r="J63" s="6" t="s">
        <v>182</v>
      </c>
    </row>
    <row r="64" spans="1:10">
      <c r="A64" s="6" t="s">
        <v>165</v>
      </c>
    </row>
    <row r="65" spans="1:10">
      <c r="J65" s="6" t="s">
        <v>183</v>
      </c>
    </row>
    <row r="66" spans="1:10">
      <c r="A66" s="7" t="s">
        <v>178</v>
      </c>
      <c r="J66" t="s">
        <v>173</v>
      </c>
    </row>
    <row r="67" spans="1:10">
      <c r="J67" t="s">
        <v>174</v>
      </c>
    </row>
    <row r="69" spans="1:10">
      <c r="J69" t="s">
        <v>175</v>
      </c>
    </row>
    <row r="72" spans="1:10">
      <c r="A72" t="s">
        <v>184</v>
      </c>
      <c r="J72" s="8" t="s">
        <v>167</v>
      </c>
    </row>
    <row r="74" spans="1:10">
      <c r="A74" s="6" t="s">
        <v>163</v>
      </c>
      <c r="J74" s="6" t="s">
        <v>187</v>
      </c>
    </row>
    <row r="75" spans="1:10">
      <c r="J75" s="6" t="s">
        <v>188</v>
      </c>
    </row>
    <row r="76" spans="1:10">
      <c r="A76" s="7" t="s">
        <v>185</v>
      </c>
      <c r="J76" s="6" t="s">
        <v>189</v>
      </c>
    </row>
    <row r="77" spans="1:10">
      <c r="J77" s="6" t="s">
        <v>190</v>
      </c>
    </row>
    <row r="78" spans="1:10">
      <c r="A78" s="6" t="s">
        <v>165</v>
      </c>
    </row>
    <row r="79" spans="1:10">
      <c r="J79" s="6" t="s">
        <v>191</v>
      </c>
    </row>
    <row r="80" spans="1:10">
      <c r="A80" s="7" t="s">
        <v>186</v>
      </c>
      <c r="J80" t="s">
        <v>173</v>
      </c>
    </row>
    <row r="81" spans="1:10">
      <c r="J81" t="s">
        <v>174</v>
      </c>
    </row>
    <row r="83" spans="1:10">
      <c r="J83" t="s">
        <v>175</v>
      </c>
    </row>
    <row r="85" spans="1:10">
      <c r="A85" t="s">
        <v>192</v>
      </c>
      <c r="J85" s="8" t="s">
        <v>167</v>
      </c>
    </row>
    <row r="87" spans="1:10">
      <c r="A87" s="6" t="s">
        <v>163</v>
      </c>
      <c r="J87" s="6" t="s">
        <v>195</v>
      </c>
    </row>
    <row r="88" spans="1:10">
      <c r="J88" s="6" t="s">
        <v>196</v>
      </c>
    </row>
    <row r="89" spans="1:10">
      <c r="A89" s="7" t="s">
        <v>193</v>
      </c>
      <c r="J89" s="6" t="s">
        <v>197</v>
      </c>
    </row>
    <row r="90" spans="1:10">
      <c r="J90" s="6" t="s">
        <v>198</v>
      </c>
    </row>
    <row r="91" spans="1:10">
      <c r="A91" s="6" t="s">
        <v>165</v>
      </c>
    </row>
    <row r="92" spans="1:10">
      <c r="J92" s="6" t="s">
        <v>199</v>
      </c>
    </row>
    <row r="93" spans="1:10">
      <c r="A93" s="7" t="s">
        <v>194</v>
      </c>
      <c r="J93" t="s">
        <v>173</v>
      </c>
    </row>
    <row r="94" spans="1:10">
      <c r="J94" t="s">
        <v>174</v>
      </c>
    </row>
    <row r="96" spans="1:10">
      <c r="J96" t="s">
        <v>175</v>
      </c>
    </row>
    <row r="98" spans="1:24">
      <c r="A98" t="s">
        <v>200</v>
      </c>
      <c r="J98" s="8" t="s">
        <v>167</v>
      </c>
      <c r="M98" t="s">
        <v>238</v>
      </c>
      <c r="T98" t="s">
        <v>247</v>
      </c>
      <c r="X98" t="s">
        <v>250</v>
      </c>
    </row>
    <row r="100" spans="1:24">
      <c r="A100" s="6" t="s">
        <v>163</v>
      </c>
      <c r="J100" s="6" t="s">
        <v>203</v>
      </c>
      <c r="M100" s="6" t="s">
        <v>163</v>
      </c>
      <c r="Q100" s="8" t="s">
        <v>167</v>
      </c>
      <c r="T100" s="6" t="s">
        <v>163</v>
      </c>
      <c r="X100" s="6" t="s">
        <v>163</v>
      </c>
    </row>
    <row r="101" spans="1:24">
      <c r="J101" s="6" t="s">
        <v>204</v>
      </c>
    </row>
    <row r="102" spans="1:24">
      <c r="A102" s="9" t="s">
        <v>201</v>
      </c>
      <c r="J102" s="6" t="s">
        <v>205</v>
      </c>
      <c r="M102" s="9" t="s">
        <v>239</v>
      </c>
      <c r="Q102" s="6" t="s">
        <v>222</v>
      </c>
      <c r="T102" s="9" t="s">
        <v>248</v>
      </c>
      <c r="X102" s="10" t="s">
        <v>251</v>
      </c>
    </row>
    <row r="103" spans="1:24">
      <c r="J103" s="6" t="s">
        <v>206</v>
      </c>
      <c r="Q103" s="6" t="s">
        <v>241</v>
      </c>
    </row>
    <row r="104" spans="1:24">
      <c r="A104" s="6" t="s">
        <v>165</v>
      </c>
      <c r="M104" s="6" t="s">
        <v>165</v>
      </c>
      <c r="Q104" s="6" t="s">
        <v>242</v>
      </c>
      <c r="T104" s="6" t="s">
        <v>165</v>
      </c>
      <c r="X104" s="6" t="s">
        <v>165</v>
      </c>
    </row>
    <row r="105" spans="1:24">
      <c r="J105" s="6" t="s">
        <v>207</v>
      </c>
      <c r="Q105" s="6" t="s">
        <v>225</v>
      </c>
    </row>
    <row r="106" spans="1:24">
      <c r="A106" s="9" t="s">
        <v>202</v>
      </c>
      <c r="J106" t="s">
        <v>173</v>
      </c>
      <c r="M106" s="9" t="s">
        <v>240</v>
      </c>
      <c r="T106" s="9" t="s">
        <v>249</v>
      </c>
      <c r="X106" s="9" t="s">
        <v>252</v>
      </c>
    </row>
    <row r="107" spans="1:24">
      <c r="J107" t="s">
        <v>174</v>
      </c>
      <c r="Q107" s="6" t="s">
        <v>243</v>
      </c>
    </row>
    <row r="108" spans="1:24">
      <c r="Q108" t="s">
        <v>244</v>
      </c>
    </row>
    <row r="109" spans="1:24">
      <c r="J109" t="s">
        <v>175</v>
      </c>
      <c r="Q109" t="s">
        <v>245</v>
      </c>
    </row>
    <row r="111" spans="1:24">
      <c r="A111" t="s">
        <v>208</v>
      </c>
      <c r="J111" s="8" t="s">
        <v>167</v>
      </c>
      <c r="Q111" t="s">
        <v>246</v>
      </c>
    </row>
    <row r="113" spans="1:10">
      <c r="A113" s="6" t="s">
        <v>163</v>
      </c>
      <c r="J113" s="6" t="s">
        <v>211</v>
      </c>
    </row>
    <row r="114" spans="1:10">
      <c r="J114" s="6" t="s">
        <v>212</v>
      </c>
    </row>
    <row r="115" spans="1:10">
      <c r="A115" s="7" t="s">
        <v>209</v>
      </c>
      <c r="J115" s="6" t="s">
        <v>213</v>
      </c>
    </row>
    <row r="116" spans="1:10">
      <c r="J116" s="6" t="s">
        <v>214</v>
      </c>
    </row>
    <row r="117" spans="1:10">
      <c r="A117" s="6" t="s">
        <v>165</v>
      </c>
    </row>
    <row r="118" spans="1:10">
      <c r="J118" s="6" t="s">
        <v>215</v>
      </c>
    </row>
    <row r="119" spans="1:10">
      <c r="A119" s="7" t="s">
        <v>210</v>
      </c>
      <c r="J119" t="s">
        <v>216</v>
      </c>
    </row>
    <row r="120" spans="1:10">
      <c r="J120" t="s">
        <v>217</v>
      </c>
    </row>
    <row r="122" spans="1:10">
      <c r="J122" t="s">
        <v>218</v>
      </c>
    </row>
    <row r="124" spans="1:10">
      <c r="A124" t="s">
        <v>219</v>
      </c>
      <c r="J124" s="8" t="s">
        <v>167</v>
      </c>
    </row>
    <row r="126" spans="1:10">
      <c r="A126" s="6" t="s">
        <v>163</v>
      </c>
      <c r="J126" s="6" t="s">
        <v>222</v>
      </c>
    </row>
    <row r="127" spans="1:10">
      <c r="J127" s="6" t="s">
        <v>223</v>
      </c>
    </row>
    <row r="128" spans="1:10">
      <c r="A128" s="7" t="s">
        <v>220</v>
      </c>
      <c r="J128" s="6" t="s">
        <v>224</v>
      </c>
    </row>
    <row r="129" spans="1:10">
      <c r="J129" s="6" t="s">
        <v>225</v>
      </c>
    </row>
    <row r="130" spans="1:10">
      <c r="A130" s="6" t="s">
        <v>165</v>
      </c>
    </row>
    <row r="131" spans="1:10">
      <c r="J131" s="6" t="s">
        <v>226</v>
      </c>
    </row>
    <row r="132" spans="1:10">
      <c r="A132" s="7" t="s">
        <v>221</v>
      </c>
      <c r="J132" t="s">
        <v>173</v>
      </c>
    </row>
    <row r="133" spans="1:10">
      <c r="J133" t="s">
        <v>174</v>
      </c>
    </row>
    <row r="135" spans="1:10">
      <c r="J135" t="s">
        <v>175</v>
      </c>
    </row>
    <row r="137" spans="1:10">
      <c r="A137" t="s">
        <v>227</v>
      </c>
      <c r="J137" s="8" t="s">
        <v>167</v>
      </c>
    </row>
    <row r="139" spans="1:10">
      <c r="A139" s="6" t="s">
        <v>163</v>
      </c>
      <c r="J139" s="6" t="s">
        <v>230</v>
      </c>
    </row>
    <row r="140" spans="1:10">
      <c r="J140" s="6" t="s">
        <v>231</v>
      </c>
    </row>
    <row r="141" spans="1:10">
      <c r="A141" s="7" t="s">
        <v>228</v>
      </c>
      <c r="J141" s="6" t="s">
        <v>232</v>
      </c>
    </row>
    <row r="142" spans="1:10">
      <c r="J142" s="6" t="s">
        <v>233</v>
      </c>
    </row>
    <row r="143" spans="1:10">
      <c r="A143" s="6" t="s">
        <v>165</v>
      </c>
    </row>
    <row r="144" spans="1:10">
      <c r="J144" s="6" t="s">
        <v>234</v>
      </c>
    </row>
    <row r="145" spans="1:10">
      <c r="A145" s="7" t="s">
        <v>229</v>
      </c>
      <c r="J145" t="s">
        <v>173</v>
      </c>
    </row>
    <row r="146" spans="1:10">
      <c r="J146" t="s">
        <v>174</v>
      </c>
    </row>
    <row r="148" spans="1:10">
      <c r="J148" t="s">
        <v>175</v>
      </c>
    </row>
    <row r="150" spans="1:10">
      <c r="A150" t="s">
        <v>235</v>
      </c>
      <c r="J150" s="8" t="s">
        <v>167</v>
      </c>
    </row>
    <row r="152" spans="1:10">
      <c r="A152" s="6" t="s">
        <v>163</v>
      </c>
      <c r="J152" s="6" t="s">
        <v>230</v>
      </c>
    </row>
    <row r="153" spans="1:10">
      <c r="J153" s="6" t="s">
        <v>236</v>
      </c>
    </row>
    <row r="154" spans="1:10">
      <c r="A154" s="7" t="s">
        <v>228</v>
      </c>
      <c r="J154" s="6" t="s">
        <v>232</v>
      </c>
    </row>
    <row r="155" spans="1:10">
      <c r="J155" s="6" t="s">
        <v>233</v>
      </c>
    </row>
    <row r="156" spans="1:10">
      <c r="A156" s="6" t="s">
        <v>165</v>
      </c>
    </row>
    <row r="157" spans="1:10">
      <c r="J157" s="6" t="s">
        <v>234</v>
      </c>
    </row>
    <row r="158" spans="1:10">
      <c r="A158" s="7" t="s">
        <v>229</v>
      </c>
      <c r="J158" t="s">
        <v>173</v>
      </c>
    </row>
    <row r="159" spans="1:10">
      <c r="J159" t="s">
        <v>174</v>
      </c>
    </row>
    <row r="161" spans="10:10">
      <c r="J161" t="s">
        <v>175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rawData_AWOpizzaDMOP</vt:lpstr>
      <vt:lpstr>clicksCalcuationsAndGraphs</vt:lpstr>
      <vt:lpstr>stats</vt:lpstr>
    </vt:vector>
  </TitlesOfParts>
  <Company>UCT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Keet</dc:creator>
  <cp:lastModifiedBy>Maria Keet</cp:lastModifiedBy>
  <dcterms:created xsi:type="dcterms:W3CDTF">2017-12-12T11:51:23Z</dcterms:created>
  <dcterms:modified xsi:type="dcterms:W3CDTF">2018-08-23T07:25:07Z</dcterms:modified>
</cp:coreProperties>
</file>