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FECCIONES UNO A\"/>
    </mc:Choice>
  </mc:AlternateContent>
  <bookViews>
    <workbookView xWindow="0" yWindow="0" windowWidth="20400" windowHeight="7650" tabRatio="792" firstSheet="1" activeTab="6"/>
  </bookViews>
  <sheets>
    <sheet name="Hoja1" sheetId="6" state="hidden" r:id="rId1"/>
    <sheet name="TD LOTES" sheetId="179" r:id="rId2"/>
    <sheet name="LOTES" sheetId="176" r:id="rId3"/>
    <sheet name="OTROS" sheetId="120" r:id="rId4"/>
    <sheet name="OPERARIOS" sheetId="123" r:id="rId5"/>
    <sheet name="total" sheetId="122" r:id="rId6"/>
    <sheet name="tablas a identificar" sheetId="180" r:id="rId7"/>
  </sheets>
  <definedNames>
    <definedName name="_xlnm._FilterDatabase" localSheetId="2" hidden="1">LOTES!$A$7:$H$581</definedName>
    <definedName name="_xlnm.Print_Area" localSheetId="2">LOTES!$A$1:$C$6</definedName>
    <definedName name="_xlnm.Print_Area" localSheetId="5">total!$A$1:$C$47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E580" i="176" l="1"/>
  <c r="G529" i="176"/>
  <c r="C3" i="122" l="1"/>
  <c r="C9" i="122"/>
  <c r="C14" i="122"/>
  <c r="C21" i="122"/>
  <c r="C24" i="122"/>
  <c r="C28" i="122"/>
  <c r="C26" i="120" l="1"/>
  <c r="F526" i="176"/>
  <c r="F186" i="176"/>
  <c r="C27" i="120"/>
  <c r="C35" i="120"/>
  <c r="C6" i="120"/>
  <c r="F210" i="176"/>
  <c r="F211" i="176"/>
  <c r="G211" i="176" s="1"/>
  <c r="E34" i="179"/>
  <c r="E29" i="179"/>
  <c r="E24" i="179"/>
  <c r="E19" i="179"/>
  <c r="E14" i="179"/>
  <c r="E9" i="179"/>
  <c r="E4" i="179"/>
  <c r="E8" i="179"/>
  <c r="E7" i="179"/>
  <c r="E25" i="179"/>
  <c r="E10" i="179"/>
  <c r="E37" i="179"/>
  <c r="E33" i="179"/>
  <c r="E28" i="179"/>
  <c r="E22" i="179"/>
  <c r="E18" i="179"/>
  <c r="E13" i="179"/>
  <c r="E20" i="179"/>
  <c r="E36" i="179"/>
  <c r="E32" i="179"/>
  <c r="E27" i="179"/>
  <c r="E21" i="179"/>
  <c r="E17" i="179"/>
  <c r="E12" i="179"/>
  <c r="E35" i="179"/>
  <c r="E31" i="179"/>
  <c r="E15" i="179"/>
  <c r="E6" i="179"/>
  <c r="C33" i="122" l="1"/>
  <c r="C10" i="122"/>
  <c r="C19" i="122"/>
  <c r="C34" i="122"/>
  <c r="C16" i="122"/>
  <c r="C20" i="122"/>
  <c r="C26" i="122"/>
  <c r="C35" i="122"/>
  <c r="C6" i="122"/>
  <c r="C27" i="122"/>
  <c r="H210" i="176"/>
  <c r="K290" i="176"/>
  <c r="I86" i="176"/>
  <c r="I96" i="176"/>
  <c r="I97" i="176"/>
  <c r="I100" i="176"/>
  <c r="I107" i="176"/>
  <c r="I114" i="176"/>
  <c r="I115" i="176"/>
  <c r="I117" i="176"/>
  <c r="I119" i="176"/>
  <c r="I121" i="176"/>
  <c r="I123" i="176"/>
  <c r="I126" i="176"/>
  <c r="I128" i="176"/>
  <c r="I135" i="176"/>
  <c r="K81" i="176"/>
  <c r="F134" i="176"/>
  <c r="H134" i="176" s="1"/>
  <c r="K20" i="176"/>
  <c r="G560" i="176" l="1"/>
  <c r="G439" i="176"/>
  <c r="G277" i="176"/>
  <c r="G253" i="176"/>
  <c r="G251" i="176"/>
  <c r="G249" i="176"/>
  <c r="G228" i="176"/>
  <c r="G226" i="176"/>
  <c r="F220" i="176"/>
  <c r="G220" i="176" s="1"/>
  <c r="G215" i="176"/>
  <c r="G212" i="176"/>
  <c r="G209" i="176"/>
  <c r="G195" i="176"/>
  <c r="G187" i="176"/>
  <c r="G184" i="176"/>
  <c r="G180" i="176"/>
  <c r="G176" i="176"/>
  <c r="G166" i="176"/>
  <c r="G162" i="176"/>
  <c r="G155" i="176"/>
  <c r="G145" i="176"/>
  <c r="G142" i="176"/>
  <c r="G140" i="176"/>
  <c r="G128" i="176"/>
  <c r="G126" i="176"/>
  <c r="G121" i="176"/>
  <c r="G97" i="176"/>
  <c r="G96" i="176"/>
  <c r="G86" i="176"/>
  <c r="G78" i="176"/>
  <c r="G71" i="176"/>
  <c r="G57" i="176"/>
  <c r="G55" i="176"/>
  <c r="G53" i="176"/>
  <c r="G45" i="176"/>
  <c r="G26" i="176"/>
  <c r="G21" i="176"/>
  <c r="G16" i="176" l="1"/>
  <c r="G17" i="176"/>
  <c r="K10" i="176" l="1"/>
  <c r="H69" i="176" l="1"/>
  <c r="H90" i="176"/>
  <c r="I90" i="176" s="1"/>
  <c r="G90" i="176"/>
  <c r="H179" i="176"/>
  <c r="C13" i="120" l="1"/>
  <c r="C13" i="122" s="1"/>
  <c r="H221" i="176"/>
  <c r="H63" i="176"/>
  <c r="H10" i="176"/>
  <c r="H276" i="176"/>
  <c r="F208" i="176"/>
  <c r="H208" i="176" s="1"/>
  <c r="F127" i="176"/>
  <c r="H127" i="176" s="1"/>
  <c r="I127" i="176" s="1"/>
  <c r="F125" i="176"/>
  <c r="H125" i="176" s="1"/>
  <c r="I125" i="176" s="1"/>
  <c r="H120" i="176"/>
  <c r="I120" i="176" s="1"/>
  <c r="H54" i="176"/>
  <c r="F56" i="176"/>
  <c r="H56" i="176" s="1"/>
  <c r="F52" i="176"/>
  <c r="H52" i="176" s="1"/>
  <c r="F219" i="176"/>
  <c r="F99" i="176"/>
  <c r="F100" i="176"/>
  <c r="G100" i="176" s="1"/>
  <c r="F84" i="176"/>
  <c r="G70" i="176" l="1"/>
  <c r="H227" i="176"/>
  <c r="C30" i="120"/>
  <c r="C30" i="122" s="1"/>
  <c r="C29" i="120"/>
  <c r="C29" i="122" s="1"/>
  <c r="F105" i="176"/>
  <c r="G105" i="176" s="1"/>
  <c r="F183" i="176"/>
  <c r="G183" i="176" s="1"/>
  <c r="F15" i="176"/>
  <c r="H16" i="176"/>
  <c r="C32" i="120"/>
  <c r="C32" i="122" s="1"/>
  <c r="C31" i="120"/>
  <c r="C31" i="122" s="1"/>
  <c r="C11" i="120"/>
  <c r="C11" i="122" s="1"/>
  <c r="F541" i="176"/>
  <c r="H541" i="176" s="1"/>
  <c r="F535" i="176"/>
  <c r="G535" i="176" s="1"/>
  <c r="G526" i="176"/>
  <c r="F524" i="176"/>
  <c r="F534" i="176"/>
  <c r="C18" i="120"/>
  <c r="C18" i="122" s="1"/>
  <c r="F440" i="176"/>
  <c r="G440" i="176" s="1"/>
  <c r="F559" i="176"/>
  <c r="F558" i="176"/>
  <c r="H558" i="176" s="1"/>
  <c r="F528" i="176"/>
  <c r="H528" i="176" s="1"/>
  <c r="F525" i="176"/>
  <c r="G525" i="176" s="1"/>
  <c r="H581" i="176"/>
  <c r="G581" i="176"/>
  <c r="H580" i="176"/>
  <c r="G580" i="176"/>
  <c r="H579" i="176"/>
  <c r="G579" i="176"/>
  <c r="H578" i="176"/>
  <c r="C578" i="176"/>
  <c r="G578" i="176" s="1"/>
  <c r="H577" i="176"/>
  <c r="G577" i="176"/>
  <c r="H576" i="176"/>
  <c r="G576" i="176"/>
  <c r="H575" i="176"/>
  <c r="G575" i="176"/>
  <c r="H574" i="176"/>
  <c r="G574" i="176"/>
  <c r="H573" i="176"/>
  <c r="G573" i="176"/>
  <c r="H572" i="176"/>
  <c r="G572" i="176"/>
  <c r="H571" i="176"/>
  <c r="G571" i="176"/>
  <c r="H570" i="176"/>
  <c r="G570" i="176"/>
  <c r="H568" i="176"/>
  <c r="G568" i="176"/>
  <c r="H567" i="176"/>
  <c r="G567" i="176"/>
  <c r="H565" i="176"/>
  <c r="G565" i="176"/>
  <c r="H564" i="176"/>
  <c r="G564" i="176"/>
  <c r="H563" i="176"/>
  <c r="G563" i="176"/>
  <c r="H561" i="176"/>
  <c r="G561" i="176"/>
  <c r="H557" i="176"/>
  <c r="G557" i="176"/>
  <c r="H556" i="176"/>
  <c r="G556" i="176"/>
  <c r="H555" i="176"/>
  <c r="G555" i="176"/>
  <c r="H554" i="176"/>
  <c r="G554" i="176"/>
  <c r="H553" i="176"/>
  <c r="G553" i="176"/>
  <c r="H552" i="176"/>
  <c r="G552" i="176"/>
  <c r="H550" i="176"/>
  <c r="G550" i="176"/>
  <c r="H549" i="176"/>
  <c r="G549" i="176"/>
  <c r="H548" i="176"/>
  <c r="G548" i="176"/>
  <c r="H547" i="176"/>
  <c r="G547" i="176"/>
  <c r="H546" i="176"/>
  <c r="G546" i="176"/>
  <c r="H545" i="176"/>
  <c r="G545" i="176"/>
  <c r="H544" i="176"/>
  <c r="G544" i="176"/>
  <c r="H543" i="176"/>
  <c r="G543" i="176"/>
  <c r="H542" i="176"/>
  <c r="G542" i="176"/>
  <c r="H540" i="176"/>
  <c r="G540" i="176"/>
  <c r="H539" i="176"/>
  <c r="I539" i="176" s="1"/>
  <c r="G539" i="176"/>
  <c r="H538" i="176"/>
  <c r="G538" i="176"/>
  <c r="H537" i="176"/>
  <c r="G537" i="176"/>
  <c r="H536" i="176"/>
  <c r="G536" i="176"/>
  <c r="H533" i="176"/>
  <c r="I533" i="176" s="1"/>
  <c r="G533" i="176"/>
  <c r="H532" i="176"/>
  <c r="G532" i="176"/>
  <c r="H531" i="176"/>
  <c r="I531" i="176" s="1"/>
  <c r="G531" i="176"/>
  <c r="H530" i="176"/>
  <c r="G530" i="176"/>
  <c r="H527" i="176"/>
  <c r="I527" i="176" s="1"/>
  <c r="G527" i="176"/>
  <c r="G523" i="176"/>
  <c r="K522" i="176"/>
  <c r="H522" i="176"/>
  <c r="G522" i="176"/>
  <c r="H521" i="176"/>
  <c r="G521" i="176"/>
  <c r="H519" i="176"/>
  <c r="H518" i="176"/>
  <c r="H517" i="176"/>
  <c r="H516" i="176"/>
  <c r="H515" i="176"/>
  <c r="H514" i="176"/>
  <c r="H513" i="176"/>
  <c r="H512" i="176"/>
  <c r="H511" i="176"/>
  <c r="H510" i="176"/>
  <c r="H509" i="176"/>
  <c r="H508" i="176"/>
  <c r="H506" i="176"/>
  <c r="H505" i="176"/>
  <c r="H503" i="176"/>
  <c r="H502" i="176"/>
  <c r="H501" i="176"/>
  <c r="H499" i="176"/>
  <c r="H498" i="176"/>
  <c r="H497" i="176"/>
  <c r="H496" i="176"/>
  <c r="H495" i="176"/>
  <c r="H494" i="176"/>
  <c r="H493" i="176"/>
  <c r="H492" i="176"/>
  <c r="H491" i="176"/>
  <c r="H490" i="176"/>
  <c r="H488" i="176"/>
  <c r="H487" i="176"/>
  <c r="H486" i="176"/>
  <c r="H485" i="176"/>
  <c r="H484" i="176"/>
  <c r="H483" i="176"/>
  <c r="H482" i="176"/>
  <c r="H481" i="176"/>
  <c r="H480" i="176"/>
  <c r="H479" i="176"/>
  <c r="H478" i="176"/>
  <c r="H477" i="176"/>
  <c r="H476" i="176"/>
  <c r="H475" i="176"/>
  <c r="H474" i="176"/>
  <c r="H473" i="176"/>
  <c r="H472" i="176"/>
  <c r="H471" i="176"/>
  <c r="H470" i="176"/>
  <c r="H469" i="176"/>
  <c r="H468" i="176"/>
  <c r="H467" i="176"/>
  <c r="H466" i="176"/>
  <c r="H465" i="176"/>
  <c r="H464" i="176"/>
  <c r="H463" i="176"/>
  <c r="G519" i="176"/>
  <c r="G518" i="176"/>
  <c r="G517" i="176"/>
  <c r="C516" i="176"/>
  <c r="G516" i="176" s="1"/>
  <c r="G515" i="176"/>
  <c r="G514" i="176"/>
  <c r="G513" i="176"/>
  <c r="G512" i="176"/>
  <c r="G511" i="176"/>
  <c r="G510" i="176"/>
  <c r="G509" i="176"/>
  <c r="G508" i="176"/>
  <c r="G506" i="176"/>
  <c r="G505" i="176"/>
  <c r="G503" i="176"/>
  <c r="G502" i="176"/>
  <c r="G501" i="176"/>
  <c r="G499" i="176"/>
  <c r="G498" i="176"/>
  <c r="G497" i="176"/>
  <c r="G496" i="176"/>
  <c r="G495" i="176"/>
  <c r="G494" i="176"/>
  <c r="G493" i="176"/>
  <c r="G492" i="176"/>
  <c r="G491" i="176"/>
  <c r="G490" i="176"/>
  <c r="G488" i="176"/>
  <c r="G487" i="176"/>
  <c r="G486" i="176"/>
  <c r="G485" i="176"/>
  <c r="G484" i="176"/>
  <c r="G483" i="176"/>
  <c r="G482" i="176"/>
  <c r="G481" i="176"/>
  <c r="G480" i="176"/>
  <c r="G479" i="176"/>
  <c r="G478" i="176"/>
  <c r="G477" i="176"/>
  <c r="G476" i="176"/>
  <c r="G475" i="176"/>
  <c r="G474" i="176"/>
  <c r="G473" i="176"/>
  <c r="G472" i="176"/>
  <c r="G471" i="176"/>
  <c r="G470" i="176"/>
  <c r="G469" i="176"/>
  <c r="G468" i="176"/>
  <c r="G467" i="176"/>
  <c r="G466" i="176"/>
  <c r="G465" i="176"/>
  <c r="K464" i="176"/>
  <c r="G464" i="176"/>
  <c r="G463" i="176"/>
  <c r="H461" i="176"/>
  <c r="H460" i="176"/>
  <c r="H459" i="176"/>
  <c r="H458" i="176"/>
  <c r="H457" i="176"/>
  <c r="H456" i="176"/>
  <c r="H455" i="176"/>
  <c r="H454" i="176"/>
  <c r="H453" i="176"/>
  <c r="H452" i="176"/>
  <c r="H451" i="176"/>
  <c r="H450" i="176"/>
  <c r="H448" i="176"/>
  <c r="H447" i="176"/>
  <c r="H445" i="176"/>
  <c r="H444" i="176"/>
  <c r="H443" i="176"/>
  <c r="H441" i="176"/>
  <c r="H439" i="176"/>
  <c r="H438" i="176"/>
  <c r="H437" i="176"/>
  <c r="H436" i="176"/>
  <c r="H435" i="176"/>
  <c r="H434" i="176"/>
  <c r="H433" i="176"/>
  <c r="H432" i="176"/>
  <c r="H430" i="176"/>
  <c r="H429" i="176"/>
  <c r="H428" i="176"/>
  <c r="H427" i="176"/>
  <c r="H426" i="176"/>
  <c r="H425" i="176"/>
  <c r="H424" i="176"/>
  <c r="H423" i="176"/>
  <c r="H422" i="176"/>
  <c r="H421" i="176"/>
  <c r="H420" i="176"/>
  <c r="H419" i="176"/>
  <c r="H418" i="176"/>
  <c r="H417" i="176"/>
  <c r="H416" i="176"/>
  <c r="H415" i="176"/>
  <c r="H414" i="176"/>
  <c r="H413" i="176"/>
  <c r="H412" i="176"/>
  <c r="H411" i="176"/>
  <c r="H410" i="176"/>
  <c r="H409" i="176"/>
  <c r="H408" i="176"/>
  <c r="H407" i="176"/>
  <c r="H406" i="176"/>
  <c r="H405" i="176"/>
  <c r="G461" i="176"/>
  <c r="G460" i="176"/>
  <c r="G459" i="176"/>
  <c r="C458" i="176"/>
  <c r="G458" i="176" s="1"/>
  <c r="G457" i="176"/>
  <c r="G456" i="176"/>
  <c r="G455" i="176"/>
  <c r="G454" i="176"/>
  <c r="G453" i="176"/>
  <c r="G452" i="176"/>
  <c r="G451" i="176"/>
  <c r="G450" i="176"/>
  <c r="G448" i="176"/>
  <c r="G447" i="176"/>
  <c r="G445" i="176"/>
  <c r="G444" i="176"/>
  <c r="G443" i="176"/>
  <c r="G441" i="176"/>
  <c r="G438" i="176"/>
  <c r="G437" i="176"/>
  <c r="G436" i="176"/>
  <c r="G435" i="176"/>
  <c r="G434" i="176"/>
  <c r="G433" i="176"/>
  <c r="G432" i="176"/>
  <c r="G430" i="176"/>
  <c r="G429" i="176"/>
  <c r="G428" i="176"/>
  <c r="G427" i="176"/>
  <c r="G426" i="176"/>
  <c r="G425" i="176"/>
  <c r="G424" i="176"/>
  <c r="G423" i="176"/>
  <c r="G422" i="176"/>
  <c r="G421" i="176"/>
  <c r="G420" i="176"/>
  <c r="G419" i="176"/>
  <c r="G418" i="176"/>
  <c r="G417" i="176"/>
  <c r="G416" i="176"/>
  <c r="G415" i="176"/>
  <c r="G414" i="176"/>
  <c r="G413" i="176"/>
  <c r="G412" i="176"/>
  <c r="G411" i="176"/>
  <c r="G410" i="176"/>
  <c r="G409" i="176"/>
  <c r="G408" i="176"/>
  <c r="G407" i="176"/>
  <c r="K406" i="176"/>
  <c r="G406" i="176"/>
  <c r="G405" i="176"/>
  <c r="H403" i="176"/>
  <c r="H402" i="176"/>
  <c r="H401" i="176"/>
  <c r="H400" i="176"/>
  <c r="H399" i="176"/>
  <c r="H398" i="176"/>
  <c r="H397" i="176"/>
  <c r="H396" i="176"/>
  <c r="H395" i="176"/>
  <c r="H394" i="176"/>
  <c r="H393" i="176"/>
  <c r="H392" i="176"/>
  <c r="H390" i="176"/>
  <c r="H389" i="176"/>
  <c r="H387" i="176"/>
  <c r="H386" i="176"/>
  <c r="H385" i="176"/>
  <c r="H376" i="176"/>
  <c r="H383" i="176"/>
  <c r="H382" i="176"/>
  <c r="H381" i="176"/>
  <c r="H380" i="176"/>
  <c r="H379" i="176"/>
  <c r="H378" i="176"/>
  <c r="H377" i="176"/>
  <c r="H375" i="176"/>
  <c r="H374" i="176"/>
  <c r="H372" i="176"/>
  <c r="H371" i="176"/>
  <c r="H370" i="176"/>
  <c r="H369" i="176"/>
  <c r="H368" i="176"/>
  <c r="H367" i="176"/>
  <c r="H366" i="176"/>
  <c r="H365" i="176"/>
  <c r="H364" i="176"/>
  <c r="H363" i="176"/>
  <c r="H362" i="176"/>
  <c r="H361" i="176"/>
  <c r="H360" i="176"/>
  <c r="H359" i="176"/>
  <c r="H358" i="176"/>
  <c r="H357" i="176"/>
  <c r="H356" i="176"/>
  <c r="H355" i="176"/>
  <c r="H354" i="176"/>
  <c r="H353" i="176"/>
  <c r="H352" i="176"/>
  <c r="H351" i="176"/>
  <c r="H350" i="176"/>
  <c r="H349" i="176"/>
  <c r="H348" i="176"/>
  <c r="H347" i="176"/>
  <c r="G403" i="176"/>
  <c r="G402" i="176"/>
  <c r="G401" i="176"/>
  <c r="C400" i="176"/>
  <c r="G400" i="176" s="1"/>
  <c r="G399" i="176"/>
  <c r="G398" i="176"/>
  <c r="G397" i="176"/>
  <c r="G396" i="176"/>
  <c r="G395" i="176"/>
  <c r="G394" i="176"/>
  <c r="G393" i="176"/>
  <c r="G392" i="176"/>
  <c r="G390" i="176"/>
  <c r="G389" i="176"/>
  <c r="G387" i="176"/>
  <c r="G386" i="176"/>
  <c r="G385" i="176"/>
  <c r="G383" i="176"/>
  <c r="G382" i="176"/>
  <c r="G381" i="176"/>
  <c r="G380" i="176"/>
  <c r="G379" i="176"/>
  <c r="G378" i="176"/>
  <c r="G377" i="176"/>
  <c r="G376" i="176"/>
  <c r="G375" i="176"/>
  <c r="G374" i="176"/>
  <c r="G372" i="176"/>
  <c r="G371" i="176"/>
  <c r="G370" i="176"/>
  <c r="G369" i="176"/>
  <c r="G368" i="176"/>
  <c r="G367" i="176"/>
  <c r="G366" i="176"/>
  <c r="G365" i="176"/>
  <c r="G364" i="176"/>
  <c r="G363" i="176"/>
  <c r="G362" i="176"/>
  <c r="G361" i="176"/>
  <c r="G360" i="176"/>
  <c r="G359" i="176"/>
  <c r="G358" i="176"/>
  <c r="G357" i="176"/>
  <c r="G356" i="176"/>
  <c r="G355" i="176"/>
  <c r="G354" i="176"/>
  <c r="G353" i="176"/>
  <c r="G352" i="176"/>
  <c r="G351" i="176"/>
  <c r="G350" i="176"/>
  <c r="G349" i="176"/>
  <c r="K348" i="176"/>
  <c r="G348" i="176"/>
  <c r="G347" i="176"/>
  <c r="H345" i="176"/>
  <c r="H344" i="176"/>
  <c r="H343" i="176"/>
  <c r="H342" i="176"/>
  <c r="H341" i="176"/>
  <c r="H340" i="176"/>
  <c r="H339" i="176"/>
  <c r="H338" i="176"/>
  <c r="H337" i="176"/>
  <c r="H336" i="176"/>
  <c r="H335" i="176"/>
  <c r="H334" i="176"/>
  <c r="H332" i="176"/>
  <c r="H331" i="176"/>
  <c r="H329" i="176"/>
  <c r="H328" i="176"/>
  <c r="H327" i="176"/>
  <c r="H325" i="176"/>
  <c r="H324" i="176"/>
  <c r="H323" i="176"/>
  <c r="H322" i="176"/>
  <c r="H321" i="176"/>
  <c r="H320" i="176"/>
  <c r="H319" i="176"/>
  <c r="H318" i="176"/>
  <c r="H317" i="176"/>
  <c r="H316" i="176"/>
  <c r="H314" i="176"/>
  <c r="H313" i="176"/>
  <c r="H312" i="176"/>
  <c r="H311" i="176"/>
  <c r="H310" i="176"/>
  <c r="H309" i="176"/>
  <c r="H308" i="176"/>
  <c r="H307" i="176"/>
  <c r="H306" i="176"/>
  <c r="H305" i="176"/>
  <c r="H304" i="176"/>
  <c r="H303" i="176"/>
  <c r="H302" i="176"/>
  <c r="H301" i="176"/>
  <c r="H300" i="176"/>
  <c r="H299" i="176"/>
  <c r="H298" i="176"/>
  <c r="H297" i="176"/>
  <c r="H296" i="176"/>
  <c r="H295" i="176"/>
  <c r="H294" i="176"/>
  <c r="H293" i="176"/>
  <c r="H292" i="176"/>
  <c r="H291" i="176"/>
  <c r="H290" i="176"/>
  <c r="H289" i="176"/>
  <c r="G345" i="176"/>
  <c r="G344" i="176"/>
  <c r="G343" i="176"/>
  <c r="C342" i="176"/>
  <c r="G342" i="176" s="1"/>
  <c r="G341" i="176"/>
  <c r="G340" i="176"/>
  <c r="G339" i="176"/>
  <c r="G338" i="176"/>
  <c r="G337" i="176"/>
  <c r="G336" i="176"/>
  <c r="G335" i="176"/>
  <c r="G334" i="176"/>
  <c r="G332" i="176"/>
  <c r="G331" i="176"/>
  <c r="G329" i="176"/>
  <c r="G328" i="176"/>
  <c r="G327" i="176"/>
  <c r="G325" i="176"/>
  <c r="G324" i="176"/>
  <c r="G323" i="176"/>
  <c r="G322" i="176"/>
  <c r="G321" i="176"/>
  <c r="G320" i="176"/>
  <c r="G319" i="176"/>
  <c r="G318" i="176"/>
  <c r="G317" i="176"/>
  <c r="G316" i="176"/>
  <c r="G314" i="176"/>
  <c r="G313" i="176"/>
  <c r="G312" i="176"/>
  <c r="G311" i="176"/>
  <c r="G310" i="176"/>
  <c r="G309" i="176"/>
  <c r="G308" i="176"/>
  <c r="G307" i="176"/>
  <c r="G306" i="176"/>
  <c r="G304" i="176"/>
  <c r="G303" i="176"/>
  <c r="G302" i="176"/>
  <c r="G301" i="176"/>
  <c r="G300" i="176"/>
  <c r="G299" i="176"/>
  <c r="G298" i="176"/>
  <c r="G297" i="176"/>
  <c r="G296" i="176"/>
  <c r="G295" i="176"/>
  <c r="G294" i="176"/>
  <c r="G293" i="176"/>
  <c r="G292" i="176"/>
  <c r="G291" i="176"/>
  <c r="G290" i="176"/>
  <c r="G289" i="176"/>
  <c r="C12" i="120"/>
  <c r="C12" i="122" s="1"/>
  <c r="C223" i="176"/>
  <c r="G223" i="176" s="1"/>
  <c r="C221" i="176"/>
  <c r="G222" i="176" s="1"/>
  <c r="C134" i="176"/>
  <c r="I134" i="176" s="1"/>
  <c r="C65" i="176"/>
  <c r="C63" i="176"/>
  <c r="G64" i="176" s="1"/>
  <c r="C12" i="176"/>
  <c r="G13" i="176" s="1"/>
  <c r="C10" i="176"/>
  <c r="G11" i="176" s="1"/>
  <c r="H77" i="176"/>
  <c r="H214" i="176"/>
  <c r="F147" i="176"/>
  <c r="G147" i="176" s="1"/>
  <c r="F146" i="176"/>
  <c r="G146" i="176" s="1"/>
  <c r="F173" i="176"/>
  <c r="G173" i="176" s="1"/>
  <c r="F174" i="176"/>
  <c r="G174" i="176" s="1"/>
  <c r="F172" i="176"/>
  <c r="F141" i="176"/>
  <c r="C25" i="120"/>
  <c r="C25" i="122" s="1"/>
  <c r="F247" i="176"/>
  <c r="G247" i="176" s="1"/>
  <c r="H252" i="176"/>
  <c r="H250" i="176"/>
  <c r="H248" i="176"/>
  <c r="C8" i="120"/>
  <c r="C8" i="122" s="1"/>
  <c r="K349" i="176" l="1"/>
  <c r="K407" i="176"/>
  <c r="K465" i="176"/>
  <c r="G134" i="176"/>
  <c r="G135" i="176"/>
  <c r="H523" i="176"/>
  <c r="G524" i="176"/>
  <c r="G65" i="176"/>
  <c r="G66" i="176"/>
  <c r="G559" i="176"/>
  <c r="H440" i="176"/>
  <c r="G541" i="176"/>
  <c r="H534" i="176"/>
  <c r="H172" i="176"/>
  <c r="G558" i="176"/>
  <c r="H525" i="176"/>
  <c r="H144" i="176"/>
  <c r="G534" i="176"/>
  <c r="G528" i="176"/>
  <c r="H105" i="176"/>
  <c r="I105" i="176" s="1"/>
  <c r="G305" i="176"/>
  <c r="K291" i="176" s="1"/>
  <c r="K523" i="176" l="1"/>
  <c r="J579" i="176"/>
  <c r="J580" i="176" s="1"/>
  <c r="F196" i="176"/>
  <c r="G196" i="176" s="1"/>
  <c r="F115" i="176"/>
  <c r="G115" i="176" s="1"/>
  <c r="F114" i="176"/>
  <c r="G114" i="176" s="1"/>
  <c r="F197" i="176"/>
  <c r="G197" i="176" s="1"/>
  <c r="F198" i="176"/>
  <c r="G198" i="176" s="1"/>
  <c r="H219" i="176"/>
  <c r="F62" i="176"/>
  <c r="F153" i="176"/>
  <c r="F42" i="176"/>
  <c r="G42" i="176" s="1"/>
  <c r="F157" i="176"/>
  <c r="C2" i="120"/>
  <c r="C2" i="122" s="1"/>
  <c r="F161" i="176"/>
  <c r="G161" i="176" s="1"/>
  <c r="F182" i="176"/>
  <c r="H182" i="176" s="1"/>
  <c r="F264" i="176"/>
  <c r="G264" i="176" s="1"/>
  <c r="F263" i="176"/>
  <c r="H152" i="176" l="1"/>
  <c r="G153" i="176"/>
  <c r="H194" i="176"/>
  <c r="F265" i="176" l="1"/>
  <c r="H263" i="176" l="1"/>
  <c r="G265" i="176"/>
  <c r="F167" i="176"/>
  <c r="F163" i="176"/>
  <c r="G163" i="176" s="1"/>
  <c r="H99" i="176"/>
  <c r="I99" i="176" s="1"/>
  <c r="F27" i="176"/>
  <c r="F246" i="176"/>
  <c r="H246" i="176" s="1"/>
  <c r="F240" i="176"/>
  <c r="H165" i="176" l="1"/>
  <c r="G167" i="176"/>
  <c r="H26" i="176"/>
  <c r="G27" i="176"/>
  <c r="C23" i="120"/>
  <c r="C23" i="122" s="1"/>
  <c r="K140" i="176"/>
  <c r="H168" i="176" l="1"/>
  <c r="G186" i="176"/>
  <c r="C22" i="120"/>
  <c r="C22" i="122" s="1"/>
  <c r="F188" i="176"/>
  <c r="G188" i="176" s="1"/>
  <c r="F158" i="176"/>
  <c r="F160" i="176"/>
  <c r="H160" i="176" s="1"/>
  <c r="C5" i="120"/>
  <c r="C5" i="122" s="1"/>
  <c r="F189" i="176"/>
  <c r="G189" i="176" s="1"/>
  <c r="H154" i="176"/>
  <c r="F143" i="176"/>
  <c r="F139" i="176"/>
  <c r="H139" i="176" s="1"/>
  <c r="G139" i="176"/>
  <c r="F175" i="176"/>
  <c r="H175" i="176" s="1"/>
  <c r="F185" i="176"/>
  <c r="F225" i="176"/>
  <c r="H225" i="176" s="1"/>
  <c r="C15" i="120"/>
  <c r="C15" i="122" s="1"/>
  <c r="H141" i="176" l="1"/>
  <c r="G143" i="176"/>
  <c r="H185" i="176"/>
  <c r="H157" i="176"/>
  <c r="G158" i="176"/>
  <c r="G169" i="176"/>
  <c r="C7" i="120"/>
  <c r="C7" i="122" s="1"/>
  <c r="C284" i="176" l="1"/>
  <c r="K231" i="176"/>
  <c r="G255" i="176"/>
  <c r="G257" i="176"/>
  <c r="G258" i="176"/>
  <c r="G259" i="176"/>
  <c r="G260" i="176"/>
  <c r="G261" i="176"/>
  <c r="G262" i="176"/>
  <c r="G263" i="176"/>
  <c r="G266" i="176"/>
  <c r="G268" i="176"/>
  <c r="G269" i="176"/>
  <c r="G270" i="176"/>
  <c r="G272" i="176"/>
  <c r="G273" i="176"/>
  <c r="G275" i="176"/>
  <c r="G276" i="176"/>
  <c r="G278" i="176"/>
  <c r="G279" i="176"/>
  <c r="G280" i="176"/>
  <c r="G281" i="176"/>
  <c r="G282" i="176"/>
  <c r="G283" i="176"/>
  <c r="G284" i="176"/>
  <c r="G285" i="176"/>
  <c r="G286" i="176"/>
  <c r="G287" i="176"/>
  <c r="H231" i="176"/>
  <c r="H232" i="176"/>
  <c r="H233" i="176"/>
  <c r="H234" i="176"/>
  <c r="H235" i="176"/>
  <c r="H236" i="176"/>
  <c r="H237" i="176"/>
  <c r="H238" i="176"/>
  <c r="H239" i="176"/>
  <c r="H240" i="176"/>
  <c r="H241" i="176"/>
  <c r="H242" i="176"/>
  <c r="H243" i="176"/>
  <c r="H244" i="176"/>
  <c r="H245" i="176"/>
  <c r="H254" i="176"/>
  <c r="H255" i="176"/>
  <c r="H257" i="176"/>
  <c r="H258" i="176"/>
  <c r="H259" i="176"/>
  <c r="H260" i="176"/>
  <c r="H261" i="176"/>
  <c r="H262" i="176"/>
  <c r="H266" i="176"/>
  <c r="H268" i="176"/>
  <c r="H269" i="176"/>
  <c r="H270" i="176"/>
  <c r="H272" i="176"/>
  <c r="H273" i="176"/>
  <c r="H275" i="176"/>
  <c r="H278" i="176"/>
  <c r="H279" i="176"/>
  <c r="H280" i="176"/>
  <c r="H281" i="176"/>
  <c r="H282" i="176"/>
  <c r="H283" i="176"/>
  <c r="H284" i="176"/>
  <c r="H285" i="176"/>
  <c r="H286" i="176"/>
  <c r="H287" i="176"/>
  <c r="H230" i="176"/>
  <c r="H85" i="176"/>
  <c r="I85" i="176" s="1"/>
  <c r="C17" i="120"/>
  <c r="C17" i="122" s="1"/>
  <c r="F20" i="176"/>
  <c r="G20" i="176" s="1"/>
  <c r="F43" i="176" l="1"/>
  <c r="G43" i="176" s="1"/>
  <c r="C4" i="120"/>
  <c r="C4" i="122" s="1"/>
  <c r="F95" i="176"/>
  <c r="H95" i="176" s="1"/>
  <c r="I95" i="176" s="1"/>
  <c r="F113" i="176"/>
  <c r="H113" i="176" s="1"/>
  <c r="I113" i="176" s="1"/>
  <c r="F44" i="176"/>
  <c r="H44" i="176" s="1"/>
  <c r="F41" i="176"/>
  <c r="H41" i="176" s="1"/>
  <c r="C191" i="176"/>
  <c r="G191" i="176" s="1"/>
  <c r="G141" i="176"/>
  <c r="G144" i="176"/>
  <c r="G148" i="176"/>
  <c r="H148" i="176"/>
  <c r="G149" i="176"/>
  <c r="H149" i="176"/>
  <c r="G150" i="176"/>
  <c r="H150" i="176"/>
  <c r="G151" i="176"/>
  <c r="H151" i="176"/>
  <c r="G152" i="176"/>
  <c r="G154" i="176"/>
  <c r="G156" i="176"/>
  <c r="H156" i="176"/>
  <c r="G157" i="176"/>
  <c r="G159" i="176"/>
  <c r="H159" i="176"/>
  <c r="G160" i="176"/>
  <c r="G164" i="176"/>
  <c r="H164" i="176"/>
  <c r="G165" i="176"/>
  <c r="G168" i="176"/>
  <c r="G170" i="176"/>
  <c r="H170" i="176"/>
  <c r="G171" i="176"/>
  <c r="H171" i="176"/>
  <c r="G172" i="176"/>
  <c r="G175" i="176"/>
  <c r="G178" i="176"/>
  <c r="H178" i="176"/>
  <c r="G179" i="176"/>
  <c r="G181" i="176"/>
  <c r="H181" i="176"/>
  <c r="G182" i="176"/>
  <c r="G185" i="176"/>
  <c r="G190" i="176"/>
  <c r="H190" i="176"/>
  <c r="H191" i="176"/>
  <c r="G192" i="176"/>
  <c r="H192" i="176"/>
  <c r="G193" i="176"/>
  <c r="H193" i="176"/>
  <c r="G194" i="176"/>
  <c r="G199" i="176"/>
  <c r="H199" i="176"/>
  <c r="G201" i="176"/>
  <c r="H201" i="176"/>
  <c r="G202" i="176"/>
  <c r="H202" i="176"/>
  <c r="G203" i="176"/>
  <c r="H203" i="176"/>
  <c r="G205" i="176"/>
  <c r="H205" i="176"/>
  <c r="G206" i="176"/>
  <c r="H206" i="176"/>
  <c r="G208" i="176"/>
  <c r="G210" i="176"/>
  <c r="G213" i="176"/>
  <c r="H213" i="176"/>
  <c r="G214" i="176"/>
  <c r="G216" i="176"/>
  <c r="H216" i="176"/>
  <c r="G217" i="176"/>
  <c r="H217" i="176"/>
  <c r="G218" i="176"/>
  <c r="H218" i="176"/>
  <c r="G219" i="176"/>
  <c r="G221" i="176"/>
  <c r="G224" i="176"/>
  <c r="H224" i="176"/>
  <c r="G225" i="176"/>
  <c r="G227" i="176"/>
  <c r="G230" i="176"/>
  <c r="G231" i="176"/>
  <c r="G232" i="176"/>
  <c r="G233" i="176"/>
  <c r="G234" i="176"/>
  <c r="G235" i="176"/>
  <c r="G236" i="176"/>
  <c r="G237" i="176"/>
  <c r="G238" i="176"/>
  <c r="G239" i="176"/>
  <c r="G240" i="176"/>
  <c r="G241" i="176"/>
  <c r="G242" i="176"/>
  <c r="G243" i="176"/>
  <c r="G244" i="176"/>
  <c r="G245" i="176"/>
  <c r="G246" i="176"/>
  <c r="G248" i="176"/>
  <c r="G250" i="176"/>
  <c r="G252" i="176"/>
  <c r="G254" i="176"/>
  <c r="G136" i="176"/>
  <c r="H136" i="176"/>
  <c r="I136" i="176" s="1"/>
  <c r="G137" i="176"/>
  <c r="H137" i="176"/>
  <c r="I137" i="176" s="1"/>
  <c r="K83" i="176" s="1"/>
  <c r="H133" i="176"/>
  <c r="I133" i="176" s="1"/>
  <c r="G133" i="176"/>
  <c r="H132" i="176"/>
  <c r="I132" i="176" s="1"/>
  <c r="G132" i="176"/>
  <c r="H131" i="176"/>
  <c r="I131" i="176" s="1"/>
  <c r="G131" i="176"/>
  <c r="H130" i="176"/>
  <c r="I130" i="176" s="1"/>
  <c r="G130" i="176"/>
  <c r="H129" i="176"/>
  <c r="I129" i="176" s="1"/>
  <c r="G129" i="176"/>
  <c r="G127" i="176"/>
  <c r="G125" i="176"/>
  <c r="H124" i="176"/>
  <c r="I124" i="176" s="1"/>
  <c r="G124" i="176"/>
  <c r="H122" i="176"/>
  <c r="I122" i="176" s="1"/>
  <c r="G122" i="176"/>
  <c r="G120" i="176"/>
  <c r="H118" i="176"/>
  <c r="I118" i="176" s="1"/>
  <c r="G118" i="176"/>
  <c r="H111" i="176"/>
  <c r="I111" i="176" s="1"/>
  <c r="H116" i="176"/>
  <c r="I116" i="176" s="1"/>
  <c r="H112" i="176"/>
  <c r="I112" i="176" s="1"/>
  <c r="H110" i="176"/>
  <c r="I110" i="176" s="1"/>
  <c r="H109" i="176"/>
  <c r="I109" i="176" s="1"/>
  <c r="H108" i="176"/>
  <c r="I108" i="176" s="1"/>
  <c r="G116" i="176"/>
  <c r="G112" i="176"/>
  <c r="G111" i="176"/>
  <c r="G110" i="176"/>
  <c r="G109" i="176"/>
  <c r="G108" i="176"/>
  <c r="H81" i="176"/>
  <c r="I81" i="176" s="1"/>
  <c r="H82" i="176"/>
  <c r="I82" i="176" s="1"/>
  <c r="H83" i="176"/>
  <c r="I83" i="176" s="1"/>
  <c r="H84" i="176"/>
  <c r="I84" i="176" s="1"/>
  <c r="H87" i="176"/>
  <c r="I87" i="176" s="1"/>
  <c r="H88" i="176"/>
  <c r="I88" i="176" s="1"/>
  <c r="H89" i="176"/>
  <c r="I89" i="176" s="1"/>
  <c r="H91" i="176"/>
  <c r="I91" i="176" s="1"/>
  <c r="H92" i="176"/>
  <c r="I92" i="176" s="1"/>
  <c r="H93" i="176"/>
  <c r="I93" i="176" s="1"/>
  <c r="H94" i="176"/>
  <c r="I94" i="176" s="1"/>
  <c r="H98" i="176"/>
  <c r="I98" i="176" s="1"/>
  <c r="H101" i="176"/>
  <c r="I101" i="176" s="1"/>
  <c r="H102" i="176"/>
  <c r="I102" i="176" s="1"/>
  <c r="H103" i="176"/>
  <c r="I103" i="176" s="1"/>
  <c r="H104" i="176"/>
  <c r="I104" i="176" s="1"/>
  <c r="H106" i="176"/>
  <c r="I106" i="176" s="1"/>
  <c r="H80" i="176"/>
  <c r="I80" i="176" s="1"/>
  <c r="G106" i="176"/>
  <c r="G104" i="176"/>
  <c r="G103" i="176"/>
  <c r="G102" i="176"/>
  <c r="G101" i="176"/>
  <c r="G99" i="176"/>
  <c r="G98" i="176"/>
  <c r="G95" i="176"/>
  <c r="G94" i="176"/>
  <c r="G93" i="176"/>
  <c r="G92" i="176"/>
  <c r="G91" i="176"/>
  <c r="G89" i="176"/>
  <c r="G88" i="176"/>
  <c r="G87" i="176"/>
  <c r="G85" i="176"/>
  <c r="G84" i="176"/>
  <c r="G83" i="176"/>
  <c r="G82" i="176"/>
  <c r="G81" i="176"/>
  <c r="G80" i="176"/>
  <c r="H76" i="176"/>
  <c r="H75" i="176"/>
  <c r="H74" i="176"/>
  <c r="H73" i="176"/>
  <c r="H72" i="176"/>
  <c r="H68" i="176"/>
  <c r="H62" i="176"/>
  <c r="H61" i="176"/>
  <c r="H60" i="176"/>
  <c r="H59" i="176"/>
  <c r="H58" i="176"/>
  <c r="H50" i="176"/>
  <c r="H49" i="176"/>
  <c r="H47" i="176"/>
  <c r="H40" i="176"/>
  <c r="H36" i="176"/>
  <c r="H34" i="176"/>
  <c r="H33" i="176"/>
  <c r="H31" i="176"/>
  <c r="H30" i="176"/>
  <c r="H28" i="176"/>
  <c r="H25" i="176"/>
  <c r="H23" i="176"/>
  <c r="H20" i="176"/>
  <c r="H19" i="176"/>
  <c r="K141" i="176" l="1"/>
  <c r="K142" i="176" s="1"/>
  <c r="K232" i="176"/>
  <c r="G113" i="176"/>
  <c r="K82" i="176" s="1"/>
  <c r="G44" i="176"/>
  <c r="G38" i="176" l="1"/>
  <c r="H37" i="176" l="1"/>
  <c r="G12" i="176"/>
  <c r="G32" i="176" l="1"/>
  <c r="G29" i="176"/>
  <c r="G15" i="176"/>
  <c r="G10" i="176"/>
  <c r="G9" i="176"/>
  <c r="G77" i="176"/>
  <c r="G76" i="176"/>
  <c r="G75" i="176"/>
  <c r="G74" i="176"/>
  <c r="G73" i="176"/>
  <c r="G72" i="176"/>
  <c r="G69" i="176"/>
  <c r="G68" i="176"/>
  <c r="G63" i="176"/>
  <c r="G62" i="176"/>
  <c r="G61" i="176"/>
  <c r="G60" i="176"/>
  <c r="G59" i="176"/>
  <c r="G58" i="176"/>
  <c r="G56" i="176"/>
  <c r="G54" i="176"/>
  <c r="G52" i="176"/>
  <c r="G50" i="176"/>
  <c r="G49" i="176"/>
  <c r="G47" i="176"/>
  <c r="C40" i="176"/>
  <c r="G40" i="176" s="1"/>
  <c r="G39" i="176"/>
  <c r="G37" i="176"/>
  <c r="G36" i="176"/>
  <c r="G34" i="176"/>
  <c r="G33" i="176"/>
  <c r="G30" i="176"/>
  <c r="G25" i="176"/>
  <c r="G24" i="176"/>
  <c r="G23" i="176"/>
  <c r="G22" i="176"/>
  <c r="G19" i="176"/>
  <c r="G31" i="176" l="1"/>
  <c r="G28" i="176"/>
  <c r="G41" i="176"/>
  <c r="K22" i="176" l="1"/>
  <c r="K23" i="176" s="1"/>
  <c r="B12" i="6"/>
  <c r="B13" i="6" s="1"/>
  <c r="B14" i="6" s="1"/>
  <c r="B5" i="6"/>
  <c r="B4" i="6"/>
  <c r="E4" i="6" s="1"/>
  <c r="E5" i="6" s="1"/>
  <c r="E6" i="6" s="1"/>
  <c r="B6" i="6" l="1"/>
  <c r="B7" i="6" s="1"/>
  <c r="B16" i="6" s="1"/>
  <c r="B17" i="6" s="1"/>
  <c r="E9" i="6" s="1"/>
</calcChain>
</file>

<file path=xl/comments1.xml><?xml version="1.0" encoding="utf-8"?>
<comments xmlns="http://schemas.openxmlformats.org/spreadsheetml/2006/main">
  <authors>
    <author>asus</author>
    <author>servidor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 + desbarate relojera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servidor:</t>
        </r>
        <r>
          <rPr>
            <sz val="9"/>
            <color indexed="81"/>
            <rFont val="Tahoma"/>
            <family val="2"/>
          </rPr>
          <t xml:space="preserve">
24 MUESTRAS ENSANDUCHADAS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20 MUESTRAS CONFECCIONADAS UN DOMINGO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arreglos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arreglos relojera 1829 + muestras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MUESTRAS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20 MUESTRAS CONFECCIONADAS UN DOMINGO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DESBARATE</t>
        </r>
      </text>
    </comment>
  </commentList>
</comments>
</file>

<file path=xl/sharedStrings.xml><?xml version="1.0" encoding="utf-8"?>
<sst xmlns="http://schemas.openxmlformats.org/spreadsheetml/2006/main" count="1423" uniqueCount="211">
  <si>
    <t>Jornada Laboral en Horas(Lunes a Viernes)</t>
  </si>
  <si>
    <t>Unidades a producir de Lunes a Viernes</t>
  </si>
  <si>
    <t>Unidades diarias al 70%</t>
  </si>
  <si>
    <t>Jornada Laboral en Minutos netos (Lunes a Viernes)</t>
  </si>
  <si>
    <t>Sam Prenda en Minutos</t>
  </si>
  <si>
    <t>N° Operarios</t>
  </si>
  <si>
    <t>N° Operarios al 100%</t>
  </si>
  <si>
    <t>N° Operarios al 70%</t>
  </si>
  <si>
    <t>Para Establecer Número de Operarios Según Demanda del Cliente</t>
  </si>
  <si>
    <t>Jornada Laboral en Minutos</t>
  </si>
  <si>
    <t>Sam</t>
  </si>
  <si>
    <t>Unidades diarias al 100%</t>
  </si>
  <si>
    <t>Jornada Laboral Sábado en Minutos Netos</t>
  </si>
  <si>
    <t>Takt (min/unidad)</t>
  </si>
  <si>
    <t>Unidades a Producir</t>
  </si>
  <si>
    <t>Producción Semanal</t>
  </si>
  <si>
    <t>Producción Mensual</t>
  </si>
  <si>
    <t>Facturación Mensual</t>
  </si>
  <si>
    <t>PRECIOS ESTIMADOS DE CONFECCION X PRENDA MAQUITEX</t>
  </si>
  <si>
    <t>DELANTEROS</t>
  </si>
  <si>
    <t>ENSAMBLE</t>
  </si>
  <si>
    <t>VICTOR ARIAS</t>
  </si>
  <si>
    <t>Filetear aletilla, recogiendo</t>
  </si>
  <si>
    <t>Filetear aletillón, recogiendo</t>
  </si>
  <si>
    <t>Filetear Delantero</t>
  </si>
  <si>
    <t>Prender relojera en 2 agujas</t>
  </si>
  <si>
    <t>Revocar relojera</t>
  </si>
  <si>
    <t>Prender vistas y falsos</t>
  </si>
  <si>
    <t>Recoger de collarín</t>
  </si>
  <si>
    <t>Cerrar talega</t>
  </si>
  <si>
    <t>Recoger talega</t>
  </si>
  <si>
    <t>Prender bolsillo</t>
  </si>
  <si>
    <t>Recoger bolsillo pespuntado</t>
  </si>
  <si>
    <t>Fijar delantero</t>
  </si>
  <si>
    <t>Prender cierre a aletilla</t>
  </si>
  <si>
    <t>Prender talla a aletillón</t>
  </si>
  <si>
    <t>Prender aletillón a aletilla</t>
  </si>
  <si>
    <t>Preparar delantero</t>
  </si>
  <si>
    <t>Hacer jota y encaje</t>
  </si>
  <si>
    <t>TRASEROS</t>
  </si>
  <si>
    <t>Recoger bolsillo fileteado</t>
  </si>
  <si>
    <t>Pespuntar parche x2 en 2 agujas</t>
  </si>
  <si>
    <t>Presillar bolsillo parche x2 (1 presilla)</t>
  </si>
  <si>
    <t>Marcar trasero</t>
  </si>
  <si>
    <t>Quebrar bolsillo parche</t>
  </si>
  <si>
    <t>Revocar, ensamblar y marcar para lateral corto</t>
  </si>
  <si>
    <t>PRETINA</t>
  </si>
  <si>
    <t>Separar pretinas</t>
  </si>
  <si>
    <t>Marcar pretina para prender</t>
  </si>
  <si>
    <t>Unir pretina</t>
  </si>
  <si>
    <t>PASADORES</t>
  </si>
  <si>
    <t>Hacer pasadores x8</t>
  </si>
  <si>
    <t>Recortar pasadores</t>
  </si>
  <si>
    <t>Cerrar entrepierna</t>
  </si>
  <si>
    <t>Pespuntar entrepierna</t>
  </si>
  <si>
    <t>Cerrar laterales</t>
  </si>
  <si>
    <t>Pespuntar lateral corto</t>
  </si>
  <si>
    <t>Hacer ruedo</t>
  </si>
  <si>
    <t>Prender pretina fijando pasadores traseros</t>
  </si>
  <si>
    <t>Recoger y revocar puntas</t>
  </si>
  <si>
    <t>Hacer puntas</t>
  </si>
  <si>
    <t>Dobladillar relojera en 2 agujas</t>
  </si>
  <si>
    <t>Recoger relojera dobladillada</t>
  </si>
  <si>
    <t>Prender relojera en plana (entalegada). Con pespunte decorativo corto</t>
  </si>
  <si>
    <t>Pespuntar bolsillo a 1/4</t>
  </si>
  <si>
    <t>Ojalar</t>
  </si>
  <si>
    <t>Prender garra y marquilla de instrucción</t>
  </si>
  <si>
    <t>Pegar tache</t>
  </si>
  <si>
    <t>Pegar botón</t>
  </si>
  <si>
    <t>Planchar en prensa</t>
  </si>
  <si>
    <t>Planchar en topper abriendo ojal</t>
  </si>
  <si>
    <t>Doblar jean</t>
  </si>
  <si>
    <t>Marquillar pantalón</t>
  </si>
  <si>
    <t>PRESENTACIÓN</t>
  </si>
  <si>
    <t>Filetear bolsillo parche</t>
  </si>
  <si>
    <t>Hacer alforza parche x2</t>
  </si>
  <si>
    <t>Hacer primera costura parche</t>
  </si>
  <si>
    <t>Prender garra</t>
  </si>
  <si>
    <t>Presillar pantalón x 24</t>
  </si>
  <si>
    <t>Unir parche en fileteadora</t>
  </si>
  <si>
    <t>LILIA ELENA CASTAÑEDA</t>
  </si>
  <si>
    <t>GABY MILENA VELEZ</t>
  </si>
  <si>
    <t>LUZ ADRIANA AGUDELO</t>
  </si>
  <si>
    <t>JHON ALEXANDER PEREZ</t>
  </si>
  <si>
    <t>CARLOS ADRIAN GARCIA TUBERQUIA</t>
  </si>
  <si>
    <t>MARIA EUGENIA DAGUA SILVA</t>
  </si>
  <si>
    <t>DIANA MILENA MARIN RESTREPO</t>
  </si>
  <si>
    <t>GEOVANY GONZALEZ CARDONA</t>
  </si>
  <si>
    <t>JOHANI JARAMILLO GRAJAJEZ</t>
  </si>
  <si>
    <t>DEINER MEJIA ARANGO</t>
  </si>
  <si>
    <t>JESUS FABIAN MOROS RODRIGUEZ</t>
  </si>
  <si>
    <t>CLAUDIA PATRICIA VERGARA PINO</t>
  </si>
  <si>
    <t>ANGELY JARAMILLO GRAJALES</t>
  </si>
  <si>
    <t>LAURA MARIA NOVOA OBANDO</t>
  </si>
  <si>
    <t>MARIA ROSMIRA SANCHEZ DE VELEZ</t>
  </si>
  <si>
    <t>LUCY TASAMA GIRALDO</t>
  </si>
  <si>
    <t>ANGELA CRISTINA OSSA BERRIO</t>
  </si>
  <si>
    <t>RUTH PATRICIA URBINA FARINAS</t>
  </si>
  <si>
    <t>INGRID LORENA RINCON SANTACRUZ</t>
  </si>
  <si>
    <t>MARIA ELISENIA HERNANDEZ HERNANDEZ</t>
  </si>
  <si>
    <t>DIANA MARIA GONZALEZ CORTEZ</t>
  </si>
  <si>
    <t>LUZ ADRIANA HINCAPIE MEJIA</t>
  </si>
  <si>
    <t>DORADILIA OVIEDO ACEVEDO</t>
  </si>
  <si>
    <t>JAKELINE QUIMBAYO BARTOLO</t>
  </si>
  <si>
    <t>DIANA SHIRLEY GOMEZ CORDOBA</t>
  </si>
  <si>
    <t>SHIRLEY JIMENA RESTREPO GONZALEZ</t>
  </si>
  <si>
    <t>JESSICA LORENA MOLINA TAPASCO</t>
  </si>
  <si>
    <t>WUALDERSON ALFONSO RODRIGUEZ CONTRERAS</t>
  </si>
  <si>
    <t>Unir relojera en fileteadora</t>
  </si>
  <si>
    <t>Recoger relojera unida</t>
  </si>
  <si>
    <t>Pespuntar relojera</t>
  </si>
  <si>
    <t>Prender talega</t>
  </si>
  <si>
    <t>Pespuntar boca a 1/4 en 2 agujas</t>
  </si>
  <si>
    <t>Recoger boca pespuntada</t>
  </si>
  <si>
    <t>Hacer tercera costura de boca</t>
  </si>
  <si>
    <t>CANTIDAD LOTE</t>
  </si>
  <si>
    <t>COSTO UNITARIO LOTE</t>
  </si>
  <si>
    <t>COSTO TOTAL LOTE</t>
  </si>
  <si>
    <t>2252R</t>
  </si>
  <si>
    <t>JULIAN SANCHÉZ RODRIGUEZ</t>
  </si>
  <si>
    <t>Filetear aletilla</t>
  </si>
  <si>
    <t>Recoger aletilla</t>
  </si>
  <si>
    <t>Filetear aletillón</t>
  </si>
  <si>
    <t>Recoger aletillón</t>
  </si>
  <si>
    <t>Prender relojera en 2 agujas (costura empieza desde la vista)</t>
  </si>
  <si>
    <t>Unir tiro trasero</t>
  </si>
  <si>
    <t>Dobladillar bolsillo parche</t>
  </si>
  <si>
    <t>Recoger bolsillo dobladillado</t>
  </si>
  <si>
    <t>Parchar</t>
  </si>
  <si>
    <t>Hacer segunda costura parche</t>
  </si>
  <si>
    <t>LUZMILA SÁNCHEZ</t>
  </si>
  <si>
    <t>Prender vistas</t>
  </si>
  <si>
    <t>Z001</t>
  </si>
  <si>
    <t>Quebrar borde bolsillo parche</t>
  </si>
  <si>
    <t>Hacer primera y segunda de parche</t>
  </si>
  <si>
    <t>Hacer pasadores x6</t>
  </si>
  <si>
    <t>Presillar pantalón x 22</t>
  </si>
  <si>
    <t>Fijar relojera</t>
  </si>
  <si>
    <t>FELIPE OSORIO</t>
  </si>
  <si>
    <t>PENDIENTE X LIQUIDAR</t>
  </si>
  <si>
    <t>ANDRÉS FELIPE FLORÉZ TUBERQUIA</t>
  </si>
  <si>
    <t>OLGA ROMÁN</t>
  </si>
  <si>
    <t>Presillar pantalón x 26</t>
  </si>
  <si>
    <t>Presillar pantalón x 20</t>
  </si>
  <si>
    <t>Presillar pantalón x 28</t>
  </si>
  <si>
    <t>Z002</t>
  </si>
  <si>
    <t>Z003</t>
  </si>
  <si>
    <t>Z004</t>
  </si>
  <si>
    <t>Z005</t>
  </si>
  <si>
    <t>Z006</t>
  </si>
  <si>
    <t>Prender garra pequeña</t>
  </si>
  <si>
    <t>Marquilla talla</t>
  </si>
  <si>
    <t>LOTE</t>
  </si>
  <si>
    <t>OPERACION</t>
  </si>
  <si>
    <t>Costo x prenda</t>
  </si>
  <si>
    <t>cod. Operario</t>
  </si>
  <si>
    <t>operario</t>
  </si>
  <si>
    <t>Unidades total dia</t>
  </si>
  <si>
    <t>Salario día ($)</t>
  </si>
  <si>
    <t>total</t>
  </si>
  <si>
    <t>filetear vistas</t>
  </si>
  <si>
    <t>PTE X LIQUIDAR</t>
  </si>
  <si>
    <t>PAGO QUINCENA ANTERIOR</t>
  </si>
  <si>
    <t>PAGO QUINC. 1 AL 15 SEPT.</t>
  </si>
  <si>
    <t>PAGAR</t>
  </si>
  <si>
    <t>YA SE PAGO</t>
  </si>
  <si>
    <t>X PAGAR</t>
  </si>
  <si>
    <t>POR PAGAR</t>
  </si>
  <si>
    <t>Etiquetas de fila</t>
  </si>
  <si>
    <t>(en blanco)</t>
  </si>
  <si>
    <t>Total general</t>
  </si>
  <si>
    <t>Suma de Salario día ($)</t>
  </si>
  <si>
    <t>proyecto confecciones 1a</t>
  </si>
  <si>
    <t>IDENTIFICACION DE TABLAS  PARA PAGO DE PROCESO LIQUIDACION MAQUITEX</t>
  </si>
  <si>
    <t>OPERARIO</t>
  </si>
  <si>
    <t>id</t>
  </si>
  <si>
    <t>nombre  compleo</t>
  </si>
  <si>
    <t>direccion</t>
  </si>
  <si>
    <t>telefono</t>
  </si>
  <si>
    <t>cargo</t>
  </si>
  <si>
    <t>email</t>
  </si>
  <si>
    <t xml:space="preserve">id </t>
  </si>
  <si>
    <t>Proceso</t>
  </si>
  <si>
    <t>Reproceso</t>
  </si>
  <si>
    <t>Nombre Proceso</t>
  </si>
  <si>
    <t>Cantidad del lote</t>
  </si>
  <si>
    <t>Delentero</t>
  </si>
  <si>
    <t>Trasero</t>
  </si>
  <si>
    <t>Pretina</t>
  </si>
  <si>
    <t>Pasadores</t>
  </si>
  <si>
    <t>Ensamble</t>
  </si>
  <si>
    <t>fecha</t>
  </si>
  <si>
    <t>operación</t>
  </si>
  <si>
    <t>costo x prenda</t>
  </si>
  <si>
    <t>codigo operador</t>
  </si>
  <si>
    <t>nombre operador</t>
  </si>
  <si>
    <t>unidad total dia</t>
  </si>
  <si>
    <t>salario dia</t>
  </si>
  <si>
    <t>Otros</t>
  </si>
  <si>
    <t>Nombre de operario</t>
  </si>
  <si>
    <t># de lote</t>
  </si>
  <si>
    <t>Cantidad</t>
  </si>
  <si>
    <t>Observaciones</t>
  </si>
  <si>
    <t>CAMPOS</t>
  </si>
  <si>
    <t>OPERACIONES</t>
  </si>
  <si>
    <t>TABLAS</t>
  </si>
  <si>
    <t>CANTIDAD</t>
  </si>
  <si>
    <t>identificacion Proceso</t>
  </si>
  <si>
    <t>INFORMES</t>
  </si>
  <si>
    <t>TOTAL</t>
  </si>
  <si>
    <t>salario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</si>
</sst>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0.000"/>
    <numFmt numFmtId="165" formatCode="_-&quot;$&quot;* #,##0_-;\-&quot;$&quot;* #,##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Segoe UI"/>
      <family val="2"/>
    </font>
    <font>
      <sz val="16"/>
      <color theme="1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FCD3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/>
    </xf>
    <xf numFmtId="0" fontId="3" fillId="0" borderId="0" xfId="0" applyFont="1"/>
    <xf numFmtId="1" fontId="3" fillId="0" borderId="1" xfId="0" applyNumberFormat="1" applyFont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42" fontId="3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2" xfId="0" applyBorder="1"/>
    <xf numFmtId="0" fontId="5" fillId="0" borderId="0" xfId="0" applyFont="1"/>
    <xf numFmtId="0" fontId="0" fillId="0" borderId="2" xfId="0" applyFill="1" applyBorder="1"/>
    <xf numFmtId="0" fontId="0" fillId="0" borderId="0" xfId="0" applyFill="1"/>
    <xf numFmtId="0" fontId="7" fillId="0" borderId="2" xfId="0" applyFont="1" applyFill="1" applyBorder="1"/>
    <xf numFmtId="0" fontId="0" fillId="0" borderId="2" xfId="0" applyFill="1" applyBorder="1" applyAlignment="1">
      <alignment wrapText="1"/>
    </xf>
    <xf numFmtId="0" fontId="8" fillId="0" borderId="2" xfId="0" applyFont="1" applyFill="1" applyBorder="1"/>
    <xf numFmtId="41" fontId="0" fillId="0" borderId="0" xfId="0" applyNumberFormat="1"/>
    <xf numFmtId="165" fontId="0" fillId="0" borderId="2" xfId="2" applyNumberFormat="1" applyFont="1" applyBorder="1"/>
    <xf numFmtId="0" fontId="0" fillId="0" borderId="2" xfId="0" applyBorder="1" applyAlignment="1">
      <alignment wrapText="1"/>
    </xf>
    <xf numFmtId="0" fontId="0" fillId="5" borderId="2" xfId="0" applyFill="1" applyBorder="1"/>
    <xf numFmtId="0" fontId="0" fillId="5" borderId="9" xfId="0" applyFill="1" applyBorder="1"/>
    <xf numFmtId="165" fontId="0" fillId="0" borderId="9" xfId="2" applyNumberFormat="1" applyFont="1" applyFill="1" applyBorder="1"/>
    <xf numFmtId="0" fontId="0" fillId="5" borderId="2" xfId="0" applyFill="1" applyBorder="1" applyAlignment="1">
      <alignment wrapText="1"/>
    </xf>
    <xf numFmtId="165" fontId="0" fillId="0" borderId="2" xfId="2" applyNumberFormat="1" applyFont="1" applyFill="1" applyBorder="1"/>
    <xf numFmtId="0" fontId="0" fillId="0" borderId="4" xfId="0" applyFill="1" applyBorder="1" applyAlignment="1">
      <alignment wrapText="1"/>
    </xf>
    <xf numFmtId="0" fontId="7" fillId="0" borderId="0" xfId="0" applyFont="1"/>
    <xf numFmtId="0" fontId="9" fillId="0" borderId="2" xfId="0" applyNumberFormat="1" applyFont="1" applyFill="1" applyBorder="1" applyAlignment="1" applyProtection="1">
      <alignment horizontal="left" vertical="top" wrapText="1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8" borderId="4" xfId="0" applyFont="1" applyFill="1" applyBorder="1" applyAlignment="1"/>
    <xf numFmtId="0" fontId="6" fillId="7" borderId="0" xfId="0" applyFont="1" applyFill="1" applyAlignment="1">
      <alignment horizontal="center"/>
    </xf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6" fillId="6" borderId="3" xfId="0" applyFont="1" applyFill="1" applyBorder="1" applyAlignment="1"/>
    <xf numFmtId="0" fontId="6" fillId="10" borderId="3" xfId="0" applyFont="1" applyFill="1" applyBorder="1" applyAlignment="1"/>
    <xf numFmtId="0" fontId="6" fillId="10" borderId="0" xfId="0" applyFont="1" applyFill="1" applyAlignment="1">
      <alignment horizontal="center"/>
    </xf>
    <xf numFmtId="165" fontId="0" fillId="9" borderId="2" xfId="2" applyNumberFormat="1" applyFont="1" applyFill="1" applyBorder="1"/>
    <xf numFmtId="0" fontId="6" fillId="10" borderId="4" xfId="0" applyFont="1" applyFill="1" applyBorder="1" applyAlignment="1"/>
    <xf numFmtId="0" fontId="0" fillId="4" borderId="2" xfId="0" applyFill="1" applyBorder="1"/>
    <xf numFmtId="165" fontId="0" fillId="4" borderId="2" xfId="2" applyNumberFormat="1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/>
    <xf numFmtId="0" fontId="11" fillId="0" borderId="2" xfId="0" applyNumberFormat="1" applyFont="1" applyFill="1" applyBorder="1" applyAlignment="1" applyProtection="1">
      <alignment horizontal="center" vertical="top" wrapText="1"/>
    </xf>
    <xf numFmtId="0" fontId="11" fillId="0" borderId="2" xfId="0" applyNumberFormat="1" applyFont="1" applyFill="1" applyBorder="1" applyAlignment="1" applyProtection="1">
      <alignment horizontal="left" vertical="top" wrapText="1"/>
    </xf>
    <xf numFmtId="0" fontId="6" fillId="11" borderId="3" xfId="0" applyFont="1" applyFill="1" applyBorder="1" applyAlignment="1"/>
    <xf numFmtId="0" fontId="6" fillId="11" borderId="4" xfId="0" applyFont="1" applyFill="1" applyBorder="1" applyAlignment="1"/>
    <xf numFmtId="0" fontId="6" fillId="11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/>
    <xf numFmtId="0" fontId="6" fillId="13" borderId="3" xfId="0" applyFont="1" applyFill="1" applyBorder="1" applyAlignment="1"/>
    <xf numFmtId="0" fontId="6" fillId="14" borderId="3" xfId="0" applyFont="1" applyFill="1" applyBorder="1" applyAlignment="1"/>
    <xf numFmtId="0" fontId="6" fillId="14" borderId="0" xfId="0" applyFont="1" applyFill="1" applyAlignment="1">
      <alignment horizontal="center"/>
    </xf>
    <xf numFmtId="0" fontId="6" fillId="15" borderId="3" xfId="0" applyFont="1" applyFill="1" applyBorder="1" applyAlignment="1"/>
    <xf numFmtId="0" fontId="6" fillId="15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6" borderId="3" xfId="0" applyFont="1" applyFill="1" applyBorder="1" applyAlignment="1"/>
    <xf numFmtId="0" fontId="6" fillId="16" borderId="0" xfId="0" applyFont="1" applyFill="1" applyAlignment="1">
      <alignment horizontal="center"/>
    </xf>
    <xf numFmtId="0" fontId="6" fillId="17" borderId="3" xfId="0" applyFont="1" applyFill="1" applyBorder="1" applyAlignment="1"/>
    <xf numFmtId="0" fontId="6" fillId="17" borderId="0" xfId="0" applyFont="1" applyFill="1" applyAlignment="1">
      <alignment horizontal="center"/>
    </xf>
    <xf numFmtId="44" fontId="6" fillId="17" borderId="0" xfId="2" applyFont="1" applyFill="1"/>
    <xf numFmtId="0" fontId="0" fillId="0" borderId="0" xfId="0" applyAlignment="1">
      <alignment horizontal="center"/>
    </xf>
    <xf numFmtId="0" fontId="14" fillId="18" borderId="2" xfId="0" applyFont="1" applyFill="1" applyBorder="1" applyAlignment="1">
      <alignment vertical="center" wrapText="1"/>
    </xf>
    <xf numFmtId="1" fontId="14" fillId="18" borderId="2" xfId="0" applyNumberFormat="1" applyFont="1" applyFill="1" applyBorder="1" applyAlignment="1">
      <alignment vertical="center" wrapText="1"/>
    </xf>
    <xf numFmtId="0" fontId="14" fillId="18" borderId="2" xfId="0" applyFont="1" applyFill="1" applyBorder="1" applyAlignment="1">
      <alignment vertical="top" wrapText="1"/>
    </xf>
    <xf numFmtId="0" fontId="14" fillId="18" borderId="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4" borderId="13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8" borderId="5" xfId="0" applyFont="1" applyFill="1" applyBorder="1" applyAlignment="1"/>
    <xf numFmtId="0" fontId="6" fillId="7" borderId="12" xfId="0" applyFont="1" applyFill="1" applyBorder="1" applyAlignment="1"/>
    <xf numFmtId="0" fontId="0" fillId="0" borderId="1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10" borderId="12" xfId="0" applyFont="1" applyFill="1" applyBorder="1" applyAlignment="1"/>
    <xf numFmtId="0" fontId="6" fillId="10" borderId="5" xfId="0" applyFont="1" applyFill="1" applyBorder="1" applyAlignment="1"/>
    <xf numFmtId="0" fontId="6" fillId="6" borderId="12" xfId="0" applyFont="1" applyFill="1" applyBorder="1" applyAlignment="1"/>
    <xf numFmtId="0" fontId="6" fillId="6" borderId="5" xfId="0" applyFont="1" applyFill="1" applyBorder="1" applyAlignment="1"/>
    <xf numFmtId="0" fontId="6" fillId="11" borderId="12" xfId="0" applyFont="1" applyFill="1" applyBorder="1" applyAlignment="1"/>
    <xf numFmtId="0" fontId="6" fillId="11" borderId="5" xfId="0" applyFont="1" applyFill="1" applyBorder="1" applyAlignment="1"/>
    <xf numFmtId="0" fontId="6" fillId="14" borderId="12" xfId="0" applyFont="1" applyFill="1" applyBorder="1" applyAlignment="1"/>
    <xf numFmtId="0" fontId="6" fillId="15" borderId="12" xfId="0" applyFont="1" applyFill="1" applyBorder="1" applyAlignment="1"/>
    <xf numFmtId="0" fontId="6" fillId="13" borderId="12" xfId="0" applyFont="1" applyFill="1" applyBorder="1" applyAlignment="1"/>
    <xf numFmtId="0" fontId="6" fillId="16" borderId="12" xfId="0" applyFont="1" applyFill="1" applyBorder="1" applyAlignment="1"/>
    <xf numFmtId="0" fontId="6" fillId="17" borderId="12" xfId="0" applyFont="1" applyFill="1" applyBorder="1" applyAlignment="1"/>
    <xf numFmtId="41" fontId="10" fillId="0" borderId="0" xfId="3" applyFont="1" applyAlignment="1">
      <alignment horizontal="center"/>
    </xf>
    <xf numFmtId="0" fontId="8" fillId="0" borderId="0" xfId="0" applyFont="1"/>
    <xf numFmtId="41" fontId="0" fillId="0" borderId="0" xfId="3" applyFont="1"/>
    <xf numFmtId="41" fontId="10" fillId="0" borderId="0" xfId="3" applyFont="1"/>
    <xf numFmtId="41" fontId="6" fillId="0" borderId="0" xfId="3" applyFont="1" applyAlignment="1">
      <alignment horizontal="center"/>
    </xf>
    <xf numFmtId="41" fontId="6" fillId="0" borderId="0" xfId="3" applyFont="1"/>
    <xf numFmtId="0" fontId="15" fillId="8" borderId="0" xfId="0" applyFont="1" applyFill="1" applyAlignment="1">
      <alignment horizontal="center"/>
    </xf>
    <xf numFmtId="165" fontId="0" fillId="0" borderId="0" xfId="0" applyNumberFormat="1"/>
    <xf numFmtId="0" fontId="0" fillId="6" borderId="2" xfId="0" applyFill="1" applyBorder="1"/>
    <xf numFmtId="165" fontId="0" fillId="6" borderId="2" xfId="2" applyNumberFormat="1" applyFont="1" applyFill="1" applyBorder="1"/>
    <xf numFmtId="44" fontId="6" fillId="0" borderId="0" xfId="2" applyFont="1" applyFill="1"/>
    <xf numFmtId="44" fontId="15" fillId="0" borderId="0" xfId="2" applyFont="1" applyFill="1"/>
    <xf numFmtId="44" fontId="15" fillId="12" borderId="0" xfId="2" applyFont="1" applyFill="1"/>
    <xf numFmtId="41" fontId="7" fillId="0" borderId="0" xfId="3" applyFont="1"/>
    <xf numFmtId="41" fontId="0" fillId="0" borderId="0" xfId="3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2" xfId="0" applyNumberFormat="1" applyFont="1" applyFill="1" applyBorder="1" applyAlignment="1" applyProtection="1">
      <alignment horizontal="center" vertical="top" wrapText="1"/>
    </xf>
    <xf numFmtId="0" fontId="16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Font="1" applyBorder="1"/>
    <xf numFmtId="0" fontId="0" fillId="0" borderId="0" xfId="0" applyFont="1"/>
    <xf numFmtId="41" fontId="0" fillId="0" borderId="2" xfId="3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4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0" fillId="0" borderId="7" xfId="2" applyNumberFormat="1" applyFont="1" applyFill="1" applyBorder="1" applyAlignment="1">
      <alignment horizontal="center"/>
    </xf>
    <xf numFmtId="165" fontId="0" fillId="0" borderId="8" xfId="2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5" fontId="0" fillId="0" borderId="9" xfId="2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5" fontId="0" fillId="6" borderId="7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Millares [0]" xfId="3" builtinId="6"/>
    <cellStyle name="Moneda" xfId="2" builtinId="4"/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1FCD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idor" refreshedDate="44456.385317824075" createdVersion="5" refreshedVersion="5" minRefreshableVersion="3" recordCount="574">
  <cacheSource type="worksheet">
    <worksheetSource ref="A7:H581" sheet="LOTES"/>
  </cacheSource>
  <cacheFields count="8">
    <cacheField name="LOTE" numFmtId="0">
      <sharedItems containsBlank="1" containsMixedTypes="1" containsNumber="1" containsInteger="1" minValue="775" maxValue="1829"/>
    </cacheField>
    <cacheField name="OPERACION" numFmtId="0">
      <sharedItems containsBlank="1"/>
    </cacheField>
    <cacheField name="Costo x prenda" numFmtId="0">
      <sharedItems containsString="0" containsBlank="1" containsNumber="1" minValue="5" maxValue="240"/>
    </cacheField>
    <cacheField name="cod. Operario" numFmtId="0">
      <sharedItems containsString="0" containsBlank="1" containsNumber="1" containsInteger="1" minValue="1" maxValue="34" count="29">
        <m/>
        <n v="6"/>
        <n v="11"/>
        <n v="12"/>
        <n v="7"/>
        <n v="31"/>
        <n v="17"/>
        <n v="16"/>
        <n v="1"/>
        <n v="28"/>
        <n v="24"/>
        <n v="26"/>
        <n v="18"/>
        <n v="9"/>
        <n v="32"/>
        <n v="4"/>
        <n v="15"/>
        <n v="29"/>
        <n v="21"/>
        <n v="3"/>
        <n v="34"/>
        <n v="19"/>
        <n v="5"/>
        <n v="30"/>
        <n v="25"/>
        <n v="22"/>
        <n v="14"/>
        <n v="33"/>
        <n v="10"/>
      </sharedItems>
    </cacheField>
    <cacheField name="operario" numFmtId="0">
      <sharedItems containsBlank="1" count="29">
        <m/>
        <s v="CARLOS ADRIAN GARCIA TUBERQUIA"/>
        <s v="DEINER MEJIA ARANGO"/>
        <s v="JESUS FABIAN MOROS RODRIGUEZ"/>
        <s v="MARIA EUGENIA DAGUA SILVA"/>
        <s v="LUZMILA SÁNCHEZ"/>
        <s v="LUCY TASAMA GIRALDO"/>
        <s v="MARIA ROSMIRA SANCHEZ DE VELEZ"/>
        <s v="LILIA ELENA CASTAÑEDA"/>
        <s v="JESSICA LORENA MOLINA TAPASCO"/>
        <s v="DORADILIA OVIEDO ACEVEDO"/>
        <s v="DIANA SHIRLEY GOMEZ CORDOBA"/>
        <s v="ANGELA CRISTINA OSSA BERRIO"/>
        <s v="GEOVANY GONZALEZ CARDONA"/>
        <s v="FELIPE OSORIO"/>
        <s v="VICTOR ARIAS"/>
        <s v="LAURA MARIA NOVOA OBANDO"/>
        <s v="WUALDERSON ALFONSO RODRIGUEZ CONTRERAS"/>
        <s v="MARIA ELISENIA HERNANDEZ HERNANDEZ"/>
        <s v="LUZ ADRIANA AGUDELO"/>
        <s v="OLGA ROMÁN"/>
        <s v="RUTH PATRICIA URBINA FARINAS"/>
        <s v="JHON ALEXANDER PEREZ"/>
        <s v="JULIAN SANCHÉZ RODRIGUEZ"/>
        <s v="JAKELINE QUIMBAYO BARTOLO"/>
        <s v="DIANA MARIA GONZALEZ CORTEZ"/>
        <s v="ANGELY JARAMILLO GRAJALES"/>
        <s v="ANDRÉS FELIPE FLORÉZ TUBERQUIA"/>
        <s v="JOHANI JARAMILLO GRAJAJEZ"/>
      </sharedItems>
    </cacheField>
    <cacheField name="Unidades total dia" numFmtId="0">
      <sharedItems containsString="0" containsBlank="1" containsNumber="1" containsInteger="1" minValue="8" maxValue="2252"/>
    </cacheField>
    <cacheField name="Salario día ($)" numFmtId="0">
      <sharedItems containsString="0" containsBlank="1" containsNumber="1" minValue="0" maxValue="255915.00000000003"/>
    </cacheField>
    <cacheField name="total" numFmtId="0">
      <sharedItems containsString="0" containsBlank="1" containsNumber="1" containsInteger="1" minValue="0" maxValue="2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4">
  <r>
    <s v="ENSAMBLE"/>
    <m/>
    <m/>
    <x v="0"/>
    <x v="0"/>
    <m/>
    <m/>
    <m/>
  </r>
  <r>
    <n v="775"/>
    <s v="Hacer puntas"/>
    <n v="120"/>
    <x v="1"/>
    <x v="1"/>
    <n v="407"/>
    <n v="48840"/>
    <n v="0"/>
  </r>
  <r>
    <n v="775"/>
    <s v="Presillar pantalón x 22"/>
    <n v="187"/>
    <x v="2"/>
    <x v="2"/>
    <n v="290"/>
    <n v="54230"/>
    <n v="0"/>
  </r>
  <r>
    <n v="775"/>
    <s v="Presillar pantalón x 22"/>
    <m/>
    <x v="3"/>
    <x v="3"/>
    <n v="500"/>
    <n v="93500"/>
    <m/>
  </r>
  <r>
    <n v="775"/>
    <s v="Presillar pantalón x 26"/>
    <n v="221"/>
    <x v="2"/>
    <x v="2"/>
    <n v="8"/>
    <n v="1768"/>
    <m/>
  </r>
  <r>
    <m/>
    <s v="Presillar pantalón x 26"/>
    <m/>
    <x v="3"/>
    <x v="3"/>
    <n v="37"/>
    <n v="8177"/>
    <n v="0"/>
  </r>
  <r>
    <s v="PRESENTACIÓN"/>
    <m/>
    <m/>
    <x v="0"/>
    <x v="0"/>
    <m/>
    <m/>
    <m/>
  </r>
  <r>
    <n v="775"/>
    <s v="Prender garra"/>
    <n v="80"/>
    <x v="4"/>
    <x v="4"/>
    <n v="2252"/>
    <n v="180160"/>
    <n v="0"/>
  </r>
  <r>
    <n v="775"/>
    <s v="Prender garra pequeña"/>
    <n v="80"/>
    <x v="5"/>
    <x v="5"/>
    <n v="1465"/>
    <n v="117200"/>
    <n v="0"/>
  </r>
  <r>
    <n v="775"/>
    <m/>
    <m/>
    <x v="4"/>
    <x v="4"/>
    <n v="61"/>
    <n v="4880"/>
    <m/>
  </r>
  <r>
    <s v="DELANTEROS"/>
    <m/>
    <m/>
    <x v="0"/>
    <x v="0"/>
    <m/>
    <m/>
    <m/>
  </r>
  <r>
    <n v="1815"/>
    <s v="Prender vistas y falsos"/>
    <n v="80"/>
    <x v="6"/>
    <x v="6"/>
    <n v="917"/>
    <n v="73360"/>
    <n v="0"/>
  </r>
  <r>
    <n v="1815"/>
    <s v="Cerrar talega"/>
    <n v="40"/>
    <x v="7"/>
    <x v="7"/>
    <n v="484"/>
    <n v="19360"/>
    <n v="0"/>
  </r>
  <r>
    <n v="1815"/>
    <m/>
    <m/>
    <x v="8"/>
    <x v="8"/>
    <n v="1172"/>
    <n v="46880"/>
    <m/>
  </r>
  <r>
    <n v="1815"/>
    <m/>
    <m/>
    <x v="0"/>
    <x v="0"/>
    <m/>
    <n v="0"/>
    <m/>
  </r>
  <r>
    <n v="1815"/>
    <s v="Prender bolsillo"/>
    <n v="61"/>
    <x v="9"/>
    <x v="9"/>
    <n v="889"/>
    <n v="54229"/>
    <n v="0"/>
  </r>
  <r>
    <n v="1815"/>
    <m/>
    <m/>
    <x v="0"/>
    <x v="0"/>
    <m/>
    <n v="0"/>
    <m/>
  </r>
  <r>
    <n v="1815"/>
    <s v="Pespuntar bolsillo a 1/4"/>
    <n v="81"/>
    <x v="7"/>
    <x v="7"/>
    <n v="1656"/>
    <n v="134136"/>
    <n v="0"/>
  </r>
  <r>
    <n v="1815"/>
    <s v="Fijar delantero"/>
    <n v="100"/>
    <x v="6"/>
    <x v="6"/>
    <n v="107"/>
    <n v="10700"/>
    <n v="0"/>
  </r>
  <r>
    <n v="1815"/>
    <m/>
    <m/>
    <x v="10"/>
    <x v="10"/>
    <n v="920"/>
    <n v="92000"/>
    <m/>
  </r>
  <r>
    <n v="1815"/>
    <s v="Prender cierre a aletilla"/>
    <n v="33"/>
    <x v="0"/>
    <x v="0"/>
    <m/>
    <n v="0"/>
    <n v="348"/>
  </r>
  <r>
    <n v="1815"/>
    <m/>
    <n v="33"/>
    <x v="0"/>
    <x v="0"/>
    <m/>
    <n v="0"/>
    <m/>
  </r>
  <r>
    <n v="1815"/>
    <s v="Prender talla a aletillón"/>
    <n v="20"/>
    <x v="0"/>
    <x v="0"/>
    <m/>
    <n v="0"/>
    <n v="1381"/>
  </r>
  <r>
    <n v="1815"/>
    <s v="Prender aletillón a aletilla"/>
    <n v="33"/>
    <x v="0"/>
    <x v="0"/>
    <m/>
    <n v="0"/>
    <n v="348"/>
  </r>
  <r>
    <n v="1815"/>
    <m/>
    <n v="33"/>
    <x v="0"/>
    <x v="0"/>
    <m/>
    <n v="0"/>
    <m/>
  </r>
  <r>
    <n v="1815"/>
    <s v="Preparar delantero"/>
    <n v="43"/>
    <x v="11"/>
    <x v="11"/>
    <n v="471"/>
    <n v="20253"/>
    <n v="0"/>
  </r>
  <r>
    <n v="1815"/>
    <s v="Hacer jota y encaje"/>
    <n v="120"/>
    <x v="12"/>
    <x v="12"/>
    <n v="1054"/>
    <n v="126480"/>
    <n v="0"/>
  </r>
  <r>
    <s v="TRASEROS"/>
    <m/>
    <m/>
    <x v="0"/>
    <x v="0"/>
    <m/>
    <m/>
    <m/>
  </r>
  <r>
    <n v="1815"/>
    <s v="Filetear bolsillo parche"/>
    <n v="30"/>
    <x v="0"/>
    <x v="0"/>
    <m/>
    <n v="0"/>
    <n v="1656"/>
  </r>
  <r>
    <n v="1815"/>
    <s v="Unir parche en fileteadora"/>
    <n v="45"/>
    <x v="0"/>
    <x v="0"/>
    <m/>
    <n v="0"/>
    <n v="59"/>
  </r>
  <r>
    <n v="1815"/>
    <m/>
    <m/>
    <x v="0"/>
    <x v="0"/>
    <m/>
    <n v="0"/>
    <m/>
  </r>
  <r>
    <n v="1815"/>
    <m/>
    <m/>
    <x v="0"/>
    <x v="0"/>
    <m/>
    <n v="0"/>
    <m/>
  </r>
  <r>
    <n v="1815"/>
    <s v="Presillar bolsillo parche x2 (1 presilla)"/>
    <n v="17"/>
    <x v="0"/>
    <x v="0"/>
    <m/>
    <n v="0"/>
    <n v="1656"/>
  </r>
  <r>
    <n v="1815"/>
    <s v="Hacer primera costura parche"/>
    <n v="125"/>
    <x v="13"/>
    <x v="13"/>
    <n v="687"/>
    <n v="85875"/>
    <n v="101"/>
  </r>
  <r>
    <n v="1815"/>
    <s v="Hacer primera costura parche"/>
    <m/>
    <x v="14"/>
    <x v="14"/>
    <n v="213"/>
    <n v="26625"/>
    <m/>
  </r>
  <r>
    <n v="1815"/>
    <s v="Hacer primera costura parche"/>
    <m/>
    <x v="15"/>
    <x v="15"/>
    <n v="655"/>
    <n v="81875"/>
    <m/>
  </r>
  <r>
    <n v="1815"/>
    <s v="Hacer segunda costura parche"/>
    <n v="115"/>
    <x v="13"/>
    <x v="13"/>
    <n v="571"/>
    <n v="65665"/>
    <n v="488"/>
  </r>
  <r>
    <n v="1815"/>
    <s v="Hacer segunda costura parche"/>
    <m/>
    <x v="15"/>
    <x v="15"/>
    <n v="597"/>
    <n v="68655"/>
    <m/>
  </r>
  <r>
    <s v="PRETINA"/>
    <m/>
    <m/>
    <x v="0"/>
    <x v="0"/>
    <m/>
    <m/>
    <m/>
  </r>
  <r>
    <n v="1815"/>
    <s v="Unir pretina"/>
    <n v="20"/>
    <x v="16"/>
    <x v="16"/>
    <n v="1656"/>
    <n v="33120"/>
    <n v="0"/>
  </r>
  <r>
    <s v="PASADORES"/>
    <m/>
    <m/>
    <x v="0"/>
    <x v="0"/>
    <m/>
    <m/>
    <m/>
  </r>
  <r>
    <n v="1815"/>
    <s v="Hacer pasadores x8"/>
    <n v="36"/>
    <x v="16"/>
    <x v="16"/>
    <n v="690"/>
    <n v="24840"/>
    <n v="966"/>
  </r>
  <r>
    <n v="1815"/>
    <s v="Recortar pasadores"/>
    <n v="15"/>
    <x v="0"/>
    <x v="0"/>
    <m/>
    <n v="0"/>
    <n v="1656"/>
  </r>
  <r>
    <s v="ENSAMBLE"/>
    <m/>
    <m/>
    <x v="0"/>
    <x v="0"/>
    <m/>
    <m/>
    <m/>
  </r>
  <r>
    <n v="1815"/>
    <s v="Cerrar entrepierna"/>
    <n v="90"/>
    <x v="14"/>
    <x v="14"/>
    <n v="315"/>
    <n v="28350"/>
    <n v="0"/>
  </r>
  <r>
    <n v="1815"/>
    <m/>
    <m/>
    <x v="16"/>
    <x v="16"/>
    <n v="1341"/>
    <n v="120690"/>
    <m/>
  </r>
  <r>
    <n v="1815"/>
    <s v="Pespuntar entrepierna"/>
    <n v="71"/>
    <x v="17"/>
    <x v="17"/>
    <n v="1556"/>
    <n v="110476"/>
    <n v="0"/>
  </r>
  <r>
    <n v="1815"/>
    <m/>
    <m/>
    <x v="16"/>
    <x v="16"/>
    <n v="100"/>
    <n v="7100"/>
    <m/>
  </r>
  <r>
    <n v="1815"/>
    <s v="Cerrar laterales"/>
    <n v="85"/>
    <x v="18"/>
    <x v="18"/>
    <n v="1642"/>
    <n v="139570"/>
    <n v="0"/>
  </r>
  <r>
    <n v="1815"/>
    <m/>
    <m/>
    <x v="16"/>
    <x v="16"/>
    <n v="14"/>
    <n v="1190"/>
    <m/>
  </r>
  <r>
    <n v="1815"/>
    <s v="Pespuntar lateral corto"/>
    <n v="75"/>
    <x v="17"/>
    <x v="17"/>
    <n v="1656"/>
    <n v="124200"/>
    <n v="0"/>
  </r>
  <r>
    <n v="1815"/>
    <s v="Hacer ruedo"/>
    <n v="110"/>
    <x v="19"/>
    <x v="19"/>
    <n v="1656"/>
    <n v="182160"/>
    <n v="0"/>
  </r>
  <r>
    <n v="1815"/>
    <s v="Prender pretina fijando pasadores traseros"/>
    <n v="121.00000000000001"/>
    <x v="8"/>
    <x v="8"/>
    <n v="1656"/>
    <n v="200376.00000000003"/>
    <n v="0"/>
  </r>
  <r>
    <n v="1815"/>
    <s v="Recoger y revocar puntas"/>
    <n v="70"/>
    <x v="0"/>
    <x v="0"/>
    <m/>
    <n v="0"/>
    <n v="1656"/>
  </r>
  <r>
    <n v="1815"/>
    <s v="Hacer puntas"/>
    <n v="120"/>
    <x v="1"/>
    <x v="1"/>
    <n v="1656"/>
    <n v="198720"/>
    <n v="0"/>
  </r>
  <r>
    <n v="1815"/>
    <s v="Presillar pantalón x 20"/>
    <n v="170"/>
    <x v="2"/>
    <x v="2"/>
    <n v="858"/>
    <n v="145860"/>
    <n v="0"/>
  </r>
  <r>
    <n v="1815"/>
    <s v="Presillar pantalón x 20"/>
    <m/>
    <x v="3"/>
    <x v="3"/>
    <n v="700"/>
    <n v="119000"/>
    <m/>
  </r>
  <r>
    <n v="1815"/>
    <s v="Presillar pantalón x 24"/>
    <n v="204"/>
    <x v="2"/>
    <x v="2"/>
    <n v="55"/>
    <n v="11220"/>
    <m/>
  </r>
  <r>
    <n v="1815"/>
    <s v="Presillar pantalón x 24"/>
    <m/>
    <x v="3"/>
    <x v="3"/>
    <n v="43"/>
    <n v="8772"/>
    <m/>
  </r>
  <r>
    <s v="PRESENTACIÓN"/>
    <m/>
    <m/>
    <x v="0"/>
    <x v="0"/>
    <m/>
    <m/>
    <m/>
  </r>
  <r>
    <n v="1815"/>
    <s v="Ojalar"/>
    <n v="29.999999999999996"/>
    <x v="6"/>
    <x v="6"/>
    <n v="1200"/>
    <n v="35999.999999999993"/>
    <n v="456"/>
  </r>
  <r>
    <n v="1815"/>
    <s v="Prender garra y marquilla de instrucción"/>
    <n v="100"/>
    <x v="4"/>
    <x v="4"/>
    <n v="310"/>
    <n v="31000"/>
    <n v="872"/>
  </r>
  <r>
    <n v="1815"/>
    <s v="Prender garra"/>
    <n v="80"/>
    <x v="20"/>
    <x v="20"/>
    <n v="164"/>
    <n v="13120"/>
    <m/>
  </r>
  <r>
    <n v="1815"/>
    <m/>
    <m/>
    <x v="21"/>
    <x v="21"/>
    <n v="310"/>
    <n v="24800"/>
    <m/>
  </r>
  <r>
    <n v="1815"/>
    <s v="Pegar tache"/>
    <n v="20"/>
    <x v="0"/>
    <x v="0"/>
    <m/>
    <n v="0"/>
    <n v="1656"/>
  </r>
  <r>
    <n v="1815"/>
    <s v="Pegar botón"/>
    <n v="20"/>
    <x v="0"/>
    <x v="0"/>
    <m/>
    <n v="0"/>
    <n v="1656"/>
  </r>
  <r>
    <n v="1815"/>
    <s v="Planchar en prensa"/>
    <n v="80"/>
    <x v="0"/>
    <x v="0"/>
    <m/>
    <n v="0"/>
    <n v="1656"/>
  </r>
  <r>
    <n v="1815"/>
    <s v="Planchar en topper abriendo ojal"/>
    <n v="70"/>
    <x v="0"/>
    <x v="0"/>
    <m/>
    <n v="0"/>
    <n v="1656"/>
  </r>
  <r>
    <n v="1815"/>
    <s v="Doblar jean"/>
    <n v="80"/>
    <x v="0"/>
    <x v="0"/>
    <m/>
    <n v="0"/>
    <n v="1656"/>
  </r>
  <r>
    <n v="1815"/>
    <s v="Marquillar pantalón"/>
    <n v="59.999999999999993"/>
    <x v="4"/>
    <x v="4"/>
    <n v="15"/>
    <n v="899.99999999999989"/>
    <n v="0"/>
  </r>
  <r>
    <n v="1815"/>
    <m/>
    <m/>
    <x v="20"/>
    <x v="20"/>
    <n v="1641"/>
    <n v="98459.999999999985"/>
    <m/>
  </r>
  <r>
    <s v="DELANTEROS"/>
    <m/>
    <m/>
    <x v="0"/>
    <x v="0"/>
    <m/>
    <m/>
    <m/>
  </r>
  <r>
    <s v="2252R"/>
    <s v="Filetear aletilla"/>
    <n v="15"/>
    <x v="0"/>
    <x v="0"/>
    <m/>
    <n v="0"/>
    <n v="1300"/>
  </r>
  <r>
    <s v="2252R"/>
    <s v="Recoger aletilla"/>
    <n v="5"/>
    <x v="0"/>
    <x v="0"/>
    <m/>
    <n v="0"/>
    <n v="1300"/>
  </r>
  <r>
    <s v="2252R"/>
    <s v="Filetear aletillón"/>
    <n v="20"/>
    <x v="0"/>
    <x v="0"/>
    <m/>
    <n v="0"/>
    <n v="1300"/>
  </r>
  <r>
    <s v="2252R"/>
    <s v="Recoger aletillón"/>
    <n v="5"/>
    <x v="0"/>
    <x v="0"/>
    <m/>
    <n v="0"/>
    <n v="1300"/>
  </r>
  <r>
    <s v="2252R"/>
    <s v="Filetear Delantero"/>
    <n v="15"/>
    <x v="9"/>
    <x v="9"/>
    <n v="406"/>
    <n v="6090"/>
    <n v="894"/>
  </r>
  <r>
    <s v="2252R"/>
    <s v="Dobladillar relojera en 2 agujas"/>
    <n v="20"/>
    <x v="22"/>
    <x v="22"/>
    <n v="571"/>
    <n v="11420"/>
    <n v="0"/>
  </r>
  <r>
    <s v="2252R"/>
    <m/>
    <m/>
    <x v="23"/>
    <x v="23"/>
    <n v="729"/>
    <n v="14580"/>
    <m/>
  </r>
  <r>
    <s v="2252R"/>
    <s v="Recoger relojera dobladillada"/>
    <n v="10"/>
    <x v="0"/>
    <x v="0"/>
    <m/>
    <n v="0"/>
    <n v="1300"/>
  </r>
  <r>
    <s v="2252R"/>
    <s v="Prender relojera en 2 agujas (costura empieza desde la vista)"/>
    <n v="60"/>
    <x v="22"/>
    <x v="22"/>
    <n v="1300"/>
    <n v="78000"/>
    <n v="0"/>
  </r>
  <r>
    <s v="2252R"/>
    <s v="Revocar relojera"/>
    <n v="10"/>
    <x v="22"/>
    <x v="22"/>
    <n v="196"/>
    <n v="1960"/>
    <n v="1104"/>
  </r>
  <r>
    <s v="2252R"/>
    <s v="filetear vistas"/>
    <n v="30"/>
    <x v="21"/>
    <x v="21"/>
    <n v="1300"/>
    <n v="39000"/>
    <n v="0"/>
  </r>
  <r>
    <s v="2252R"/>
    <s v="Prender vistas"/>
    <n v="75"/>
    <x v="24"/>
    <x v="24"/>
    <n v="1300"/>
    <n v="97500"/>
    <n v="0"/>
  </r>
  <r>
    <s v="2252R"/>
    <s v="Recoger de collarín"/>
    <n v="15"/>
    <x v="0"/>
    <x v="0"/>
    <m/>
    <n v="0"/>
    <n v="1300"/>
  </r>
  <r>
    <s v="2252R"/>
    <s v="Cerrar talega"/>
    <n v="40"/>
    <x v="21"/>
    <x v="21"/>
    <n v="1300"/>
    <n v="52000"/>
    <n v="0"/>
  </r>
  <r>
    <s v="2252R"/>
    <s v="Recoger talega"/>
    <n v="15"/>
    <x v="0"/>
    <x v="0"/>
    <m/>
    <n v="0"/>
    <n v="1300"/>
  </r>
  <r>
    <s v="2252R"/>
    <s v="Prender bolsillo"/>
    <n v="61"/>
    <x v="5"/>
    <x v="5"/>
    <n v="797"/>
    <n v="48617"/>
    <n v="0"/>
  </r>
  <r>
    <s v="2252R"/>
    <m/>
    <m/>
    <x v="9"/>
    <x v="9"/>
    <n v="378"/>
    <n v="23058"/>
    <m/>
  </r>
  <r>
    <s v="2252R"/>
    <m/>
    <m/>
    <x v="25"/>
    <x v="25"/>
    <n v="125"/>
    <n v="7625"/>
    <m/>
  </r>
  <r>
    <s v="2252R"/>
    <s v="Pespuntar bolsillo a 1/4"/>
    <n v="95"/>
    <x v="7"/>
    <x v="7"/>
    <n v="1300"/>
    <n v="123500"/>
    <n v="0"/>
  </r>
  <r>
    <s v="2252R"/>
    <s v="Fijar delantero"/>
    <n v="100"/>
    <x v="6"/>
    <x v="6"/>
    <n v="356"/>
    <n v="35600"/>
    <n v="0"/>
  </r>
  <r>
    <s v="2252R"/>
    <m/>
    <m/>
    <x v="10"/>
    <x v="10"/>
    <n v="944"/>
    <n v="94400"/>
    <m/>
  </r>
  <r>
    <s v="2252R"/>
    <s v="Prender cierre a aletilla"/>
    <n v="33"/>
    <x v="26"/>
    <x v="26"/>
    <n v="1300"/>
    <n v="42900"/>
    <n v="0"/>
  </r>
  <r>
    <s v="2252R"/>
    <s v="Prender talla a aletillón"/>
    <n v="20"/>
    <x v="26"/>
    <x v="26"/>
    <n v="1300"/>
    <n v="26000"/>
    <n v="0"/>
  </r>
  <r>
    <s v="2252R"/>
    <s v="Prender aletillón a aletilla"/>
    <n v="33"/>
    <x v="26"/>
    <x v="26"/>
    <n v="1300"/>
    <n v="42900"/>
    <n v="0"/>
  </r>
  <r>
    <s v="2252R"/>
    <s v="Preparar delantero"/>
    <n v="43"/>
    <x v="11"/>
    <x v="11"/>
    <n v="1300"/>
    <n v="55900"/>
    <n v="0"/>
  </r>
  <r>
    <s v="2252R"/>
    <s v="Marquilla talla"/>
    <n v="30"/>
    <x v="9"/>
    <x v="9"/>
    <n v="1141"/>
    <n v="34230"/>
    <n v="159"/>
  </r>
  <r>
    <s v="2252R"/>
    <s v="Hacer jota y encaje"/>
    <n v="120"/>
    <x v="12"/>
    <x v="12"/>
    <n v="1300"/>
    <n v="156000"/>
    <n v="0"/>
  </r>
  <r>
    <s v="TRASEROS"/>
    <m/>
    <m/>
    <x v="0"/>
    <x v="0"/>
    <m/>
    <m/>
    <m/>
  </r>
  <r>
    <s v="2252R"/>
    <s v="Unir tiro trasero"/>
    <n v="170"/>
    <x v="0"/>
    <x v="0"/>
    <m/>
    <n v="0"/>
    <n v="1300"/>
  </r>
  <r>
    <s v="2252R"/>
    <s v="Dobladillar bolsillo parche"/>
    <n v="60"/>
    <x v="23"/>
    <x v="23"/>
    <n v="1300"/>
    <n v="78000"/>
    <n v="0"/>
  </r>
  <r>
    <s v="2252R"/>
    <s v="Recoger bolsillo dobladillado"/>
    <n v="15"/>
    <x v="0"/>
    <x v="0"/>
    <m/>
    <n v="0"/>
    <n v="1300"/>
  </r>
  <r>
    <s v="2252R"/>
    <s v="Marcar trasero"/>
    <n v="45"/>
    <x v="0"/>
    <x v="0"/>
    <m/>
    <n v="0"/>
    <n v="1300"/>
  </r>
  <r>
    <s v="2252R"/>
    <s v="Quebrar bolsillo parche"/>
    <n v="70"/>
    <x v="0"/>
    <x v="0"/>
    <m/>
    <n v="0"/>
    <n v="1300"/>
  </r>
  <r>
    <s v="2252R"/>
    <s v="Parchar"/>
    <n v="240"/>
    <x v="13"/>
    <x v="13"/>
    <n v="452"/>
    <n v="108480"/>
    <n v="0"/>
  </r>
  <r>
    <s v="2252R"/>
    <m/>
    <m/>
    <x v="14"/>
    <x v="14"/>
    <n v="251"/>
    <n v="60240"/>
    <m/>
  </r>
  <r>
    <s v="2252R"/>
    <m/>
    <m/>
    <x v="15"/>
    <x v="15"/>
    <n v="597"/>
    <n v="143280"/>
    <m/>
  </r>
  <r>
    <s v="2252R"/>
    <s v="Revocar, ensamblar y marcar para lateral corto"/>
    <n v="70"/>
    <x v="0"/>
    <x v="0"/>
    <m/>
    <n v="0"/>
    <n v="1300"/>
  </r>
  <r>
    <s v="PRETINA"/>
    <m/>
    <m/>
    <x v="0"/>
    <x v="0"/>
    <m/>
    <m/>
    <m/>
  </r>
  <r>
    <s v="2252R"/>
    <s v="Unir pretina"/>
    <n v="20"/>
    <x v="16"/>
    <x v="16"/>
    <n v="1300"/>
    <n v="26000"/>
    <n v="0"/>
  </r>
  <r>
    <s v="PASADORES"/>
    <m/>
    <m/>
    <x v="0"/>
    <x v="0"/>
    <m/>
    <m/>
    <m/>
  </r>
  <r>
    <s v="2252R"/>
    <s v="Hacer pasadores x8"/>
    <n v="36"/>
    <x v="20"/>
    <x v="20"/>
    <n v="800"/>
    <n v="28800"/>
    <n v="0"/>
  </r>
  <r>
    <s v="2252R"/>
    <s v="Hacer pasadores x8"/>
    <m/>
    <x v="16"/>
    <x v="16"/>
    <n v="500"/>
    <n v="18000"/>
    <m/>
  </r>
  <r>
    <s v="2252R"/>
    <s v="Recortar pasadores"/>
    <n v="15"/>
    <x v="0"/>
    <x v="0"/>
    <m/>
    <n v="0"/>
    <n v="1300"/>
  </r>
  <r>
    <s v="ENSAMBLE"/>
    <m/>
    <m/>
    <x v="0"/>
    <x v="0"/>
    <m/>
    <m/>
    <m/>
  </r>
  <r>
    <s v="2252R"/>
    <s v="Cerrar entrepierna"/>
    <n v="90"/>
    <x v="16"/>
    <x v="16"/>
    <n v="1300"/>
    <n v="117000"/>
    <n v="0"/>
  </r>
  <r>
    <s v="2252R"/>
    <s v="Pespuntar entrepierna"/>
    <n v="71"/>
    <x v="17"/>
    <x v="17"/>
    <n v="803"/>
    <n v="57013"/>
    <n v="0"/>
  </r>
  <r>
    <s v="2252R"/>
    <s v="Pespuntar entrepierna"/>
    <m/>
    <x v="16"/>
    <x v="16"/>
    <n v="497"/>
    <n v="35287"/>
    <m/>
  </r>
  <r>
    <s v="2252R"/>
    <s v="Cerrar laterales"/>
    <n v="85"/>
    <x v="18"/>
    <x v="18"/>
    <n v="1242"/>
    <n v="105570"/>
    <n v="0"/>
  </r>
  <r>
    <s v="2252R"/>
    <s v="Cerrar laterales"/>
    <m/>
    <x v="16"/>
    <x v="16"/>
    <n v="58"/>
    <n v="4930"/>
    <m/>
  </r>
  <r>
    <s v="2252R"/>
    <s v="Pespuntar lateral corto"/>
    <n v="75"/>
    <x v="17"/>
    <x v="17"/>
    <n v="1300"/>
    <n v="97500"/>
    <n v="0"/>
  </r>
  <r>
    <s v="2252R"/>
    <s v="Hacer ruedo"/>
    <n v="98"/>
    <x v="19"/>
    <x v="19"/>
    <n v="1300"/>
    <n v="127400"/>
    <n v="0"/>
  </r>
  <r>
    <s v="2252R"/>
    <s v="Prender pretina fijando pasadores traseros"/>
    <n v="110"/>
    <x v="8"/>
    <x v="8"/>
    <n v="1300"/>
    <n v="143000"/>
    <n v="0"/>
  </r>
  <r>
    <s v="2252R"/>
    <s v="Recoger y revocar puntas"/>
    <n v="70"/>
    <x v="0"/>
    <x v="0"/>
    <m/>
    <n v="0"/>
    <n v="1300"/>
  </r>
  <r>
    <s v="2252R"/>
    <s v="Hacer puntas"/>
    <n v="120"/>
    <x v="1"/>
    <x v="1"/>
    <n v="1300"/>
    <n v="156000"/>
    <n v="0"/>
  </r>
  <r>
    <s v="2252R"/>
    <s v="Presillar pantalón x 22"/>
    <n v="187"/>
    <x v="2"/>
    <x v="2"/>
    <n v="722"/>
    <n v="135014"/>
    <n v="0"/>
  </r>
  <r>
    <m/>
    <s v="Presillar pantalón x 22"/>
    <m/>
    <x v="3"/>
    <x v="3"/>
    <n v="578"/>
    <n v="108086"/>
    <m/>
  </r>
  <r>
    <s v="2252R"/>
    <s v="Ojalar"/>
    <n v="29.999999999999996"/>
    <x v="0"/>
    <x v="0"/>
    <m/>
    <n v="0"/>
    <n v="1300"/>
  </r>
  <r>
    <s v="2252R"/>
    <s v="Prender garra"/>
    <n v="80"/>
    <x v="0"/>
    <x v="0"/>
    <m/>
    <n v="0"/>
    <n v="1300"/>
  </r>
  <r>
    <s v="DELANTEROS"/>
    <m/>
    <m/>
    <x v="0"/>
    <x v="0"/>
    <m/>
    <m/>
    <m/>
  </r>
  <r>
    <n v="1829"/>
    <s v="Filetear aletilla, recogiendo"/>
    <n v="15"/>
    <x v="12"/>
    <x v="12"/>
    <n v="1290"/>
    <n v="19350"/>
    <n v="0"/>
  </r>
  <r>
    <n v="1829"/>
    <m/>
    <m/>
    <x v="22"/>
    <x v="22"/>
    <n v="825"/>
    <n v="12375"/>
    <m/>
  </r>
  <r>
    <n v="1829"/>
    <s v="Filetear aletillón, recogiendo"/>
    <n v="20"/>
    <x v="12"/>
    <x v="12"/>
    <n v="1229"/>
    <n v="24580"/>
    <n v="0"/>
  </r>
  <r>
    <n v="1829"/>
    <m/>
    <m/>
    <x v="22"/>
    <x v="22"/>
    <n v="502"/>
    <n v="10040"/>
    <m/>
  </r>
  <r>
    <n v="1829"/>
    <m/>
    <m/>
    <x v="18"/>
    <x v="18"/>
    <n v="384"/>
    <n v="7680"/>
    <m/>
  </r>
  <r>
    <n v="1829"/>
    <s v="Filetear Delantero"/>
    <n v="20"/>
    <x v="12"/>
    <x v="12"/>
    <n v="949"/>
    <n v="18980"/>
    <n v="0"/>
  </r>
  <r>
    <n v="1829"/>
    <m/>
    <m/>
    <x v="22"/>
    <x v="22"/>
    <n v="406"/>
    <n v="8120"/>
    <m/>
  </r>
  <r>
    <n v="1829"/>
    <m/>
    <m/>
    <x v="20"/>
    <x v="20"/>
    <n v="324"/>
    <n v="6480"/>
    <m/>
  </r>
  <r>
    <n v="1829"/>
    <m/>
    <m/>
    <x v="18"/>
    <x v="18"/>
    <n v="436"/>
    <n v="8720"/>
    <m/>
  </r>
  <r>
    <n v="1829"/>
    <s v="Dobladillar relojera en 2 agujas"/>
    <n v="20"/>
    <x v="25"/>
    <x v="25"/>
    <n v="2115"/>
    <n v="42300"/>
    <n v="0"/>
  </r>
  <r>
    <n v="1829"/>
    <s v="Recoger relojera dobladillada"/>
    <n v="10"/>
    <x v="0"/>
    <x v="0"/>
    <m/>
    <n v="0"/>
    <n v="2115"/>
  </r>
  <r>
    <n v="1829"/>
    <s v="Pespuntar relojera"/>
    <n v="20"/>
    <x v="24"/>
    <x v="24"/>
    <n v="2115"/>
    <n v="42300"/>
    <n v="0"/>
  </r>
  <r>
    <n v="1829"/>
    <s v="Prender relojera en plana (entalegada). Con pespunte decorativo corto"/>
    <n v="60"/>
    <x v="24"/>
    <x v="24"/>
    <n v="2115"/>
    <n v="126900"/>
    <n v="0"/>
  </r>
  <r>
    <n v="1829"/>
    <s v="Fijar relojera"/>
    <n v="20"/>
    <x v="26"/>
    <x v="26"/>
    <n v="1395"/>
    <n v="27900"/>
    <n v="92"/>
  </r>
  <r>
    <n v="1829"/>
    <m/>
    <m/>
    <x v="24"/>
    <x v="24"/>
    <n v="628"/>
    <n v="12560"/>
    <m/>
  </r>
  <r>
    <n v="1829"/>
    <s v="Prender vistas y falsos"/>
    <n v="80"/>
    <x v="8"/>
    <x v="8"/>
    <n v="31"/>
    <n v="2480"/>
    <n v="0"/>
  </r>
  <r>
    <n v="1829"/>
    <m/>
    <m/>
    <x v="6"/>
    <x v="6"/>
    <n v="2084"/>
    <n v="166720"/>
    <m/>
  </r>
  <r>
    <n v="1829"/>
    <s v="Recoger de collarín"/>
    <n v="15"/>
    <x v="0"/>
    <x v="0"/>
    <m/>
    <n v="0"/>
    <n v="2115"/>
  </r>
  <r>
    <n v="1829"/>
    <s v="Cerrar talega"/>
    <n v="40"/>
    <x v="8"/>
    <x v="8"/>
    <n v="1382"/>
    <n v="55280"/>
    <n v="0"/>
  </r>
  <r>
    <n v="1829"/>
    <m/>
    <m/>
    <x v="7"/>
    <x v="7"/>
    <n v="733"/>
    <n v="29320"/>
    <m/>
  </r>
  <r>
    <n v="1829"/>
    <s v="Recoger talega"/>
    <n v="15"/>
    <x v="0"/>
    <x v="0"/>
    <m/>
    <n v="0"/>
    <n v="2115"/>
  </r>
  <r>
    <n v="1829"/>
    <s v="Prender bolsillo"/>
    <n v="61"/>
    <x v="7"/>
    <x v="7"/>
    <n v="311"/>
    <n v="18971"/>
    <n v="0"/>
  </r>
  <r>
    <n v="1829"/>
    <m/>
    <m/>
    <x v="5"/>
    <x v="5"/>
    <n v="513"/>
    <n v="31293"/>
    <m/>
  </r>
  <r>
    <n v="1829"/>
    <m/>
    <m/>
    <x v="9"/>
    <x v="9"/>
    <n v="1127"/>
    <n v="68747"/>
    <m/>
  </r>
  <r>
    <n v="1829"/>
    <m/>
    <m/>
    <x v="10"/>
    <x v="10"/>
    <n v="164"/>
    <n v="10004"/>
    <m/>
  </r>
  <r>
    <n v="1829"/>
    <s v="Pespuntar bolsillo a 1/4"/>
    <n v="81"/>
    <x v="7"/>
    <x v="7"/>
    <n v="2115"/>
    <n v="171315"/>
    <n v="0"/>
  </r>
  <r>
    <n v="1829"/>
    <s v="Fijar delantero"/>
    <n v="100"/>
    <x v="26"/>
    <x v="26"/>
    <n v="153"/>
    <n v="15300"/>
    <n v="0"/>
  </r>
  <r>
    <n v="1829"/>
    <m/>
    <m/>
    <x v="9"/>
    <x v="9"/>
    <n v="103"/>
    <n v="10300"/>
    <m/>
  </r>
  <r>
    <n v="1829"/>
    <m/>
    <m/>
    <x v="10"/>
    <x v="10"/>
    <n v="1859"/>
    <n v="185900"/>
    <m/>
  </r>
  <r>
    <n v="1829"/>
    <s v="Prender cierre a aletilla"/>
    <n v="33"/>
    <x v="26"/>
    <x v="26"/>
    <n v="949"/>
    <n v="31317"/>
    <n v="1166"/>
  </r>
  <r>
    <n v="1829"/>
    <m/>
    <m/>
    <x v="0"/>
    <x v="0"/>
    <m/>
    <n v="0"/>
    <m/>
  </r>
  <r>
    <n v="1829"/>
    <s v="Prender talla a aletillón"/>
    <n v="20"/>
    <x v="26"/>
    <x v="26"/>
    <n v="949"/>
    <n v="18980"/>
    <n v="1166"/>
  </r>
  <r>
    <n v="1829"/>
    <s v="Prender aletillón a aletilla"/>
    <n v="33"/>
    <x v="26"/>
    <x v="26"/>
    <n v="949"/>
    <n v="31317"/>
    <n v="1166"/>
  </r>
  <r>
    <n v="1829"/>
    <s v="Preparar delantero"/>
    <n v="43"/>
    <x v="25"/>
    <x v="25"/>
    <n v="1274"/>
    <n v="54782"/>
    <n v="121"/>
  </r>
  <r>
    <n v="1829"/>
    <m/>
    <m/>
    <x v="27"/>
    <x v="27"/>
    <n v="384"/>
    <n v="16512"/>
    <m/>
  </r>
  <r>
    <n v="1829"/>
    <m/>
    <m/>
    <x v="22"/>
    <x v="22"/>
    <n v="336"/>
    <n v="14448"/>
    <m/>
  </r>
  <r>
    <n v="1829"/>
    <s v="Hacer jota y encaje"/>
    <n v="120"/>
    <x v="12"/>
    <x v="12"/>
    <n v="1475"/>
    <n v="177000"/>
    <n v="0"/>
  </r>
  <r>
    <n v="1829"/>
    <m/>
    <m/>
    <x v="22"/>
    <x v="22"/>
    <n v="640"/>
    <n v="76800"/>
    <m/>
  </r>
  <r>
    <s v="TRASEROS"/>
    <m/>
    <m/>
    <x v="0"/>
    <x v="0"/>
    <m/>
    <m/>
    <m/>
  </r>
  <r>
    <n v="1829"/>
    <s v="Unir tiro trasero"/>
    <n v="170"/>
    <x v="0"/>
    <x v="0"/>
    <m/>
    <n v="0"/>
    <n v="2115"/>
  </r>
  <r>
    <n v="1829"/>
    <s v="Filetear bolsillo parche"/>
    <n v="30"/>
    <x v="22"/>
    <x v="22"/>
    <n v="750"/>
    <n v="22500"/>
    <n v="0"/>
  </r>
  <r>
    <n v="1829"/>
    <m/>
    <m/>
    <x v="21"/>
    <x v="21"/>
    <n v="1365"/>
    <n v="40950"/>
    <m/>
  </r>
  <r>
    <n v="1829"/>
    <s v="Recoger bolsillo fileteado"/>
    <n v="15"/>
    <x v="0"/>
    <x v="0"/>
    <m/>
    <n v="0"/>
    <n v="2115"/>
  </r>
  <r>
    <n v="1829"/>
    <s v="Hacer alforza parche x2"/>
    <n v="40"/>
    <x v="5"/>
    <x v="5"/>
    <n v="1011"/>
    <n v="40440"/>
    <n v="0"/>
  </r>
  <r>
    <n v="1829"/>
    <m/>
    <m/>
    <x v="9"/>
    <x v="9"/>
    <n v="627"/>
    <n v="25080"/>
    <m/>
  </r>
  <r>
    <n v="1829"/>
    <m/>
    <m/>
    <x v="4"/>
    <x v="4"/>
    <n v="477"/>
    <n v="19080"/>
    <m/>
  </r>
  <r>
    <n v="1829"/>
    <s v="Pespuntar parche x2 en 2 agujas"/>
    <n v="40"/>
    <x v="26"/>
    <x v="26"/>
    <n v="517"/>
    <n v="20680"/>
    <n v="0"/>
  </r>
  <r>
    <n v="1829"/>
    <m/>
    <m/>
    <x v="25"/>
    <x v="25"/>
    <n v="710"/>
    <n v="28400"/>
    <m/>
  </r>
  <r>
    <n v="1829"/>
    <m/>
    <m/>
    <x v="4"/>
    <x v="4"/>
    <n v="61"/>
    <n v="2440"/>
    <m/>
  </r>
  <r>
    <n v="1829"/>
    <m/>
    <m/>
    <x v="13"/>
    <x v="13"/>
    <n v="383"/>
    <n v="15320"/>
    <m/>
  </r>
  <r>
    <n v="1829"/>
    <m/>
    <m/>
    <x v="15"/>
    <x v="15"/>
    <n v="444"/>
    <n v="17760"/>
    <m/>
  </r>
  <r>
    <n v="1829"/>
    <s v="Recoger bolsillo pespuntado"/>
    <n v="15"/>
    <x v="0"/>
    <x v="0"/>
    <m/>
    <n v="0"/>
    <n v="2115"/>
  </r>
  <r>
    <n v="1829"/>
    <s v="Presillar bolsillo parche x2 (1 presilla)"/>
    <n v="17"/>
    <x v="0"/>
    <x v="0"/>
    <m/>
    <n v="0"/>
    <n v="2115"/>
  </r>
  <r>
    <n v="1829"/>
    <s v="Marcar trasero"/>
    <n v="45"/>
    <x v="0"/>
    <x v="0"/>
    <m/>
    <n v="0"/>
    <n v="2115"/>
  </r>
  <r>
    <n v="1829"/>
    <s v="Quebrar bolsillo parche"/>
    <n v="70"/>
    <x v="0"/>
    <x v="0"/>
    <m/>
    <n v="0"/>
    <n v="2115"/>
  </r>
  <r>
    <n v="1829"/>
    <s v="Parchar"/>
    <n v="240"/>
    <x v="23"/>
    <x v="23"/>
    <n v="90"/>
    <n v="21600"/>
    <n v="12"/>
  </r>
  <r>
    <n v="1829"/>
    <m/>
    <m/>
    <x v="28"/>
    <x v="28"/>
    <n v="90"/>
    <n v="21600"/>
    <m/>
  </r>
  <r>
    <n v="1829"/>
    <m/>
    <m/>
    <x v="13"/>
    <x v="13"/>
    <n v="702"/>
    <n v="168480"/>
    <m/>
  </r>
  <r>
    <n v="1829"/>
    <m/>
    <m/>
    <x v="15"/>
    <x v="15"/>
    <n v="663"/>
    <n v="159120"/>
    <m/>
  </r>
  <r>
    <n v="1829"/>
    <m/>
    <m/>
    <x v="14"/>
    <x v="14"/>
    <n v="558"/>
    <n v="133920"/>
    <m/>
  </r>
  <r>
    <n v="1829"/>
    <s v="Revocar, ensamblar y marcar para lateral corto"/>
    <n v="70"/>
    <x v="0"/>
    <x v="0"/>
    <m/>
    <n v="0"/>
    <n v="2115"/>
  </r>
  <r>
    <s v="PRETINA"/>
    <m/>
    <m/>
    <x v="0"/>
    <x v="0"/>
    <m/>
    <m/>
    <m/>
  </r>
  <r>
    <n v="1829"/>
    <s v="Separar pretinas"/>
    <n v="12"/>
    <x v="16"/>
    <x v="16"/>
    <n v="600"/>
    <n v="7200"/>
    <n v="1515"/>
  </r>
  <r>
    <n v="1829"/>
    <s v="Marcar pretina para prender"/>
    <n v="28"/>
    <x v="0"/>
    <x v="0"/>
    <m/>
    <n v="0"/>
    <n v="2115"/>
  </r>
  <r>
    <n v="1829"/>
    <s v="Unir pretina"/>
    <n v="20"/>
    <x v="16"/>
    <x v="16"/>
    <n v="2115"/>
    <n v="42300"/>
    <n v="0"/>
  </r>
  <r>
    <s v="PASADORES"/>
    <m/>
    <m/>
    <x v="0"/>
    <x v="0"/>
    <m/>
    <m/>
    <m/>
  </r>
  <r>
    <n v="1829"/>
    <s v="Hacer pasadores x8"/>
    <n v="36"/>
    <x v="20"/>
    <x v="20"/>
    <n v="2115"/>
    <n v="76140"/>
    <n v="0"/>
  </r>
  <r>
    <n v="1829"/>
    <s v="Recortar pasadores"/>
    <n v="15"/>
    <x v="0"/>
    <x v="0"/>
    <m/>
    <n v="0"/>
    <n v="2115"/>
  </r>
  <r>
    <s v="ENSAMBLE"/>
    <m/>
    <m/>
    <x v="0"/>
    <x v="0"/>
    <m/>
    <m/>
    <m/>
  </r>
  <r>
    <n v="1829"/>
    <s v="Cerrar entrepierna"/>
    <n v="90"/>
    <x v="14"/>
    <x v="14"/>
    <n v="399"/>
    <n v="35910"/>
    <n v="0"/>
  </r>
  <r>
    <n v="1829"/>
    <s v="Cerrar entrepierna"/>
    <m/>
    <x v="16"/>
    <x v="16"/>
    <n v="1716"/>
    <n v="154440"/>
    <m/>
  </r>
  <r>
    <n v="1829"/>
    <s v="Pespuntar entrepierna"/>
    <n v="71"/>
    <x v="17"/>
    <x v="17"/>
    <n v="1765"/>
    <n v="125315"/>
    <n v="0"/>
  </r>
  <r>
    <n v="1829"/>
    <s v="Pespuntar entrepierna"/>
    <m/>
    <x v="22"/>
    <x v="22"/>
    <n v="324"/>
    <n v="23004"/>
    <m/>
  </r>
  <r>
    <n v="1829"/>
    <s v="Pespuntar entrepierna"/>
    <m/>
    <x v="16"/>
    <x v="16"/>
    <n v="26"/>
    <n v="1846"/>
    <m/>
  </r>
  <r>
    <n v="1829"/>
    <s v="Cerrar laterales"/>
    <n v="85"/>
    <x v="18"/>
    <x v="18"/>
    <n v="2105"/>
    <n v="178925"/>
    <n v="10"/>
  </r>
  <r>
    <n v="1829"/>
    <s v="Pespuntar lateral corto"/>
    <n v="75"/>
    <x v="4"/>
    <x v="4"/>
    <n v="194"/>
    <n v="14550"/>
    <n v="0"/>
  </r>
  <r>
    <n v="1829"/>
    <m/>
    <m/>
    <x v="17"/>
    <x v="17"/>
    <n v="1921"/>
    <n v="144075"/>
    <m/>
  </r>
  <r>
    <n v="1829"/>
    <s v="Hacer ruedo"/>
    <n v="110"/>
    <x v="19"/>
    <x v="19"/>
    <n v="2115"/>
    <n v="232650"/>
    <n v="0"/>
  </r>
  <r>
    <n v="1829"/>
    <s v="Prender pretina fijando pasadores traseros"/>
    <n v="121.00000000000001"/>
    <x v="8"/>
    <x v="8"/>
    <n v="2115"/>
    <n v="255915.00000000003"/>
    <n v="0"/>
  </r>
  <r>
    <n v="1829"/>
    <s v="Recoger y revocar puntas"/>
    <n v="70"/>
    <x v="0"/>
    <x v="0"/>
    <m/>
    <n v="0"/>
    <n v="2115"/>
  </r>
  <r>
    <n v="1829"/>
    <s v="Hacer puntas"/>
    <n v="120"/>
    <x v="1"/>
    <x v="1"/>
    <n v="1163"/>
    <n v="139560"/>
    <n v="0"/>
  </r>
  <r>
    <n v="1829"/>
    <m/>
    <m/>
    <x v="24"/>
    <x v="24"/>
    <n v="952"/>
    <n v="114240"/>
    <m/>
  </r>
  <r>
    <n v="1829"/>
    <s v="Presillar pantalón x 24"/>
    <n v="204"/>
    <x v="2"/>
    <x v="2"/>
    <n v="898"/>
    <n v="183192"/>
    <n v="0"/>
  </r>
  <r>
    <m/>
    <m/>
    <m/>
    <x v="3"/>
    <x v="3"/>
    <n v="1182"/>
    <n v="241128"/>
    <m/>
  </r>
  <r>
    <n v="1829"/>
    <s v="Presillar pantalón x 28"/>
    <n v="238"/>
    <x v="2"/>
    <x v="2"/>
    <n v="35"/>
    <n v="8330"/>
    <m/>
  </r>
  <r>
    <n v="1829"/>
    <s v="Ojalar"/>
    <n v="29.999999999999996"/>
    <x v="6"/>
    <x v="6"/>
    <n v="862"/>
    <n v="25859.999999999996"/>
    <n v="1253"/>
  </r>
  <r>
    <n v="1829"/>
    <s v="Prender garra"/>
    <n v="80"/>
    <x v="26"/>
    <x v="26"/>
    <n v="192"/>
    <n v="15360"/>
    <n v="458"/>
  </r>
  <r>
    <n v="1829"/>
    <m/>
    <m/>
    <x v="5"/>
    <x v="5"/>
    <n v="1465"/>
    <n v="117200"/>
    <m/>
  </r>
  <r>
    <n v="1829"/>
    <s v="Marquillar pantalón"/>
    <n v="59.999999999999993"/>
    <x v="4"/>
    <x v="4"/>
    <n v="2074"/>
    <n v="124439.99999999999"/>
    <n v="0"/>
  </r>
  <r>
    <n v="1829"/>
    <m/>
    <m/>
    <x v="20"/>
    <x v="20"/>
    <n v="41"/>
    <n v="2459.9999999999995"/>
    <m/>
  </r>
  <r>
    <s v="DELANTEROS"/>
    <m/>
    <m/>
    <x v="0"/>
    <x v="0"/>
    <m/>
    <m/>
    <m/>
  </r>
  <r>
    <s v="Z001"/>
    <s v="Filetear aletilla, recogiendo"/>
    <n v="15"/>
    <x v="20"/>
    <x v="20"/>
    <n v="511"/>
    <n v="7665"/>
    <n v="0"/>
  </r>
  <r>
    <s v="Z001"/>
    <s v="Filetear aletillón, recogiendo"/>
    <n v="20"/>
    <x v="20"/>
    <x v="20"/>
    <n v="511"/>
    <n v="10220"/>
    <n v="0"/>
  </r>
  <r>
    <s v="Z001"/>
    <s v="Filetear Delantero"/>
    <n v="15"/>
    <x v="20"/>
    <x v="20"/>
    <n v="511"/>
    <n v="7665"/>
    <n v="0"/>
  </r>
  <r>
    <s v="Z001"/>
    <s v="Unir relojera en fileteadora"/>
    <n v="12"/>
    <x v="11"/>
    <x v="11"/>
    <n v="511"/>
    <n v="6132"/>
    <n v="0"/>
  </r>
  <r>
    <s v="Z001"/>
    <s v="Recoger relojera unida"/>
    <n v="10"/>
    <x v="0"/>
    <x v="0"/>
    <m/>
    <n v="0"/>
    <n v="511"/>
  </r>
  <r>
    <s v="Z001"/>
    <s v="Pespuntar relojera"/>
    <n v="20"/>
    <x v="11"/>
    <x v="11"/>
    <n v="511"/>
    <n v="10220"/>
    <n v="0"/>
  </r>
  <r>
    <s v="Z001"/>
    <s v="Prender relojera en 2 agujas"/>
    <n v="50"/>
    <x v="11"/>
    <x v="11"/>
    <n v="511"/>
    <n v="25550"/>
    <n v="0"/>
  </r>
  <r>
    <s v="Z001"/>
    <s v="Revocar relojera"/>
    <n v="10"/>
    <x v="0"/>
    <x v="0"/>
    <m/>
    <n v="0"/>
    <n v="511"/>
  </r>
  <r>
    <s v="Z001"/>
    <s v="Prender vistas y falsos"/>
    <n v="80"/>
    <x v="6"/>
    <x v="6"/>
    <n v="511"/>
    <n v="40880"/>
    <n v="0"/>
  </r>
  <r>
    <s v="Z001"/>
    <s v="Recoger de collarín"/>
    <n v="15"/>
    <x v="0"/>
    <x v="0"/>
    <m/>
    <n v="0"/>
    <n v="511"/>
  </r>
  <r>
    <s v="Z001"/>
    <s v="Cerrar talega"/>
    <n v="40"/>
    <x v="7"/>
    <x v="7"/>
    <n v="296"/>
    <n v="11840"/>
    <n v="215"/>
  </r>
  <r>
    <s v="Z001"/>
    <s v="Recoger talega"/>
    <n v="15"/>
    <x v="0"/>
    <x v="0"/>
    <m/>
    <n v="0"/>
    <n v="511"/>
  </r>
  <r>
    <s v="Z001"/>
    <s v="Prender talega"/>
    <n v="61"/>
    <x v="9"/>
    <x v="9"/>
    <n v="511"/>
    <n v="31171"/>
    <n v="0"/>
  </r>
  <r>
    <s v="Z001"/>
    <s v="Pespuntar boca a 1/4 en 2 agujas"/>
    <n v="81"/>
    <x v="7"/>
    <x v="7"/>
    <n v="511"/>
    <n v="41391"/>
    <n v="0"/>
  </r>
  <r>
    <s v="Z001"/>
    <s v="Recoger boca pespuntada"/>
    <n v="15"/>
    <x v="0"/>
    <x v="0"/>
    <m/>
    <n v="0"/>
    <n v="511"/>
  </r>
  <r>
    <s v="Z001"/>
    <s v="Hacer tercera costura de boca"/>
    <n v="70"/>
    <x v="26"/>
    <x v="26"/>
    <n v="511"/>
    <n v="35770"/>
    <n v="0"/>
  </r>
  <r>
    <s v="Z001"/>
    <s v="Fijar delantero"/>
    <n v="100"/>
    <x v="26"/>
    <x v="26"/>
    <n v="142"/>
    <n v="14200"/>
    <n v="74"/>
  </r>
  <r>
    <s v="Z001"/>
    <m/>
    <m/>
    <x v="10"/>
    <x v="10"/>
    <n v="295"/>
    <n v="29500"/>
    <m/>
  </r>
  <r>
    <s v="Z001"/>
    <s v="Prender cierre a aletilla"/>
    <n v="33"/>
    <x v="26"/>
    <x v="26"/>
    <n v="22"/>
    <n v="726"/>
    <n v="0"/>
  </r>
  <r>
    <s v="Z001"/>
    <m/>
    <m/>
    <x v="27"/>
    <x v="27"/>
    <n v="489"/>
    <n v="16137"/>
    <m/>
  </r>
  <r>
    <s v="Z001"/>
    <s v="Prender talla a aletillón"/>
    <n v="20"/>
    <x v="26"/>
    <x v="26"/>
    <n v="22"/>
    <n v="440"/>
    <n v="0"/>
  </r>
  <r>
    <s v="Z001"/>
    <m/>
    <m/>
    <x v="27"/>
    <x v="27"/>
    <n v="489"/>
    <n v="9780"/>
    <m/>
  </r>
  <r>
    <s v="Z001"/>
    <s v="Prender aletillón a aletilla"/>
    <n v="33"/>
    <x v="26"/>
    <x v="26"/>
    <n v="22"/>
    <n v="726"/>
    <n v="0"/>
  </r>
  <r>
    <s v="Z001"/>
    <m/>
    <m/>
    <x v="27"/>
    <x v="27"/>
    <n v="489"/>
    <n v="16137"/>
    <m/>
  </r>
  <r>
    <s v="Z001"/>
    <s v="Preparar delantero"/>
    <n v="43"/>
    <x v="27"/>
    <x v="27"/>
    <n v="511"/>
    <n v="21973"/>
    <n v="0"/>
  </r>
  <r>
    <s v="Z001"/>
    <s v="Hacer jota y encaje"/>
    <n v="120"/>
    <x v="12"/>
    <x v="12"/>
    <n v="511"/>
    <n v="61320"/>
    <n v="0"/>
  </r>
  <r>
    <s v="TRASEROS"/>
    <m/>
    <m/>
    <x v="0"/>
    <x v="0"/>
    <m/>
    <m/>
    <m/>
  </r>
  <r>
    <s v="Z001"/>
    <s v="Unir tiro trasero"/>
    <n v="170"/>
    <x v="0"/>
    <x v="0"/>
    <m/>
    <n v="0"/>
    <n v="511"/>
  </r>
  <r>
    <s v="Z001"/>
    <s v="Filetear bolsillo parche"/>
    <n v="30"/>
    <x v="22"/>
    <x v="22"/>
    <n v="511"/>
    <n v="15330"/>
    <n v="0"/>
  </r>
  <r>
    <s v="Z001"/>
    <s v="Recoger bolsillo fileteado"/>
    <n v="15"/>
    <x v="0"/>
    <x v="0"/>
    <m/>
    <n v="0"/>
    <n v="511"/>
  </r>
  <r>
    <s v="Z001"/>
    <s v="Quebrar borde bolsillo parche"/>
    <n v="33"/>
    <x v="0"/>
    <x v="0"/>
    <m/>
    <n v="0"/>
    <n v="511"/>
  </r>
  <r>
    <s v="Z001"/>
    <s v="Marcar trasero"/>
    <n v="45"/>
    <x v="0"/>
    <x v="0"/>
    <m/>
    <n v="0"/>
    <n v="511"/>
  </r>
  <r>
    <s v="Z001"/>
    <s v="Quebrar bolsillo parche"/>
    <n v="70"/>
    <x v="0"/>
    <x v="0"/>
    <m/>
    <n v="0"/>
    <n v="511"/>
  </r>
  <r>
    <s v="Z001"/>
    <s v="Hacer primera y segunda de parche"/>
    <n v="240"/>
    <x v="14"/>
    <x v="14"/>
    <n v="136"/>
    <n v="32640"/>
    <n v="0"/>
  </r>
  <r>
    <s v="Z001"/>
    <m/>
    <m/>
    <x v="15"/>
    <x v="15"/>
    <n v="204"/>
    <n v="48960"/>
    <m/>
  </r>
  <r>
    <s v="Z001"/>
    <m/>
    <m/>
    <x v="13"/>
    <x v="13"/>
    <n v="171"/>
    <n v="41040"/>
    <m/>
  </r>
  <r>
    <s v="Z001"/>
    <s v="Revocar, ensamblar y marcar para lateral corto"/>
    <n v="70"/>
    <x v="0"/>
    <x v="0"/>
    <m/>
    <n v="0"/>
    <n v="511"/>
  </r>
  <r>
    <s v="PRETINA"/>
    <m/>
    <m/>
    <x v="0"/>
    <x v="0"/>
    <m/>
    <m/>
    <m/>
  </r>
  <r>
    <s v="Z001"/>
    <s v="Separar pretinas"/>
    <n v="12"/>
    <x v="0"/>
    <x v="0"/>
    <m/>
    <n v="0"/>
    <n v="511"/>
  </r>
  <r>
    <s v="Z001"/>
    <s v="Marcar pretina para prender"/>
    <n v="28"/>
    <x v="0"/>
    <x v="0"/>
    <m/>
    <n v="0"/>
    <n v="511"/>
  </r>
  <r>
    <s v="Z001"/>
    <s v="Unir pretina"/>
    <n v="20"/>
    <x v="16"/>
    <x v="16"/>
    <n v="511"/>
    <n v="10220"/>
    <n v="0"/>
  </r>
  <r>
    <s v="PASADORES"/>
    <m/>
    <m/>
    <x v="0"/>
    <x v="0"/>
    <m/>
    <m/>
    <m/>
  </r>
  <r>
    <s v="Z001"/>
    <s v="Hacer pasadores x6"/>
    <n v="36"/>
    <x v="20"/>
    <x v="20"/>
    <n v="511"/>
    <n v="18396"/>
    <n v="0"/>
  </r>
  <r>
    <s v="Z001"/>
    <s v="Recortar pasadores"/>
    <n v="15"/>
    <x v="0"/>
    <x v="0"/>
    <m/>
    <n v="0"/>
    <n v="511"/>
  </r>
  <r>
    <s v="ENSAMBLE"/>
    <m/>
    <m/>
    <x v="0"/>
    <x v="0"/>
    <m/>
    <m/>
    <m/>
  </r>
  <r>
    <s v="Z001"/>
    <s v="Cerrar entrepierna"/>
    <n v="81"/>
    <x v="16"/>
    <x v="16"/>
    <n v="511"/>
    <n v="41391"/>
    <n v="0"/>
  </r>
  <r>
    <s v="Z001"/>
    <s v="Pespuntar entrepierna"/>
    <n v="71"/>
    <x v="16"/>
    <x v="16"/>
    <n v="70"/>
    <n v="4970"/>
    <n v="0"/>
  </r>
  <r>
    <s v="Z001"/>
    <s v="Pespuntar entrepierna"/>
    <m/>
    <x v="17"/>
    <x v="17"/>
    <n v="441"/>
    <n v="31311"/>
    <m/>
  </r>
  <r>
    <s v="Z001"/>
    <s v="Cerrar laterales"/>
    <n v="85"/>
    <x v="18"/>
    <x v="18"/>
    <n v="511"/>
    <n v="43435"/>
    <n v="0"/>
  </r>
  <r>
    <s v="Z001"/>
    <s v="Pespuntar lateral corto"/>
    <n v="75"/>
    <x v="17"/>
    <x v="17"/>
    <n v="511"/>
    <n v="38325"/>
    <n v="0"/>
  </r>
  <r>
    <s v="Z001"/>
    <s v="Hacer ruedo"/>
    <n v="98"/>
    <x v="19"/>
    <x v="19"/>
    <n v="511"/>
    <n v="50078"/>
    <n v="0"/>
  </r>
  <r>
    <s v="Z001"/>
    <s v="Prender pretina fijando pasadores traseros"/>
    <n v="110"/>
    <x v="0"/>
    <x v="0"/>
    <m/>
    <n v="0"/>
    <n v="511"/>
  </r>
  <r>
    <s v="Z001"/>
    <s v="Recoger y revocar puntas"/>
    <n v="70"/>
    <x v="0"/>
    <x v="0"/>
    <m/>
    <n v="0"/>
    <n v="511"/>
  </r>
  <r>
    <s v="Z001"/>
    <s v="Hacer puntas"/>
    <n v="120"/>
    <x v="0"/>
    <x v="0"/>
    <m/>
    <n v="0"/>
    <n v="511"/>
  </r>
  <r>
    <s v="Z001"/>
    <s v="Presillar pantalón x 22"/>
    <n v="187"/>
    <x v="0"/>
    <x v="0"/>
    <m/>
    <n v="0"/>
    <n v="511"/>
  </r>
  <r>
    <s v="Z001"/>
    <s v="Ojalar"/>
    <n v="29.999999999999996"/>
    <x v="0"/>
    <x v="0"/>
    <m/>
    <n v="0"/>
    <n v="511"/>
  </r>
  <r>
    <s v="Z001"/>
    <s v="Prender garra"/>
    <n v="80"/>
    <x v="0"/>
    <x v="0"/>
    <m/>
    <n v="0"/>
    <n v="511"/>
  </r>
  <r>
    <s v="Z001"/>
    <s v="Marquillar pantalón"/>
    <n v="50"/>
    <x v="0"/>
    <x v="0"/>
    <m/>
    <n v="0"/>
    <n v="511"/>
  </r>
  <r>
    <s v="DELANTEROS"/>
    <m/>
    <m/>
    <x v="0"/>
    <x v="0"/>
    <m/>
    <m/>
    <m/>
  </r>
  <r>
    <s v="Z002"/>
    <s v="Filetear aletilla, recogiendo"/>
    <n v="15"/>
    <x v="0"/>
    <x v="0"/>
    <m/>
    <n v="0"/>
    <n v="174"/>
  </r>
  <r>
    <s v="Z002"/>
    <s v="Filetear aletillón, recogiendo"/>
    <n v="20"/>
    <x v="0"/>
    <x v="0"/>
    <m/>
    <n v="0"/>
    <n v="174"/>
  </r>
  <r>
    <s v="Z002"/>
    <s v="Filetear Delantero"/>
    <n v="15"/>
    <x v="20"/>
    <x v="20"/>
    <n v="174"/>
    <n v="2610"/>
    <n v="0"/>
  </r>
  <r>
    <s v="Z002"/>
    <s v="Unir relojera en fileteadora"/>
    <n v="12"/>
    <x v="11"/>
    <x v="11"/>
    <n v="174"/>
    <n v="2088"/>
    <n v="0"/>
  </r>
  <r>
    <s v="Z002"/>
    <s v="Recoger relojera unida"/>
    <n v="10"/>
    <x v="0"/>
    <x v="0"/>
    <m/>
    <n v="0"/>
    <n v="174"/>
  </r>
  <r>
    <s v="Z002"/>
    <s v="Pespuntar relojera"/>
    <n v="20"/>
    <x v="11"/>
    <x v="11"/>
    <n v="174"/>
    <n v="3480"/>
    <n v="0"/>
  </r>
  <r>
    <s v="Z002"/>
    <s v="Prender relojera en 2 agujas"/>
    <n v="50"/>
    <x v="22"/>
    <x v="22"/>
    <n v="174"/>
    <n v="8700"/>
    <n v="0"/>
  </r>
  <r>
    <s v="Z002"/>
    <s v="Revocar relojera"/>
    <n v="10"/>
    <x v="22"/>
    <x v="22"/>
    <n v="174"/>
    <n v="1740"/>
    <n v="0"/>
  </r>
  <r>
    <s v="Z002"/>
    <s v="Prender vistas y falsos"/>
    <n v="80"/>
    <x v="0"/>
    <x v="0"/>
    <m/>
    <n v="0"/>
    <n v="174"/>
  </r>
  <r>
    <s v="Z002"/>
    <s v="Recoger de collarín"/>
    <n v="15"/>
    <x v="0"/>
    <x v="0"/>
    <m/>
    <n v="0"/>
    <n v="174"/>
  </r>
  <r>
    <s v="Z002"/>
    <s v="Cerrar talega"/>
    <n v="40"/>
    <x v="0"/>
    <x v="0"/>
    <m/>
    <n v="0"/>
    <n v="174"/>
  </r>
  <r>
    <s v="Z002"/>
    <s v="Recoger talega"/>
    <n v="15"/>
    <x v="0"/>
    <x v="0"/>
    <m/>
    <n v="0"/>
    <n v="174"/>
  </r>
  <r>
    <s v="Z002"/>
    <s v="Prender talega"/>
    <n v="61"/>
    <x v="0"/>
    <x v="0"/>
    <m/>
    <n v="0"/>
    <n v="174"/>
  </r>
  <r>
    <s v="Z002"/>
    <s v="Pespuntar boca a 1/4 en 2 agujas"/>
    <n v="81"/>
    <x v="0"/>
    <x v="0"/>
    <m/>
    <n v="0"/>
    <n v="174"/>
  </r>
  <r>
    <s v="Z002"/>
    <s v="Recoger boca pespuntada"/>
    <n v="15"/>
    <x v="0"/>
    <x v="0"/>
    <m/>
    <n v="0"/>
    <n v="174"/>
  </r>
  <r>
    <s v="Z002"/>
    <s v="Hacer tercera costura de boca"/>
    <n v="70"/>
    <x v="0"/>
    <x v="0"/>
    <m/>
    <n v="0"/>
    <n v="174"/>
  </r>
  <r>
    <s v="Z002"/>
    <s v="Fijar delantero"/>
    <n v="100"/>
    <x v="0"/>
    <x v="0"/>
    <m/>
    <n v="0"/>
    <n v="174"/>
  </r>
  <r>
    <s v="Z002"/>
    <m/>
    <m/>
    <x v="0"/>
    <x v="0"/>
    <m/>
    <n v="0"/>
    <n v="174"/>
  </r>
  <r>
    <s v="Z002"/>
    <s v="Prender cierre a aletilla"/>
    <n v="33"/>
    <x v="0"/>
    <x v="0"/>
    <m/>
    <n v="0"/>
    <n v="174"/>
  </r>
  <r>
    <s v="Z002"/>
    <m/>
    <m/>
    <x v="0"/>
    <x v="0"/>
    <m/>
    <n v="0"/>
    <n v="174"/>
  </r>
  <r>
    <s v="Z002"/>
    <s v="Prender talla a aletillón"/>
    <n v="20"/>
    <x v="0"/>
    <x v="0"/>
    <m/>
    <n v="0"/>
    <n v="174"/>
  </r>
  <r>
    <s v="Z002"/>
    <m/>
    <m/>
    <x v="0"/>
    <x v="0"/>
    <m/>
    <n v="0"/>
    <n v="174"/>
  </r>
  <r>
    <s v="Z002"/>
    <s v="Prender aletillón a aletilla"/>
    <n v="33"/>
    <x v="0"/>
    <x v="0"/>
    <m/>
    <n v="0"/>
    <n v="174"/>
  </r>
  <r>
    <s v="Z002"/>
    <m/>
    <m/>
    <x v="0"/>
    <x v="0"/>
    <m/>
    <n v="0"/>
    <n v="174"/>
  </r>
  <r>
    <s v="Z002"/>
    <s v="Preparar delantero"/>
    <n v="43"/>
    <x v="0"/>
    <x v="0"/>
    <m/>
    <n v="0"/>
    <n v="174"/>
  </r>
  <r>
    <s v="Z002"/>
    <s v="Hacer jota y encaje"/>
    <n v="120"/>
    <x v="0"/>
    <x v="0"/>
    <m/>
    <n v="0"/>
    <n v="174"/>
  </r>
  <r>
    <s v="TRASEROS"/>
    <m/>
    <m/>
    <x v="0"/>
    <x v="0"/>
    <m/>
    <m/>
    <m/>
  </r>
  <r>
    <s v="Z002"/>
    <s v="Unir tiro trasero"/>
    <n v="170"/>
    <x v="0"/>
    <x v="0"/>
    <m/>
    <n v="0"/>
    <n v="174"/>
  </r>
  <r>
    <s v="Z002"/>
    <s v="Filetear bolsillo parche"/>
    <n v="30"/>
    <x v="18"/>
    <x v="18"/>
    <n v="174"/>
    <n v="5220"/>
    <n v="0"/>
  </r>
  <r>
    <s v="Z002"/>
    <s v="Recoger bolsillo fileteado"/>
    <n v="15"/>
    <x v="0"/>
    <x v="0"/>
    <m/>
    <n v="0"/>
    <n v="174"/>
  </r>
  <r>
    <s v="Z002"/>
    <s v="Quebrar borde bolsillo parche"/>
    <n v="33"/>
    <x v="0"/>
    <x v="0"/>
    <m/>
    <n v="0"/>
    <n v="174"/>
  </r>
  <r>
    <s v="Z002"/>
    <s v="Marcar trasero"/>
    <n v="45"/>
    <x v="0"/>
    <x v="0"/>
    <m/>
    <n v="0"/>
    <n v="174"/>
  </r>
  <r>
    <s v="Z002"/>
    <s v="Quebrar bolsillo parche"/>
    <n v="70"/>
    <x v="0"/>
    <x v="0"/>
    <m/>
    <n v="0"/>
    <n v="174"/>
  </r>
  <r>
    <s v="Z002"/>
    <s v="Hacer primera y segunda de parche"/>
    <m/>
    <x v="0"/>
    <x v="0"/>
    <m/>
    <n v="0"/>
    <n v="174"/>
  </r>
  <r>
    <s v="Z002"/>
    <m/>
    <m/>
    <x v="0"/>
    <x v="0"/>
    <m/>
    <n v="0"/>
    <n v="174"/>
  </r>
  <r>
    <s v="Z002"/>
    <m/>
    <n v="240"/>
    <x v="0"/>
    <x v="0"/>
    <m/>
    <n v="0"/>
    <n v="174"/>
  </r>
  <r>
    <s v="Z002"/>
    <s v="Revocar, ensamblar y marcar para lateral corto"/>
    <n v="70"/>
    <x v="0"/>
    <x v="0"/>
    <m/>
    <n v="0"/>
    <n v="174"/>
  </r>
  <r>
    <s v="PRETINA"/>
    <m/>
    <m/>
    <x v="0"/>
    <x v="0"/>
    <m/>
    <m/>
    <m/>
  </r>
  <r>
    <s v="Z002"/>
    <s v="Separar pretinas"/>
    <n v="12"/>
    <x v="0"/>
    <x v="0"/>
    <m/>
    <n v="0"/>
    <n v="174"/>
  </r>
  <r>
    <s v="Z002"/>
    <s v="Marcar pretina para prender"/>
    <n v="28"/>
    <x v="0"/>
    <x v="0"/>
    <m/>
    <n v="0"/>
    <n v="174"/>
  </r>
  <r>
    <s v="Z002"/>
    <s v="Unir pretina"/>
    <n v="20"/>
    <x v="0"/>
    <x v="0"/>
    <m/>
    <n v="0"/>
    <n v="174"/>
  </r>
  <r>
    <s v="PASADORES"/>
    <m/>
    <m/>
    <x v="0"/>
    <x v="0"/>
    <m/>
    <m/>
    <m/>
  </r>
  <r>
    <s v="Z002"/>
    <s v="Hacer pasadores x6"/>
    <n v="36"/>
    <x v="0"/>
    <x v="0"/>
    <m/>
    <n v="0"/>
    <n v="174"/>
  </r>
  <r>
    <s v="Z002"/>
    <s v="Recortar pasadores"/>
    <n v="15"/>
    <x v="0"/>
    <x v="0"/>
    <m/>
    <n v="0"/>
    <n v="174"/>
  </r>
  <r>
    <s v="ENSAMBLE"/>
    <m/>
    <m/>
    <x v="0"/>
    <x v="0"/>
    <m/>
    <m/>
    <m/>
  </r>
  <r>
    <s v="Z002"/>
    <s v="Cerrar entrepierna"/>
    <n v="81"/>
    <x v="0"/>
    <x v="0"/>
    <m/>
    <n v="0"/>
    <n v="174"/>
  </r>
  <r>
    <s v="Z002"/>
    <s v="Pespuntar entrepierna"/>
    <n v="71"/>
    <x v="0"/>
    <x v="0"/>
    <m/>
    <n v="0"/>
    <n v="174"/>
  </r>
  <r>
    <s v="Z002"/>
    <s v="Cerrar laterales"/>
    <n v="85"/>
    <x v="0"/>
    <x v="0"/>
    <m/>
    <n v="0"/>
    <n v="174"/>
  </r>
  <r>
    <s v="Z002"/>
    <s v="Pespuntar lateral corto"/>
    <n v="75"/>
    <x v="0"/>
    <x v="0"/>
    <m/>
    <n v="0"/>
    <n v="174"/>
  </r>
  <r>
    <s v="Z002"/>
    <s v="Hacer ruedo"/>
    <n v="98"/>
    <x v="0"/>
    <x v="0"/>
    <m/>
    <n v="0"/>
    <n v="174"/>
  </r>
  <r>
    <s v="Z002"/>
    <s v="Prender pretina fijando pasadores traseros"/>
    <n v="110"/>
    <x v="0"/>
    <x v="0"/>
    <m/>
    <n v="0"/>
    <n v="174"/>
  </r>
  <r>
    <s v="Z002"/>
    <s v="Recoger y revocar puntas"/>
    <n v="70"/>
    <x v="0"/>
    <x v="0"/>
    <m/>
    <n v="0"/>
    <n v="174"/>
  </r>
  <r>
    <s v="Z002"/>
    <s v="Hacer puntas"/>
    <n v="120"/>
    <x v="0"/>
    <x v="0"/>
    <m/>
    <n v="0"/>
    <n v="174"/>
  </r>
  <r>
    <s v="Z002"/>
    <s v="Presillar pantalón x 22"/>
    <n v="187"/>
    <x v="0"/>
    <x v="0"/>
    <m/>
    <n v="0"/>
    <n v="174"/>
  </r>
  <r>
    <s v="Z002"/>
    <s v="Ojalar"/>
    <n v="29.999999999999996"/>
    <x v="0"/>
    <x v="0"/>
    <m/>
    <n v="0"/>
    <n v="174"/>
  </r>
  <r>
    <s v="Z002"/>
    <s v="Prender garra"/>
    <n v="80"/>
    <x v="0"/>
    <x v="0"/>
    <m/>
    <n v="0"/>
    <n v="174"/>
  </r>
  <r>
    <s v="Z002"/>
    <s v="Marquillar pantalón"/>
    <n v="50"/>
    <x v="0"/>
    <x v="0"/>
    <m/>
    <n v="0"/>
    <n v="174"/>
  </r>
  <r>
    <s v="DELANTEROS"/>
    <m/>
    <m/>
    <x v="0"/>
    <x v="0"/>
    <m/>
    <m/>
    <m/>
  </r>
  <r>
    <s v="Z003"/>
    <s v="Filetear aletilla, recogiendo"/>
    <n v="15"/>
    <x v="0"/>
    <x v="0"/>
    <m/>
    <n v="0"/>
    <n v="270"/>
  </r>
  <r>
    <s v="Z003"/>
    <s v="Filetear aletillón, recogiendo"/>
    <n v="20"/>
    <x v="0"/>
    <x v="0"/>
    <m/>
    <n v="0"/>
    <n v="270"/>
  </r>
  <r>
    <s v="Z003"/>
    <s v="Filetear Delantero"/>
    <n v="15"/>
    <x v="0"/>
    <x v="0"/>
    <m/>
    <n v="0"/>
    <n v="270"/>
  </r>
  <r>
    <s v="Z003"/>
    <s v="Unir relojera en fileteadora"/>
    <n v="12"/>
    <x v="11"/>
    <x v="11"/>
    <n v="270"/>
    <n v="3240"/>
    <n v="0"/>
  </r>
  <r>
    <s v="Z003"/>
    <s v="Recoger relojera unida"/>
    <n v="10"/>
    <x v="0"/>
    <x v="0"/>
    <m/>
    <n v="0"/>
    <n v="270"/>
  </r>
  <r>
    <s v="Z003"/>
    <s v="Pespuntar relojera"/>
    <n v="20"/>
    <x v="11"/>
    <x v="11"/>
    <n v="270"/>
    <n v="5400"/>
    <n v="0"/>
  </r>
  <r>
    <s v="Z003"/>
    <s v="Prender relojera en 2 agujas"/>
    <n v="50"/>
    <x v="0"/>
    <x v="0"/>
    <m/>
    <n v="0"/>
    <n v="270"/>
  </r>
  <r>
    <s v="Z003"/>
    <s v="Revocar relojera"/>
    <n v="10"/>
    <x v="0"/>
    <x v="0"/>
    <m/>
    <n v="0"/>
    <n v="270"/>
  </r>
  <r>
    <s v="Z003"/>
    <s v="Prender vistas y falsos"/>
    <n v="80"/>
    <x v="0"/>
    <x v="0"/>
    <m/>
    <n v="0"/>
    <n v="270"/>
  </r>
  <r>
    <s v="Z003"/>
    <s v="Recoger de collarín"/>
    <n v="15"/>
    <x v="0"/>
    <x v="0"/>
    <m/>
    <n v="0"/>
    <n v="270"/>
  </r>
  <r>
    <s v="Z003"/>
    <s v="Cerrar talega"/>
    <n v="40"/>
    <x v="0"/>
    <x v="0"/>
    <m/>
    <n v="0"/>
    <n v="270"/>
  </r>
  <r>
    <s v="Z003"/>
    <s v="Recoger talega"/>
    <n v="15"/>
    <x v="0"/>
    <x v="0"/>
    <m/>
    <n v="0"/>
    <n v="270"/>
  </r>
  <r>
    <s v="Z003"/>
    <s v="Prender talega"/>
    <n v="61"/>
    <x v="0"/>
    <x v="0"/>
    <m/>
    <n v="0"/>
    <n v="270"/>
  </r>
  <r>
    <s v="Z003"/>
    <s v="Pespuntar boca a 1/4 en 2 agujas"/>
    <n v="81"/>
    <x v="0"/>
    <x v="0"/>
    <m/>
    <n v="0"/>
    <n v="270"/>
  </r>
  <r>
    <s v="Z003"/>
    <s v="Recoger boca pespuntada"/>
    <n v="15"/>
    <x v="0"/>
    <x v="0"/>
    <m/>
    <n v="0"/>
    <n v="270"/>
  </r>
  <r>
    <s v="Z003"/>
    <s v="Hacer tercera costura de boca"/>
    <n v="70"/>
    <x v="0"/>
    <x v="0"/>
    <m/>
    <n v="0"/>
    <n v="270"/>
  </r>
  <r>
    <s v="Z003"/>
    <s v="Fijar delantero"/>
    <m/>
    <x v="0"/>
    <x v="0"/>
    <m/>
    <n v="0"/>
    <n v="270"/>
  </r>
  <r>
    <s v="Z003"/>
    <m/>
    <n v="100"/>
    <x v="0"/>
    <x v="0"/>
    <m/>
    <n v="0"/>
    <n v="270"/>
  </r>
  <r>
    <s v="Z003"/>
    <s v="Prender cierre a aletilla"/>
    <m/>
    <x v="0"/>
    <x v="0"/>
    <m/>
    <n v="0"/>
    <n v="270"/>
  </r>
  <r>
    <s v="Z003"/>
    <m/>
    <n v="33"/>
    <x v="0"/>
    <x v="0"/>
    <m/>
    <n v="0"/>
    <n v="270"/>
  </r>
  <r>
    <s v="Z003"/>
    <s v="Prender talla a aletillón"/>
    <m/>
    <x v="0"/>
    <x v="0"/>
    <m/>
    <n v="0"/>
    <n v="270"/>
  </r>
  <r>
    <s v="Z003"/>
    <m/>
    <n v="20"/>
    <x v="0"/>
    <x v="0"/>
    <m/>
    <n v="0"/>
    <n v="270"/>
  </r>
  <r>
    <s v="Z003"/>
    <s v="Prender aletillón a aletilla"/>
    <m/>
    <x v="0"/>
    <x v="0"/>
    <m/>
    <n v="0"/>
    <n v="270"/>
  </r>
  <r>
    <s v="Z003"/>
    <m/>
    <n v="33"/>
    <x v="0"/>
    <x v="0"/>
    <m/>
    <n v="0"/>
    <n v="270"/>
  </r>
  <r>
    <s v="Z003"/>
    <s v="Preparar delantero"/>
    <n v="43"/>
    <x v="0"/>
    <x v="0"/>
    <m/>
    <n v="0"/>
    <n v="270"/>
  </r>
  <r>
    <s v="Z003"/>
    <s v="Hacer jota y encaje"/>
    <n v="120"/>
    <x v="0"/>
    <x v="0"/>
    <m/>
    <n v="0"/>
    <n v="270"/>
  </r>
  <r>
    <s v="TRASEROS"/>
    <m/>
    <m/>
    <x v="0"/>
    <x v="0"/>
    <m/>
    <m/>
    <m/>
  </r>
  <r>
    <s v="Z003"/>
    <s v="Unir tiro trasero"/>
    <n v="170"/>
    <x v="0"/>
    <x v="0"/>
    <m/>
    <n v="0"/>
    <n v="270"/>
  </r>
  <r>
    <s v="Z003"/>
    <s v="Filetear bolsillo parche"/>
    <n v="30"/>
    <x v="9"/>
    <x v="9"/>
    <n v="270"/>
    <n v="8100"/>
    <n v="0"/>
  </r>
  <r>
    <s v="Z003"/>
    <s v="Recoger bolsillo fileteado"/>
    <n v="15"/>
    <x v="0"/>
    <x v="0"/>
    <m/>
    <n v="0"/>
    <n v="270"/>
  </r>
  <r>
    <s v="Z003"/>
    <s v="Quebrar borde bolsillo parche"/>
    <n v="33"/>
    <x v="0"/>
    <x v="0"/>
    <m/>
    <n v="0"/>
    <n v="270"/>
  </r>
  <r>
    <s v="Z003"/>
    <s v="Marcar trasero"/>
    <n v="45"/>
    <x v="0"/>
    <x v="0"/>
    <m/>
    <n v="0"/>
    <n v="270"/>
  </r>
  <r>
    <s v="Z003"/>
    <s v="Quebrar bolsillo parche"/>
    <n v="70"/>
    <x v="0"/>
    <x v="0"/>
    <m/>
    <n v="0"/>
    <n v="270"/>
  </r>
  <r>
    <s v="Z003"/>
    <s v="Hacer primera y segunda de parche"/>
    <m/>
    <x v="0"/>
    <x v="0"/>
    <m/>
    <n v="0"/>
    <n v="270"/>
  </r>
  <r>
    <s v="Z003"/>
    <m/>
    <m/>
    <x v="0"/>
    <x v="0"/>
    <m/>
    <n v="0"/>
    <n v="270"/>
  </r>
  <r>
    <s v="Z003"/>
    <m/>
    <n v="240"/>
    <x v="0"/>
    <x v="0"/>
    <m/>
    <n v="0"/>
    <n v="270"/>
  </r>
  <r>
    <s v="Z003"/>
    <s v="Revocar, ensamblar y marcar para lateral corto"/>
    <n v="70"/>
    <x v="0"/>
    <x v="0"/>
    <m/>
    <n v="0"/>
    <n v="270"/>
  </r>
  <r>
    <s v="PRETINA"/>
    <m/>
    <m/>
    <x v="0"/>
    <x v="0"/>
    <m/>
    <m/>
    <m/>
  </r>
  <r>
    <s v="Z003"/>
    <s v="Separar pretinas"/>
    <n v="12"/>
    <x v="0"/>
    <x v="0"/>
    <m/>
    <n v="0"/>
    <n v="270"/>
  </r>
  <r>
    <s v="Z003"/>
    <s v="Marcar pretina para prender"/>
    <n v="28"/>
    <x v="0"/>
    <x v="0"/>
    <m/>
    <n v="0"/>
    <n v="270"/>
  </r>
  <r>
    <s v="Z003"/>
    <s v="Unir pretina"/>
    <n v="20"/>
    <x v="0"/>
    <x v="0"/>
    <m/>
    <n v="0"/>
    <n v="270"/>
  </r>
  <r>
    <s v="PASADORES"/>
    <m/>
    <m/>
    <x v="0"/>
    <x v="0"/>
    <m/>
    <m/>
    <m/>
  </r>
  <r>
    <s v="Z003"/>
    <s v="Hacer pasadores x6"/>
    <n v="36"/>
    <x v="0"/>
    <x v="0"/>
    <m/>
    <n v="0"/>
    <n v="270"/>
  </r>
  <r>
    <s v="Z003"/>
    <s v="Recortar pasadores"/>
    <n v="15"/>
    <x v="0"/>
    <x v="0"/>
    <m/>
    <n v="0"/>
    <n v="270"/>
  </r>
  <r>
    <s v="ENSAMBLE"/>
    <m/>
    <m/>
    <x v="0"/>
    <x v="0"/>
    <m/>
    <m/>
    <m/>
  </r>
  <r>
    <s v="Z003"/>
    <s v="Cerrar entrepierna"/>
    <n v="81"/>
    <x v="0"/>
    <x v="0"/>
    <m/>
    <n v="0"/>
    <n v="270"/>
  </r>
  <r>
    <s v="Z003"/>
    <s v="Pespuntar entrepierna"/>
    <n v="71"/>
    <x v="0"/>
    <x v="0"/>
    <m/>
    <n v="0"/>
    <n v="270"/>
  </r>
  <r>
    <s v="Z003"/>
    <s v="Cerrar laterales"/>
    <n v="85"/>
    <x v="0"/>
    <x v="0"/>
    <m/>
    <n v="0"/>
    <n v="270"/>
  </r>
  <r>
    <s v="Z003"/>
    <s v="Pespuntar lateral corto"/>
    <n v="75"/>
    <x v="0"/>
    <x v="0"/>
    <m/>
    <n v="0"/>
    <n v="270"/>
  </r>
  <r>
    <s v="Z003"/>
    <s v="Hacer ruedo"/>
    <n v="98"/>
    <x v="0"/>
    <x v="0"/>
    <m/>
    <n v="0"/>
    <n v="270"/>
  </r>
  <r>
    <s v="Z003"/>
    <s v="Prender pretina fijando pasadores traseros"/>
    <n v="110"/>
    <x v="0"/>
    <x v="0"/>
    <m/>
    <n v="0"/>
    <n v="270"/>
  </r>
  <r>
    <s v="Z003"/>
    <s v="Recoger y revocar puntas"/>
    <n v="70"/>
    <x v="0"/>
    <x v="0"/>
    <m/>
    <n v="0"/>
    <n v="270"/>
  </r>
  <r>
    <s v="Z003"/>
    <s v="Hacer puntas"/>
    <n v="120"/>
    <x v="0"/>
    <x v="0"/>
    <m/>
    <n v="0"/>
    <n v="270"/>
  </r>
  <r>
    <s v="Z003"/>
    <s v="Presillar pantalón x 22"/>
    <n v="187"/>
    <x v="0"/>
    <x v="0"/>
    <m/>
    <n v="0"/>
    <n v="270"/>
  </r>
  <r>
    <s v="Z003"/>
    <s v="Ojalar"/>
    <n v="29.999999999999996"/>
    <x v="0"/>
    <x v="0"/>
    <m/>
    <n v="0"/>
    <n v="270"/>
  </r>
  <r>
    <s v="Z003"/>
    <s v="Prender garra"/>
    <n v="80"/>
    <x v="0"/>
    <x v="0"/>
    <m/>
    <n v="0"/>
    <n v="270"/>
  </r>
  <r>
    <s v="Z003"/>
    <s v="Marquillar pantalón"/>
    <n v="50"/>
    <x v="0"/>
    <x v="0"/>
    <m/>
    <n v="0"/>
    <n v="270"/>
  </r>
  <r>
    <s v="DELANTEROS"/>
    <m/>
    <m/>
    <x v="0"/>
    <x v="0"/>
    <m/>
    <m/>
    <m/>
  </r>
  <r>
    <s v="Z004"/>
    <s v="Filetear aletilla, recogiendo"/>
    <n v="15"/>
    <x v="20"/>
    <x v="20"/>
    <n v="238"/>
    <n v="3570"/>
    <n v="0"/>
  </r>
  <r>
    <s v="Z004"/>
    <s v="Filetear aletillón, recogiendo"/>
    <n v="20"/>
    <x v="20"/>
    <x v="20"/>
    <n v="238"/>
    <n v="4760"/>
    <n v="0"/>
  </r>
  <r>
    <s v="Z004"/>
    <s v="Filetear Delantero"/>
    <n v="15"/>
    <x v="20"/>
    <x v="20"/>
    <n v="187"/>
    <n v="2805"/>
    <n v="51"/>
  </r>
  <r>
    <s v="Z004"/>
    <s v="Unir relojera en fileteadora"/>
    <n v="12"/>
    <x v="25"/>
    <x v="25"/>
    <n v="238"/>
    <n v="2856"/>
    <n v="0"/>
  </r>
  <r>
    <s v="Z004"/>
    <s v="Recoger relojera unida"/>
    <n v="10"/>
    <x v="0"/>
    <x v="0"/>
    <m/>
    <n v="0"/>
    <n v="238"/>
  </r>
  <r>
    <s v="Z004"/>
    <s v="Pespuntar relojera"/>
    <n v="20"/>
    <x v="25"/>
    <x v="25"/>
    <n v="238"/>
    <n v="4760"/>
    <n v="0"/>
  </r>
  <r>
    <s v="Z004"/>
    <s v="Prender relojera en 2 agujas"/>
    <n v="50"/>
    <x v="22"/>
    <x v="22"/>
    <n v="238"/>
    <n v="11900"/>
    <n v="0"/>
  </r>
  <r>
    <s v="Z004"/>
    <s v="Revocar relojera"/>
    <n v="10"/>
    <x v="0"/>
    <x v="0"/>
    <m/>
    <n v="0"/>
    <n v="238"/>
  </r>
  <r>
    <s v="Z004"/>
    <s v="Prender vistas y falsos"/>
    <n v="80"/>
    <x v="0"/>
    <x v="0"/>
    <m/>
    <n v="0"/>
    <n v="238"/>
  </r>
  <r>
    <s v="Z004"/>
    <s v="Recoger de collarín"/>
    <n v="15"/>
    <x v="0"/>
    <x v="0"/>
    <m/>
    <n v="0"/>
    <n v="238"/>
  </r>
  <r>
    <s v="Z004"/>
    <s v="Cerrar talega"/>
    <n v="40"/>
    <x v="0"/>
    <x v="0"/>
    <m/>
    <n v="0"/>
    <n v="238"/>
  </r>
  <r>
    <s v="Z004"/>
    <s v="Recoger talega"/>
    <n v="15"/>
    <x v="0"/>
    <x v="0"/>
    <m/>
    <n v="0"/>
    <n v="238"/>
  </r>
  <r>
    <s v="Z004"/>
    <s v="Prender talega"/>
    <n v="61"/>
    <x v="0"/>
    <x v="0"/>
    <m/>
    <n v="0"/>
    <n v="238"/>
  </r>
  <r>
    <s v="Z004"/>
    <s v="Pespuntar boca a 1/4 en 2 agujas"/>
    <n v="81"/>
    <x v="0"/>
    <x v="0"/>
    <m/>
    <n v="0"/>
    <n v="238"/>
  </r>
  <r>
    <s v="Z004"/>
    <s v="Recoger boca pespuntada"/>
    <n v="15"/>
    <x v="0"/>
    <x v="0"/>
    <m/>
    <n v="0"/>
    <n v="238"/>
  </r>
  <r>
    <s v="Z004"/>
    <s v="Hacer tercera costura de boca"/>
    <n v="70"/>
    <x v="0"/>
    <x v="0"/>
    <m/>
    <n v="0"/>
    <n v="238"/>
  </r>
  <r>
    <s v="Z004"/>
    <s v="Fijar delantero"/>
    <m/>
    <x v="0"/>
    <x v="0"/>
    <m/>
    <n v="0"/>
    <n v="238"/>
  </r>
  <r>
    <s v="Z004"/>
    <m/>
    <n v="100"/>
    <x v="0"/>
    <x v="0"/>
    <m/>
    <n v="0"/>
    <n v="238"/>
  </r>
  <r>
    <s v="Z004"/>
    <s v="Prender cierre a aletilla"/>
    <m/>
    <x v="0"/>
    <x v="0"/>
    <m/>
    <n v="0"/>
    <n v="238"/>
  </r>
  <r>
    <s v="Z004"/>
    <m/>
    <n v="33"/>
    <x v="0"/>
    <x v="0"/>
    <m/>
    <n v="0"/>
    <n v="238"/>
  </r>
  <r>
    <s v="Z004"/>
    <s v="Prender talla a aletillón"/>
    <m/>
    <x v="0"/>
    <x v="0"/>
    <m/>
    <n v="0"/>
    <n v="238"/>
  </r>
  <r>
    <s v="Z004"/>
    <m/>
    <n v="20"/>
    <x v="0"/>
    <x v="0"/>
    <m/>
    <n v="0"/>
    <n v="238"/>
  </r>
  <r>
    <s v="Z004"/>
    <s v="Prender aletillón a aletilla"/>
    <m/>
    <x v="0"/>
    <x v="0"/>
    <m/>
    <n v="0"/>
    <n v="238"/>
  </r>
  <r>
    <s v="Z004"/>
    <m/>
    <n v="33"/>
    <x v="0"/>
    <x v="0"/>
    <m/>
    <n v="0"/>
    <n v="238"/>
  </r>
  <r>
    <s v="Z004"/>
    <s v="Preparar delantero"/>
    <n v="43"/>
    <x v="0"/>
    <x v="0"/>
    <m/>
    <n v="0"/>
    <n v="238"/>
  </r>
  <r>
    <s v="Z004"/>
    <s v="Hacer jota y encaje"/>
    <n v="120"/>
    <x v="0"/>
    <x v="0"/>
    <m/>
    <n v="0"/>
    <n v="238"/>
  </r>
  <r>
    <s v="TRASEROS"/>
    <m/>
    <m/>
    <x v="0"/>
    <x v="0"/>
    <m/>
    <m/>
    <m/>
  </r>
  <r>
    <s v="Z004"/>
    <s v="Unir tiro trasero"/>
    <n v="170"/>
    <x v="0"/>
    <x v="0"/>
    <m/>
    <n v="0"/>
    <n v="238"/>
  </r>
  <r>
    <s v="Z004"/>
    <s v="Filetear bolsillo parche"/>
    <n v="30"/>
    <x v="9"/>
    <x v="9"/>
    <n v="238"/>
    <n v="7140"/>
    <n v="0"/>
  </r>
  <r>
    <s v="Z004"/>
    <s v="Recoger bolsillo fileteado"/>
    <n v="15"/>
    <x v="0"/>
    <x v="0"/>
    <m/>
    <n v="0"/>
    <n v="238"/>
  </r>
  <r>
    <s v="Z004"/>
    <s v="Quebrar borde bolsillo parche"/>
    <n v="33"/>
    <x v="0"/>
    <x v="0"/>
    <m/>
    <n v="0"/>
    <n v="238"/>
  </r>
  <r>
    <s v="Z004"/>
    <s v="Marcar trasero"/>
    <n v="45"/>
    <x v="0"/>
    <x v="0"/>
    <m/>
    <n v="0"/>
    <n v="238"/>
  </r>
  <r>
    <s v="Z004"/>
    <s v="Quebrar bolsillo parche"/>
    <n v="70"/>
    <x v="0"/>
    <x v="0"/>
    <m/>
    <n v="0"/>
    <n v="238"/>
  </r>
  <r>
    <s v="Z004"/>
    <s v="Hacer primera y segunda de parche"/>
    <n v="240"/>
    <x v="13"/>
    <x v="13"/>
    <n v="19"/>
    <n v="4560"/>
    <n v="219"/>
  </r>
  <r>
    <s v="Z004"/>
    <m/>
    <m/>
    <x v="14"/>
    <x v="14"/>
    <n v="70"/>
    <n v="16800"/>
    <n v="168"/>
  </r>
  <r>
    <s v="Z004"/>
    <m/>
    <m/>
    <x v="15"/>
    <x v="15"/>
    <n v="18"/>
    <n v="4320"/>
    <n v="220"/>
  </r>
  <r>
    <s v="Z004"/>
    <s v="Revocar, ensamblar y marcar para lateral corto"/>
    <n v="70"/>
    <x v="0"/>
    <x v="0"/>
    <m/>
    <n v="0"/>
    <n v="238"/>
  </r>
  <r>
    <s v="PRETINA"/>
    <m/>
    <m/>
    <x v="0"/>
    <x v="0"/>
    <m/>
    <m/>
    <m/>
  </r>
  <r>
    <s v="Z004"/>
    <s v="Separar pretinas"/>
    <n v="12"/>
    <x v="0"/>
    <x v="0"/>
    <m/>
    <n v="0"/>
    <n v="238"/>
  </r>
  <r>
    <s v="Z004"/>
    <s v="Marcar pretina para prender"/>
    <n v="28"/>
    <x v="0"/>
    <x v="0"/>
    <m/>
    <n v="0"/>
    <n v="238"/>
  </r>
  <r>
    <s v="Z004"/>
    <s v="Unir pretina"/>
    <n v="20"/>
    <x v="0"/>
    <x v="0"/>
    <m/>
    <n v="0"/>
    <n v="238"/>
  </r>
  <r>
    <s v="PASADORES"/>
    <m/>
    <m/>
    <x v="0"/>
    <x v="0"/>
    <m/>
    <m/>
    <m/>
  </r>
  <r>
    <s v="Z004"/>
    <s v="Hacer pasadores x6"/>
    <n v="36"/>
    <x v="20"/>
    <x v="20"/>
    <n v="238"/>
    <n v="8568"/>
    <n v="0"/>
  </r>
  <r>
    <s v="Z004"/>
    <s v="Recortar pasadores"/>
    <n v="15"/>
    <x v="0"/>
    <x v="0"/>
    <m/>
    <n v="0"/>
    <n v="238"/>
  </r>
  <r>
    <s v="ENSAMBLE"/>
    <m/>
    <m/>
    <x v="0"/>
    <x v="0"/>
    <m/>
    <m/>
    <m/>
  </r>
  <r>
    <s v="Z004"/>
    <s v="Cerrar entrepierna"/>
    <n v="81"/>
    <x v="0"/>
    <x v="0"/>
    <m/>
    <n v="0"/>
    <n v="238"/>
  </r>
  <r>
    <s v="Z004"/>
    <s v="Pespuntar entrepierna"/>
    <n v="71"/>
    <x v="0"/>
    <x v="0"/>
    <m/>
    <n v="0"/>
    <n v="238"/>
  </r>
  <r>
    <s v="Z004"/>
    <s v="Cerrar laterales"/>
    <n v="85"/>
    <x v="0"/>
    <x v="0"/>
    <m/>
    <n v="0"/>
    <n v="238"/>
  </r>
  <r>
    <s v="Z004"/>
    <s v="Pespuntar lateral corto"/>
    <n v="75"/>
    <x v="0"/>
    <x v="0"/>
    <m/>
    <n v="0"/>
    <n v="238"/>
  </r>
  <r>
    <s v="Z004"/>
    <s v="Hacer ruedo"/>
    <n v="98"/>
    <x v="0"/>
    <x v="0"/>
    <m/>
    <n v="0"/>
    <n v="238"/>
  </r>
  <r>
    <s v="Z004"/>
    <s v="Prender pretina fijando pasadores traseros"/>
    <n v="110"/>
    <x v="0"/>
    <x v="0"/>
    <m/>
    <n v="0"/>
    <n v="238"/>
  </r>
  <r>
    <s v="Z004"/>
    <s v="Recoger y revocar puntas"/>
    <n v="70"/>
    <x v="0"/>
    <x v="0"/>
    <m/>
    <n v="0"/>
    <n v="238"/>
  </r>
  <r>
    <s v="Z004"/>
    <s v="Hacer puntas"/>
    <n v="120"/>
    <x v="0"/>
    <x v="0"/>
    <m/>
    <n v="0"/>
    <n v="238"/>
  </r>
  <r>
    <s v="Z004"/>
    <s v="Presillar pantalón x 22"/>
    <n v="187"/>
    <x v="0"/>
    <x v="0"/>
    <m/>
    <n v="0"/>
    <n v="238"/>
  </r>
  <r>
    <s v="Z004"/>
    <s v="Ojalar"/>
    <n v="29.999999999999996"/>
    <x v="0"/>
    <x v="0"/>
    <m/>
    <n v="0"/>
    <n v="238"/>
  </r>
  <r>
    <s v="Z004"/>
    <s v="Prender garra"/>
    <n v="80"/>
    <x v="0"/>
    <x v="0"/>
    <m/>
    <n v="0"/>
    <n v="238"/>
  </r>
  <r>
    <s v="Z004"/>
    <s v="Marquillar pantalón"/>
    <n v="50"/>
    <x v="0"/>
    <x v="0"/>
    <m/>
    <n v="0"/>
    <n v="238"/>
  </r>
  <r>
    <s v="DELANTEROS"/>
    <m/>
    <m/>
    <x v="0"/>
    <x v="0"/>
    <m/>
    <m/>
    <m/>
  </r>
  <r>
    <s v="Z005"/>
    <s v="Filetear aletilla, recogiendo"/>
    <n v="15"/>
    <x v="0"/>
    <x v="0"/>
    <m/>
    <n v="0"/>
    <n v="371"/>
  </r>
  <r>
    <s v="Z005"/>
    <s v="Filetear aletillón, recogiendo"/>
    <n v="20"/>
    <x v="0"/>
    <x v="0"/>
    <m/>
    <n v="0"/>
    <n v="371"/>
  </r>
  <r>
    <s v="Z005"/>
    <s v="Filetear Delantero"/>
    <n v="15"/>
    <x v="0"/>
    <x v="0"/>
    <m/>
    <n v="0"/>
    <n v="371"/>
  </r>
  <r>
    <s v="Z005"/>
    <s v="Unir relojera en fileteadora"/>
    <n v="12"/>
    <x v="11"/>
    <x v="11"/>
    <n v="137"/>
    <n v="1644"/>
    <n v="234"/>
  </r>
  <r>
    <s v="Z005"/>
    <s v="Recoger relojera unida"/>
    <n v="10"/>
    <x v="0"/>
    <x v="0"/>
    <m/>
    <n v="0"/>
    <n v="371"/>
  </r>
  <r>
    <s v="Z005"/>
    <s v="Pespuntar relojera"/>
    <n v="20"/>
    <x v="11"/>
    <x v="11"/>
    <n v="137"/>
    <n v="2740"/>
    <n v="234"/>
  </r>
  <r>
    <s v="Z005"/>
    <s v="Prender relojera en 2 agujas"/>
    <n v="50"/>
    <x v="0"/>
    <x v="0"/>
    <m/>
    <n v="0"/>
    <n v="371"/>
  </r>
  <r>
    <s v="Z005"/>
    <s v="Revocar relojera"/>
    <n v="10"/>
    <x v="0"/>
    <x v="0"/>
    <m/>
    <n v="0"/>
    <n v="371"/>
  </r>
  <r>
    <s v="Z005"/>
    <s v="Prender vistas y falsos"/>
    <n v="80"/>
    <x v="0"/>
    <x v="0"/>
    <m/>
    <n v="0"/>
    <n v="371"/>
  </r>
  <r>
    <s v="Z005"/>
    <s v="Recoger de collarín"/>
    <n v="15"/>
    <x v="0"/>
    <x v="0"/>
    <m/>
    <n v="0"/>
    <n v="371"/>
  </r>
  <r>
    <s v="Z005"/>
    <s v="Cerrar talega"/>
    <n v="40"/>
    <x v="0"/>
    <x v="0"/>
    <m/>
    <n v="0"/>
    <n v="371"/>
  </r>
  <r>
    <s v="Z005"/>
    <s v="Recoger talega"/>
    <n v="15"/>
    <x v="0"/>
    <x v="0"/>
    <m/>
    <n v="0"/>
    <n v="371"/>
  </r>
  <r>
    <s v="Z005"/>
    <s v="Prender talega"/>
    <n v="61"/>
    <x v="0"/>
    <x v="0"/>
    <m/>
    <n v="0"/>
    <n v="371"/>
  </r>
  <r>
    <s v="Z005"/>
    <s v="Pespuntar boca a 1/4 en 2 agujas"/>
    <n v="81"/>
    <x v="0"/>
    <x v="0"/>
    <m/>
    <n v="0"/>
    <n v="371"/>
  </r>
  <r>
    <s v="Z005"/>
    <s v="Recoger boca pespuntada"/>
    <n v="15"/>
    <x v="0"/>
    <x v="0"/>
    <m/>
    <n v="0"/>
    <n v="371"/>
  </r>
  <r>
    <s v="Z005"/>
    <s v="Hacer tercera costura de boca"/>
    <n v="70"/>
    <x v="0"/>
    <x v="0"/>
    <m/>
    <n v="0"/>
    <n v="371"/>
  </r>
  <r>
    <s v="Z005"/>
    <s v="Fijar delantero"/>
    <m/>
    <x v="0"/>
    <x v="0"/>
    <m/>
    <n v="0"/>
    <n v="371"/>
  </r>
  <r>
    <s v="Z005"/>
    <m/>
    <n v="100"/>
    <x v="0"/>
    <x v="0"/>
    <m/>
    <n v="0"/>
    <n v="371"/>
  </r>
  <r>
    <s v="Z005"/>
    <s v="Prender cierre a aletilla"/>
    <m/>
    <x v="0"/>
    <x v="0"/>
    <m/>
    <n v="0"/>
    <n v="371"/>
  </r>
  <r>
    <s v="Z005"/>
    <m/>
    <n v="33"/>
    <x v="0"/>
    <x v="0"/>
    <m/>
    <n v="0"/>
    <n v="371"/>
  </r>
  <r>
    <s v="Z005"/>
    <s v="Prender talla a aletillón"/>
    <m/>
    <x v="0"/>
    <x v="0"/>
    <m/>
    <n v="0"/>
    <n v="371"/>
  </r>
  <r>
    <s v="Z005"/>
    <m/>
    <n v="20"/>
    <x v="0"/>
    <x v="0"/>
    <m/>
    <n v="0"/>
    <n v="371"/>
  </r>
  <r>
    <s v="Z005"/>
    <s v="Prender aletillón a aletilla"/>
    <m/>
    <x v="0"/>
    <x v="0"/>
    <m/>
    <n v="0"/>
    <n v="371"/>
  </r>
  <r>
    <s v="Z005"/>
    <m/>
    <n v="33"/>
    <x v="0"/>
    <x v="0"/>
    <m/>
    <n v="0"/>
    <n v="371"/>
  </r>
  <r>
    <s v="Z005"/>
    <s v="Preparar delantero"/>
    <n v="43"/>
    <x v="0"/>
    <x v="0"/>
    <m/>
    <n v="0"/>
    <n v="371"/>
  </r>
  <r>
    <s v="Z005"/>
    <s v="Hacer jota y encaje"/>
    <n v="120"/>
    <x v="0"/>
    <x v="0"/>
    <m/>
    <n v="0"/>
    <n v="371"/>
  </r>
  <r>
    <s v="TRASEROS"/>
    <m/>
    <m/>
    <x v="0"/>
    <x v="0"/>
    <m/>
    <m/>
    <m/>
  </r>
  <r>
    <s v="Z005"/>
    <s v="Unir tiro trasero"/>
    <n v="170"/>
    <x v="0"/>
    <x v="0"/>
    <m/>
    <n v="0"/>
    <n v="371"/>
  </r>
  <r>
    <s v="Z005"/>
    <s v="Filetear bolsillo parche"/>
    <n v="30"/>
    <x v="9"/>
    <x v="9"/>
    <n v="371"/>
    <n v="11130"/>
    <n v="0"/>
  </r>
  <r>
    <s v="Z005"/>
    <s v="Recoger bolsillo fileteado"/>
    <n v="15"/>
    <x v="0"/>
    <x v="0"/>
    <m/>
    <n v="0"/>
    <n v="371"/>
  </r>
  <r>
    <s v="Z005"/>
    <s v="Quebrar borde bolsillo parche"/>
    <n v="33"/>
    <x v="0"/>
    <x v="0"/>
    <m/>
    <n v="0"/>
    <n v="371"/>
  </r>
  <r>
    <s v="Z005"/>
    <s v="Marcar trasero"/>
    <n v="45"/>
    <x v="0"/>
    <x v="0"/>
    <m/>
    <n v="0"/>
    <n v="371"/>
  </r>
  <r>
    <s v="Z005"/>
    <s v="Quebrar bolsillo parche"/>
    <n v="70"/>
    <x v="0"/>
    <x v="0"/>
    <m/>
    <n v="0"/>
    <n v="371"/>
  </r>
  <r>
    <s v="Z005"/>
    <s v="Hacer primera y segunda de parche"/>
    <m/>
    <x v="0"/>
    <x v="0"/>
    <m/>
    <n v="0"/>
    <n v="371"/>
  </r>
  <r>
    <s v="Z005"/>
    <m/>
    <m/>
    <x v="0"/>
    <x v="0"/>
    <m/>
    <n v="0"/>
    <n v="371"/>
  </r>
  <r>
    <s v="Z005"/>
    <m/>
    <n v="240"/>
    <x v="0"/>
    <x v="0"/>
    <m/>
    <n v="0"/>
    <n v="371"/>
  </r>
  <r>
    <s v="Z005"/>
    <s v="Revocar, ensamblar y marcar para lateral corto"/>
    <n v="70"/>
    <x v="0"/>
    <x v="0"/>
    <m/>
    <n v="0"/>
    <n v="371"/>
  </r>
  <r>
    <s v="PRETINA"/>
    <m/>
    <m/>
    <x v="0"/>
    <x v="0"/>
    <m/>
    <m/>
    <m/>
  </r>
  <r>
    <s v="Z005"/>
    <s v="Separar pretinas"/>
    <n v="12"/>
    <x v="0"/>
    <x v="0"/>
    <m/>
    <n v="0"/>
    <n v="371"/>
  </r>
  <r>
    <s v="Z005"/>
    <s v="Marcar pretina para prender"/>
    <n v="28"/>
    <x v="0"/>
    <x v="0"/>
    <m/>
    <n v="0"/>
    <n v="371"/>
  </r>
  <r>
    <s v="Z005"/>
    <s v="Unir pretina"/>
    <n v="20"/>
    <x v="0"/>
    <x v="0"/>
    <m/>
    <n v="0"/>
    <n v="371"/>
  </r>
  <r>
    <s v="PASADORES"/>
    <m/>
    <m/>
    <x v="0"/>
    <x v="0"/>
    <m/>
    <m/>
    <m/>
  </r>
  <r>
    <s v="Z005"/>
    <s v="Hacer pasadores x6"/>
    <n v="36"/>
    <x v="0"/>
    <x v="0"/>
    <m/>
    <n v="0"/>
    <n v="371"/>
  </r>
  <r>
    <s v="Z005"/>
    <s v="Recortar pasadores"/>
    <n v="15"/>
    <x v="0"/>
    <x v="0"/>
    <m/>
    <n v="0"/>
    <n v="371"/>
  </r>
  <r>
    <s v="ENSAMBLE"/>
    <m/>
    <m/>
    <x v="0"/>
    <x v="0"/>
    <m/>
    <m/>
    <m/>
  </r>
  <r>
    <s v="Z005"/>
    <s v="Cerrar entrepierna"/>
    <n v="81"/>
    <x v="0"/>
    <x v="0"/>
    <m/>
    <n v="0"/>
    <n v="371"/>
  </r>
  <r>
    <s v="Z005"/>
    <s v="Pespuntar entrepierna"/>
    <n v="71"/>
    <x v="0"/>
    <x v="0"/>
    <m/>
    <n v="0"/>
    <n v="371"/>
  </r>
  <r>
    <s v="Z005"/>
    <s v="Cerrar laterales"/>
    <n v="85"/>
    <x v="0"/>
    <x v="0"/>
    <m/>
    <n v="0"/>
    <n v="371"/>
  </r>
  <r>
    <s v="Z005"/>
    <s v="Pespuntar lateral corto"/>
    <n v="75"/>
    <x v="0"/>
    <x v="0"/>
    <m/>
    <n v="0"/>
    <n v="371"/>
  </r>
  <r>
    <s v="Z005"/>
    <s v="Hacer ruedo"/>
    <n v="98"/>
    <x v="0"/>
    <x v="0"/>
    <m/>
    <n v="0"/>
    <n v="371"/>
  </r>
  <r>
    <s v="Z005"/>
    <s v="Prender pretina fijando pasadores traseros"/>
    <n v="110"/>
    <x v="0"/>
    <x v="0"/>
    <m/>
    <n v="0"/>
    <n v="371"/>
  </r>
  <r>
    <s v="Z005"/>
    <s v="Recoger y revocar puntas"/>
    <n v="70"/>
    <x v="0"/>
    <x v="0"/>
    <m/>
    <n v="0"/>
    <n v="371"/>
  </r>
  <r>
    <s v="Z005"/>
    <s v="Hacer puntas"/>
    <n v="120"/>
    <x v="0"/>
    <x v="0"/>
    <m/>
    <n v="0"/>
    <n v="371"/>
  </r>
  <r>
    <s v="Z005"/>
    <s v="Presillar pantalón x 22"/>
    <n v="187"/>
    <x v="0"/>
    <x v="0"/>
    <m/>
    <n v="0"/>
    <n v="371"/>
  </r>
  <r>
    <s v="Z005"/>
    <s v="Ojalar"/>
    <n v="29.999999999999996"/>
    <x v="0"/>
    <x v="0"/>
    <m/>
    <n v="0"/>
    <n v="371"/>
  </r>
  <r>
    <s v="Z005"/>
    <s v="Prender garra"/>
    <n v="80"/>
    <x v="0"/>
    <x v="0"/>
    <m/>
    <n v="0"/>
    <n v="371"/>
  </r>
  <r>
    <s v="Z005"/>
    <s v="Marquillar pantalón"/>
    <n v="50"/>
    <x v="0"/>
    <x v="0"/>
    <m/>
    <n v="0"/>
    <n v="371"/>
  </r>
  <r>
    <s v="DELANTEROS"/>
    <m/>
    <m/>
    <x v="0"/>
    <x v="0"/>
    <m/>
    <m/>
    <m/>
  </r>
  <r>
    <s v="Z006"/>
    <s v="Filetear aletilla, recogiendo"/>
    <n v="15"/>
    <x v="20"/>
    <x v="20"/>
    <n v="371"/>
    <n v="5565"/>
    <n v="0"/>
  </r>
  <r>
    <s v="Z006"/>
    <s v="Filetear aletillón, recogiendo"/>
    <n v="20"/>
    <x v="20"/>
    <x v="20"/>
    <n v="371"/>
    <n v="7420"/>
    <n v="0"/>
  </r>
  <r>
    <s v="Z006"/>
    <s v="Filetear Delantero"/>
    <n v="15"/>
    <x v="20"/>
    <x v="20"/>
    <n v="202"/>
    <n v="3030"/>
    <n v="0"/>
  </r>
  <r>
    <s v="Z006"/>
    <m/>
    <m/>
    <x v="12"/>
    <x v="12"/>
    <n v="169"/>
    <n v="2535"/>
    <m/>
  </r>
  <r>
    <s v="Z006"/>
    <s v="Unir relojera en fileteadora"/>
    <n v="12"/>
    <x v="11"/>
    <x v="11"/>
    <n v="186"/>
    <n v="2232"/>
    <n v="0"/>
  </r>
  <r>
    <s v="Z006"/>
    <m/>
    <m/>
    <x v="25"/>
    <x v="25"/>
    <n v="185"/>
    <n v="2220"/>
    <m/>
  </r>
  <r>
    <s v="Z006"/>
    <s v="Recoger relojera unida"/>
    <n v="10"/>
    <x v="0"/>
    <x v="0"/>
    <m/>
    <n v="0"/>
    <n v="371"/>
  </r>
  <r>
    <s v="Z006"/>
    <s v="Pespuntar relojera"/>
    <n v="20"/>
    <x v="11"/>
    <x v="11"/>
    <n v="160"/>
    <n v="3200"/>
    <n v="0"/>
  </r>
  <r>
    <s v="Z006"/>
    <m/>
    <m/>
    <x v="25"/>
    <x v="25"/>
    <n v="211"/>
    <n v="4220"/>
    <m/>
  </r>
  <r>
    <s v="Z006"/>
    <s v="Prender relojera en 2 agujas"/>
    <n v="50"/>
    <x v="22"/>
    <x v="22"/>
    <n v="371"/>
    <n v="18550"/>
    <n v="0"/>
  </r>
  <r>
    <s v="Z006"/>
    <s v="Revocar relojera"/>
    <n v="10"/>
    <x v="6"/>
    <x v="6"/>
    <n v="195"/>
    <n v="1950"/>
    <n v="176"/>
  </r>
  <r>
    <s v="Z006"/>
    <s v="Prender vistas y falsos"/>
    <n v="80"/>
    <x v="6"/>
    <x v="6"/>
    <n v="371"/>
    <n v="29680"/>
    <n v="0"/>
  </r>
  <r>
    <s v="Z006"/>
    <s v="Recoger de collarín"/>
    <n v="15"/>
    <x v="0"/>
    <x v="0"/>
    <m/>
    <n v="0"/>
    <n v="371"/>
  </r>
  <r>
    <s v="Z006"/>
    <s v="Cerrar talega"/>
    <n v="40"/>
    <x v="12"/>
    <x v="12"/>
    <n v="43"/>
    <n v="1720"/>
    <n v="95"/>
  </r>
  <r>
    <s v="Z006"/>
    <m/>
    <m/>
    <x v="7"/>
    <x v="7"/>
    <n v="233"/>
    <n v="9320"/>
    <m/>
  </r>
  <r>
    <s v="Z006"/>
    <s v="Recoger talega"/>
    <n v="15"/>
    <x v="0"/>
    <x v="0"/>
    <m/>
    <n v="0"/>
    <n v="371"/>
  </r>
  <r>
    <s v="Z006"/>
    <s v="Prender talega"/>
    <n v="61"/>
    <x v="9"/>
    <x v="9"/>
    <n v="371"/>
    <n v="22631"/>
    <n v="0"/>
  </r>
  <r>
    <s v="Z006"/>
    <s v="Pespuntar boca a 1/4 en 2 agujas"/>
    <n v="81"/>
    <x v="7"/>
    <x v="7"/>
    <n v="371"/>
    <n v="30051"/>
    <n v="0"/>
  </r>
  <r>
    <s v="Z006"/>
    <s v="Recoger boca pespuntada"/>
    <n v="15"/>
    <x v="0"/>
    <x v="0"/>
    <m/>
    <n v="0"/>
    <n v="371"/>
  </r>
  <r>
    <s v="Z006"/>
    <s v="Hacer tercera costura de boca"/>
    <n v="70"/>
    <x v="25"/>
    <x v="25"/>
    <n v="371"/>
    <n v="25970"/>
    <n v="0"/>
  </r>
  <r>
    <s v="Z006"/>
    <s v="Fijar delantero"/>
    <n v="100"/>
    <x v="25"/>
    <x v="25"/>
    <n v="76"/>
    <n v="7600"/>
    <n v="295"/>
  </r>
  <r>
    <s v="Z006"/>
    <m/>
    <m/>
    <x v="0"/>
    <x v="0"/>
    <m/>
    <n v="0"/>
    <n v="371"/>
  </r>
  <r>
    <s v="Z006"/>
    <s v="Prender cierre a aletilla"/>
    <n v="33"/>
    <x v="0"/>
    <x v="0"/>
    <m/>
    <n v="0"/>
    <n v="371"/>
  </r>
  <r>
    <s v="Z006"/>
    <m/>
    <m/>
    <x v="0"/>
    <x v="0"/>
    <m/>
    <n v="0"/>
    <n v="371"/>
  </r>
  <r>
    <s v="Z006"/>
    <s v="Prender talla a aletillón"/>
    <n v="20"/>
    <x v="0"/>
    <x v="0"/>
    <m/>
    <n v="0"/>
    <n v="371"/>
  </r>
  <r>
    <s v="Z006"/>
    <m/>
    <m/>
    <x v="0"/>
    <x v="0"/>
    <m/>
    <n v="0"/>
    <n v="371"/>
  </r>
  <r>
    <s v="Z006"/>
    <s v="Prender aletillón a aletilla"/>
    <n v="33"/>
    <x v="0"/>
    <x v="0"/>
    <m/>
    <n v="0"/>
    <n v="371"/>
  </r>
  <r>
    <s v="Z006"/>
    <m/>
    <m/>
    <x v="0"/>
    <x v="0"/>
    <m/>
    <n v="0"/>
    <n v="371"/>
  </r>
  <r>
    <s v="Z006"/>
    <s v="Preparar delantero"/>
    <n v="43"/>
    <x v="27"/>
    <x v="27"/>
    <n v="371"/>
    <n v="15953"/>
    <n v="0"/>
  </r>
  <r>
    <s v="Z006"/>
    <s v="Hacer jota y encaje"/>
    <n v="120"/>
    <x v="12"/>
    <x v="12"/>
    <n v="202"/>
    <n v="24240"/>
    <n v="169"/>
  </r>
  <r>
    <s v="TRASEROS"/>
    <m/>
    <m/>
    <x v="0"/>
    <x v="0"/>
    <m/>
    <m/>
    <m/>
  </r>
  <r>
    <s v="Z006"/>
    <s v="Unir tiro trasero"/>
    <n v="170"/>
    <x v="0"/>
    <x v="0"/>
    <m/>
    <n v="0"/>
    <n v="371"/>
  </r>
  <r>
    <s v="Z006"/>
    <s v="Filetear bolsillo parche"/>
    <n v="30"/>
    <x v="18"/>
    <x v="18"/>
    <n v="371"/>
    <n v="11130"/>
    <n v="0"/>
  </r>
  <r>
    <s v="Z006"/>
    <s v="Recoger bolsillo fileteado"/>
    <n v="15"/>
    <x v="0"/>
    <x v="0"/>
    <m/>
    <n v="0"/>
    <n v="371"/>
  </r>
  <r>
    <s v="Z006"/>
    <s v="Quebrar borde bolsillo parche"/>
    <n v="33"/>
    <x v="0"/>
    <x v="0"/>
    <m/>
    <n v="0"/>
    <n v="371"/>
  </r>
  <r>
    <s v="Z006"/>
    <s v="Marcar trasero"/>
    <n v="45"/>
    <x v="0"/>
    <x v="0"/>
    <m/>
    <n v="0"/>
    <n v="371"/>
  </r>
  <r>
    <s v="Z006"/>
    <s v="Quebrar bolsillo parche"/>
    <n v="70"/>
    <x v="0"/>
    <x v="0"/>
    <m/>
    <n v="0"/>
    <n v="371"/>
  </r>
  <r>
    <s v="Z006"/>
    <s v="Hacer primera y segunda de parche"/>
    <n v="240"/>
    <x v="13"/>
    <x v="13"/>
    <n v="92"/>
    <n v="22080"/>
    <n v="279"/>
  </r>
  <r>
    <s v="Z006"/>
    <m/>
    <m/>
    <x v="15"/>
    <x v="15"/>
    <n v="85"/>
    <n v="20400"/>
    <n v="286"/>
  </r>
  <r>
    <s v="Z006"/>
    <m/>
    <m/>
    <x v="14"/>
    <x v="14"/>
    <n v="46"/>
    <n v="11040"/>
    <n v="325"/>
  </r>
  <r>
    <s v="Z006"/>
    <s v="Revocar, ensamblar y marcar para lateral corto"/>
    <n v="70"/>
    <x v="0"/>
    <x v="0"/>
    <m/>
    <n v="0"/>
    <n v="371"/>
  </r>
  <r>
    <s v="PRETINA"/>
    <m/>
    <m/>
    <x v="0"/>
    <x v="0"/>
    <m/>
    <m/>
    <m/>
  </r>
  <r>
    <s v="Z006"/>
    <s v="Separar pretinas"/>
    <n v="12"/>
    <x v="0"/>
    <x v="0"/>
    <m/>
    <n v="0"/>
    <n v="371"/>
  </r>
  <r>
    <s v="Z006"/>
    <s v="Marcar pretina para prender"/>
    <n v="28"/>
    <x v="0"/>
    <x v="0"/>
    <m/>
    <n v="0"/>
    <n v="371"/>
  </r>
  <r>
    <s v="Z006"/>
    <s v="Unir pretina"/>
    <n v="20"/>
    <x v="0"/>
    <x v="0"/>
    <m/>
    <n v="0"/>
    <n v="371"/>
  </r>
  <r>
    <s v="PASADORES"/>
    <m/>
    <m/>
    <x v="0"/>
    <x v="0"/>
    <m/>
    <m/>
    <m/>
  </r>
  <r>
    <s v="Z006"/>
    <s v="Hacer pasadores x6"/>
    <n v="36"/>
    <x v="20"/>
    <x v="20"/>
    <n v="371"/>
    <n v="13356"/>
    <n v="0"/>
  </r>
  <r>
    <s v="Z006"/>
    <s v="Recortar pasadores"/>
    <n v="15"/>
    <x v="0"/>
    <x v="0"/>
    <m/>
    <n v="0"/>
    <n v="371"/>
  </r>
  <r>
    <s v="ENSAMBLE"/>
    <m/>
    <m/>
    <x v="0"/>
    <x v="0"/>
    <m/>
    <m/>
    <m/>
  </r>
  <r>
    <s v="Z006"/>
    <s v="Cerrar entrepierna"/>
    <n v="81"/>
    <x v="0"/>
    <x v="0"/>
    <m/>
    <n v="0"/>
    <n v="371"/>
  </r>
  <r>
    <s v="Z006"/>
    <s v="Pespuntar entrepierna"/>
    <n v="71"/>
    <x v="0"/>
    <x v="0"/>
    <m/>
    <n v="0"/>
    <n v="371"/>
  </r>
  <r>
    <s v="Z006"/>
    <s v="Cerrar laterales"/>
    <n v="85"/>
    <x v="0"/>
    <x v="0"/>
    <m/>
    <n v="0"/>
    <n v="371"/>
  </r>
  <r>
    <s v="Z006"/>
    <s v="Pespuntar lateral corto"/>
    <n v="75"/>
    <x v="0"/>
    <x v="0"/>
    <m/>
    <n v="0"/>
    <n v="371"/>
  </r>
  <r>
    <s v="Z006"/>
    <s v="Hacer ruedo"/>
    <n v="98"/>
    <x v="0"/>
    <x v="0"/>
    <m/>
    <n v="0"/>
    <n v="371"/>
  </r>
  <r>
    <s v="Z006"/>
    <s v="Prender pretina fijando pasadores traseros"/>
    <n v="110"/>
    <x v="0"/>
    <x v="0"/>
    <m/>
    <n v="0"/>
    <n v="371"/>
  </r>
  <r>
    <s v="Z006"/>
    <s v="Recoger y revocar puntas"/>
    <n v="70"/>
    <x v="0"/>
    <x v="0"/>
    <m/>
    <n v="0"/>
    <n v="371"/>
  </r>
  <r>
    <s v="Z006"/>
    <s v="Hacer puntas"/>
    <n v="120"/>
    <x v="0"/>
    <x v="0"/>
    <m/>
    <n v="0"/>
    <n v="371"/>
  </r>
  <r>
    <s v="Z006"/>
    <s v="Presillar pantalón x 22"/>
    <n v="187"/>
    <x v="0"/>
    <x v="0"/>
    <m/>
    <n v="0"/>
    <n v="371"/>
  </r>
  <r>
    <s v="Z006"/>
    <s v="Ojalar"/>
    <n v="29.999999999999996"/>
    <x v="0"/>
    <x v="0"/>
    <m/>
    <n v="0"/>
    <n v="371"/>
  </r>
  <r>
    <s v="Z006"/>
    <s v="Prender garra"/>
    <n v="80"/>
    <x v="0"/>
    <x v="0"/>
    <m/>
    <n v="0"/>
    <n v="371"/>
  </r>
  <r>
    <s v="Z006"/>
    <s v="Marquillar pantalón"/>
    <n v="50"/>
    <x v="0"/>
    <x v="0"/>
    <m/>
    <n v="0"/>
    <n v="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2" firstHeaderRow="1" firstDataRow="1" firstDataCol="1"/>
  <pivotFields count="8">
    <pivotField showAll="0"/>
    <pivotField showAll="0"/>
    <pivotField showAll="0"/>
    <pivotField axis="axisRow" showAll="0">
      <items count="30">
        <item x="8"/>
        <item x="19"/>
        <item x="15"/>
        <item x="22"/>
        <item x="1"/>
        <item x="4"/>
        <item x="13"/>
        <item x="28"/>
        <item x="2"/>
        <item x="3"/>
        <item x="26"/>
        <item x="16"/>
        <item x="7"/>
        <item x="6"/>
        <item x="12"/>
        <item x="21"/>
        <item x="18"/>
        <item x="25"/>
        <item x="10"/>
        <item x="24"/>
        <item x="11"/>
        <item x="9"/>
        <item x="17"/>
        <item x="23"/>
        <item x="5"/>
        <item x="14"/>
        <item x="27"/>
        <item x="20"/>
        <item x="0"/>
        <item t="default"/>
      </items>
    </pivotField>
    <pivotField axis="axisRow" showAll="0">
      <items count="30">
        <item x="27"/>
        <item x="12"/>
        <item x="26"/>
        <item x="1"/>
        <item x="2"/>
        <item x="25"/>
        <item x="11"/>
        <item x="10"/>
        <item x="14"/>
        <item x="13"/>
        <item x="24"/>
        <item x="9"/>
        <item x="3"/>
        <item x="22"/>
        <item x="28"/>
        <item x="23"/>
        <item x="16"/>
        <item x="8"/>
        <item x="6"/>
        <item x="19"/>
        <item x="5"/>
        <item x="18"/>
        <item x="4"/>
        <item x="7"/>
        <item x="20"/>
        <item x="21"/>
        <item x="15"/>
        <item x="17"/>
        <item x="0"/>
        <item t="default"/>
      </items>
    </pivotField>
    <pivotField showAll="0"/>
    <pivotField dataField="1" showAll="0"/>
    <pivotField showAll="0"/>
  </pivotFields>
  <rowFields count="2">
    <field x="3"/>
    <field x="4"/>
  </rowFields>
  <rowItems count="59">
    <i>
      <x/>
    </i>
    <i r="1">
      <x v="17"/>
    </i>
    <i>
      <x v="1"/>
    </i>
    <i r="1">
      <x v="19"/>
    </i>
    <i>
      <x v="2"/>
    </i>
    <i r="1">
      <x v="26"/>
    </i>
    <i>
      <x v="3"/>
    </i>
    <i r="1">
      <x v="13"/>
    </i>
    <i>
      <x v="4"/>
    </i>
    <i r="1">
      <x v="3"/>
    </i>
    <i>
      <x v="5"/>
    </i>
    <i r="1">
      <x v="22"/>
    </i>
    <i>
      <x v="6"/>
    </i>
    <i r="1">
      <x v="9"/>
    </i>
    <i>
      <x v="7"/>
    </i>
    <i r="1">
      <x v="14"/>
    </i>
    <i>
      <x v="8"/>
    </i>
    <i r="1">
      <x v="4"/>
    </i>
    <i>
      <x v="9"/>
    </i>
    <i r="1">
      <x v="12"/>
    </i>
    <i>
      <x v="10"/>
    </i>
    <i r="1">
      <x v="2"/>
    </i>
    <i>
      <x v="11"/>
    </i>
    <i r="1">
      <x v="16"/>
    </i>
    <i>
      <x v="12"/>
    </i>
    <i r="1">
      <x v="23"/>
    </i>
    <i>
      <x v="13"/>
    </i>
    <i r="1">
      <x v="18"/>
    </i>
    <i>
      <x v="14"/>
    </i>
    <i r="1">
      <x v="1"/>
    </i>
    <i>
      <x v="15"/>
    </i>
    <i r="1">
      <x v="25"/>
    </i>
    <i>
      <x v="16"/>
    </i>
    <i r="1">
      <x v="21"/>
    </i>
    <i>
      <x v="17"/>
    </i>
    <i r="1">
      <x v="5"/>
    </i>
    <i>
      <x v="18"/>
    </i>
    <i r="1">
      <x v="7"/>
    </i>
    <i>
      <x v="19"/>
    </i>
    <i r="1">
      <x v="10"/>
    </i>
    <i>
      <x v="20"/>
    </i>
    <i r="1">
      <x v="6"/>
    </i>
    <i>
      <x v="21"/>
    </i>
    <i r="1">
      <x v="11"/>
    </i>
    <i>
      <x v="22"/>
    </i>
    <i r="1">
      <x v="27"/>
    </i>
    <i>
      <x v="23"/>
    </i>
    <i r="1">
      <x v="15"/>
    </i>
    <i>
      <x v="24"/>
    </i>
    <i r="1">
      <x v="20"/>
    </i>
    <i>
      <x v="25"/>
    </i>
    <i r="1">
      <x v="8"/>
    </i>
    <i>
      <x v="26"/>
    </i>
    <i r="1">
      <x/>
    </i>
    <i>
      <x v="27"/>
    </i>
    <i r="1">
      <x v="24"/>
    </i>
    <i>
      <x v="28"/>
    </i>
    <i r="1">
      <x v="28"/>
    </i>
    <i t="grand">
      <x/>
    </i>
  </rowItems>
  <colItems count="1">
    <i/>
  </colItems>
  <dataFields count="1">
    <dataField name="Suma de Salario día ($)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baseColWidth="10" defaultColWidth="11.42578125" defaultRowHeight="15" x14ac:dyDescent="0.3"/>
  <cols>
    <col min="1" max="1" width="28.42578125" style="8" bestFit="1" customWidth="1"/>
    <col min="2" max="2" width="21" style="8" customWidth="1"/>
    <col min="3" max="3" width="11.42578125" style="8"/>
    <col min="4" max="4" width="31.28515625" style="8" customWidth="1"/>
    <col min="5" max="5" width="13.42578125" style="8" bestFit="1" customWidth="1"/>
    <col min="6" max="16384" width="11.42578125" style="8"/>
  </cols>
  <sheetData>
    <row r="1" spans="1:5" ht="36" customHeight="1" x14ac:dyDescent="0.35">
      <c r="A1" s="136" t="s">
        <v>14</v>
      </c>
      <c r="B1" s="136"/>
      <c r="D1" s="135" t="s">
        <v>8</v>
      </c>
      <c r="E1" s="135"/>
    </row>
    <row r="2" spans="1:5" ht="15.75" thickBot="1" x14ac:dyDescent="0.35"/>
    <row r="3" spans="1:5" s="2" customFormat="1" ht="33.75" thickBot="1" x14ac:dyDescent="0.3">
      <c r="A3" s="1" t="s">
        <v>0</v>
      </c>
      <c r="B3" s="13">
        <v>10.83</v>
      </c>
      <c r="D3" s="3" t="s">
        <v>4</v>
      </c>
      <c r="E3" s="13">
        <v>34</v>
      </c>
    </row>
    <row r="4" spans="1:5" s="2" customFormat="1" ht="39.75" customHeight="1" thickBot="1" x14ac:dyDescent="0.3">
      <c r="A4" s="1" t="s">
        <v>3</v>
      </c>
      <c r="B4" s="14">
        <f>B3*60</f>
        <v>649.79999999999995</v>
      </c>
      <c r="D4" s="3" t="s">
        <v>9</v>
      </c>
      <c r="E4" s="14">
        <f>+B4</f>
        <v>649.79999999999995</v>
      </c>
    </row>
    <row r="5" spans="1:5" s="2" customFormat="1" ht="31.5" customHeight="1" thickBot="1" x14ac:dyDescent="0.3">
      <c r="A5" s="4" t="s">
        <v>13</v>
      </c>
      <c r="B5" s="15">
        <f>34/18</f>
        <v>1.8888888888888888</v>
      </c>
      <c r="C5" s="5"/>
      <c r="D5" s="3" t="s">
        <v>6</v>
      </c>
      <c r="E5" s="14">
        <f>E4/E3</f>
        <v>19.111764705882351</v>
      </c>
    </row>
    <row r="6" spans="1:5" s="2" customFormat="1" ht="29.25" customHeight="1" thickBot="1" x14ac:dyDescent="0.3">
      <c r="A6" s="4" t="s">
        <v>2</v>
      </c>
      <c r="B6" s="16">
        <f>(B4/B5)*70%</f>
        <v>240.80823529411762</v>
      </c>
      <c r="D6" s="3" t="s">
        <v>7</v>
      </c>
      <c r="E6" s="14">
        <f>E5*70%</f>
        <v>13.378235294117644</v>
      </c>
    </row>
    <row r="7" spans="1:5" s="2" customFormat="1" ht="33.75" thickBot="1" x14ac:dyDescent="0.3">
      <c r="A7" s="1" t="s">
        <v>1</v>
      </c>
      <c r="B7" s="14">
        <f>B6*5</f>
        <v>1204.0411764705882</v>
      </c>
    </row>
    <row r="8" spans="1:5" s="2" customFormat="1" ht="17.25" thickBot="1" x14ac:dyDescent="0.3">
      <c r="A8" s="6"/>
      <c r="B8" s="7"/>
    </row>
    <row r="9" spans="1:5" s="2" customFormat="1" ht="33.75" thickBot="1" x14ac:dyDescent="0.3">
      <c r="A9" s="1" t="s">
        <v>12</v>
      </c>
      <c r="B9" s="14">
        <v>420</v>
      </c>
      <c r="D9" s="4" t="s">
        <v>17</v>
      </c>
      <c r="E9" s="12">
        <f>B17*6500</f>
        <v>35351894.117647052</v>
      </c>
    </row>
    <row r="10" spans="1:5" ht="17.25" thickBot="1" x14ac:dyDescent="0.35">
      <c r="A10" s="10" t="s">
        <v>10</v>
      </c>
      <c r="B10" s="17">
        <v>34</v>
      </c>
    </row>
    <row r="11" spans="1:5" ht="17.25" thickBot="1" x14ac:dyDescent="0.35">
      <c r="A11" s="10" t="s">
        <v>5</v>
      </c>
      <c r="B11" s="17">
        <v>18</v>
      </c>
    </row>
    <row r="12" spans="1:5" ht="17.25" thickBot="1" x14ac:dyDescent="0.35">
      <c r="A12" s="10" t="s">
        <v>13</v>
      </c>
      <c r="B12" s="18">
        <f>B10/B11</f>
        <v>1.8888888888888888</v>
      </c>
    </row>
    <row r="13" spans="1:5" ht="17.25" thickBot="1" x14ac:dyDescent="0.35">
      <c r="A13" s="10" t="s">
        <v>11</v>
      </c>
      <c r="B13" s="19">
        <f>B9/B12</f>
        <v>222.35294117647058</v>
      </c>
    </row>
    <row r="14" spans="1:5" ht="17.25" thickBot="1" x14ac:dyDescent="0.35">
      <c r="A14" s="10" t="s">
        <v>2</v>
      </c>
      <c r="B14" s="19">
        <f>B13*70%</f>
        <v>155.64705882352939</v>
      </c>
    </row>
    <row r="15" spans="1:5" ht="15.75" thickBot="1" x14ac:dyDescent="0.35"/>
    <row r="16" spans="1:5" ht="17.25" thickBot="1" x14ac:dyDescent="0.4">
      <c r="A16" s="11" t="s">
        <v>15</v>
      </c>
      <c r="B16" s="9">
        <f>B7+B14</f>
        <v>1359.6882352941175</v>
      </c>
    </row>
    <row r="17" spans="1:2" ht="17.25" thickBot="1" x14ac:dyDescent="0.4">
      <c r="A17" s="11" t="s">
        <v>16</v>
      </c>
      <c r="B17" s="9">
        <f>B16*4</f>
        <v>5438.7529411764699</v>
      </c>
    </row>
  </sheetData>
  <mergeCells count="2">
    <mergeCell ref="D1:E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2"/>
  <sheetViews>
    <sheetView workbookViewId="0">
      <selection activeCell="B9" sqref="B9"/>
    </sheetView>
  </sheetViews>
  <sheetFormatPr baseColWidth="10" defaultRowHeight="15" x14ac:dyDescent="0.25"/>
  <cols>
    <col min="1" max="1" width="41.7109375" customWidth="1"/>
    <col min="2" max="2" width="20.28515625" style="114" bestFit="1" customWidth="1"/>
    <col min="3" max="3" width="11.5703125" customWidth="1"/>
    <col min="4" max="4" width="47.85546875" customWidth="1"/>
  </cols>
  <sheetData>
    <row r="3" spans="1:5" x14ac:dyDescent="0.25">
      <c r="A3" s="127" t="s">
        <v>168</v>
      </c>
      <c r="B3" s="114" t="s">
        <v>171</v>
      </c>
    </row>
    <row r="4" spans="1:5" ht="16.5" x14ac:dyDescent="0.25">
      <c r="A4" s="128">
        <v>1</v>
      </c>
      <c r="B4" s="114">
        <v>703931</v>
      </c>
      <c r="C4" s="130">
        <v>1</v>
      </c>
      <c r="D4" s="131" t="s">
        <v>80</v>
      </c>
      <c r="E4" s="132">
        <f>+GETPIVOTDATA("Salario día ($)",$A$3,"cod. Operario",1)</f>
        <v>703931</v>
      </c>
    </row>
    <row r="5" spans="1:5" ht="16.5" x14ac:dyDescent="0.25">
      <c r="A5" s="129" t="s">
        <v>80</v>
      </c>
      <c r="B5" s="114">
        <v>703931</v>
      </c>
      <c r="C5" s="130">
        <v>2</v>
      </c>
      <c r="D5" s="131" t="s">
        <v>81</v>
      </c>
      <c r="E5" s="132"/>
    </row>
    <row r="6" spans="1:5" ht="16.5" x14ac:dyDescent="0.25">
      <c r="A6" s="128">
        <v>3</v>
      </c>
      <c r="B6" s="114">
        <v>592288</v>
      </c>
      <c r="C6" s="130">
        <v>3</v>
      </c>
      <c r="D6" s="131" t="s">
        <v>82</v>
      </c>
      <c r="E6" s="132">
        <f>+GETPIVOTDATA("Salario día ($)",$A$3,"cod. Operario",3)</f>
        <v>592288</v>
      </c>
    </row>
    <row r="7" spans="1:5" ht="16.5" x14ac:dyDescent="0.25">
      <c r="A7" s="129" t="s">
        <v>82</v>
      </c>
      <c r="B7" s="114">
        <v>592288</v>
      </c>
      <c r="C7" s="130">
        <v>4</v>
      </c>
      <c r="D7" s="131" t="s">
        <v>21</v>
      </c>
      <c r="E7" s="132">
        <f>+GETPIVOTDATA("Salario día ($)",$A$3,"cod. Operario",4)</f>
        <v>544370</v>
      </c>
    </row>
    <row r="8" spans="1:5" ht="16.5" x14ac:dyDescent="0.25">
      <c r="A8" s="128">
        <v>4</v>
      </c>
      <c r="B8" s="114">
        <v>544370</v>
      </c>
      <c r="C8" s="130">
        <v>5</v>
      </c>
      <c r="D8" s="131" t="s">
        <v>83</v>
      </c>
      <c r="E8" s="132">
        <f>+GETPIVOTDATA("Salario día ($)",$A$3,"cod. Operario",5)</f>
        <v>314887</v>
      </c>
    </row>
    <row r="9" spans="1:5" ht="16.5" x14ac:dyDescent="0.25">
      <c r="A9" s="129" t="s">
        <v>21</v>
      </c>
      <c r="B9" s="114">
        <v>544370</v>
      </c>
      <c r="C9" s="130">
        <v>6</v>
      </c>
      <c r="D9" s="131" t="s">
        <v>84</v>
      </c>
      <c r="E9" s="132">
        <f>+GETPIVOTDATA("Salario día ($)",$A$3,"cod. Operario",6)</f>
        <v>543120</v>
      </c>
    </row>
    <row r="10" spans="1:5" ht="16.5" x14ac:dyDescent="0.25">
      <c r="A10" s="128">
        <v>5</v>
      </c>
      <c r="B10" s="114">
        <v>314887</v>
      </c>
      <c r="C10" s="130">
        <v>7</v>
      </c>
      <c r="D10" s="131" t="s">
        <v>85</v>
      </c>
      <c r="E10" s="132">
        <f>+GETPIVOTDATA("Salario día ($)",$A$3,"cod. Operario",7)</f>
        <v>377450</v>
      </c>
    </row>
    <row r="11" spans="1:5" ht="16.5" x14ac:dyDescent="0.25">
      <c r="A11" s="129" t="s">
        <v>83</v>
      </c>
      <c r="B11" s="114">
        <v>314887</v>
      </c>
      <c r="C11" s="130">
        <v>8</v>
      </c>
      <c r="D11" s="131" t="s">
        <v>86</v>
      </c>
      <c r="E11" s="132"/>
    </row>
    <row r="12" spans="1:5" ht="16.5" x14ac:dyDescent="0.25">
      <c r="A12" s="128">
        <v>6</v>
      </c>
      <c r="B12" s="114">
        <v>543120</v>
      </c>
      <c r="C12" s="130">
        <v>9</v>
      </c>
      <c r="D12" s="131" t="s">
        <v>87</v>
      </c>
      <c r="E12" s="132">
        <f>+GETPIVOTDATA("Salario día ($)",$A$3,"cod. Operario",9)</f>
        <v>511500</v>
      </c>
    </row>
    <row r="13" spans="1:5" ht="16.5" x14ac:dyDescent="0.25">
      <c r="A13" s="129" t="s">
        <v>84</v>
      </c>
      <c r="B13" s="114">
        <v>543120</v>
      </c>
      <c r="C13" s="130">
        <v>10</v>
      </c>
      <c r="D13" s="131" t="s">
        <v>88</v>
      </c>
      <c r="E13" s="132">
        <f>+GETPIVOTDATA("Salario día ($)",$A$3,"cod. Operario",10)</f>
        <v>21600</v>
      </c>
    </row>
    <row r="14" spans="1:5" ht="16.5" x14ac:dyDescent="0.25">
      <c r="A14" s="128">
        <v>7</v>
      </c>
      <c r="B14" s="114">
        <v>377450</v>
      </c>
      <c r="C14" s="130">
        <v>11</v>
      </c>
      <c r="D14" s="131" t="s">
        <v>89</v>
      </c>
      <c r="E14" s="132">
        <f>+GETPIVOTDATA("Salario día ($)",$A$3,"cod. Operario",11)</f>
        <v>539614</v>
      </c>
    </row>
    <row r="15" spans="1:5" ht="16.5" x14ac:dyDescent="0.25">
      <c r="A15" s="129" t="s">
        <v>85</v>
      </c>
      <c r="B15" s="114">
        <v>377450</v>
      </c>
      <c r="C15" s="130">
        <v>12</v>
      </c>
      <c r="D15" s="131" t="s">
        <v>90</v>
      </c>
      <c r="E15" s="132">
        <f>+GETPIVOTDATA("Salario día ($)",$A$3,"cod. Operario",12)</f>
        <v>578663</v>
      </c>
    </row>
    <row r="16" spans="1:5" ht="16.5" x14ac:dyDescent="0.25">
      <c r="A16" s="128">
        <v>9</v>
      </c>
      <c r="B16" s="114">
        <v>511500</v>
      </c>
      <c r="C16" s="130">
        <v>13</v>
      </c>
      <c r="D16" s="131" t="s">
        <v>91</v>
      </c>
      <c r="E16" s="132"/>
    </row>
    <row r="17" spans="1:5" ht="16.5" x14ac:dyDescent="0.25">
      <c r="A17" s="129" t="s">
        <v>87</v>
      </c>
      <c r="B17" s="114">
        <v>511500</v>
      </c>
      <c r="C17" s="130">
        <v>14</v>
      </c>
      <c r="D17" s="131" t="s">
        <v>92</v>
      </c>
      <c r="E17" s="132">
        <f>+GETPIVOTDATA("Salario día ($)",$A$3,"cod. Operario",14)</f>
        <v>324516</v>
      </c>
    </row>
    <row r="18" spans="1:5" ht="16.5" x14ac:dyDescent="0.25">
      <c r="A18" s="128">
        <v>10</v>
      </c>
      <c r="B18" s="114">
        <v>21600</v>
      </c>
      <c r="C18" s="130">
        <v>15</v>
      </c>
      <c r="D18" s="131" t="s">
        <v>93</v>
      </c>
      <c r="E18" s="132">
        <f>+GETPIVOTDATA("Salario día ($)",$A$3,"cod. Operario",15)</f>
        <v>650524</v>
      </c>
    </row>
    <row r="19" spans="1:5" ht="16.5" x14ac:dyDescent="0.25">
      <c r="A19" s="129" t="s">
        <v>88</v>
      </c>
      <c r="B19" s="114">
        <v>21600</v>
      </c>
      <c r="C19" s="130">
        <v>16</v>
      </c>
      <c r="D19" s="131" t="s">
        <v>94</v>
      </c>
      <c r="E19" s="132">
        <f>+GETPIVOTDATA("Salario día ($)",$A$3,"cod. Operario",16)</f>
        <v>589204</v>
      </c>
    </row>
    <row r="20" spans="1:5" ht="16.5" x14ac:dyDescent="0.25">
      <c r="A20" s="128">
        <v>11</v>
      </c>
      <c r="B20" s="114">
        <v>539614</v>
      </c>
      <c r="C20" s="130">
        <v>17</v>
      </c>
      <c r="D20" s="131" t="s">
        <v>95</v>
      </c>
      <c r="E20" s="132">
        <f>+GETPIVOTDATA("Salario día ($)",$A$3,"cod. Operario",17)</f>
        <v>420750</v>
      </c>
    </row>
    <row r="21" spans="1:5" ht="16.5" x14ac:dyDescent="0.25">
      <c r="A21" s="129" t="s">
        <v>89</v>
      </c>
      <c r="B21" s="114">
        <v>539614</v>
      </c>
      <c r="C21" s="130">
        <v>18</v>
      </c>
      <c r="D21" s="131" t="s">
        <v>96</v>
      </c>
      <c r="E21" s="132">
        <f>+GETPIVOTDATA("Salario día ($)",$A$3,"cod. Operario",18)</f>
        <v>612205</v>
      </c>
    </row>
    <row r="22" spans="1:5" ht="16.5" x14ac:dyDescent="0.25">
      <c r="A22" s="128">
        <v>12</v>
      </c>
      <c r="B22" s="114">
        <v>578663</v>
      </c>
      <c r="C22" s="130">
        <v>19</v>
      </c>
      <c r="D22" s="131" t="s">
        <v>97</v>
      </c>
      <c r="E22" s="132">
        <f>+GETPIVOTDATA("Salario día ($)",$A$3,"cod. Operario",19)</f>
        <v>156750</v>
      </c>
    </row>
    <row r="23" spans="1:5" ht="16.5" x14ac:dyDescent="0.25">
      <c r="A23" s="129" t="s">
        <v>90</v>
      </c>
      <c r="B23" s="114">
        <v>578663</v>
      </c>
      <c r="C23" s="130">
        <v>20</v>
      </c>
      <c r="D23" s="131" t="s">
        <v>98</v>
      </c>
      <c r="E23" s="132"/>
    </row>
    <row r="24" spans="1:5" ht="16.5" x14ac:dyDescent="0.25">
      <c r="A24" s="128">
        <v>14</v>
      </c>
      <c r="B24" s="114">
        <v>324516</v>
      </c>
      <c r="C24" s="130">
        <v>21</v>
      </c>
      <c r="D24" s="131" t="s">
        <v>99</v>
      </c>
      <c r="E24" s="132">
        <f>+GETPIVOTDATA("Salario día ($)",$A$3,"cod. Operario",21)</f>
        <v>500250</v>
      </c>
    </row>
    <row r="25" spans="1:5" ht="16.5" x14ac:dyDescent="0.25">
      <c r="A25" s="129" t="s">
        <v>92</v>
      </c>
      <c r="B25" s="114">
        <v>324516</v>
      </c>
      <c r="C25" s="130">
        <v>22</v>
      </c>
      <c r="D25" s="131" t="s">
        <v>100</v>
      </c>
      <c r="E25" s="132">
        <f>+GETPIVOTDATA("Salario día ($)",$A$3,"cod. Operario",22)</f>
        <v>180733</v>
      </c>
    </row>
    <row r="26" spans="1:5" ht="16.5" x14ac:dyDescent="0.25">
      <c r="A26" s="128">
        <v>15</v>
      </c>
      <c r="B26" s="114">
        <v>650524</v>
      </c>
      <c r="C26" s="130">
        <v>23</v>
      </c>
      <c r="D26" s="131" t="s">
        <v>101</v>
      </c>
      <c r="E26" s="132"/>
    </row>
    <row r="27" spans="1:5" ht="16.5" x14ac:dyDescent="0.25">
      <c r="A27" s="129" t="s">
        <v>93</v>
      </c>
      <c r="B27" s="114">
        <v>650524</v>
      </c>
      <c r="C27" s="130">
        <v>24</v>
      </c>
      <c r="D27" s="131" t="s">
        <v>102</v>
      </c>
      <c r="E27" s="132">
        <f>+GETPIVOTDATA("Salario día ($)",$A$3,"cod. Operario",24)</f>
        <v>411804</v>
      </c>
    </row>
    <row r="28" spans="1:5" ht="16.5" x14ac:dyDescent="0.25">
      <c r="A28" s="128">
        <v>16</v>
      </c>
      <c r="B28" s="114">
        <v>589204</v>
      </c>
      <c r="C28" s="130">
        <v>25</v>
      </c>
      <c r="D28" s="131" t="s">
        <v>103</v>
      </c>
      <c r="E28" s="132">
        <f>+GETPIVOTDATA("Salario día ($)",$A$3,"cod. Operario",25)</f>
        <v>393500</v>
      </c>
    </row>
    <row r="29" spans="1:5" ht="16.5" x14ac:dyDescent="0.25">
      <c r="A29" s="129" t="s">
        <v>94</v>
      </c>
      <c r="B29" s="114">
        <v>589204</v>
      </c>
      <c r="C29" s="130">
        <v>26</v>
      </c>
      <c r="D29" s="131" t="s">
        <v>104</v>
      </c>
      <c r="E29" s="132">
        <f>+GETPIVOTDATA("Salario día ($)",$A$3,"cod. Operario",26)</f>
        <v>142079</v>
      </c>
    </row>
    <row r="30" spans="1:5" ht="16.5" x14ac:dyDescent="0.25">
      <c r="A30" s="128">
        <v>17</v>
      </c>
      <c r="B30" s="114">
        <v>420750</v>
      </c>
      <c r="C30" s="130">
        <v>27</v>
      </c>
      <c r="D30" s="131" t="s">
        <v>105</v>
      </c>
      <c r="E30" s="132"/>
    </row>
    <row r="31" spans="1:5" ht="16.5" x14ac:dyDescent="0.25">
      <c r="A31" s="129" t="s">
        <v>95</v>
      </c>
      <c r="B31" s="114">
        <v>420750</v>
      </c>
      <c r="C31" s="130">
        <v>28</v>
      </c>
      <c r="D31" s="131" t="s">
        <v>106</v>
      </c>
      <c r="E31" s="132">
        <f>+GETPIVOTDATA("Salario día ($)",$A$3,"cod. Operario",28)</f>
        <v>301906</v>
      </c>
    </row>
    <row r="32" spans="1:5" ht="20.45" customHeight="1" x14ac:dyDescent="0.25">
      <c r="A32" s="128">
        <v>18</v>
      </c>
      <c r="B32" s="114">
        <v>612205</v>
      </c>
      <c r="C32" s="130">
        <v>29</v>
      </c>
      <c r="D32" s="131" t="s">
        <v>107</v>
      </c>
      <c r="E32" s="132">
        <f>+GETPIVOTDATA("Salario día ($)",$A$3,"cod. Operario",29)</f>
        <v>728215</v>
      </c>
    </row>
    <row r="33" spans="1:5" ht="16.5" x14ac:dyDescent="0.25">
      <c r="A33" s="129" t="s">
        <v>96</v>
      </c>
      <c r="B33" s="114">
        <v>612205</v>
      </c>
      <c r="C33" s="130">
        <v>30</v>
      </c>
      <c r="D33" s="131" t="s">
        <v>119</v>
      </c>
      <c r="E33" s="132">
        <f>+GETPIVOTDATA("Salario día ($)",$A$3,"cod. Operario",30)</f>
        <v>114180</v>
      </c>
    </row>
    <row r="34" spans="1:5" ht="16.5" x14ac:dyDescent="0.25">
      <c r="A34" s="128">
        <v>19</v>
      </c>
      <c r="B34" s="114">
        <v>156750</v>
      </c>
      <c r="C34" s="130">
        <v>31</v>
      </c>
      <c r="D34" s="131" t="s">
        <v>130</v>
      </c>
      <c r="E34" s="132">
        <f>+GETPIVOTDATA("Salario día ($)",$A$3,"cod. Operario",31)</f>
        <v>354750</v>
      </c>
    </row>
    <row r="35" spans="1:5" ht="16.5" x14ac:dyDescent="0.25">
      <c r="A35" s="129" t="s">
        <v>97</v>
      </c>
      <c r="B35" s="114">
        <v>156750</v>
      </c>
      <c r="C35" s="130">
        <v>32</v>
      </c>
      <c r="D35" s="131" t="s">
        <v>138</v>
      </c>
      <c r="E35" s="132">
        <f>+GETPIVOTDATA("Salario día ($)",$A$3,"cod. Operario",32)</f>
        <v>345525</v>
      </c>
    </row>
    <row r="36" spans="1:5" ht="16.5" x14ac:dyDescent="0.25">
      <c r="A36" s="128">
        <v>21</v>
      </c>
      <c r="B36" s="114">
        <v>500250</v>
      </c>
      <c r="C36" s="130">
        <v>33</v>
      </c>
      <c r="D36" s="131" t="s">
        <v>140</v>
      </c>
      <c r="E36" s="132">
        <f>+GETPIVOTDATA("Salario día ($)",$A$3,"cod. Operario",33)</f>
        <v>96492</v>
      </c>
    </row>
    <row r="37" spans="1:5" ht="16.5" x14ac:dyDescent="0.25">
      <c r="A37" s="129" t="s">
        <v>99</v>
      </c>
      <c r="B37" s="114">
        <v>500250</v>
      </c>
      <c r="C37" s="130">
        <v>34</v>
      </c>
      <c r="D37" s="131" t="s">
        <v>141</v>
      </c>
      <c r="E37" s="132">
        <f>+GETPIVOTDATA("Salario día ($)",$A$3,"cod. Operario",34)</f>
        <v>321090</v>
      </c>
    </row>
    <row r="38" spans="1:5" x14ac:dyDescent="0.25">
      <c r="A38" s="128">
        <v>22</v>
      </c>
      <c r="B38" s="114">
        <v>180733</v>
      </c>
    </row>
    <row r="39" spans="1:5" x14ac:dyDescent="0.25">
      <c r="A39" s="129" t="s">
        <v>100</v>
      </c>
      <c r="B39" s="114">
        <v>180733</v>
      </c>
    </row>
    <row r="40" spans="1:5" x14ac:dyDescent="0.25">
      <c r="A40" s="128">
        <v>24</v>
      </c>
      <c r="B40" s="114">
        <v>411804</v>
      </c>
    </row>
    <row r="41" spans="1:5" x14ac:dyDescent="0.25">
      <c r="A41" s="129" t="s">
        <v>102</v>
      </c>
      <c r="B41" s="114">
        <v>411804</v>
      </c>
    </row>
    <row r="42" spans="1:5" x14ac:dyDescent="0.25">
      <c r="A42" s="128">
        <v>25</v>
      </c>
      <c r="B42" s="114">
        <v>393500</v>
      </c>
    </row>
    <row r="43" spans="1:5" x14ac:dyDescent="0.25">
      <c r="A43" s="129" t="s">
        <v>103</v>
      </c>
      <c r="B43" s="114">
        <v>393500</v>
      </c>
    </row>
    <row r="44" spans="1:5" x14ac:dyDescent="0.25">
      <c r="A44" s="128">
        <v>26</v>
      </c>
      <c r="B44" s="114">
        <v>142079</v>
      </c>
    </row>
    <row r="45" spans="1:5" x14ac:dyDescent="0.25">
      <c r="A45" s="129" t="s">
        <v>104</v>
      </c>
      <c r="B45" s="114">
        <v>142079</v>
      </c>
    </row>
    <row r="46" spans="1:5" x14ac:dyDescent="0.25">
      <c r="A46" s="128">
        <v>28</v>
      </c>
      <c r="B46" s="114">
        <v>301906</v>
      </c>
    </row>
    <row r="47" spans="1:5" x14ac:dyDescent="0.25">
      <c r="A47" s="129" t="s">
        <v>106</v>
      </c>
      <c r="B47" s="114">
        <v>301906</v>
      </c>
    </row>
    <row r="48" spans="1:5" x14ac:dyDescent="0.25">
      <c r="A48" s="128">
        <v>29</v>
      </c>
      <c r="B48" s="114">
        <v>728215</v>
      </c>
    </row>
    <row r="49" spans="1:2" x14ac:dyDescent="0.25">
      <c r="A49" s="129" t="s">
        <v>107</v>
      </c>
      <c r="B49" s="114">
        <v>728215</v>
      </c>
    </row>
    <row r="50" spans="1:2" x14ac:dyDescent="0.25">
      <c r="A50" s="128">
        <v>30</v>
      </c>
      <c r="B50" s="114">
        <v>114180</v>
      </c>
    </row>
    <row r="51" spans="1:2" x14ac:dyDescent="0.25">
      <c r="A51" s="129" t="s">
        <v>119</v>
      </c>
      <c r="B51" s="114">
        <v>114180</v>
      </c>
    </row>
    <row r="52" spans="1:2" x14ac:dyDescent="0.25">
      <c r="A52" s="128">
        <v>31</v>
      </c>
      <c r="B52" s="114">
        <v>354750</v>
      </c>
    </row>
    <row r="53" spans="1:2" x14ac:dyDescent="0.25">
      <c r="A53" s="129" t="s">
        <v>130</v>
      </c>
      <c r="B53" s="114">
        <v>354750</v>
      </c>
    </row>
    <row r="54" spans="1:2" x14ac:dyDescent="0.25">
      <c r="A54" s="128">
        <v>32</v>
      </c>
      <c r="B54" s="114">
        <v>345525</v>
      </c>
    </row>
    <row r="55" spans="1:2" x14ac:dyDescent="0.25">
      <c r="A55" s="129" t="s">
        <v>138</v>
      </c>
      <c r="B55" s="114">
        <v>345525</v>
      </c>
    </row>
    <row r="56" spans="1:2" x14ac:dyDescent="0.25">
      <c r="A56" s="128">
        <v>33</v>
      </c>
      <c r="B56" s="114">
        <v>96492</v>
      </c>
    </row>
    <row r="57" spans="1:2" x14ac:dyDescent="0.25">
      <c r="A57" s="129" t="s">
        <v>140</v>
      </c>
      <c r="B57" s="114">
        <v>96492</v>
      </c>
    </row>
    <row r="58" spans="1:2" x14ac:dyDescent="0.25">
      <c r="A58" s="128">
        <v>34</v>
      </c>
      <c r="B58" s="114">
        <v>321090</v>
      </c>
    </row>
    <row r="59" spans="1:2" x14ac:dyDescent="0.25">
      <c r="A59" s="129" t="s">
        <v>141</v>
      </c>
      <c r="B59" s="114">
        <v>321090</v>
      </c>
    </row>
    <row r="60" spans="1:2" x14ac:dyDescent="0.25">
      <c r="A60" s="128" t="s">
        <v>169</v>
      </c>
      <c r="B60" s="114">
        <v>0</v>
      </c>
    </row>
    <row r="61" spans="1:2" x14ac:dyDescent="0.25">
      <c r="A61" s="129" t="s">
        <v>169</v>
      </c>
      <c r="B61" s="114">
        <v>0</v>
      </c>
    </row>
    <row r="62" spans="1:2" x14ac:dyDescent="0.25">
      <c r="A62" s="128" t="s">
        <v>170</v>
      </c>
      <c r="B62" s="114">
        <v>11371896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topLeftCell="A4" zoomScale="95" zoomScaleNormal="95" workbookViewId="0">
      <selection activeCell="A230" sqref="A230"/>
    </sheetView>
  </sheetViews>
  <sheetFormatPr baseColWidth="10" defaultRowHeight="15" x14ac:dyDescent="0.25"/>
  <cols>
    <col min="1" max="1" width="9.85546875" customWidth="1"/>
    <col min="2" max="2" width="31.42578125" customWidth="1"/>
    <col min="3" max="3" width="16.42578125" customWidth="1"/>
    <col min="5" max="5" width="21.28515625" customWidth="1"/>
    <col min="6" max="6" width="19.28515625" bestFit="1" customWidth="1"/>
    <col min="7" max="7" width="14.5703125" customWidth="1"/>
    <col min="8" max="8" width="11.5703125" style="62"/>
    <col min="10" max="10" width="42.5703125" customWidth="1"/>
    <col min="11" max="11" width="26.28515625" style="114" bestFit="1" customWidth="1"/>
  </cols>
  <sheetData>
    <row r="1" spans="1:11" ht="26.25" x14ac:dyDescent="0.4">
      <c r="B1" s="169" t="s">
        <v>18</v>
      </c>
      <c r="C1" s="169"/>
      <c r="D1" s="169"/>
      <c r="E1" s="169"/>
      <c r="F1" s="169"/>
      <c r="G1" s="169"/>
    </row>
    <row r="2" spans="1:11" ht="19.5" customHeight="1" x14ac:dyDescent="0.4">
      <c r="B2" s="39"/>
      <c r="C2" s="39"/>
      <c r="D2" s="39"/>
      <c r="E2" s="39"/>
      <c r="F2" s="39"/>
      <c r="G2" s="39"/>
    </row>
    <row r="3" spans="1:11" s="41" customFormat="1" ht="19.5" customHeight="1" x14ac:dyDescent="0.35">
      <c r="D3" s="40"/>
      <c r="E3" s="40"/>
      <c r="F3" s="40"/>
      <c r="G3" s="40"/>
      <c r="H3" s="42"/>
      <c r="K3" s="115"/>
    </row>
    <row r="4" spans="1:11" s="41" customFormat="1" ht="19.5" customHeight="1" x14ac:dyDescent="0.35">
      <c r="D4" s="40"/>
      <c r="E4" s="40"/>
      <c r="F4" s="40"/>
      <c r="G4" s="40"/>
      <c r="H4" s="42"/>
      <c r="K4" s="115"/>
    </row>
    <row r="5" spans="1:11" s="41" customFormat="1" ht="19.5" customHeight="1" x14ac:dyDescent="0.35">
      <c r="D5" s="40"/>
      <c r="E5" s="40"/>
      <c r="F5" s="40"/>
      <c r="G5" s="40"/>
      <c r="H5" s="42"/>
      <c r="K5" s="115"/>
    </row>
    <row r="6" spans="1:11" s="41" customFormat="1" ht="19.149999999999999" customHeight="1" x14ac:dyDescent="0.35">
      <c r="B6" s="40"/>
      <c r="C6" s="40"/>
      <c r="D6" s="40"/>
      <c r="E6" s="40"/>
      <c r="F6" s="40"/>
      <c r="G6" s="40"/>
      <c r="H6" s="42"/>
      <c r="K6" s="115"/>
    </row>
    <row r="7" spans="1:11" s="41" customFormat="1" ht="36.6" customHeight="1" x14ac:dyDescent="0.35">
      <c r="A7" s="77" t="s">
        <v>152</v>
      </c>
      <c r="B7" s="77" t="s">
        <v>153</v>
      </c>
      <c r="C7" s="77" t="s">
        <v>154</v>
      </c>
      <c r="D7" s="78" t="s">
        <v>155</v>
      </c>
      <c r="E7" s="77" t="s">
        <v>156</v>
      </c>
      <c r="F7" s="79" t="s">
        <v>157</v>
      </c>
      <c r="G7" s="77" t="s">
        <v>158</v>
      </c>
      <c r="H7" s="80" t="s">
        <v>159</v>
      </c>
      <c r="K7" s="115"/>
    </row>
    <row r="8" spans="1:11" ht="21" hidden="1" x14ac:dyDescent="0.35">
      <c r="A8" s="97" t="s">
        <v>20</v>
      </c>
      <c r="B8" s="43"/>
      <c r="C8" s="43"/>
      <c r="D8" s="43"/>
      <c r="E8" s="43"/>
      <c r="F8" s="43"/>
      <c r="G8" s="43"/>
      <c r="H8" s="81"/>
      <c r="J8" s="118" t="s">
        <v>115</v>
      </c>
      <c r="K8" s="112">
        <v>1526</v>
      </c>
    </row>
    <row r="9" spans="1:11" ht="28.5" hidden="1" x14ac:dyDescent="0.35">
      <c r="A9">
        <v>775</v>
      </c>
      <c r="B9" s="22" t="s">
        <v>60</v>
      </c>
      <c r="C9" s="28">
        <v>120</v>
      </c>
      <c r="D9" s="56">
        <v>6</v>
      </c>
      <c r="E9" s="57" t="s">
        <v>84</v>
      </c>
      <c r="F9">
        <v>407</v>
      </c>
      <c r="G9">
        <f>+C9*F9</f>
        <v>48840</v>
      </c>
      <c r="H9" s="62">
        <v>0</v>
      </c>
      <c r="J9" s="118" t="s">
        <v>116</v>
      </c>
      <c r="K9" s="112">
        <v>2721</v>
      </c>
    </row>
    <row r="10" spans="1:11" ht="21" hidden="1" x14ac:dyDescent="0.35">
      <c r="A10">
        <v>775</v>
      </c>
      <c r="B10" s="64" t="s">
        <v>136</v>
      </c>
      <c r="C10" s="139">
        <f>22*8.5</f>
        <v>187</v>
      </c>
      <c r="D10" s="56">
        <v>11</v>
      </c>
      <c r="E10" s="57" t="s">
        <v>89</v>
      </c>
      <c r="F10">
        <v>290</v>
      </c>
      <c r="G10">
        <f>+C10*F10</f>
        <v>54230</v>
      </c>
      <c r="H10" s="138">
        <f>835-F10-F11-F12-F13</f>
        <v>0</v>
      </c>
      <c r="J10" s="118" t="s">
        <v>117</v>
      </c>
      <c r="K10" s="112">
        <f>K8*K9</f>
        <v>4152246</v>
      </c>
    </row>
    <row r="11" spans="1:11" ht="28.5" hidden="1" x14ac:dyDescent="0.3">
      <c r="A11">
        <v>775</v>
      </c>
      <c r="B11" s="64" t="s">
        <v>136</v>
      </c>
      <c r="C11" s="140"/>
      <c r="D11" s="56">
        <v>12</v>
      </c>
      <c r="E11" s="57" t="s">
        <v>90</v>
      </c>
      <c r="F11">
        <v>500</v>
      </c>
      <c r="G11">
        <f>+C10*F11</f>
        <v>93500</v>
      </c>
      <c r="H11" s="138"/>
      <c r="J11" s="118" t="s">
        <v>162</v>
      </c>
      <c r="K11" s="114">
        <v>3291323</v>
      </c>
    </row>
    <row r="12" spans="1:11" ht="18.75" hidden="1" x14ac:dyDescent="0.3">
      <c r="A12">
        <v>775</v>
      </c>
      <c r="B12" s="64" t="s">
        <v>142</v>
      </c>
      <c r="C12" s="139">
        <f>26*8.5</f>
        <v>221</v>
      </c>
      <c r="D12" s="56">
        <v>11</v>
      </c>
      <c r="E12" s="57" t="s">
        <v>89</v>
      </c>
      <c r="F12">
        <v>8</v>
      </c>
      <c r="G12">
        <f>+C12*F12</f>
        <v>1768</v>
      </c>
      <c r="H12" s="160"/>
      <c r="J12" s="118" t="s">
        <v>163</v>
      </c>
      <c r="K12" s="114">
        <v>508775</v>
      </c>
    </row>
    <row r="13" spans="1:11" ht="28.5" hidden="1" x14ac:dyDescent="0.25">
      <c r="B13" s="64" t="s">
        <v>142</v>
      </c>
      <c r="C13" s="140"/>
      <c r="D13" s="56">
        <v>12</v>
      </c>
      <c r="E13" s="57" t="s">
        <v>90</v>
      </c>
      <c r="F13">
        <v>37</v>
      </c>
      <c r="G13">
        <f>+C12*F13</f>
        <v>8177</v>
      </c>
      <c r="H13" s="63">
        <v>0</v>
      </c>
    </row>
    <row r="14" spans="1:11" ht="21" hidden="1" x14ac:dyDescent="0.35">
      <c r="A14" s="97" t="s">
        <v>73</v>
      </c>
      <c r="B14" s="43"/>
      <c r="C14" s="43"/>
      <c r="D14" s="43"/>
      <c r="E14" s="43"/>
      <c r="F14" s="43"/>
      <c r="G14" s="43"/>
      <c r="H14" s="81"/>
    </row>
    <row r="15" spans="1:11" ht="28.5" hidden="1" x14ac:dyDescent="0.25">
      <c r="A15">
        <v>775</v>
      </c>
      <c r="B15" s="25" t="s">
        <v>77</v>
      </c>
      <c r="C15" s="20">
        <v>80</v>
      </c>
      <c r="D15" s="56">
        <v>7</v>
      </c>
      <c r="E15" s="57" t="s">
        <v>85</v>
      </c>
      <c r="F15">
        <f>216+902+1195-61</f>
        <v>2252</v>
      </c>
      <c r="G15">
        <f>+C15*F15</f>
        <v>180160</v>
      </c>
      <c r="H15" s="62">
        <v>0</v>
      </c>
    </row>
    <row r="16" spans="1:11" hidden="1" x14ac:dyDescent="0.25">
      <c r="A16">
        <v>775</v>
      </c>
      <c r="B16" s="161" t="s">
        <v>150</v>
      </c>
      <c r="C16" s="170">
        <v>80</v>
      </c>
      <c r="D16" s="56">
        <v>31</v>
      </c>
      <c r="E16" s="57" t="s">
        <v>130</v>
      </c>
      <c r="F16">
        <v>1465</v>
      </c>
      <c r="G16">
        <f>+C16*F16</f>
        <v>117200</v>
      </c>
      <c r="H16" s="138">
        <f>1526-F16-F17</f>
        <v>0</v>
      </c>
    </row>
    <row r="17" spans="1:12" ht="28.5" hidden="1" x14ac:dyDescent="0.25">
      <c r="A17">
        <v>775</v>
      </c>
      <c r="B17" s="162"/>
      <c r="C17" s="171"/>
      <c r="D17" s="56">
        <v>7</v>
      </c>
      <c r="E17" s="57" t="s">
        <v>85</v>
      </c>
      <c r="F17">
        <v>61</v>
      </c>
      <c r="G17">
        <f>+C16*F17</f>
        <v>4880</v>
      </c>
      <c r="H17" s="138"/>
    </row>
    <row r="18" spans="1:12" ht="21" hidden="1" x14ac:dyDescent="0.35">
      <c r="A18" s="98" t="s">
        <v>19</v>
      </c>
      <c r="B18" s="45"/>
      <c r="C18" s="45"/>
      <c r="D18" s="45"/>
      <c r="E18" s="45"/>
      <c r="F18" s="45"/>
      <c r="G18" s="45"/>
      <c r="H18" s="82"/>
      <c r="I18" s="21"/>
      <c r="J18" s="44" t="s">
        <v>115</v>
      </c>
      <c r="K18" s="112">
        <v>1656</v>
      </c>
    </row>
    <row r="19" spans="1:12" ht="28.5" hidden="1" x14ac:dyDescent="0.35">
      <c r="A19">
        <v>1815</v>
      </c>
      <c r="B19" s="22" t="s">
        <v>27</v>
      </c>
      <c r="C19" s="28">
        <v>80</v>
      </c>
      <c r="D19" s="56">
        <v>17</v>
      </c>
      <c r="E19" s="57" t="s">
        <v>95</v>
      </c>
      <c r="F19">
        <v>917</v>
      </c>
      <c r="G19">
        <f t="shared" ref="G19:G34" si="0">+C19*F19</f>
        <v>73360</v>
      </c>
      <c r="H19" s="62">
        <f>917-F19</f>
        <v>0</v>
      </c>
      <c r="J19" s="44" t="s">
        <v>116</v>
      </c>
      <c r="K19" s="112">
        <v>2736</v>
      </c>
    </row>
    <row r="20" spans="1:12" ht="28.5" hidden="1" x14ac:dyDescent="0.35">
      <c r="A20">
        <v>1815</v>
      </c>
      <c r="B20" s="144" t="s">
        <v>29</v>
      </c>
      <c r="C20" s="139">
        <v>40</v>
      </c>
      <c r="D20" s="56">
        <v>16</v>
      </c>
      <c r="E20" s="57" t="s">
        <v>94</v>
      </c>
      <c r="F20">
        <f>57+56+27+55+28+40+120+30+47+24</f>
        <v>484</v>
      </c>
      <c r="G20">
        <f>+C20*F20</f>
        <v>19360</v>
      </c>
      <c r="H20" s="138">
        <f>1656-F20-F21-F22</f>
        <v>0</v>
      </c>
      <c r="J20" s="44" t="s">
        <v>117</v>
      </c>
      <c r="K20" s="112">
        <f>K18*K19</f>
        <v>4530816</v>
      </c>
    </row>
    <row r="21" spans="1:12" ht="28.5" hidden="1" x14ac:dyDescent="0.25">
      <c r="A21">
        <v>1815</v>
      </c>
      <c r="B21" s="146"/>
      <c r="C21" s="141"/>
      <c r="D21" s="56">
        <v>1</v>
      </c>
      <c r="E21" s="57" t="s">
        <v>80</v>
      </c>
      <c r="F21">
        <v>1172</v>
      </c>
      <c r="G21">
        <f>+C20*F21</f>
        <v>46880</v>
      </c>
      <c r="H21" s="138"/>
    </row>
    <row r="22" spans="1:12" ht="21" hidden="1" x14ac:dyDescent="0.35">
      <c r="A22">
        <v>1815</v>
      </c>
      <c r="B22" s="145"/>
      <c r="C22" s="140"/>
      <c r="D22" s="24"/>
      <c r="E22" s="24"/>
      <c r="G22">
        <f t="shared" si="0"/>
        <v>0</v>
      </c>
      <c r="H22" s="138"/>
      <c r="J22" s="44" t="s">
        <v>164</v>
      </c>
      <c r="K22" s="112">
        <f>SUM(G19:G78)</f>
        <v>2566017</v>
      </c>
    </row>
    <row r="23" spans="1:12" ht="28.5" hidden="1" x14ac:dyDescent="0.35">
      <c r="A23">
        <v>1815</v>
      </c>
      <c r="B23" s="144" t="s">
        <v>31</v>
      </c>
      <c r="C23" s="139">
        <v>61</v>
      </c>
      <c r="D23" s="56">
        <v>28</v>
      </c>
      <c r="E23" s="57" t="s">
        <v>106</v>
      </c>
      <c r="F23">
        <v>889</v>
      </c>
      <c r="G23">
        <f t="shared" si="0"/>
        <v>54229</v>
      </c>
      <c r="H23" s="151">
        <f>889-F23-F24</f>
        <v>0</v>
      </c>
      <c r="J23" s="44" t="s">
        <v>165</v>
      </c>
      <c r="K23" s="112">
        <f>K20-K22</f>
        <v>1964799</v>
      </c>
      <c r="L23" s="113"/>
    </row>
    <row r="24" spans="1:12" ht="18.75" hidden="1" x14ac:dyDescent="0.3">
      <c r="A24">
        <v>1815</v>
      </c>
      <c r="B24" s="145"/>
      <c r="C24" s="140"/>
      <c r="D24" s="24"/>
      <c r="E24" s="24"/>
      <c r="G24">
        <f t="shared" si="0"/>
        <v>0</v>
      </c>
      <c r="H24" s="138"/>
    </row>
    <row r="25" spans="1:12" ht="28.5" hidden="1" x14ac:dyDescent="0.25">
      <c r="A25">
        <v>1815</v>
      </c>
      <c r="B25" s="22" t="s">
        <v>64</v>
      </c>
      <c r="C25" s="28">
        <v>81</v>
      </c>
      <c r="D25" s="56">
        <v>16</v>
      </c>
      <c r="E25" s="57" t="s">
        <v>94</v>
      </c>
      <c r="F25">
        <v>1656</v>
      </c>
      <c r="G25">
        <f t="shared" si="0"/>
        <v>134136</v>
      </c>
      <c r="H25" s="62">
        <f>$K$18-F25</f>
        <v>0</v>
      </c>
    </row>
    <row r="26" spans="1:12" ht="28.5" hidden="1" x14ac:dyDescent="0.25">
      <c r="A26">
        <v>1815</v>
      </c>
      <c r="B26" s="144" t="s">
        <v>33</v>
      </c>
      <c r="C26" s="139">
        <v>100</v>
      </c>
      <c r="D26" s="56">
        <v>17</v>
      </c>
      <c r="E26" s="57" t="s">
        <v>95</v>
      </c>
      <c r="F26">
        <v>107</v>
      </c>
      <c r="G26">
        <f>+C26*F26</f>
        <v>10700</v>
      </c>
      <c r="H26" s="138">
        <f>1027-F26-F27</f>
        <v>0</v>
      </c>
    </row>
    <row r="27" spans="1:12" ht="28.5" hidden="1" x14ac:dyDescent="0.25">
      <c r="A27">
        <v>1815</v>
      </c>
      <c r="B27" s="145"/>
      <c r="C27" s="140"/>
      <c r="D27" s="56">
        <v>24</v>
      </c>
      <c r="E27" s="57" t="s">
        <v>102</v>
      </c>
      <c r="F27">
        <f>1656-629-30-30-24-23</f>
        <v>920</v>
      </c>
      <c r="G27">
        <f>+C26*F27</f>
        <v>92000</v>
      </c>
      <c r="H27" s="138"/>
    </row>
    <row r="28" spans="1:12" ht="18.75" hidden="1" x14ac:dyDescent="0.3">
      <c r="A28">
        <v>1815</v>
      </c>
      <c r="B28" s="144" t="s">
        <v>34</v>
      </c>
      <c r="C28" s="28">
        <v>33</v>
      </c>
      <c r="D28" s="24"/>
      <c r="E28" s="24"/>
      <c r="G28">
        <f t="shared" si="0"/>
        <v>0</v>
      </c>
      <c r="H28" s="138">
        <f>348-F28-F29</f>
        <v>348</v>
      </c>
    </row>
    <row r="29" spans="1:12" ht="18.75" hidden="1" x14ac:dyDescent="0.3">
      <c r="A29">
        <v>1815</v>
      </c>
      <c r="B29" s="145"/>
      <c r="C29" s="28">
        <v>33</v>
      </c>
      <c r="D29" s="24"/>
      <c r="E29" s="24"/>
      <c r="G29">
        <f t="shared" si="0"/>
        <v>0</v>
      </c>
      <c r="H29" s="138"/>
    </row>
    <row r="30" spans="1:12" ht="18.75" hidden="1" x14ac:dyDescent="0.3">
      <c r="A30">
        <v>1815</v>
      </c>
      <c r="B30" s="22" t="s">
        <v>35</v>
      </c>
      <c r="C30" s="28">
        <v>20</v>
      </c>
      <c r="D30" s="24"/>
      <c r="E30" s="24"/>
      <c r="G30">
        <f t="shared" si="0"/>
        <v>0</v>
      </c>
      <c r="H30" s="62">
        <f>1381-F30</f>
        <v>1381</v>
      </c>
    </row>
    <row r="31" spans="1:12" ht="18.75" hidden="1" x14ac:dyDescent="0.3">
      <c r="A31">
        <v>1815</v>
      </c>
      <c r="B31" s="144" t="s">
        <v>36</v>
      </c>
      <c r="C31" s="28">
        <v>33</v>
      </c>
      <c r="D31" s="24"/>
      <c r="E31" s="24"/>
      <c r="G31">
        <f t="shared" si="0"/>
        <v>0</v>
      </c>
      <c r="H31" s="138">
        <f>348-F31-F32</f>
        <v>348</v>
      </c>
    </row>
    <row r="32" spans="1:12" ht="18.75" hidden="1" x14ac:dyDescent="0.3">
      <c r="A32">
        <v>1815</v>
      </c>
      <c r="B32" s="145"/>
      <c r="C32" s="28">
        <v>33</v>
      </c>
      <c r="D32" s="24"/>
      <c r="E32" s="24"/>
      <c r="G32">
        <f t="shared" si="0"/>
        <v>0</v>
      </c>
      <c r="H32" s="138"/>
    </row>
    <row r="33" spans="1:8" ht="28.5" hidden="1" x14ac:dyDescent="0.25">
      <c r="A33">
        <v>1815</v>
      </c>
      <c r="B33" s="22" t="s">
        <v>37</v>
      </c>
      <c r="C33" s="28">
        <v>43</v>
      </c>
      <c r="D33" s="56">
        <v>26</v>
      </c>
      <c r="E33" s="57" t="s">
        <v>104</v>
      </c>
      <c r="F33">
        <v>471</v>
      </c>
      <c r="G33">
        <f t="shared" si="0"/>
        <v>20253</v>
      </c>
      <c r="H33" s="62">
        <f>471-F33</f>
        <v>0</v>
      </c>
    </row>
    <row r="34" spans="1:8" ht="28.5" hidden="1" x14ac:dyDescent="0.25">
      <c r="A34">
        <v>1815</v>
      </c>
      <c r="B34" s="22" t="s">
        <v>38</v>
      </c>
      <c r="C34" s="28">
        <v>120</v>
      </c>
      <c r="D34" s="56">
        <v>18</v>
      </c>
      <c r="E34" s="57" t="s">
        <v>96</v>
      </c>
      <c r="F34">
        <v>1054</v>
      </c>
      <c r="G34">
        <f t="shared" si="0"/>
        <v>126480</v>
      </c>
      <c r="H34" s="62">
        <f>1054-F34</f>
        <v>0</v>
      </c>
    </row>
    <row r="35" spans="1:8" ht="21" hidden="1" x14ac:dyDescent="0.35">
      <c r="A35" s="96" t="s">
        <v>39</v>
      </c>
      <c r="B35" s="46"/>
      <c r="C35" s="46"/>
      <c r="D35" s="46"/>
      <c r="E35" s="46"/>
      <c r="F35" s="46"/>
      <c r="G35" s="46"/>
      <c r="H35" s="83"/>
    </row>
    <row r="36" spans="1:8" ht="15.75" hidden="1" x14ac:dyDescent="0.25">
      <c r="A36">
        <v>1815</v>
      </c>
      <c r="B36" s="22" t="s">
        <v>74</v>
      </c>
      <c r="C36" s="28">
        <v>30</v>
      </c>
      <c r="D36" s="26"/>
      <c r="E36" s="26"/>
      <c r="G36">
        <f t="shared" ref="G36:G44" si="1">+C36*F36</f>
        <v>0</v>
      </c>
      <c r="H36" s="62">
        <f>$K$18-F36</f>
        <v>1656</v>
      </c>
    </row>
    <row r="37" spans="1:8" ht="18.75" hidden="1" x14ac:dyDescent="0.3">
      <c r="A37">
        <v>1815</v>
      </c>
      <c r="B37" s="167" t="s">
        <v>79</v>
      </c>
      <c r="C37" s="139">
        <v>45</v>
      </c>
      <c r="D37" s="24"/>
      <c r="E37" s="24"/>
      <c r="G37">
        <f t="shared" si="1"/>
        <v>0</v>
      </c>
      <c r="H37" s="151">
        <f>59-F37-F39-F38</f>
        <v>59</v>
      </c>
    </row>
    <row r="38" spans="1:8" ht="18.75" hidden="1" x14ac:dyDescent="0.3">
      <c r="A38">
        <v>1815</v>
      </c>
      <c r="B38" s="167"/>
      <c r="C38" s="141"/>
      <c r="D38" s="24"/>
      <c r="E38" s="24"/>
      <c r="G38">
        <f t="shared" si="1"/>
        <v>0</v>
      </c>
      <c r="H38" s="168"/>
    </row>
    <row r="39" spans="1:8" ht="18.75" hidden="1" x14ac:dyDescent="0.3">
      <c r="A39">
        <v>1815</v>
      </c>
      <c r="B39" s="167"/>
      <c r="C39" s="140"/>
      <c r="D39" s="24"/>
      <c r="E39" s="24"/>
      <c r="G39">
        <f t="shared" si="1"/>
        <v>0</v>
      </c>
      <c r="H39" s="138"/>
    </row>
    <row r="40" spans="1:8" hidden="1" x14ac:dyDescent="0.25">
      <c r="A40">
        <v>1815</v>
      </c>
      <c r="B40" t="s">
        <v>42</v>
      </c>
      <c r="C40" s="28">
        <f>8.5*2</f>
        <v>17</v>
      </c>
      <c r="G40">
        <f t="shared" si="1"/>
        <v>0</v>
      </c>
      <c r="H40" s="62">
        <f>$K$18-F40</f>
        <v>1656</v>
      </c>
    </row>
    <row r="41" spans="1:8" ht="28.5" hidden="1" x14ac:dyDescent="0.25">
      <c r="A41">
        <v>1815</v>
      </c>
      <c r="B41" s="64" t="s">
        <v>76</v>
      </c>
      <c r="C41" s="139">
        <v>125</v>
      </c>
      <c r="D41" s="56">
        <v>9</v>
      </c>
      <c r="E41" s="57" t="s">
        <v>87</v>
      </c>
      <c r="F41">
        <f>58+58+58+57+56+55+56+54+51+53+60+47+24</f>
        <v>687</v>
      </c>
      <c r="G41">
        <f t="shared" si="1"/>
        <v>85875</v>
      </c>
      <c r="H41" s="151">
        <f>$K$18-F41-F43-F42</f>
        <v>101</v>
      </c>
    </row>
    <row r="42" spans="1:8" hidden="1" x14ac:dyDescent="0.25">
      <c r="A42">
        <v>1815</v>
      </c>
      <c r="B42" s="64" t="s">
        <v>76</v>
      </c>
      <c r="C42" s="141"/>
      <c r="D42" s="56">
        <v>32</v>
      </c>
      <c r="E42" s="57" t="s">
        <v>138</v>
      </c>
      <c r="F42">
        <f>47+53+113</f>
        <v>213</v>
      </c>
      <c r="G42">
        <f>+C41*F42</f>
        <v>26625</v>
      </c>
      <c r="H42" s="168"/>
    </row>
    <row r="43" spans="1:8" hidden="1" x14ac:dyDescent="0.25">
      <c r="A43">
        <v>1815</v>
      </c>
      <c r="B43" s="64" t="s">
        <v>76</v>
      </c>
      <c r="C43" s="140"/>
      <c r="D43" s="56">
        <v>4</v>
      </c>
      <c r="E43" s="57" t="s">
        <v>21</v>
      </c>
      <c r="F43">
        <f>58+56+54+55+54+56+50+54+60+54+46+58</f>
        <v>655</v>
      </c>
      <c r="G43">
        <f>+C41*F43</f>
        <v>81875</v>
      </c>
      <c r="H43" s="168"/>
    </row>
    <row r="44" spans="1:8" ht="28.5" hidden="1" x14ac:dyDescent="0.25">
      <c r="A44">
        <v>1815</v>
      </c>
      <c r="B44" s="64" t="s">
        <v>129</v>
      </c>
      <c r="C44" s="139">
        <v>115</v>
      </c>
      <c r="D44" s="56">
        <v>9</v>
      </c>
      <c r="E44" s="57" t="s">
        <v>87</v>
      </c>
      <c r="F44">
        <f>58+57+56+28+27+28+55+55+46+60+53+48</f>
        <v>571</v>
      </c>
      <c r="G44">
        <f t="shared" si="1"/>
        <v>65665</v>
      </c>
      <c r="H44" s="151">
        <f>$K$18-F44-F45</f>
        <v>488</v>
      </c>
    </row>
    <row r="45" spans="1:8" hidden="1" x14ac:dyDescent="0.25">
      <c r="A45">
        <v>1815</v>
      </c>
      <c r="B45" s="64" t="s">
        <v>129</v>
      </c>
      <c r="C45" s="140"/>
      <c r="D45" s="56">
        <v>4</v>
      </c>
      <c r="E45" s="57" t="s">
        <v>21</v>
      </c>
      <c r="F45">
        <v>597</v>
      </c>
      <c r="G45">
        <f>+C44*F45</f>
        <v>68655</v>
      </c>
      <c r="H45" s="168"/>
    </row>
    <row r="46" spans="1:8" ht="21" hidden="1" x14ac:dyDescent="0.35">
      <c r="A46" s="96" t="s">
        <v>46</v>
      </c>
      <c r="B46" s="46"/>
      <c r="C46" s="46"/>
      <c r="D46" s="46"/>
      <c r="E46" s="46"/>
      <c r="F46" s="46"/>
      <c r="G46" s="46"/>
      <c r="H46" s="83"/>
    </row>
    <row r="47" spans="1:8" ht="28.5" hidden="1" x14ac:dyDescent="0.25">
      <c r="A47">
        <v>1815</v>
      </c>
      <c r="B47" s="22" t="s">
        <v>49</v>
      </c>
      <c r="C47" s="34">
        <v>20</v>
      </c>
      <c r="D47" s="56">
        <v>15</v>
      </c>
      <c r="E47" s="57" t="s">
        <v>93</v>
      </c>
      <c r="F47">
        <v>1656</v>
      </c>
      <c r="G47">
        <f>+C47*F47</f>
        <v>33120</v>
      </c>
      <c r="H47" s="62">
        <f>$K$18-F47</f>
        <v>0</v>
      </c>
    </row>
    <row r="48" spans="1:8" ht="21" hidden="1" x14ac:dyDescent="0.35">
      <c r="A48" s="96" t="s">
        <v>50</v>
      </c>
      <c r="B48" s="46"/>
      <c r="C48" s="46"/>
      <c r="D48" s="46"/>
      <c r="E48" s="46"/>
      <c r="F48" s="46"/>
      <c r="G48" s="46"/>
      <c r="H48" s="83"/>
    </row>
    <row r="49" spans="1:8" ht="28.5" hidden="1" x14ac:dyDescent="0.25">
      <c r="A49">
        <v>1815</v>
      </c>
      <c r="B49" s="22" t="s">
        <v>51</v>
      </c>
      <c r="C49" s="34">
        <v>36</v>
      </c>
      <c r="D49" s="56">
        <v>15</v>
      </c>
      <c r="E49" s="57" t="s">
        <v>93</v>
      </c>
      <c r="F49">
        <v>690</v>
      </c>
      <c r="G49">
        <f>+C49*F49</f>
        <v>24840</v>
      </c>
      <c r="H49" s="62">
        <f>$K$18-F49</f>
        <v>966</v>
      </c>
    </row>
    <row r="50" spans="1:8" hidden="1" x14ac:dyDescent="0.25">
      <c r="A50">
        <v>1815</v>
      </c>
      <c r="B50" s="22" t="s">
        <v>52</v>
      </c>
      <c r="C50" s="34">
        <v>15</v>
      </c>
      <c r="G50">
        <f>+C50*F50</f>
        <v>0</v>
      </c>
      <c r="H50" s="62">
        <f>$K$18-F50</f>
        <v>1656</v>
      </c>
    </row>
    <row r="51" spans="1:8" ht="21" hidden="1" x14ac:dyDescent="0.35">
      <c r="A51" s="96" t="s">
        <v>20</v>
      </c>
      <c r="B51" s="46"/>
      <c r="C51" s="46"/>
      <c r="D51" s="46"/>
      <c r="E51" s="46"/>
      <c r="F51" s="46"/>
      <c r="G51" s="46"/>
      <c r="H51" s="83"/>
    </row>
    <row r="52" spans="1:8" hidden="1" x14ac:dyDescent="0.25">
      <c r="A52">
        <v>1815</v>
      </c>
      <c r="B52" s="144" t="s">
        <v>53</v>
      </c>
      <c r="C52" s="142">
        <v>90</v>
      </c>
      <c r="D52" s="56">
        <v>32</v>
      </c>
      <c r="E52" s="57" t="s">
        <v>138</v>
      </c>
      <c r="F52">
        <f>1539-1245+21</f>
        <v>315</v>
      </c>
      <c r="G52">
        <f t="shared" ref="G52:G65" si="2">+C52*F52</f>
        <v>28350</v>
      </c>
      <c r="H52" s="151">
        <f>$K$18-F52-F53</f>
        <v>0</v>
      </c>
    </row>
    <row r="53" spans="1:8" ht="28.5" hidden="1" x14ac:dyDescent="0.25">
      <c r="A53">
        <v>1815</v>
      </c>
      <c r="B53" s="145"/>
      <c r="C53" s="143"/>
      <c r="D53" s="56">
        <v>15</v>
      </c>
      <c r="E53" s="57" t="s">
        <v>93</v>
      </c>
      <c r="F53">
        <v>1341</v>
      </c>
      <c r="G53">
        <f>+C52*F53</f>
        <v>120690</v>
      </c>
      <c r="H53" s="138"/>
    </row>
    <row r="54" spans="1:8" ht="42.75" hidden="1" x14ac:dyDescent="0.25">
      <c r="A54">
        <v>1815</v>
      </c>
      <c r="B54" s="144" t="s">
        <v>54</v>
      </c>
      <c r="C54" s="142">
        <v>71</v>
      </c>
      <c r="D54" s="56">
        <v>29</v>
      </c>
      <c r="E54" s="57" t="s">
        <v>107</v>
      </c>
      <c r="F54">
        <v>1556</v>
      </c>
      <c r="G54">
        <f t="shared" si="2"/>
        <v>110476</v>
      </c>
      <c r="H54" s="138">
        <f>$K$18-F54-F55</f>
        <v>0</v>
      </c>
    </row>
    <row r="55" spans="1:8" ht="28.5" hidden="1" x14ac:dyDescent="0.25">
      <c r="A55">
        <v>1815</v>
      </c>
      <c r="B55" s="145"/>
      <c r="C55" s="143"/>
      <c r="D55" s="56">
        <v>15</v>
      </c>
      <c r="E55" s="57" t="s">
        <v>93</v>
      </c>
      <c r="F55">
        <v>100</v>
      </c>
      <c r="G55">
        <f>+C54*F55</f>
        <v>7100</v>
      </c>
      <c r="H55" s="138"/>
    </row>
    <row r="56" spans="1:8" ht="42.75" hidden="1" x14ac:dyDescent="0.25">
      <c r="A56">
        <v>1815</v>
      </c>
      <c r="B56" s="144" t="s">
        <v>55</v>
      </c>
      <c r="C56" s="139">
        <v>85</v>
      </c>
      <c r="D56" s="56">
        <v>21</v>
      </c>
      <c r="E56" s="57" t="s">
        <v>99</v>
      </c>
      <c r="F56">
        <f>1656-14</f>
        <v>1642</v>
      </c>
      <c r="G56">
        <f t="shared" si="2"/>
        <v>139570</v>
      </c>
      <c r="H56" s="138">
        <f>$K$18-F56-F57</f>
        <v>0</v>
      </c>
    </row>
    <row r="57" spans="1:8" ht="28.5" hidden="1" x14ac:dyDescent="0.25">
      <c r="A57">
        <v>1815</v>
      </c>
      <c r="B57" s="145"/>
      <c r="C57" s="140"/>
      <c r="D57" s="56">
        <v>15</v>
      </c>
      <c r="E57" s="57" t="s">
        <v>93</v>
      </c>
      <c r="F57">
        <v>14</v>
      </c>
      <c r="G57">
        <f>+C56*F57</f>
        <v>1190</v>
      </c>
      <c r="H57" s="138"/>
    </row>
    <row r="58" spans="1:8" ht="42.75" hidden="1" x14ac:dyDescent="0.25">
      <c r="A58">
        <v>1815</v>
      </c>
      <c r="B58" s="22" t="s">
        <v>56</v>
      </c>
      <c r="C58" s="28">
        <v>75</v>
      </c>
      <c r="D58" s="56">
        <v>29</v>
      </c>
      <c r="E58" s="57" t="s">
        <v>107</v>
      </c>
      <c r="F58">
        <v>1656</v>
      </c>
      <c r="G58">
        <f t="shared" si="2"/>
        <v>124200</v>
      </c>
      <c r="H58" s="62">
        <f>$K$18-F58</f>
        <v>0</v>
      </c>
    </row>
    <row r="59" spans="1:8" ht="28.5" hidden="1" x14ac:dyDescent="0.25">
      <c r="A59">
        <v>1815</v>
      </c>
      <c r="B59" s="22" t="s">
        <v>57</v>
      </c>
      <c r="C59" s="28">
        <v>110</v>
      </c>
      <c r="D59" s="56">
        <v>3</v>
      </c>
      <c r="E59" s="57" t="s">
        <v>82</v>
      </c>
      <c r="F59">
        <v>1656</v>
      </c>
      <c r="G59">
        <f t="shared" si="2"/>
        <v>182160</v>
      </c>
      <c r="H59" s="62">
        <f>$K$18-F59</f>
        <v>0</v>
      </c>
    </row>
    <row r="60" spans="1:8" ht="28.5" hidden="1" x14ac:dyDescent="0.25">
      <c r="A60">
        <v>1815</v>
      </c>
      <c r="B60" s="22" t="s">
        <v>58</v>
      </c>
      <c r="C60" s="28">
        <v>121.00000000000001</v>
      </c>
      <c r="D60" s="56">
        <v>1</v>
      </c>
      <c r="E60" s="57" t="s">
        <v>80</v>
      </c>
      <c r="F60">
        <v>1656</v>
      </c>
      <c r="G60">
        <f t="shared" si="2"/>
        <v>200376.00000000003</v>
      </c>
      <c r="H60" s="62">
        <f>$K$18-F60</f>
        <v>0</v>
      </c>
    </row>
    <row r="61" spans="1:8" ht="18.75" hidden="1" x14ac:dyDescent="0.3">
      <c r="A61">
        <v>1815</v>
      </c>
      <c r="B61" s="33" t="s">
        <v>59</v>
      </c>
      <c r="C61" s="28">
        <v>70</v>
      </c>
      <c r="D61" s="24"/>
      <c r="E61" s="24"/>
      <c r="G61">
        <f t="shared" si="2"/>
        <v>0</v>
      </c>
      <c r="H61" s="62">
        <f>$K$18-F61</f>
        <v>1656</v>
      </c>
    </row>
    <row r="62" spans="1:8" ht="28.5" hidden="1" x14ac:dyDescent="0.25">
      <c r="A62">
        <v>1815</v>
      </c>
      <c r="B62" s="22" t="s">
        <v>60</v>
      </c>
      <c r="C62" s="28">
        <v>120</v>
      </c>
      <c r="D62" s="56">
        <v>6</v>
      </c>
      <c r="E62" s="57" t="s">
        <v>84</v>
      </c>
      <c r="F62">
        <f>217+404+333+331+430-59</f>
        <v>1656</v>
      </c>
      <c r="G62">
        <f t="shared" si="2"/>
        <v>198720</v>
      </c>
      <c r="H62" s="62">
        <f>$K$18-F62</f>
        <v>0</v>
      </c>
    </row>
    <row r="63" spans="1:8" hidden="1" x14ac:dyDescent="0.25">
      <c r="A63">
        <v>1815</v>
      </c>
      <c r="B63" s="22" t="s">
        <v>143</v>
      </c>
      <c r="C63" s="139">
        <f>20*8.5</f>
        <v>170</v>
      </c>
      <c r="D63" s="56">
        <v>11</v>
      </c>
      <c r="E63" s="57" t="s">
        <v>89</v>
      </c>
      <c r="F63">
        <v>858</v>
      </c>
      <c r="G63">
        <f t="shared" si="2"/>
        <v>145860</v>
      </c>
      <c r="H63" s="138">
        <f>$K$18-F63-F65-F64-F66</f>
        <v>0</v>
      </c>
    </row>
    <row r="64" spans="1:8" ht="28.5" hidden="1" x14ac:dyDescent="0.25">
      <c r="A64">
        <v>1815</v>
      </c>
      <c r="B64" s="22" t="s">
        <v>143</v>
      </c>
      <c r="C64" s="140"/>
      <c r="D64" s="56">
        <v>12</v>
      </c>
      <c r="E64" s="57" t="s">
        <v>90</v>
      </c>
      <c r="F64">
        <v>700</v>
      </c>
      <c r="G64">
        <f>+C63*F64</f>
        <v>119000</v>
      </c>
      <c r="H64" s="138"/>
    </row>
    <row r="65" spans="1:11" hidden="1" x14ac:dyDescent="0.25">
      <c r="A65">
        <v>1815</v>
      </c>
      <c r="B65" s="22" t="s">
        <v>78</v>
      </c>
      <c r="C65" s="139">
        <f>24*8.5</f>
        <v>204</v>
      </c>
      <c r="D65" s="56">
        <v>11</v>
      </c>
      <c r="E65" s="57" t="s">
        <v>89</v>
      </c>
      <c r="F65">
        <v>55</v>
      </c>
      <c r="G65">
        <f t="shared" si="2"/>
        <v>11220</v>
      </c>
      <c r="H65" s="138"/>
    </row>
    <row r="66" spans="1:11" ht="28.5" hidden="1" x14ac:dyDescent="0.25">
      <c r="A66">
        <v>1815</v>
      </c>
      <c r="B66" s="22" t="s">
        <v>78</v>
      </c>
      <c r="C66" s="140"/>
      <c r="D66" s="56">
        <v>12</v>
      </c>
      <c r="E66" s="57" t="s">
        <v>90</v>
      </c>
      <c r="F66">
        <v>43</v>
      </c>
      <c r="G66">
        <f>+C65*F66</f>
        <v>8772</v>
      </c>
      <c r="H66" s="160"/>
    </row>
    <row r="67" spans="1:11" ht="21" hidden="1" x14ac:dyDescent="0.35">
      <c r="A67" s="96" t="s">
        <v>73</v>
      </c>
      <c r="B67" s="46"/>
      <c r="C67" s="46"/>
      <c r="D67" s="46"/>
      <c r="E67" s="46"/>
      <c r="F67" s="46"/>
      <c r="G67" s="46"/>
      <c r="H67" s="83"/>
    </row>
    <row r="68" spans="1:11" ht="28.5" hidden="1" x14ac:dyDescent="0.25">
      <c r="A68">
        <v>1815</v>
      </c>
      <c r="B68" s="25" t="s">
        <v>65</v>
      </c>
      <c r="C68" s="20">
        <v>29.999999999999996</v>
      </c>
      <c r="D68" s="56">
        <v>17</v>
      </c>
      <c r="E68" s="57" t="s">
        <v>95</v>
      </c>
      <c r="F68">
        <v>1200</v>
      </c>
      <c r="G68">
        <f t="shared" ref="G68:G77" si="3">+C68*F68</f>
        <v>35999.999999999993</v>
      </c>
      <c r="H68" s="62">
        <f t="shared" ref="H68:H76" si="4">$K$18-F68</f>
        <v>456</v>
      </c>
    </row>
    <row r="69" spans="1:11" ht="30" hidden="1" x14ac:dyDescent="0.25">
      <c r="A69">
        <v>1815</v>
      </c>
      <c r="B69" s="25" t="s">
        <v>66</v>
      </c>
      <c r="C69" s="20">
        <v>100</v>
      </c>
      <c r="D69" s="56">
        <v>7</v>
      </c>
      <c r="E69" s="57" t="s">
        <v>85</v>
      </c>
      <c r="F69">
        <v>310</v>
      </c>
      <c r="G69">
        <f t="shared" si="3"/>
        <v>31000</v>
      </c>
      <c r="H69" s="138">
        <f>$K$18-F69-F70-F71</f>
        <v>872</v>
      </c>
    </row>
    <row r="70" spans="1:11" hidden="1" x14ac:dyDescent="0.25">
      <c r="A70">
        <v>1815</v>
      </c>
      <c r="B70" s="161" t="s">
        <v>77</v>
      </c>
      <c r="C70" s="147">
        <v>80</v>
      </c>
      <c r="D70" s="56">
        <v>34</v>
      </c>
      <c r="E70" s="57" t="s">
        <v>141</v>
      </c>
      <c r="F70">
        <v>164</v>
      </c>
      <c r="G70">
        <f t="shared" si="3"/>
        <v>13120</v>
      </c>
      <c r="H70" s="138"/>
    </row>
    <row r="71" spans="1:11" ht="28.5" hidden="1" x14ac:dyDescent="0.25">
      <c r="A71">
        <v>1815</v>
      </c>
      <c r="B71" s="162"/>
      <c r="C71" s="148"/>
      <c r="D71" s="56">
        <v>19</v>
      </c>
      <c r="E71" s="57" t="s">
        <v>97</v>
      </c>
      <c r="F71">
        <v>310</v>
      </c>
      <c r="G71">
        <f>+C70*F71</f>
        <v>24800</v>
      </c>
      <c r="H71" s="138"/>
    </row>
    <row r="72" spans="1:11" hidden="1" x14ac:dyDescent="0.25">
      <c r="A72">
        <v>1815</v>
      </c>
      <c r="B72" s="25" t="s">
        <v>67</v>
      </c>
      <c r="C72" s="20">
        <v>20</v>
      </c>
      <c r="D72" s="56"/>
      <c r="E72" s="57"/>
      <c r="G72">
        <f t="shared" si="3"/>
        <v>0</v>
      </c>
      <c r="H72" s="62">
        <f t="shared" si="4"/>
        <v>1656</v>
      </c>
    </row>
    <row r="73" spans="1:11" hidden="1" x14ac:dyDescent="0.25">
      <c r="A73">
        <v>1815</v>
      </c>
      <c r="B73" s="25" t="s">
        <v>68</v>
      </c>
      <c r="C73" s="20">
        <v>20</v>
      </c>
      <c r="G73">
        <f t="shared" si="3"/>
        <v>0</v>
      </c>
      <c r="H73" s="62">
        <f t="shared" si="4"/>
        <v>1656</v>
      </c>
    </row>
    <row r="74" spans="1:11" hidden="1" x14ac:dyDescent="0.25">
      <c r="A74">
        <v>1815</v>
      </c>
      <c r="B74" s="25" t="s">
        <v>69</v>
      </c>
      <c r="C74" s="20">
        <v>80</v>
      </c>
      <c r="G74">
        <f t="shared" si="3"/>
        <v>0</v>
      </c>
      <c r="H74" s="62">
        <f t="shared" si="4"/>
        <v>1656</v>
      </c>
    </row>
    <row r="75" spans="1:11" hidden="1" x14ac:dyDescent="0.25">
      <c r="A75">
        <v>1815</v>
      </c>
      <c r="B75" s="25" t="s">
        <v>70</v>
      </c>
      <c r="C75" s="20">
        <v>70</v>
      </c>
      <c r="G75">
        <f t="shared" si="3"/>
        <v>0</v>
      </c>
      <c r="H75" s="62">
        <f t="shared" si="4"/>
        <v>1656</v>
      </c>
    </row>
    <row r="76" spans="1:11" hidden="1" x14ac:dyDescent="0.25">
      <c r="A76">
        <v>1815</v>
      </c>
      <c r="B76" s="25" t="s">
        <v>71</v>
      </c>
      <c r="C76" s="20">
        <v>80</v>
      </c>
      <c r="G76">
        <f t="shared" si="3"/>
        <v>0</v>
      </c>
      <c r="H76" s="62">
        <f t="shared" si="4"/>
        <v>1656</v>
      </c>
    </row>
    <row r="77" spans="1:11" ht="28.5" hidden="1" x14ac:dyDescent="0.25">
      <c r="A77">
        <v>1815</v>
      </c>
      <c r="B77" s="99" t="s">
        <v>72</v>
      </c>
      <c r="C77" s="149">
        <v>59.999999999999993</v>
      </c>
      <c r="D77" s="56">
        <v>7</v>
      </c>
      <c r="E77" s="57" t="s">
        <v>85</v>
      </c>
      <c r="F77">
        <v>15</v>
      </c>
      <c r="G77">
        <f t="shared" si="3"/>
        <v>899.99999999999989</v>
      </c>
      <c r="H77" s="138">
        <f>$K$18-F77-F78</f>
        <v>0</v>
      </c>
    </row>
    <row r="78" spans="1:11" hidden="1" x14ac:dyDescent="0.25">
      <c r="A78">
        <v>1815</v>
      </c>
      <c r="B78" s="100"/>
      <c r="C78" s="150"/>
      <c r="D78" s="56">
        <v>34</v>
      </c>
      <c r="E78" s="57" t="s">
        <v>141</v>
      </c>
      <c r="F78">
        <v>1641</v>
      </c>
      <c r="G78">
        <f>+C77*F78</f>
        <v>98459.999999999985</v>
      </c>
      <c r="H78" s="138"/>
    </row>
    <row r="79" spans="1:11" ht="21" hidden="1" x14ac:dyDescent="0.35">
      <c r="A79" s="101" t="s">
        <v>19</v>
      </c>
      <c r="B79" s="48"/>
      <c r="C79" s="48"/>
      <c r="D79" s="48"/>
      <c r="E79" s="48"/>
      <c r="F79" s="48"/>
      <c r="G79" s="48"/>
      <c r="H79" s="84"/>
      <c r="I79" s="21"/>
      <c r="J79" s="49" t="s">
        <v>115</v>
      </c>
      <c r="K79" s="112">
        <v>1300</v>
      </c>
    </row>
    <row r="80" spans="1:11" ht="21" hidden="1" x14ac:dyDescent="0.35">
      <c r="A80" t="s">
        <v>118</v>
      </c>
      <c r="B80" s="20" t="s">
        <v>120</v>
      </c>
      <c r="C80" s="28">
        <v>15</v>
      </c>
      <c r="G80">
        <f t="shared" ref="G80:G106" si="5">+C80*F80</f>
        <v>0</v>
      </c>
      <c r="H80" s="62">
        <f>+$K$79-F80</f>
        <v>1300</v>
      </c>
      <c r="I80" s="119">
        <f>H80*C80</f>
        <v>19500</v>
      </c>
      <c r="J80" s="49" t="s">
        <v>116</v>
      </c>
      <c r="K80" s="114">
        <v>2627</v>
      </c>
    </row>
    <row r="81" spans="1:11" ht="21" hidden="1" x14ac:dyDescent="0.35">
      <c r="A81" t="s">
        <v>118</v>
      </c>
      <c r="B81" s="30" t="s">
        <v>121</v>
      </c>
      <c r="C81" s="28">
        <v>5</v>
      </c>
      <c r="G81">
        <f t="shared" si="5"/>
        <v>0</v>
      </c>
      <c r="H81" s="62">
        <f>+$K$79-F81</f>
        <v>1300</v>
      </c>
      <c r="I81" s="119">
        <f t="shared" ref="I81:I137" si="6">H81*C81</f>
        <v>6500</v>
      </c>
      <c r="J81" s="49" t="s">
        <v>117</v>
      </c>
      <c r="K81" s="114">
        <f>K79*K80</f>
        <v>3415100</v>
      </c>
    </row>
    <row r="82" spans="1:11" ht="21" hidden="1" x14ac:dyDescent="0.35">
      <c r="A82" t="s">
        <v>118</v>
      </c>
      <c r="B82" s="20" t="s">
        <v>122</v>
      </c>
      <c r="C82" s="28">
        <v>20</v>
      </c>
      <c r="G82">
        <f t="shared" si="5"/>
        <v>0</v>
      </c>
      <c r="H82" s="62">
        <f>+$K$79-F82</f>
        <v>1300</v>
      </c>
      <c r="I82" s="119">
        <f t="shared" si="6"/>
        <v>26000</v>
      </c>
      <c r="J82" s="49" t="s">
        <v>166</v>
      </c>
      <c r="K82" s="114">
        <f>SUM(G80:G137)</f>
        <v>2540880</v>
      </c>
    </row>
    <row r="83" spans="1:11" ht="21" hidden="1" x14ac:dyDescent="0.35">
      <c r="A83" t="s">
        <v>118</v>
      </c>
      <c r="B83" s="30" t="s">
        <v>123</v>
      </c>
      <c r="C83" s="28">
        <v>5</v>
      </c>
      <c r="G83">
        <f t="shared" si="5"/>
        <v>0</v>
      </c>
      <c r="H83" s="62">
        <f>+$K$79-F83</f>
        <v>1300</v>
      </c>
      <c r="I83" s="119">
        <f t="shared" si="6"/>
        <v>6500</v>
      </c>
      <c r="J83" s="49" t="s">
        <v>161</v>
      </c>
      <c r="K83" s="114">
        <f>I137</f>
        <v>104000</v>
      </c>
    </row>
    <row r="84" spans="1:11" ht="28.5" hidden="1" x14ac:dyDescent="0.25">
      <c r="A84" t="s">
        <v>118</v>
      </c>
      <c r="B84" s="20" t="s">
        <v>24</v>
      </c>
      <c r="C84" s="28">
        <v>15</v>
      </c>
      <c r="D84" s="56">
        <v>28</v>
      </c>
      <c r="E84" s="57" t="s">
        <v>106</v>
      </c>
      <c r="F84">
        <f>1923-1517</f>
        <v>406</v>
      </c>
      <c r="G84">
        <f t="shared" si="5"/>
        <v>6090</v>
      </c>
      <c r="H84" s="62">
        <f>+$K$79-F84</f>
        <v>894</v>
      </c>
      <c r="I84" s="119">
        <f t="shared" si="6"/>
        <v>13410</v>
      </c>
    </row>
    <row r="85" spans="1:11" ht="28.5" hidden="1" x14ac:dyDescent="0.25">
      <c r="A85" t="s">
        <v>118</v>
      </c>
      <c r="B85" s="153" t="s">
        <v>61</v>
      </c>
      <c r="C85" s="139">
        <v>20</v>
      </c>
      <c r="D85" s="56">
        <v>5</v>
      </c>
      <c r="E85" s="57" t="s">
        <v>83</v>
      </c>
      <c r="F85">
        <v>571</v>
      </c>
      <c r="G85">
        <f t="shared" si="5"/>
        <v>11420</v>
      </c>
      <c r="H85" s="138">
        <f>+$K$79-F85-F86</f>
        <v>0</v>
      </c>
      <c r="I85" s="119">
        <f t="shared" si="6"/>
        <v>0</v>
      </c>
    </row>
    <row r="86" spans="1:11" ht="28.5" hidden="1" x14ac:dyDescent="0.25">
      <c r="A86" t="s">
        <v>118</v>
      </c>
      <c r="B86" s="154"/>
      <c r="C86" s="140"/>
      <c r="D86" s="56">
        <v>30</v>
      </c>
      <c r="E86" s="57" t="s">
        <v>119</v>
      </c>
      <c r="F86">
        <v>729</v>
      </c>
      <c r="G86">
        <f>+C85*F86</f>
        <v>14580</v>
      </c>
      <c r="H86" s="138"/>
      <c r="I86" s="119">
        <f t="shared" si="6"/>
        <v>0</v>
      </c>
    </row>
    <row r="87" spans="1:11" hidden="1" x14ac:dyDescent="0.25">
      <c r="A87" t="s">
        <v>118</v>
      </c>
      <c r="B87" s="30" t="s">
        <v>62</v>
      </c>
      <c r="C87" s="28">
        <v>10</v>
      </c>
      <c r="G87">
        <f t="shared" si="5"/>
        <v>0</v>
      </c>
      <c r="H87" s="62">
        <f t="shared" ref="H87:H94" si="7">+$K$79-F87</f>
        <v>1300</v>
      </c>
      <c r="I87" s="119">
        <f t="shared" si="6"/>
        <v>13000</v>
      </c>
    </row>
    <row r="88" spans="1:11" ht="30" hidden="1" x14ac:dyDescent="0.25">
      <c r="A88" t="s">
        <v>118</v>
      </c>
      <c r="B88" s="25" t="s">
        <v>124</v>
      </c>
      <c r="C88" s="28">
        <v>60</v>
      </c>
      <c r="D88" s="56">
        <v>5</v>
      </c>
      <c r="E88" s="57" t="s">
        <v>83</v>
      </c>
      <c r="F88">
        <v>1300</v>
      </c>
      <c r="G88">
        <f t="shared" si="5"/>
        <v>78000</v>
      </c>
      <c r="H88" s="62">
        <f t="shared" si="7"/>
        <v>0</v>
      </c>
      <c r="I88" s="119">
        <f t="shared" si="6"/>
        <v>0</v>
      </c>
    </row>
    <row r="89" spans="1:11" ht="28.5" hidden="1" x14ac:dyDescent="0.25">
      <c r="A89" t="s">
        <v>118</v>
      </c>
      <c r="B89" s="30" t="s">
        <v>26</v>
      </c>
      <c r="C89" s="28">
        <v>10</v>
      </c>
      <c r="D89" s="56">
        <v>5</v>
      </c>
      <c r="E89" s="57" t="s">
        <v>83</v>
      </c>
      <c r="F89">
        <v>196</v>
      </c>
      <c r="G89">
        <f t="shared" si="5"/>
        <v>1960</v>
      </c>
      <c r="H89" s="62">
        <f t="shared" si="7"/>
        <v>1104</v>
      </c>
      <c r="I89" s="119">
        <f t="shared" si="6"/>
        <v>11040</v>
      </c>
    </row>
    <row r="90" spans="1:11" ht="28.5" hidden="1" x14ac:dyDescent="0.25">
      <c r="A90" t="s">
        <v>118</v>
      </c>
      <c r="B90" s="22" t="s">
        <v>160</v>
      </c>
      <c r="C90" s="28">
        <v>30</v>
      </c>
      <c r="D90" s="56">
        <v>19</v>
      </c>
      <c r="E90" s="57" t="s">
        <v>97</v>
      </c>
      <c r="F90">
        <v>1300</v>
      </c>
      <c r="G90">
        <f>+C90*F90</f>
        <v>39000</v>
      </c>
      <c r="H90" s="76">
        <f>+$K$79-F90</f>
        <v>0</v>
      </c>
      <c r="I90" s="119">
        <f t="shared" si="6"/>
        <v>0</v>
      </c>
    </row>
    <row r="91" spans="1:11" ht="28.5" hidden="1" x14ac:dyDescent="0.25">
      <c r="A91" t="s">
        <v>118</v>
      </c>
      <c r="B91" s="22" t="s">
        <v>131</v>
      </c>
      <c r="C91" s="28">
        <v>75</v>
      </c>
      <c r="D91" s="56">
        <v>25</v>
      </c>
      <c r="E91" s="57" t="s">
        <v>103</v>
      </c>
      <c r="F91">
        <v>1300</v>
      </c>
      <c r="G91">
        <f t="shared" si="5"/>
        <v>97500</v>
      </c>
      <c r="H91" s="62">
        <f t="shared" si="7"/>
        <v>0</v>
      </c>
      <c r="I91" s="119">
        <f t="shared" si="6"/>
        <v>0</v>
      </c>
    </row>
    <row r="92" spans="1:11" hidden="1" x14ac:dyDescent="0.25">
      <c r="A92" t="s">
        <v>118</v>
      </c>
      <c r="B92" s="30" t="s">
        <v>28</v>
      </c>
      <c r="C92" s="28">
        <v>15</v>
      </c>
      <c r="G92">
        <f t="shared" si="5"/>
        <v>0</v>
      </c>
      <c r="H92" s="62">
        <f t="shared" si="7"/>
        <v>1300</v>
      </c>
      <c r="I92" s="119">
        <f t="shared" si="6"/>
        <v>19500</v>
      </c>
    </row>
    <row r="93" spans="1:11" ht="28.5" hidden="1" x14ac:dyDescent="0.25">
      <c r="A93" t="s">
        <v>118</v>
      </c>
      <c r="B93" s="22" t="s">
        <v>29</v>
      </c>
      <c r="C93" s="28">
        <v>40</v>
      </c>
      <c r="D93" s="56">
        <v>19</v>
      </c>
      <c r="E93" s="57" t="s">
        <v>97</v>
      </c>
      <c r="F93">
        <v>1300</v>
      </c>
      <c r="G93">
        <f t="shared" si="5"/>
        <v>52000</v>
      </c>
      <c r="H93" s="62">
        <f t="shared" si="7"/>
        <v>0</v>
      </c>
      <c r="I93" s="119">
        <f t="shared" si="6"/>
        <v>0</v>
      </c>
    </row>
    <row r="94" spans="1:11" hidden="1" x14ac:dyDescent="0.25">
      <c r="A94" t="s">
        <v>118</v>
      </c>
      <c r="B94" s="30" t="s">
        <v>30</v>
      </c>
      <c r="C94" s="28">
        <v>15</v>
      </c>
      <c r="G94">
        <f t="shared" si="5"/>
        <v>0</v>
      </c>
      <c r="H94" s="62">
        <f t="shared" si="7"/>
        <v>1300</v>
      </c>
      <c r="I94" s="119">
        <f t="shared" si="6"/>
        <v>19500</v>
      </c>
    </row>
    <row r="95" spans="1:11" hidden="1" x14ac:dyDescent="0.25">
      <c r="A95" t="s">
        <v>118</v>
      </c>
      <c r="B95" s="144" t="s">
        <v>31</v>
      </c>
      <c r="C95" s="139">
        <v>61</v>
      </c>
      <c r="D95" s="56">
        <v>31</v>
      </c>
      <c r="E95" s="57" t="s">
        <v>130</v>
      </c>
      <c r="F95">
        <f>350+51+58+59+38+45+59+59+39+39</f>
        <v>797</v>
      </c>
      <c r="G95">
        <f t="shared" si="5"/>
        <v>48617</v>
      </c>
      <c r="H95" s="138">
        <f>+$K$79-F95-F97-F96</f>
        <v>0</v>
      </c>
      <c r="I95" s="119">
        <f t="shared" si="6"/>
        <v>0</v>
      </c>
    </row>
    <row r="96" spans="1:11" ht="28.5" hidden="1" x14ac:dyDescent="0.25">
      <c r="A96" t="s">
        <v>118</v>
      </c>
      <c r="B96" s="146"/>
      <c r="C96" s="141"/>
      <c r="D96" s="56">
        <v>28</v>
      </c>
      <c r="E96" s="57" t="s">
        <v>106</v>
      </c>
      <c r="F96">
        <v>378</v>
      </c>
      <c r="G96">
        <f>+C95*F96</f>
        <v>23058</v>
      </c>
      <c r="H96" s="138"/>
      <c r="I96" s="119">
        <f t="shared" si="6"/>
        <v>0</v>
      </c>
    </row>
    <row r="97" spans="1:9" ht="28.5" hidden="1" x14ac:dyDescent="0.25">
      <c r="A97" t="s">
        <v>118</v>
      </c>
      <c r="B97" s="145"/>
      <c r="C97" s="140"/>
      <c r="D97" s="56">
        <v>22</v>
      </c>
      <c r="E97" s="57" t="s">
        <v>100</v>
      </c>
      <c r="F97">
        <v>125</v>
      </c>
      <c r="G97">
        <f>+C95*F97</f>
        <v>7625</v>
      </c>
      <c r="H97" s="138"/>
      <c r="I97" s="119">
        <f t="shared" si="6"/>
        <v>0</v>
      </c>
    </row>
    <row r="98" spans="1:9" ht="28.5" hidden="1" x14ac:dyDescent="0.25">
      <c r="A98" t="s">
        <v>118</v>
      </c>
      <c r="B98" s="22" t="s">
        <v>64</v>
      </c>
      <c r="C98" s="28">
        <v>95</v>
      </c>
      <c r="D98" s="56">
        <v>16</v>
      </c>
      <c r="E98" s="57" t="s">
        <v>94</v>
      </c>
      <c r="F98">
        <v>1300</v>
      </c>
      <c r="G98">
        <f t="shared" si="5"/>
        <v>123500</v>
      </c>
      <c r="H98" s="62">
        <f>+$K$79-F98</f>
        <v>0</v>
      </c>
      <c r="I98" s="119">
        <f t="shared" si="6"/>
        <v>0</v>
      </c>
    </row>
    <row r="99" spans="1:9" ht="28.5" hidden="1" x14ac:dyDescent="0.25">
      <c r="A99" t="s">
        <v>118</v>
      </c>
      <c r="B99" s="144" t="s">
        <v>33</v>
      </c>
      <c r="C99" s="139">
        <v>100</v>
      </c>
      <c r="D99" s="56">
        <v>17</v>
      </c>
      <c r="E99" s="57" t="s">
        <v>95</v>
      </c>
      <c r="F99">
        <f>250+39+39+39+19-30</f>
        <v>356</v>
      </c>
      <c r="G99">
        <f t="shared" si="5"/>
        <v>35600</v>
      </c>
      <c r="H99" s="138">
        <f>+$K$79-F99-F100</f>
        <v>0</v>
      </c>
      <c r="I99" s="119">
        <f t="shared" si="6"/>
        <v>0</v>
      </c>
    </row>
    <row r="100" spans="1:9" ht="28.5" hidden="1" x14ac:dyDescent="0.25">
      <c r="A100" t="s">
        <v>118</v>
      </c>
      <c r="B100" s="145"/>
      <c r="C100" s="140"/>
      <c r="D100" s="56">
        <v>24</v>
      </c>
      <c r="E100" s="57" t="s">
        <v>102</v>
      </c>
      <c r="F100">
        <f>100+151+50+159+39+39+99+59+139+79+59-29</f>
        <v>944</v>
      </c>
      <c r="G100">
        <f>+C99*F100</f>
        <v>94400</v>
      </c>
      <c r="H100" s="138"/>
      <c r="I100" s="119">
        <f t="shared" si="6"/>
        <v>0</v>
      </c>
    </row>
    <row r="101" spans="1:9" ht="28.5" hidden="1" x14ac:dyDescent="0.25">
      <c r="A101" t="s">
        <v>118</v>
      </c>
      <c r="B101" s="22" t="s">
        <v>34</v>
      </c>
      <c r="C101" s="28">
        <v>33</v>
      </c>
      <c r="D101" s="56">
        <v>14</v>
      </c>
      <c r="E101" s="57" t="s">
        <v>92</v>
      </c>
      <c r="F101">
        <v>1300</v>
      </c>
      <c r="G101">
        <f t="shared" si="5"/>
        <v>42900</v>
      </c>
      <c r="H101" s="62">
        <f t="shared" ref="H101:H106" si="8">+$K$79-F101</f>
        <v>0</v>
      </c>
      <c r="I101" s="119">
        <f t="shared" si="6"/>
        <v>0</v>
      </c>
    </row>
    <row r="102" spans="1:9" ht="28.5" hidden="1" x14ac:dyDescent="0.25">
      <c r="A102" t="s">
        <v>118</v>
      </c>
      <c r="B102" s="22" t="s">
        <v>35</v>
      </c>
      <c r="C102" s="28">
        <v>20</v>
      </c>
      <c r="D102" s="56">
        <v>14</v>
      </c>
      <c r="E102" s="57" t="s">
        <v>92</v>
      </c>
      <c r="F102">
        <v>1300</v>
      </c>
      <c r="G102">
        <f t="shared" si="5"/>
        <v>26000</v>
      </c>
      <c r="H102" s="62">
        <f t="shared" si="8"/>
        <v>0</v>
      </c>
      <c r="I102" s="119">
        <f t="shared" si="6"/>
        <v>0</v>
      </c>
    </row>
    <row r="103" spans="1:9" ht="28.5" hidden="1" x14ac:dyDescent="0.25">
      <c r="A103" t="s">
        <v>118</v>
      </c>
      <c r="B103" s="22" t="s">
        <v>36</v>
      </c>
      <c r="C103" s="28">
        <v>33</v>
      </c>
      <c r="D103" s="56">
        <v>14</v>
      </c>
      <c r="E103" s="57" t="s">
        <v>92</v>
      </c>
      <c r="F103">
        <v>1300</v>
      </c>
      <c r="G103">
        <f t="shared" si="5"/>
        <v>42900</v>
      </c>
      <c r="H103" s="62">
        <f t="shared" si="8"/>
        <v>0</v>
      </c>
      <c r="I103" s="119">
        <f t="shared" si="6"/>
        <v>0</v>
      </c>
    </row>
    <row r="104" spans="1:9" ht="28.5" hidden="1" x14ac:dyDescent="0.25">
      <c r="A104" t="s">
        <v>118</v>
      </c>
      <c r="B104" s="22" t="s">
        <v>37</v>
      </c>
      <c r="C104" s="28">
        <v>43</v>
      </c>
      <c r="D104" s="56">
        <v>26</v>
      </c>
      <c r="E104" s="57" t="s">
        <v>104</v>
      </c>
      <c r="F104">
        <v>1300</v>
      </c>
      <c r="G104">
        <f t="shared" si="5"/>
        <v>55900</v>
      </c>
      <c r="H104" s="62">
        <f t="shared" si="8"/>
        <v>0</v>
      </c>
      <c r="I104" s="119">
        <f t="shared" si="6"/>
        <v>0</v>
      </c>
    </row>
    <row r="105" spans="1:9" ht="28.5" hidden="1" x14ac:dyDescent="0.25">
      <c r="A105" t="s">
        <v>118</v>
      </c>
      <c r="B105" s="22" t="s">
        <v>151</v>
      </c>
      <c r="C105" s="28">
        <v>30</v>
      </c>
      <c r="D105" s="56">
        <v>28</v>
      </c>
      <c r="E105" s="57" t="s">
        <v>106</v>
      </c>
      <c r="F105">
        <f>1300-159</f>
        <v>1141</v>
      </c>
      <c r="G105">
        <f t="shared" si="5"/>
        <v>34230</v>
      </c>
      <c r="H105" s="62">
        <f t="shared" si="8"/>
        <v>159</v>
      </c>
      <c r="I105" s="119">
        <f t="shared" si="6"/>
        <v>4770</v>
      </c>
    </row>
    <row r="106" spans="1:9" ht="28.5" hidden="1" x14ac:dyDescent="0.25">
      <c r="A106" t="s">
        <v>118</v>
      </c>
      <c r="B106" s="22" t="s">
        <v>38</v>
      </c>
      <c r="C106" s="28">
        <v>120</v>
      </c>
      <c r="D106" s="56">
        <v>18</v>
      </c>
      <c r="E106" s="57" t="s">
        <v>96</v>
      </c>
      <c r="F106">
        <v>1300</v>
      </c>
      <c r="G106">
        <f t="shared" si="5"/>
        <v>156000</v>
      </c>
      <c r="H106" s="62">
        <f t="shared" si="8"/>
        <v>0</v>
      </c>
      <c r="I106" s="119">
        <f t="shared" si="6"/>
        <v>0</v>
      </c>
    </row>
    <row r="107" spans="1:9" ht="21" hidden="1" x14ac:dyDescent="0.35">
      <c r="A107" s="102" t="s">
        <v>39</v>
      </c>
      <c r="B107" s="51"/>
      <c r="C107" s="51"/>
      <c r="D107" s="51"/>
      <c r="E107" s="51"/>
      <c r="F107" s="51"/>
      <c r="G107" s="51"/>
      <c r="H107" s="85"/>
      <c r="I107" s="119">
        <f t="shared" si="6"/>
        <v>0</v>
      </c>
    </row>
    <row r="108" spans="1:9" hidden="1" x14ac:dyDescent="0.25">
      <c r="A108" t="s">
        <v>118</v>
      </c>
      <c r="B108" s="52" t="s">
        <v>125</v>
      </c>
      <c r="C108" s="53">
        <v>170</v>
      </c>
      <c r="G108">
        <f t="shared" ref="G108:G116" si="9">+C108*F108</f>
        <v>0</v>
      </c>
      <c r="H108" s="62">
        <f>+$K$79-F108</f>
        <v>1300</v>
      </c>
      <c r="I108" s="119">
        <f t="shared" si="6"/>
        <v>221000</v>
      </c>
    </row>
    <row r="109" spans="1:9" ht="28.5" hidden="1" x14ac:dyDescent="0.25">
      <c r="A109" t="s">
        <v>118</v>
      </c>
      <c r="B109" s="22" t="s">
        <v>126</v>
      </c>
      <c r="C109" s="50">
        <v>60</v>
      </c>
      <c r="D109" s="56">
        <v>30</v>
      </c>
      <c r="E109" s="57" t="s">
        <v>119</v>
      </c>
      <c r="F109">
        <v>1300</v>
      </c>
      <c r="G109">
        <f t="shared" si="9"/>
        <v>78000</v>
      </c>
      <c r="H109" s="62">
        <f>+$K$79-F109</f>
        <v>0</v>
      </c>
      <c r="I109" s="119">
        <f t="shared" si="6"/>
        <v>0</v>
      </c>
    </row>
    <row r="110" spans="1:9" hidden="1" x14ac:dyDescent="0.25">
      <c r="A110" t="s">
        <v>118</v>
      </c>
      <c r="B110" s="31" t="s">
        <v>127</v>
      </c>
      <c r="C110" s="32">
        <v>15</v>
      </c>
      <c r="G110">
        <f t="shared" si="9"/>
        <v>0</v>
      </c>
      <c r="H110" s="62">
        <f>+$K$79-F110</f>
        <v>1300</v>
      </c>
      <c r="I110" s="119">
        <f t="shared" si="6"/>
        <v>19500</v>
      </c>
    </row>
    <row r="111" spans="1:9" hidden="1" x14ac:dyDescent="0.25">
      <c r="A111" t="s">
        <v>118</v>
      </c>
      <c r="B111" s="30" t="s">
        <v>43</v>
      </c>
      <c r="C111" s="28">
        <v>45</v>
      </c>
      <c r="G111">
        <f t="shared" si="9"/>
        <v>0</v>
      </c>
      <c r="H111" s="62">
        <f>+$K$79-F111</f>
        <v>1300</v>
      </c>
      <c r="I111" s="119">
        <f t="shared" si="6"/>
        <v>58500</v>
      </c>
    </row>
    <row r="112" spans="1:9" hidden="1" x14ac:dyDescent="0.25">
      <c r="A112" t="s">
        <v>118</v>
      </c>
      <c r="B112" s="30" t="s">
        <v>44</v>
      </c>
      <c r="C112" s="28">
        <v>70</v>
      </c>
      <c r="G112">
        <f t="shared" si="9"/>
        <v>0</v>
      </c>
      <c r="H112" s="62">
        <f>+$K$79-F112</f>
        <v>1300</v>
      </c>
      <c r="I112" s="119">
        <f t="shared" si="6"/>
        <v>91000</v>
      </c>
    </row>
    <row r="113" spans="1:9" ht="28.5" hidden="1" x14ac:dyDescent="0.25">
      <c r="A113" t="s">
        <v>118</v>
      </c>
      <c r="B113" s="144" t="s">
        <v>128</v>
      </c>
      <c r="C113" s="139">
        <v>240</v>
      </c>
      <c r="D113" s="56">
        <v>9</v>
      </c>
      <c r="E113" s="57" t="s">
        <v>87</v>
      </c>
      <c r="F113">
        <f>125+37+44+59+65+44+39+39</f>
        <v>452</v>
      </c>
      <c r="G113">
        <f t="shared" si="9"/>
        <v>108480</v>
      </c>
      <c r="H113" s="138">
        <f>+$K$79-F113-F115-F114</f>
        <v>0</v>
      </c>
      <c r="I113" s="119">
        <f t="shared" si="6"/>
        <v>0</v>
      </c>
    </row>
    <row r="114" spans="1:9" hidden="1" x14ac:dyDescent="0.25">
      <c r="A114" t="s">
        <v>118</v>
      </c>
      <c r="B114" s="146"/>
      <c r="C114" s="141"/>
      <c r="D114" s="56">
        <v>32</v>
      </c>
      <c r="E114" s="57" t="s">
        <v>138</v>
      </c>
      <c r="F114">
        <f>29+29+29+19+58+58+29</f>
        <v>251</v>
      </c>
      <c r="G114">
        <f>+C113*F114</f>
        <v>60240</v>
      </c>
      <c r="H114" s="138"/>
      <c r="I114" s="119">
        <f t="shared" si="6"/>
        <v>0</v>
      </c>
    </row>
    <row r="115" spans="1:9" hidden="1" x14ac:dyDescent="0.25">
      <c r="A115" t="s">
        <v>118</v>
      </c>
      <c r="B115" s="145"/>
      <c r="C115" s="140"/>
      <c r="D115" s="56">
        <v>4</v>
      </c>
      <c r="E115" s="57" t="s">
        <v>21</v>
      </c>
      <c r="F115">
        <f>154+119+79+38+39+168</f>
        <v>597</v>
      </c>
      <c r="G115">
        <f>+C113*F115</f>
        <v>143280</v>
      </c>
      <c r="H115" s="138"/>
      <c r="I115" s="119">
        <f t="shared" si="6"/>
        <v>0</v>
      </c>
    </row>
    <row r="116" spans="1:9" ht="30" hidden="1" x14ac:dyDescent="0.25">
      <c r="A116" t="s">
        <v>118</v>
      </c>
      <c r="B116" s="33" t="s">
        <v>45</v>
      </c>
      <c r="C116" s="28">
        <v>70</v>
      </c>
      <c r="G116">
        <f t="shared" si="9"/>
        <v>0</v>
      </c>
      <c r="H116" s="62">
        <f>+$K$79-F116</f>
        <v>1300</v>
      </c>
      <c r="I116" s="119">
        <f t="shared" si="6"/>
        <v>91000</v>
      </c>
    </row>
    <row r="117" spans="1:9" ht="21" hidden="1" x14ac:dyDescent="0.35">
      <c r="A117" s="102" t="s">
        <v>46</v>
      </c>
      <c r="B117" s="51"/>
      <c r="C117" s="51"/>
      <c r="D117" s="51"/>
      <c r="E117" s="51"/>
      <c r="F117" s="51"/>
      <c r="G117" s="51"/>
      <c r="H117" s="85"/>
      <c r="I117" s="119">
        <f t="shared" si="6"/>
        <v>0</v>
      </c>
    </row>
    <row r="118" spans="1:9" ht="28.5" hidden="1" x14ac:dyDescent="0.25">
      <c r="A118" t="s">
        <v>118</v>
      </c>
      <c r="B118" s="22" t="s">
        <v>49</v>
      </c>
      <c r="C118" s="34">
        <v>20</v>
      </c>
      <c r="D118" s="56">
        <v>15</v>
      </c>
      <c r="E118" s="57" t="s">
        <v>93</v>
      </c>
      <c r="F118">
        <v>1300</v>
      </c>
      <c r="G118">
        <f>+C118*F118</f>
        <v>26000</v>
      </c>
      <c r="H118" s="62">
        <f>+$K$79-F118</f>
        <v>0</v>
      </c>
      <c r="I118" s="119">
        <f t="shared" si="6"/>
        <v>0</v>
      </c>
    </row>
    <row r="119" spans="1:9" ht="21" hidden="1" x14ac:dyDescent="0.35">
      <c r="A119" s="102" t="s">
        <v>50</v>
      </c>
      <c r="B119" s="51"/>
      <c r="C119" s="51"/>
      <c r="D119" s="51"/>
      <c r="E119" s="51"/>
      <c r="F119" s="51"/>
      <c r="G119" s="51"/>
      <c r="H119" s="85"/>
      <c r="I119" s="119">
        <f t="shared" si="6"/>
        <v>0</v>
      </c>
    </row>
    <row r="120" spans="1:9" hidden="1" x14ac:dyDescent="0.25">
      <c r="A120" t="s">
        <v>118</v>
      </c>
      <c r="B120" s="22" t="s">
        <v>51</v>
      </c>
      <c r="C120" s="142">
        <v>36</v>
      </c>
      <c r="D120" s="56">
        <v>34</v>
      </c>
      <c r="E120" s="57" t="s">
        <v>141</v>
      </c>
      <c r="F120">
        <v>800</v>
      </c>
      <c r="G120">
        <f>+C120*F120</f>
        <v>28800</v>
      </c>
      <c r="H120" s="151">
        <f>+$K$79-F120-F121</f>
        <v>0</v>
      </c>
      <c r="I120" s="119">
        <f t="shared" si="6"/>
        <v>0</v>
      </c>
    </row>
    <row r="121" spans="1:9" ht="28.5" hidden="1" x14ac:dyDescent="0.25">
      <c r="A121" t="s">
        <v>118</v>
      </c>
      <c r="B121" s="22" t="s">
        <v>51</v>
      </c>
      <c r="C121" s="143"/>
      <c r="D121" s="56">
        <v>15</v>
      </c>
      <c r="E121" s="57" t="s">
        <v>93</v>
      </c>
      <c r="F121">
        <v>500</v>
      </c>
      <c r="G121">
        <f>+C120*F121</f>
        <v>18000</v>
      </c>
      <c r="H121" s="138"/>
      <c r="I121" s="119">
        <f t="shared" si="6"/>
        <v>0</v>
      </c>
    </row>
    <row r="122" spans="1:9" hidden="1" x14ac:dyDescent="0.25">
      <c r="A122" t="s">
        <v>118</v>
      </c>
      <c r="B122" s="22" t="s">
        <v>52</v>
      </c>
      <c r="C122" s="34">
        <v>15</v>
      </c>
      <c r="G122">
        <f>+C122*F122</f>
        <v>0</v>
      </c>
      <c r="H122" s="62">
        <f>+$K$79-F122</f>
        <v>1300</v>
      </c>
      <c r="I122" s="119">
        <f t="shared" si="6"/>
        <v>19500</v>
      </c>
    </row>
    <row r="123" spans="1:9" ht="21" hidden="1" x14ac:dyDescent="0.35">
      <c r="A123" s="102" t="s">
        <v>20</v>
      </c>
      <c r="B123" s="51"/>
      <c r="C123" s="51"/>
      <c r="D123" s="51"/>
      <c r="E123" s="51"/>
      <c r="F123" s="51"/>
      <c r="G123" s="51"/>
      <c r="H123" s="85"/>
      <c r="I123" s="119">
        <f t="shared" si="6"/>
        <v>0</v>
      </c>
    </row>
    <row r="124" spans="1:9" ht="28.5" hidden="1" x14ac:dyDescent="0.25">
      <c r="A124" t="s">
        <v>118</v>
      </c>
      <c r="B124" s="22" t="s">
        <v>53</v>
      </c>
      <c r="C124" s="34">
        <v>90</v>
      </c>
      <c r="D124" s="56">
        <v>15</v>
      </c>
      <c r="E124" s="57" t="s">
        <v>93</v>
      </c>
      <c r="F124">
        <v>1300</v>
      </c>
      <c r="G124">
        <f t="shared" ref="G124:G137" si="10">+C124*F124</f>
        <v>117000</v>
      </c>
      <c r="H124" s="62">
        <f>+$K$79-F124</f>
        <v>0</v>
      </c>
      <c r="I124" s="119">
        <f t="shared" si="6"/>
        <v>0</v>
      </c>
    </row>
    <row r="125" spans="1:9" ht="42.75" hidden="1" x14ac:dyDescent="0.25">
      <c r="A125" t="s">
        <v>118</v>
      </c>
      <c r="B125" s="22" t="s">
        <v>54</v>
      </c>
      <c r="C125" s="142">
        <v>71</v>
      </c>
      <c r="D125" s="56">
        <v>29</v>
      </c>
      <c r="E125" s="57" t="s">
        <v>107</v>
      </c>
      <c r="F125">
        <f>1300-497</f>
        <v>803</v>
      </c>
      <c r="G125">
        <f t="shared" si="10"/>
        <v>57013</v>
      </c>
      <c r="H125" s="138">
        <f>+$K$79-F125-F126</f>
        <v>0</v>
      </c>
      <c r="I125" s="119">
        <f t="shared" si="6"/>
        <v>0</v>
      </c>
    </row>
    <row r="126" spans="1:9" ht="28.5" hidden="1" x14ac:dyDescent="0.25">
      <c r="A126" t="s">
        <v>118</v>
      </c>
      <c r="B126" s="22" t="s">
        <v>54</v>
      </c>
      <c r="C126" s="143"/>
      <c r="D126" s="56">
        <v>15</v>
      </c>
      <c r="E126" s="57" t="s">
        <v>93</v>
      </c>
      <c r="F126">
        <v>497</v>
      </c>
      <c r="G126">
        <f>+C125*F126</f>
        <v>35287</v>
      </c>
      <c r="H126" s="138"/>
      <c r="I126" s="119">
        <f t="shared" si="6"/>
        <v>0</v>
      </c>
    </row>
    <row r="127" spans="1:9" ht="42.75" hidden="1" x14ac:dyDescent="0.25">
      <c r="A127" t="s">
        <v>118</v>
      </c>
      <c r="B127" s="22" t="s">
        <v>55</v>
      </c>
      <c r="C127" s="139">
        <v>85</v>
      </c>
      <c r="D127" s="56">
        <v>21</v>
      </c>
      <c r="E127" s="57" t="s">
        <v>99</v>
      </c>
      <c r="F127">
        <f>1300-58</f>
        <v>1242</v>
      </c>
      <c r="G127">
        <f t="shared" si="10"/>
        <v>105570</v>
      </c>
      <c r="H127" s="138">
        <f>+$K$79-F127-F128</f>
        <v>0</v>
      </c>
      <c r="I127" s="119">
        <f t="shared" si="6"/>
        <v>0</v>
      </c>
    </row>
    <row r="128" spans="1:9" ht="28.5" hidden="1" x14ac:dyDescent="0.25">
      <c r="A128" t="s">
        <v>118</v>
      </c>
      <c r="B128" s="22" t="s">
        <v>55</v>
      </c>
      <c r="C128" s="140"/>
      <c r="D128" s="56">
        <v>15</v>
      </c>
      <c r="E128" s="57" t="s">
        <v>93</v>
      </c>
      <c r="F128">
        <v>58</v>
      </c>
      <c r="G128">
        <f>+C127*F128</f>
        <v>4930</v>
      </c>
      <c r="H128" s="138"/>
      <c r="I128" s="119">
        <f t="shared" si="6"/>
        <v>0</v>
      </c>
    </row>
    <row r="129" spans="1:12" ht="42.75" hidden="1" x14ac:dyDescent="0.25">
      <c r="A129" t="s">
        <v>118</v>
      </c>
      <c r="B129" s="22" t="s">
        <v>56</v>
      </c>
      <c r="C129" s="28">
        <v>75</v>
      </c>
      <c r="D129" s="56">
        <v>29</v>
      </c>
      <c r="E129" s="57" t="s">
        <v>107</v>
      </c>
      <c r="F129">
        <v>1300</v>
      </c>
      <c r="G129">
        <f t="shared" si="10"/>
        <v>97500</v>
      </c>
      <c r="H129" s="62">
        <f>+$K$79-F129</f>
        <v>0</v>
      </c>
      <c r="I129" s="119">
        <f t="shared" si="6"/>
        <v>0</v>
      </c>
    </row>
    <row r="130" spans="1:12" ht="28.5" hidden="1" x14ac:dyDescent="0.25">
      <c r="A130" t="s">
        <v>118</v>
      </c>
      <c r="B130" s="22" t="s">
        <v>57</v>
      </c>
      <c r="C130" s="28">
        <v>98</v>
      </c>
      <c r="D130" s="56">
        <v>3</v>
      </c>
      <c r="E130" s="57" t="s">
        <v>82</v>
      </c>
      <c r="F130">
        <v>1300</v>
      </c>
      <c r="G130">
        <f t="shared" si="10"/>
        <v>127400</v>
      </c>
      <c r="H130" s="62">
        <f>+$K$79-F130</f>
        <v>0</v>
      </c>
      <c r="I130" s="119">
        <f t="shared" si="6"/>
        <v>0</v>
      </c>
    </row>
    <row r="131" spans="1:12" ht="28.5" hidden="1" x14ac:dyDescent="0.25">
      <c r="A131" t="s">
        <v>118</v>
      </c>
      <c r="B131" s="22" t="s">
        <v>58</v>
      </c>
      <c r="C131" s="28">
        <v>110</v>
      </c>
      <c r="D131" s="56">
        <v>1</v>
      </c>
      <c r="E131" s="57" t="s">
        <v>80</v>
      </c>
      <c r="F131">
        <v>1300</v>
      </c>
      <c r="G131">
        <f t="shared" si="10"/>
        <v>143000</v>
      </c>
      <c r="H131" s="62">
        <f>+$K$79-F131</f>
        <v>0</v>
      </c>
      <c r="I131" s="119">
        <f t="shared" si="6"/>
        <v>0</v>
      </c>
    </row>
    <row r="132" spans="1:12" hidden="1" x14ac:dyDescent="0.25">
      <c r="A132" t="s">
        <v>118</v>
      </c>
      <c r="B132" s="33" t="s">
        <v>59</v>
      </c>
      <c r="C132" s="28">
        <v>70</v>
      </c>
      <c r="G132">
        <f t="shared" si="10"/>
        <v>0</v>
      </c>
      <c r="H132" s="62">
        <f>+$K$79-F132</f>
        <v>1300</v>
      </c>
      <c r="I132" s="119">
        <f t="shared" si="6"/>
        <v>91000</v>
      </c>
    </row>
    <row r="133" spans="1:12" ht="28.5" hidden="1" x14ac:dyDescent="0.25">
      <c r="A133" t="s">
        <v>118</v>
      </c>
      <c r="B133" s="22" t="s">
        <v>60</v>
      </c>
      <c r="C133" s="28">
        <v>120</v>
      </c>
      <c r="D133" s="56">
        <v>6</v>
      </c>
      <c r="E133" s="57" t="s">
        <v>84</v>
      </c>
      <c r="F133">
        <v>1300</v>
      </c>
      <c r="G133">
        <f t="shared" si="10"/>
        <v>156000</v>
      </c>
      <c r="H133" s="62">
        <f>+$K$79-F133</f>
        <v>0</v>
      </c>
      <c r="I133" s="119">
        <f t="shared" si="6"/>
        <v>0</v>
      </c>
    </row>
    <row r="134" spans="1:12" hidden="1" x14ac:dyDescent="0.25">
      <c r="A134" t="s">
        <v>118</v>
      </c>
      <c r="B134" s="22" t="s">
        <v>136</v>
      </c>
      <c r="C134" s="142">
        <f>8.5*22</f>
        <v>187</v>
      </c>
      <c r="D134" s="56">
        <v>11</v>
      </c>
      <c r="E134" s="57" t="s">
        <v>89</v>
      </c>
      <c r="F134">
        <f>362+360</f>
        <v>722</v>
      </c>
      <c r="G134">
        <f t="shared" si="10"/>
        <v>135014</v>
      </c>
      <c r="H134" s="152">
        <f>1300-F134-F135</f>
        <v>0</v>
      </c>
      <c r="I134" s="119">
        <f t="shared" si="6"/>
        <v>0</v>
      </c>
    </row>
    <row r="135" spans="1:12" ht="28.5" hidden="1" x14ac:dyDescent="0.25">
      <c r="B135" s="22" t="s">
        <v>136</v>
      </c>
      <c r="C135" s="143"/>
      <c r="D135" s="56">
        <v>12</v>
      </c>
      <c r="E135" s="57" t="s">
        <v>90</v>
      </c>
      <c r="F135">
        <v>578</v>
      </c>
      <c r="G135">
        <f>+C134*F135</f>
        <v>108086</v>
      </c>
      <c r="H135" s="152"/>
      <c r="I135" s="119">
        <f t="shared" si="6"/>
        <v>0</v>
      </c>
    </row>
    <row r="136" spans="1:12" hidden="1" x14ac:dyDescent="0.25">
      <c r="A136" t="s">
        <v>118</v>
      </c>
      <c r="B136" s="25" t="s">
        <v>65</v>
      </c>
      <c r="C136" s="20">
        <v>29.999999999999996</v>
      </c>
      <c r="G136">
        <f t="shared" si="10"/>
        <v>0</v>
      </c>
      <c r="H136" s="62">
        <f>+$K$79-F136</f>
        <v>1300</v>
      </c>
      <c r="I136" s="119">
        <f t="shared" si="6"/>
        <v>38999.999999999993</v>
      </c>
    </row>
    <row r="137" spans="1:12" hidden="1" x14ac:dyDescent="0.25">
      <c r="A137" t="s">
        <v>118</v>
      </c>
      <c r="B137" s="25" t="s">
        <v>77</v>
      </c>
      <c r="C137" s="20">
        <v>80</v>
      </c>
      <c r="G137">
        <f t="shared" si="10"/>
        <v>0</v>
      </c>
      <c r="H137" s="62">
        <f>+$K$79-F137</f>
        <v>1300</v>
      </c>
      <c r="I137" s="119">
        <f t="shared" si="6"/>
        <v>104000</v>
      </c>
    </row>
    <row r="138" spans="1:12" ht="21" hidden="1" x14ac:dyDescent="0.35">
      <c r="A138" s="103" t="s">
        <v>19</v>
      </c>
      <c r="B138" s="47"/>
      <c r="C138" s="47"/>
      <c r="D138" s="47"/>
      <c r="E138" s="47"/>
      <c r="F138" s="47"/>
      <c r="G138" s="47"/>
      <c r="H138" s="86"/>
      <c r="I138" s="21"/>
      <c r="J138" s="54" t="s">
        <v>115</v>
      </c>
      <c r="K138" s="112">
        <v>2115</v>
      </c>
    </row>
    <row r="139" spans="1:12" ht="28.5" hidden="1" x14ac:dyDescent="0.35">
      <c r="A139">
        <v>1829</v>
      </c>
      <c r="B139" s="147" t="s">
        <v>22</v>
      </c>
      <c r="C139" s="139">
        <v>15</v>
      </c>
      <c r="D139" s="56">
        <v>18</v>
      </c>
      <c r="E139" s="57" t="s">
        <v>96</v>
      </c>
      <c r="F139">
        <f>802+488</f>
        <v>1290</v>
      </c>
      <c r="G139">
        <f t="shared" ref="G139:G175" si="11">+C139*F139</f>
        <v>19350</v>
      </c>
      <c r="H139" s="151">
        <f>$K$138-F139-F140</f>
        <v>0</v>
      </c>
      <c r="I139" s="119"/>
      <c r="J139" s="54" t="s">
        <v>116</v>
      </c>
      <c r="K139" s="112">
        <v>2851</v>
      </c>
    </row>
    <row r="140" spans="1:12" ht="28.5" hidden="1" x14ac:dyDescent="0.35">
      <c r="A140">
        <v>1829</v>
      </c>
      <c r="B140" s="148"/>
      <c r="C140" s="140"/>
      <c r="D140" s="56">
        <v>5</v>
      </c>
      <c r="E140" s="57" t="s">
        <v>83</v>
      </c>
      <c r="F140">
        <v>825</v>
      </c>
      <c r="G140">
        <f>+C139*F140</f>
        <v>12375</v>
      </c>
      <c r="H140" s="138"/>
      <c r="I140" s="119"/>
      <c r="J140" s="54" t="s">
        <v>117</v>
      </c>
      <c r="K140" s="116">
        <f>+K138*K139</f>
        <v>6029865</v>
      </c>
    </row>
    <row r="141" spans="1:12" ht="28.5" hidden="1" x14ac:dyDescent="0.35">
      <c r="A141">
        <v>1829</v>
      </c>
      <c r="B141" s="147" t="s">
        <v>23</v>
      </c>
      <c r="C141" s="139">
        <v>20</v>
      </c>
      <c r="D141" s="56">
        <v>18</v>
      </c>
      <c r="E141" s="57" t="s">
        <v>96</v>
      </c>
      <c r="F141">
        <f>802+427</f>
        <v>1229</v>
      </c>
      <c r="G141">
        <f t="shared" si="11"/>
        <v>24580</v>
      </c>
      <c r="H141" s="138">
        <f>$K$138-F141-F143-F142</f>
        <v>0</v>
      </c>
      <c r="I141" s="119"/>
      <c r="J141" s="54" t="s">
        <v>167</v>
      </c>
      <c r="K141" s="114">
        <f>SUM(G139:G228)</f>
        <v>4556481</v>
      </c>
      <c r="L141">
        <v>4308153</v>
      </c>
    </row>
    <row r="142" spans="1:12" ht="28.5" hidden="1" x14ac:dyDescent="0.3">
      <c r="A142">
        <v>1829</v>
      </c>
      <c r="B142" s="165"/>
      <c r="C142" s="141"/>
      <c r="D142" s="56">
        <v>5</v>
      </c>
      <c r="E142" s="57" t="s">
        <v>83</v>
      </c>
      <c r="F142">
        <v>502</v>
      </c>
      <c r="G142">
        <f>+C141*F142</f>
        <v>10040</v>
      </c>
      <c r="H142" s="138"/>
      <c r="I142" s="119"/>
      <c r="K142" s="123">
        <f>K140-K141</f>
        <v>1473384</v>
      </c>
    </row>
    <row r="143" spans="1:12" ht="42.75" hidden="1" x14ac:dyDescent="0.35">
      <c r="A143">
        <v>1829</v>
      </c>
      <c r="B143" s="148"/>
      <c r="C143" s="140"/>
      <c r="D143" s="56">
        <v>21</v>
      </c>
      <c r="E143" s="57" t="s">
        <v>99</v>
      </c>
      <c r="F143">
        <f>2115-1731</f>
        <v>384</v>
      </c>
      <c r="G143">
        <f>+C141*F143</f>
        <v>7680</v>
      </c>
      <c r="H143" s="138"/>
      <c r="I143" s="119"/>
      <c r="J143" s="122"/>
    </row>
    <row r="144" spans="1:12" ht="28.5" hidden="1" x14ac:dyDescent="0.25">
      <c r="A144">
        <v>1829</v>
      </c>
      <c r="B144" s="147" t="s">
        <v>24</v>
      </c>
      <c r="C144" s="139">
        <v>20</v>
      </c>
      <c r="D144" s="56">
        <v>18</v>
      </c>
      <c r="E144" s="57" t="s">
        <v>96</v>
      </c>
      <c r="F144">
        <v>949</v>
      </c>
      <c r="G144">
        <f t="shared" si="11"/>
        <v>18980</v>
      </c>
      <c r="H144" s="138">
        <f>$K$138-F144-F147-F145-F146</f>
        <v>0</v>
      </c>
      <c r="I144" s="119"/>
    </row>
    <row r="145" spans="1:9" ht="28.5" hidden="1" x14ac:dyDescent="0.25">
      <c r="A145">
        <v>1829</v>
      </c>
      <c r="B145" s="165"/>
      <c r="C145" s="141"/>
      <c r="D145" s="56">
        <v>5</v>
      </c>
      <c r="E145" s="57" t="s">
        <v>83</v>
      </c>
      <c r="F145">
        <v>406</v>
      </c>
      <c r="G145">
        <f>+C144*F145</f>
        <v>8120</v>
      </c>
      <c r="H145" s="138"/>
      <c r="I145" s="119"/>
    </row>
    <row r="146" spans="1:9" hidden="1" x14ac:dyDescent="0.25">
      <c r="A146">
        <v>1829</v>
      </c>
      <c r="B146" s="165"/>
      <c r="C146" s="141"/>
      <c r="D146" s="56">
        <v>34</v>
      </c>
      <c r="E146" s="57" t="s">
        <v>141</v>
      </c>
      <c r="F146">
        <f>248+192-116</f>
        <v>324</v>
      </c>
      <c r="G146">
        <f>+C144*F146</f>
        <v>6480</v>
      </c>
      <c r="H146" s="138"/>
      <c r="I146" s="119"/>
    </row>
    <row r="147" spans="1:9" ht="42.75" hidden="1" x14ac:dyDescent="0.25">
      <c r="A147">
        <v>1829</v>
      </c>
      <c r="B147" s="148"/>
      <c r="C147" s="140"/>
      <c r="D147" s="56">
        <v>21</v>
      </c>
      <c r="E147" s="57" t="s">
        <v>99</v>
      </c>
      <c r="F147">
        <f>1334-898</f>
        <v>436</v>
      </c>
      <c r="G147">
        <f>+C144*F147</f>
        <v>8720</v>
      </c>
      <c r="H147" s="138"/>
      <c r="I147" s="119"/>
    </row>
    <row r="148" spans="1:9" ht="28.5" hidden="1" x14ac:dyDescent="0.25">
      <c r="A148">
        <v>1829</v>
      </c>
      <c r="B148" s="29" t="s">
        <v>61</v>
      </c>
      <c r="C148" s="28">
        <v>20</v>
      </c>
      <c r="D148" s="56">
        <v>22</v>
      </c>
      <c r="E148" s="57" t="s">
        <v>100</v>
      </c>
      <c r="F148">
        <v>2115</v>
      </c>
      <c r="G148">
        <f t="shared" si="11"/>
        <v>42300</v>
      </c>
      <c r="H148" s="62">
        <f>$K$138-F148</f>
        <v>0</v>
      </c>
      <c r="I148" s="119"/>
    </row>
    <row r="149" spans="1:9" hidden="1" x14ac:dyDescent="0.25">
      <c r="A149">
        <v>1829</v>
      </c>
      <c r="B149" s="30" t="s">
        <v>62</v>
      </c>
      <c r="C149" s="28">
        <v>10</v>
      </c>
      <c r="G149">
        <f t="shared" si="11"/>
        <v>0</v>
      </c>
      <c r="H149" s="62">
        <f>$K$138-F149</f>
        <v>2115</v>
      </c>
      <c r="I149" s="119"/>
    </row>
    <row r="150" spans="1:9" ht="28.5" hidden="1" x14ac:dyDescent="0.25">
      <c r="A150">
        <v>1829</v>
      </c>
      <c r="B150" s="22" t="s">
        <v>110</v>
      </c>
      <c r="C150" s="28">
        <v>20</v>
      </c>
      <c r="D150" s="56">
        <v>25</v>
      </c>
      <c r="E150" s="57" t="s">
        <v>103</v>
      </c>
      <c r="F150">
        <v>2115</v>
      </c>
      <c r="G150">
        <f t="shared" si="11"/>
        <v>42300</v>
      </c>
      <c r="H150" s="62">
        <f>$K$138-F150</f>
        <v>0</v>
      </c>
      <c r="I150" s="119"/>
    </row>
    <row r="151" spans="1:9" ht="45" hidden="1" x14ac:dyDescent="0.25">
      <c r="A151">
        <v>1829</v>
      </c>
      <c r="B151" s="25" t="s">
        <v>63</v>
      </c>
      <c r="C151" s="28">
        <v>60</v>
      </c>
      <c r="D151" s="56">
        <v>25</v>
      </c>
      <c r="E151" s="57" t="s">
        <v>103</v>
      </c>
      <c r="F151">
        <v>2115</v>
      </c>
      <c r="G151">
        <f t="shared" si="11"/>
        <v>126900</v>
      </c>
      <c r="H151" s="62">
        <f>$K$138-F151</f>
        <v>0</v>
      </c>
      <c r="I151" s="119"/>
    </row>
    <row r="152" spans="1:9" ht="28.5" hidden="1" x14ac:dyDescent="0.25">
      <c r="A152">
        <v>1829</v>
      </c>
      <c r="B152" s="144" t="s">
        <v>137</v>
      </c>
      <c r="C152" s="139">
        <v>20</v>
      </c>
      <c r="D152" s="56">
        <v>14</v>
      </c>
      <c r="E152" s="57" t="s">
        <v>92</v>
      </c>
      <c r="F152">
        <v>1395</v>
      </c>
      <c r="G152">
        <f t="shared" si="11"/>
        <v>27900</v>
      </c>
      <c r="H152" s="138">
        <f>$K$138-F152-F153</f>
        <v>92</v>
      </c>
      <c r="I152" s="119"/>
    </row>
    <row r="153" spans="1:9" ht="28.5" hidden="1" x14ac:dyDescent="0.25">
      <c r="A153">
        <v>1829</v>
      </c>
      <c r="B153" s="145"/>
      <c r="C153" s="140"/>
      <c r="D153" s="56">
        <v>25</v>
      </c>
      <c r="E153" s="57" t="s">
        <v>103</v>
      </c>
      <c r="F153">
        <f>2115-1487</f>
        <v>628</v>
      </c>
      <c r="G153">
        <f>+C152*F153</f>
        <v>12560</v>
      </c>
      <c r="H153" s="138"/>
      <c r="I153" s="119"/>
    </row>
    <row r="154" spans="1:9" ht="28.5" hidden="1" x14ac:dyDescent="0.25">
      <c r="A154">
        <v>1829</v>
      </c>
      <c r="B154" s="144" t="s">
        <v>27</v>
      </c>
      <c r="C154" s="139">
        <v>80</v>
      </c>
      <c r="D154" s="56">
        <v>1</v>
      </c>
      <c r="E154" s="57" t="s">
        <v>80</v>
      </c>
      <c r="F154">
        <v>31</v>
      </c>
      <c r="G154">
        <f t="shared" si="11"/>
        <v>2480</v>
      </c>
      <c r="H154" s="138">
        <f>$K$138-F154-F155</f>
        <v>0</v>
      </c>
      <c r="I154" s="119"/>
    </row>
    <row r="155" spans="1:9" ht="28.5" hidden="1" x14ac:dyDescent="0.25">
      <c r="A155">
        <v>1829</v>
      </c>
      <c r="B155" s="145"/>
      <c r="C155" s="140"/>
      <c r="D155" s="56">
        <v>17</v>
      </c>
      <c r="E155" s="57" t="s">
        <v>95</v>
      </c>
      <c r="F155">
        <v>2084</v>
      </c>
      <c r="G155">
        <f>+C154*F155</f>
        <v>166720</v>
      </c>
      <c r="H155" s="138"/>
      <c r="I155" s="119"/>
    </row>
    <row r="156" spans="1:9" hidden="1" x14ac:dyDescent="0.25">
      <c r="A156">
        <v>1829</v>
      </c>
      <c r="B156" s="30" t="s">
        <v>28</v>
      </c>
      <c r="C156" s="28">
        <v>15</v>
      </c>
      <c r="G156">
        <f t="shared" si="11"/>
        <v>0</v>
      </c>
      <c r="H156" s="62">
        <f>$K$138-F156</f>
        <v>2115</v>
      </c>
      <c r="I156" s="119"/>
    </row>
    <row r="157" spans="1:9" ht="28.5" hidden="1" x14ac:dyDescent="0.25">
      <c r="A157">
        <v>1829</v>
      </c>
      <c r="B157" s="144" t="s">
        <v>29</v>
      </c>
      <c r="C157" s="139">
        <v>40</v>
      </c>
      <c r="D157" s="56">
        <v>1</v>
      </c>
      <c r="E157" s="57" t="s">
        <v>80</v>
      </c>
      <c r="F157">
        <f>851+531</f>
        <v>1382</v>
      </c>
      <c r="G157">
        <f t="shared" si="11"/>
        <v>55280</v>
      </c>
      <c r="H157" s="138">
        <f>$K$138-F157-F158</f>
        <v>0</v>
      </c>
      <c r="I157" s="119"/>
    </row>
    <row r="158" spans="1:9" ht="28.5" hidden="1" x14ac:dyDescent="0.25">
      <c r="A158">
        <v>1829</v>
      </c>
      <c r="B158" s="145"/>
      <c r="C158" s="140"/>
      <c r="D158" s="56">
        <v>16</v>
      </c>
      <c r="E158" s="57" t="s">
        <v>94</v>
      </c>
      <c r="F158">
        <f>12+27+40+30+41+52+30+56+39+49+49+13+27+36+48+31+61+61+31</f>
        <v>733</v>
      </c>
      <c r="G158">
        <f>+C157*F158</f>
        <v>29320</v>
      </c>
      <c r="H158" s="138"/>
      <c r="I158" s="119"/>
    </row>
    <row r="159" spans="1:9" hidden="1" x14ac:dyDescent="0.25">
      <c r="A159">
        <v>1829</v>
      </c>
      <c r="B159" s="30" t="s">
        <v>30</v>
      </c>
      <c r="C159" s="28">
        <v>15</v>
      </c>
      <c r="G159">
        <f t="shared" si="11"/>
        <v>0</v>
      </c>
      <c r="H159" s="62">
        <f>$K$138-F159</f>
        <v>2115</v>
      </c>
      <c r="I159" s="119"/>
    </row>
    <row r="160" spans="1:9" ht="28.5" hidden="1" x14ac:dyDescent="0.25">
      <c r="A160">
        <v>1829</v>
      </c>
      <c r="B160" s="144" t="s">
        <v>31</v>
      </c>
      <c r="C160" s="139">
        <v>61</v>
      </c>
      <c r="D160" s="56">
        <v>16</v>
      </c>
      <c r="E160" s="57" t="s">
        <v>94</v>
      </c>
      <c r="F160">
        <f>48+54+61+48+30+30+40</f>
        <v>311</v>
      </c>
      <c r="G160">
        <f t="shared" si="11"/>
        <v>18971</v>
      </c>
      <c r="H160" s="138">
        <f>$K$138-F160-F163-F161-F162</f>
        <v>0</v>
      </c>
      <c r="I160" s="119"/>
    </row>
    <row r="161" spans="1:9" hidden="1" x14ac:dyDescent="0.25">
      <c r="A161">
        <v>1829</v>
      </c>
      <c r="B161" s="146"/>
      <c r="C161" s="141"/>
      <c r="D161" s="56">
        <v>31</v>
      </c>
      <c r="E161" s="57" t="s">
        <v>130</v>
      </c>
      <c r="F161">
        <f>61+92+91+92+91+80+6</f>
        <v>513</v>
      </c>
      <c r="G161">
        <f>+C160*F161</f>
        <v>31293</v>
      </c>
      <c r="H161" s="138"/>
      <c r="I161" s="119"/>
    </row>
    <row r="162" spans="1:9" ht="28.5" hidden="1" x14ac:dyDescent="0.25">
      <c r="A162">
        <v>1829</v>
      </c>
      <c r="B162" s="146"/>
      <c r="C162" s="141"/>
      <c r="D162" s="56">
        <v>28</v>
      </c>
      <c r="E162" s="57" t="s">
        <v>106</v>
      </c>
      <c r="F162">
        <v>1127</v>
      </c>
      <c r="G162">
        <f>+C160*F162</f>
        <v>68747</v>
      </c>
      <c r="H162" s="138"/>
      <c r="I162" s="119"/>
    </row>
    <row r="163" spans="1:9" ht="28.5" hidden="1" x14ac:dyDescent="0.25">
      <c r="A163">
        <v>1829</v>
      </c>
      <c r="B163" s="145"/>
      <c r="C163" s="140"/>
      <c r="D163" s="56">
        <v>24</v>
      </c>
      <c r="E163" s="57" t="s">
        <v>102</v>
      </c>
      <c r="F163">
        <f>24+92+48</f>
        <v>164</v>
      </c>
      <c r="G163">
        <f>+C160*F163</f>
        <v>10004</v>
      </c>
      <c r="H163" s="138"/>
      <c r="I163" s="119"/>
    </row>
    <row r="164" spans="1:9" ht="28.5" hidden="1" x14ac:dyDescent="0.25">
      <c r="A164">
        <v>1829</v>
      </c>
      <c r="B164" s="22" t="s">
        <v>64</v>
      </c>
      <c r="C164" s="28">
        <v>81</v>
      </c>
      <c r="D164" s="56">
        <v>16</v>
      </c>
      <c r="E164" s="57" t="s">
        <v>94</v>
      </c>
      <c r="F164">
        <v>2115</v>
      </c>
      <c r="G164">
        <f t="shared" si="11"/>
        <v>171315</v>
      </c>
      <c r="H164" s="62">
        <f>$K$138-F164</f>
        <v>0</v>
      </c>
      <c r="I164" s="119"/>
    </row>
    <row r="165" spans="1:9" ht="28.5" hidden="1" x14ac:dyDescent="0.25">
      <c r="A165">
        <v>1829</v>
      </c>
      <c r="B165" s="144" t="s">
        <v>33</v>
      </c>
      <c r="C165" s="139">
        <v>100</v>
      </c>
      <c r="D165" s="56">
        <v>14</v>
      </c>
      <c r="E165" s="57" t="s">
        <v>92</v>
      </c>
      <c r="F165">
        <v>153</v>
      </c>
      <c r="G165">
        <f t="shared" si="11"/>
        <v>15300</v>
      </c>
      <c r="H165" s="138">
        <f>$K$138-F165-F167-F166</f>
        <v>0</v>
      </c>
      <c r="I165" s="119"/>
    </row>
    <row r="166" spans="1:9" ht="28.5" hidden="1" x14ac:dyDescent="0.25">
      <c r="A166">
        <v>1829</v>
      </c>
      <c r="B166" s="146"/>
      <c r="C166" s="141"/>
      <c r="D166" s="56">
        <v>28</v>
      </c>
      <c r="E166" s="57" t="s">
        <v>106</v>
      </c>
      <c r="F166">
        <v>103</v>
      </c>
      <c r="G166">
        <f>+C165*F166</f>
        <v>10300</v>
      </c>
      <c r="H166" s="138"/>
      <c r="I166" s="119"/>
    </row>
    <row r="167" spans="1:9" ht="28.5" hidden="1" x14ac:dyDescent="0.25">
      <c r="A167">
        <v>1829</v>
      </c>
      <c r="B167" s="145"/>
      <c r="C167" s="140"/>
      <c r="D167" s="56">
        <v>24</v>
      </c>
      <c r="E167" s="57" t="s">
        <v>102</v>
      </c>
      <c r="F167">
        <f>1162+61+61+61+151+340+23</f>
        <v>1859</v>
      </c>
      <c r="G167">
        <f>+C165*F167</f>
        <v>185900</v>
      </c>
      <c r="H167" s="138"/>
      <c r="I167" s="119"/>
    </row>
    <row r="168" spans="1:9" ht="28.5" hidden="1" x14ac:dyDescent="0.25">
      <c r="A168">
        <v>1829</v>
      </c>
      <c r="B168" s="144" t="s">
        <v>34</v>
      </c>
      <c r="C168" s="28">
        <v>33</v>
      </c>
      <c r="D168" s="56">
        <v>14</v>
      </c>
      <c r="E168" s="57" t="s">
        <v>92</v>
      </c>
      <c r="F168">
        <v>949</v>
      </c>
      <c r="G168">
        <f t="shared" si="11"/>
        <v>31317</v>
      </c>
      <c r="H168" s="138">
        <f>$K$138-F168-F169</f>
        <v>1166</v>
      </c>
      <c r="I168" s="119"/>
    </row>
    <row r="169" spans="1:9" hidden="1" x14ac:dyDescent="0.25">
      <c r="A169">
        <v>1829</v>
      </c>
      <c r="B169" s="145"/>
      <c r="C169" s="28"/>
      <c r="D169" s="56"/>
      <c r="E169" s="57"/>
      <c r="G169">
        <f t="shared" si="11"/>
        <v>0</v>
      </c>
      <c r="H169" s="138"/>
      <c r="I169" s="119"/>
    </row>
    <row r="170" spans="1:9" ht="28.5" hidden="1" x14ac:dyDescent="0.25">
      <c r="A170">
        <v>1829</v>
      </c>
      <c r="B170" s="22" t="s">
        <v>35</v>
      </c>
      <c r="C170" s="28">
        <v>20</v>
      </c>
      <c r="D170" s="56">
        <v>14</v>
      </c>
      <c r="E170" s="57" t="s">
        <v>92</v>
      </c>
      <c r="F170">
        <v>949</v>
      </c>
      <c r="G170">
        <f t="shared" si="11"/>
        <v>18980</v>
      </c>
      <c r="H170" s="62">
        <f>$K$138-F170</f>
        <v>1166</v>
      </c>
      <c r="I170" s="119"/>
    </row>
    <row r="171" spans="1:9" ht="28.5" hidden="1" x14ac:dyDescent="0.25">
      <c r="A171">
        <v>1829</v>
      </c>
      <c r="B171" s="22" t="s">
        <v>36</v>
      </c>
      <c r="C171" s="28">
        <v>33</v>
      </c>
      <c r="D171" s="56">
        <v>14</v>
      </c>
      <c r="E171" s="57" t="s">
        <v>92</v>
      </c>
      <c r="F171">
        <v>949</v>
      </c>
      <c r="G171">
        <f t="shared" si="11"/>
        <v>31317</v>
      </c>
      <c r="H171" s="62">
        <f>$K$138-F171</f>
        <v>1166</v>
      </c>
      <c r="I171" s="119"/>
    </row>
    <row r="172" spans="1:9" ht="28.5" hidden="1" x14ac:dyDescent="0.25">
      <c r="A172">
        <v>1829</v>
      </c>
      <c r="B172" s="144" t="s">
        <v>37</v>
      </c>
      <c r="C172" s="139">
        <v>43</v>
      </c>
      <c r="D172" s="56">
        <v>22</v>
      </c>
      <c r="E172" s="57" t="s">
        <v>100</v>
      </c>
      <c r="F172">
        <f>157+1117</f>
        <v>1274</v>
      </c>
      <c r="G172">
        <f t="shared" si="11"/>
        <v>54782</v>
      </c>
      <c r="H172" s="138">
        <f>$K$138-F172-F174-F173</f>
        <v>121</v>
      </c>
      <c r="I172" s="119"/>
    </row>
    <row r="173" spans="1:9" ht="28.5" hidden="1" x14ac:dyDescent="0.25">
      <c r="A173">
        <v>1829</v>
      </c>
      <c r="B173" s="146"/>
      <c r="C173" s="141"/>
      <c r="D173" s="56">
        <v>33</v>
      </c>
      <c r="E173" s="57" t="s">
        <v>140</v>
      </c>
      <c r="F173">
        <f>2115-1731</f>
        <v>384</v>
      </c>
      <c r="G173">
        <f>+C172*F173</f>
        <v>16512</v>
      </c>
      <c r="H173" s="138"/>
      <c r="I173" s="119"/>
    </row>
    <row r="174" spans="1:9" ht="28.5" hidden="1" x14ac:dyDescent="0.25">
      <c r="A174">
        <v>1829</v>
      </c>
      <c r="B174" s="145"/>
      <c r="C174" s="140"/>
      <c r="D174" s="56">
        <v>5</v>
      </c>
      <c r="E174" s="57" t="s">
        <v>83</v>
      </c>
      <c r="F174">
        <f>706-370</f>
        <v>336</v>
      </c>
      <c r="G174">
        <f>+C172*F174</f>
        <v>14448</v>
      </c>
      <c r="H174" s="138"/>
      <c r="I174" s="119"/>
    </row>
    <row r="175" spans="1:9" ht="28.5" hidden="1" x14ac:dyDescent="0.25">
      <c r="A175">
        <v>1829</v>
      </c>
      <c r="B175" s="144" t="s">
        <v>38</v>
      </c>
      <c r="C175" s="139">
        <v>120</v>
      </c>
      <c r="D175" s="56">
        <v>18</v>
      </c>
      <c r="E175" s="57" t="s">
        <v>96</v>
      </c>
      <c r="F175">
        <f>370+30+1075</f>
        <v>1475</v>
      </c>
      <c r="G175">
        <f t="shared" si="11"/>
        <v>177000</v>
      </c>
      <c r="H175" s="138">
        <f>$K$138-F175-F176</f>
        <v>0</v>
      </c>
      <c r="I175" s="119"/>
    </row>
    <row r="176" spans="1:9" ht="28.5" hidden="1" x14ac:dyDescent="0.25">
      <c r="A176">
        <v>1829</v>
      </c>
      <c r="B176" s="145"/>
      <c r="C176" s="140"/>
      <c r="D176" s="56">
        <v>5</v>
      </c>
      <c r="E176" s="57" t="s">
        <v>83</v>
      </c>
      <c r="F176">
        <v>640</v>
      </c>
      <c r="G176">
        <f>+C175*F176</f>
        <v>76800</v>
      </c>
      <c r="H176" s="160"/>
      <c r="I176" s="119"/>
    </row>
    <row r="177" spans="1:9" ht="21" hidden="1" x14ac:dyDescent="0.35">
      <c r="A177" s="104" t="s">
        <v>39</v>
      </c>
      <c r="B177" s="55"/>
      <c r="C177" s="55"/>
      <c r="D177" s="55"/>
      <c r="E177" s="55"/>
      <c r="F177" s="55"/>
      <c r="G177" s="55"/>
      <c r="H177" s="87"/>
      <c r="I177" s="119"/>
    </row>
    <row r="178" spans="1:9" hidden="1" x14ac:dyDescent="0.25">
      <c r="A178">
        <v>1829</v>
      </c>
      <c r="B178" s="52" t="s">
        <v>125</v>
      </c>
      <c r="C178" s="53">
        <v>170</v>
      </c>
      <c r="G178">
        <f t="shared" ref="G178:G199" si="12">+C178*F178</f>
        <v>0</v>
      </c>
      <c r="H178" s="62">
        <f>$K$138-F178</f>
        <v>2115</v>
      </c>
      <c r="I178" s="119"/>
    </row>
    <row r="179" spans="1:9" ht="28.5" hidden="1" x14ac:dyDescent="0.25">
      <c r="A179">
        <v>1829</v>
      </c>
      <c r="B179" s="144" t="s">
        <v>74</v>
      </c>
      <c r="C179" s="139">
        <v>30</v>
      </c>
      <c r="D179" s="56">
        <v>5</v>
      </c>
      <c r="E179" s="57" t="s">
        <v>83</v>
      </c>
      <c r="F179">
        <v>750</v>
      </c>
      <c r="G179">
        <f t="shared" si="12"/>
        <v>22500</v>
      </c>
      <c r="H179" s="138">
        <f>$K$138-F179-F180</f>
        <v>0</v>
      </c>
      <c r="I179" s="119"/>
    </row>
    <row r="180" spans="1:9" ht="28.5" hidden="1" x14ac:dyDescent="0.25">
      <c r="A180">
        <v>1829</v>
      </c>
      <c r="B180" s="145"/>
      <c r="C180" s="140"/>
      <c r="D180" s="56">
        <v>19</v>
      </c>
      <c r="E180" s="57" t="s">
        <v>97</v>
      </c>
      <c r="F180">
        <v>1365</v>
      </c>
      <c r="G180">
        <f>+C179*F180</f>
        <v>40950</v>
      </c>
      <c r="H180" s="138"/>
      <c r="I180" s="119"/>
    </row>
    <row r="181" spans="1:9" hidden="1" x14ac:dyDescent="0.25">
      <c r="A181">
        <v>1829</v>
      </c>
      <c r="B181" s="31" t="s">
        <v>40</v>
      </c>
      <c r="C181" s="32">
        <v>15</v>
      </c>
      <c r="G181">
        <f t="shared" si="12"/>
        <v>0</v>
      </c>
      <c r="H181" s="62">
        <f>$K$138-F181</f>
        <v>2115</v>
      </c>
      <c r="I181" s="119"/>
    </row>
    <row r="182" spans="1:9" hidden="1" x14ac:dyDescent="0.25">
      <c r="A182">
        <v>1829</v>
      </c>
      <c r="B182" s="167" t="s">
        <v>75</v>
      </c>
      <c r="C182" s="139">
        <v>40</v>
      </c>
      <c r="D182" s="56">
        <v>31</v>
      </c>
      <c r="E182" s="57" t="s">
        <v>130</v>
      </c>
      <c r="F182">
        <f>48+48+91+92+91+92+61+48+48+51+91+61+61+120+8</f>
        <v>1011</v>
      </c>
      <c r="G182">
        <f t="shared" si="12"/>
        <v>40440</v>
      </c>
      <c r="H182" s="138">
        <f>$K$138-F182-F184-F183</f>
        <v>0</v>
      </c>
      <c r="I182" s="119"/>
    </row>
    <row r="183" spans="1:9" ht="28.5" hidden="1" x14ac:dyDescent="0.25">
      <c r="A183">
        <v>1829</v>
      </c>
      <c r="B183" s="167"/>
      <c r="C183" s="141"/>
      <c r="D183" s="56">
        <v>28</v>
      </c>
      <c r="E183" s="57" t="s">
        <v>106</v>
      </c>
      <c r="F183">
        <f>183+48+48+61+240+16+31</f>
        <v>627</v>
      </c>
      <c r="G183">
        <f>+C182*F183</f>
        <v>25080</v>
      </c>
      <c r="H183" s="138"/>
      <c r="I183" s="119"/>
    </row>
    <row r="184" spans="1:9" ht="28.5" hidden="1" x14ac:dyDescent="0.25">
      <c r="A184">
        <v>1829</v>
      </c>
      <c r="B184" s="167"/>
      <c r="C184" s="140"/>
      <c r="D184" s="56">
        <v>7</v>
      </c>
      <c r="E184" s="57" t="s">
        <v>85</v>
      </c>
      <c r="F184">
        <v>477</v>
      </c>
      <c r="G184">
        <f>+C182*F184</f>
        <v>19080</v>
      </c>
      <c r="H184" s="138"/>
      <c r="I184" s="119"/>
    </row>
    <row r="185" spans="1:9" ht="28.5" hidden="1" x14ac:dyDescent="0.25">
      <c r="A185">
        <v>1829</v>
      </c>
      <c r="B185" s="166" t="s">
        <v>41</v>
      </c>
      <c r="C185" s="142">
        <v>40</v>
      </c>
      <c r="D185" s="56">
        <v>14</v>
      </c>
      <c r="E185" s="57" t="s">
        <v>92</v>
      </c>
      <c r="F185">
        <f>61+30+92+121+85+64+64</f>
        <v>517</v>
      </c>
      <c r="G185">
        <f t="shared" si="12"/>
        <v>20680</v>
      </c>
      <c r="H185" s="138">
        <f>$K$138-F185-F189-F188-F186-F187</f>
        <v>0</v>
      </c>
      <c r="I185" s="119"/>
    </row>
    <row r="186" spans="1:9" ht="28.5" hidden="1" x14ac:dyDescent="0.25">
      <c r="A186">
        <v>1829</v>
      </c>
      <c r="B186" s="166"/>
      <c r="C186" s="155"/>
      <c r="D186" s="56">
        <v>22</v>
      </c>
      <c r="E186" s="57" t="s">
        <v>100</v>
      </c>
      <c r="F186">
        <f>248+61+91+92+30+188</f>
        <v>710</v>
      </c>
      <c r="G186">
        <f>+C185*F186</f>
        <v>28400</v>
      </c>
      <c r="H186" s="138"/>
      <c r="I186" s="119"/>
    </row>
    <row r="187" spans="1:9" ht="28.5" hidden="1" x14ac:dyDescent="0.25">
      <c r="A187">
        <v>1829</v>
      </c>
      <c r="B187" s="166"/>
      <c r="C187" s="155"/>
      <c r="D187" s="56">
        <v>7</v>
      </c>
      <c r="E187" s="57" t="s">
        <v>85</v>
      </c>
      <c r="F187">
        <v>61</v>
      </c>
      <c r="G187">
        <f>+C185*F187</f>
        <v>2440</v>
      </c>
      <c r="H187" s="138"/>
      <c r="I187" s="119"/>
    </row>
    <row r="188" spans="1:9" ht="28.5" hidden="1" x14ac:dyDescent="0.25">
      <c r="A188">
        <v>1829</v>
      </c>
      <c r="B188" s="166"/>
      <c r="C188" s="155"/>
      <c r="D188" s="56">
        <v>9</v>
      </c>
      <c r="E188" s="57" t="s">
        <v>87</v>
      </c>
      <c r="F188">
        <f>92+91+31+48+48+48+25</f>
        <v>383</v>
      </c>
      <c r="G188">
        <f>+C185*F188</f>
        <v>15320</v>
      </c>
      <c r="H188" s="138"/>
      <c r="I188" s="119"/>
    </row>
    <row r="189" spans="1:9" hidden="1" x14ac:dyDescent="0.25">
      <c r="A189">
        <v>1829</v>
      </c>
      <c r="B189" s="166"/>
      <c r="C189" s="155"/>
      <c r="D189" s="56">
        <v>4</v>
      </c>
      <c r="E189" s="57" t="s">
        <v>21</v>
      </c>
      <c r="F189">
        <f>184+48+56+31+61+64</f>
        <v>444</v>
      </c>
      <c r="G189">
        <f>+C185*F189</f>
        <v>17760</v>
      </c>
      <c r="H189" s="138"/>
      <c r="I189" s="119"/>
    </row>
    <row r="190" spans="1:9" hidden="1" x14ac:dyDescent="0.25">
      <c r="A190">
        <v>1829</v>
      </c>
      <c r="B190" s="31" t="s">
        <v>32</v>
      </c>
      <c r="C190" s="32">
        <v>15</v>
      </c>
      <c r="G190">
        <f t="shared" si="12"/>
        <v>0</v>
      </c>
      <c r="H190" s="62">
        <f>$K$138-F190</f>
        <v>2115</v>
      </c>
      <c r="I190" s="119"/>
    </row>
    <row r="191" spans="1:9" hidden="1" x14ac:dyDescent="0.25">
      <c r="A191">
        <v>1829</v>
      </c>
      <c r="B191" t="s">
        <v>42</v>
      </c>
      <c r="C191" s="28">
        <f>8.5*2</f>
        <v>17</v>
      </c>
      <c r="G191">
        <f t="shared" si="12"/>
        <v>0</v>
      </c>
      <c r="H191" s="62">
        <f>$K$138-F191</f>
        <v>2115</v>
      </c>
      <c r="I191" s="119"/>
    </row>
    <row r="192" spans="1:9" hidden="1" x14ac:dyDescent="0.25">
      <c r="A192">
        <v>1829</v>
      </c>
      <c r="B192" s="30" t="s">
        <v>43</v>
      </c>
      <c r="C192" s="28">
        <v>45</v>
      </c>
      <c r="G192">
        <f t="shared" si="12"/>
        <v>0</v>
      </c>
      <c r="H192" s="62">
        <f>$K$138-F192</f>
        <v>2115</v>
      </c>
      <c r="I192" s="119"/>
    </row>
    <row r="193" spans="1:9" hidden="1" x14ac:dyDescent="0.25">
      <c r="A193">
        <v>1829</v>
      </c>
      <c r="B193" s="30" t="s">
        <v>44</v>
      </c>
      <c r="C193" s="28">
        <v>70</v>
      </c>
      <c r="G193">
        <f t="shared" si="12"/>
        <v>0</v>
      </c>
      <c r="H193" s="62">
        <f>$K$138-F193</f>
        <v>2115</v>
      </c>
      <c r="I193" s="119"/>
    </row>
    <row r="194" spans="1:9" ht="28.5" hidden="1" x14ac:dyDescent="0.25">
      <c r="A194">
        <v>1829</v>
      </c>
      <c r="B194" s="144" t="s">
        <v>128</v>
      </c>
      <c r="C194" s="139">
        <v>240</v>
      </c>
      <c r="D194" s="56">
        <v>30</v>
      </c>
      <c r="E194" s="57" t="s">
        <v>119</v>
      </c>
      <c r="F194">
        <v>90</v>
      </c>
      <c r="G194">
        <f t="shared" si="12"/>
        <v>21600</v>
      </c>
      <c r="H194" s="138">
        <f>$K$138-F194-F195-F196-F198-F197</f>
        <v>12</v>
      </c>
      <c r="I194" s="119"/>
    </row>
    <row r="195" spans="1:9" ht="28.5" hidden="1" x14ac:dyDescent="0.25">
      <c r="A195">
        <v>1829</v>
      </c>
      <c r="B195" s="146"/>
      <c r="C195" s="141"/>
      <c r="D195" s="56">
        <v>10</v>
      </c>
      <c r="E195" s="57" t="s">
        <v>88</v>
      </c>
      <c r="F195">
        <v>90</v>
      </c>
      <c r="G195">
        <f>+C194*F195</f>
        <v>21600</v>
      </c>
      <c r="H195" s="138"/>
      <c r="I195" s="119"/>
    </row>
    <row r="196" spans="1:9" ht="28.5" hidden="1" x14ac:dyDescent="0.25">
      <c r="A196">
        <v>1829</v>
      </c>
      <c r="B196" s="146"/>
      <c r="C196" s="141"/>
      <c r="D196" s="56">
        <v>9</v>
      </c>
      <c r="E196" s="57" t="s">
        <v>87</v>
      </c>
      <c r="F196">
        <f>55+92+48+48+55+92+61+31+81+109+30</f>
        <v>702</v>
      </c>
      <c r="G196">
        <f>+C194*F196</f>
        <v>168480</v>
      </c>
      <c r="H196" s="138"/>
      <c r="I196" s="119"/>
    </row>
    <row r="197" spans="1:9" hidden="1" x14ac:dyDescent="0.25">
      <c r="A197">
        <v>1829</v>
      </c>
      <c r="B197" s="146"/>
      <c r="C197" s="141"/>
      <c r="D197" s="56">
        <v>4</v>
      </c>
      <c r="E197" s="57" t="s">
        <v>21</v>
      </c>
      <c r="F197">
        <f>48+93+48+41+91+91+91+31+43+43+43</f>
        <v>663</v>
      </c>
      <c r="G197">
        <f>+C194*F197</f>
        <v>159120</v>
      </c>
      <c r="H197" s="138"/>
      <c r="I197" s="119"/>
    </row>
    <row r="198" spans="1:9" hidden="1" x14ac:dyDescent="0.25">
      <c r="A198">
        <v>1829</v>
      </c>
      <c r="B198" s="145"/>
      <c r="C198" s="140"/>
      <c r="D198" s="56">
        <v>32</v>
      </c>
      <c r="E198" s="57" t="s">
        <v>138</v>
      </c>
      <c r="F198">
        <f>91+61+48+24+85+92+52+105</f>
        <v>558</v>
      </c>
      <c r="G198">
        <f>+C194*F198</f>
        <v>133920</v>
      </c>
      <c r="H198" s="138"/>
      <c r="I198" s="119"/>
    </row>
    <row r="199" spans="1:9" ht="30" hidden="1" x14ac:dyDescent="0.25">
      <c r="A199">
        <v>1829</v>
      </c>
      <c r="B199" s="33" t="s">
        <v>45</v>
      </c>
      <c r="C199" s="28">
        <v>70</v>
      </c>
      <c r="G199">
        <f t="shared" si="12"/>
        <v>0</v>
      </c>
      <c r="H199" s="62">
        <f>$K$138-F199</f>
        <v>2115</v>
      </c>
      <c r="I199" s="119"/>
    </row>
    <row r="200" spans="1:9" ht="21" hidden="1" x14ac:dyDescent="0.35">
      <c r="A200" s="104" t="s">
        <v>46</v>
      </c>
      <c r="B200" s="55"/>
      <c r="C200" s="55"/>
      <c r="D200" s="55"/>
      <c r="E200" s="55"/>
      <c r="F200" s="55"/>
      <c r="G200" s="55"/>
      <c r="H200" s="87"/>
      <c r="I200" s="119"/>
    </row>
    <row r="201" spans="1:9" ht="28.5" hidden="1" x14ac:dyDescent="0.25">
      <c r="A201">
        <v>1829</v>
      </c>
      <c r="B201" s="30" t="s">
        <v>47</v>
      </c>
      <c r="C201" s="34">
        <v>12</v>
      </c>
      <c r="D201" s="56">
        <v>15</v>
      </c>
      <c r="E201" s="57" t="s">
        <v>93</v>
      </c>
      <c r="F201">
        <v>600</v>
      </c>
      <c r="G201">
        <f>+C201*F201</f>
        <v>7200</v>
      </c>
      <c r="H201" s="62">
        <f>$K$138-F201</f>
        <v>1515</v>
      </c>
      <c r="I201" s="119"/>
    </row>
    <row r="202" spans="1:9" hidden="1" x14ac:dyDescent="0.25">
      <c r="A202">
        <v>1829</v>
      </c>
      <c r="B202" s="30" t="s">
        <v>48</v>
      </c>
      <c r="C202" s="34">
        <v>28</v>
      </c>
      <c r="G202">
        <f>+C202*F202</f>
        <v>0</v>
      </c>
      <c r="H202" s="62">
        <f>$K$138-F202</f>
        <v>2115</v>
      </c>
      <c r="I202" s="119"/>
    </row>
    <row r="203" spans="1:9" ht="28.5" hidden="1" x14ac:dyDescent="0.25">
      <c r="A203">
        <v>1829</v>
      </c>
      <c r="B203" s="22" t="s">
        <v>49</v>
      </c>
      <c r="C203" s="34">
        <v>20</v>
      </c>
      <c r="D203" s="56">
        <v>15</v>
      </c>
      <c r="E203" s="57" t="s">
        <v>93</v>
      </c>
      <c r="F203">
        <v>2115</v>
      </c>
      <c r="G203">
        <f>+C203*F203</f>
        <v>42300</v>
      </c>
      <c r="H203" s="62">
        <f>$K$138-F203</f>
        <v>0</v>
      </c>
      <c r="I203" s="119"/>
    </row>
    <row r="204" spans="1:9" ht="21" hidden="1" x14ac:dyDescent="0.35">
      <c r="A204" s="104" t="s">
        <v>50</v>
      </c>
      <c r="B204" s="55"/>
      <c r="C204" s="55"/>
      <c r="D204" s="55"/>
      <c r="E204" s="55"/>
      <c r="F204" s="55"/>
      <c r="G204" s="55"/>
      <c r="H204" s="87"/>
      <c r="I204" s="119"/>
    </row>
    <row r="205" spans="1:9" hidden="1" x14ac:dyDescent="0.25">
      <c r="A205">
        <v>1829</v>
      </c>
      <c r="B205" s="22" t="s">
        <v>51</v>
      </c>
      <c r="C205" s="34">
        <v>36</v>
      </c>
      <c r="D205" s="56">
        <v>34</v>
      </c>
      <c r="E205" s="57" t="s">
        <v>141</v>
      </c>
      <c r="F205">
        <v>2115</v>
      </c>
      <c r="G205">
        <f>+C205*F205</f>
        <v>76140</v>
      </c>
      <c r="H205" s="62">
        <f>$K$138-F205</f>
        <v>0</v>
      </c>
      <c r="I205" s="119"/>
    </row>
    <row r="206" spans="1:9" hidden="1" x14ac:dyDescent="0.25">
      <c r="A206">
        <v>1829</v>
      </c>
      <c r="B206" s="22" t="s">
        <v>52</v>
      </c>
      <c r="C206" s="34">
        <v>15</v>
      </c>
      <c r="G206">
        <f>+C206*F206</f>
        <v>0</v>
      </c>
      <c r="H206" s="62">
        <f>$K$138-F206</f>
        <v>2115</v>
      </c>
      <c r="I206" s="119"/>
    </row>
    <row r="207" spans="1:9" ht="21" hidden="1" x14ac:dyDescent="0.35">
      <c r="A207" s="104" t="s">
        <v>20</v>
      </c>
      <c r="B207" s="55"/>
      <c r="C207" s="55"/>
      <c r="D207" s="55"/>
      <c r="E207" s="55"/>
      <c r="F207" s="55"/>
      <c r="G207" s="55"/>
      <c r="H207" s="87"/>
      <c r="I207" s="119"/>
    </row>
    <row r="208" spans="1:9" hidden="1" x14ac:dyDescent="0.25">
      <c r="A208">
        <v>1829</v>
      </c>
      <c r="B208" s="22" t="s">
        <v>53</v>
      </c>
      <c r="C208" s="142">
        <v>90</v>
      </c>
      <c r="D208" s="56">
        <v>32</v>
      </c>
      <c r="E208" s="57" t="s">
        <v>138</v>
      </c>
      <c r="F208">
        <f>304+12+43+40</f>
        <v>399</v>
      </c>
      <c r="G208">
        <f t="shared" ref="G208:G227" si="13">+C208*F208</f>
        <v>35910</v>
      </c>
      <c r="H208" s="151">
        <f>$K$138-F208-F209</f>
        <v>0</v>
      </c>
      <c r="I208" s="119"/>
    </row>
    <row r="209" spans="1:9" ht="28.5" hidden="1" x14ac:dyDescent="0.25">
      <c r="A209">
        <v>1829</v>
      </c>
      <c r="B209" s="22" t="s">
        <v>53</v>
      </c>
      <c r="C209" s="143"/>
      <c r="D209" s="56">
        <v>15</v>
      </c>
      <c r="E209" s="57" t="s">
        <v>93</v>
      </c>
      <c r="F209">
        <v>1716</v>
      </c>
      <c r="G209">
        <f>+C208*F209</f>
        <v>154440</v>
      </c>
      <c r="H209" s="138"/>
      <c r="I209" s="119"/>
    </row>
    <row r="210" spans="1:9" ht="42.75" hidden="1" x14ac:dyDescent="0.25">
      <c r="A210">
        <v>1829</v>
      </c>
      <c r="B210" s="22" t="s">
        <v>54</v>
      </c>
      <c r="C210" s="142">
        <v>71</v>
      </c>
      <c r="D210" s="56">
        <v>29</v>
      </c>
      <c r="E210" s="57" t="s">
        <v>107</v>
      </c>
      <c r="F210">
        <f>2115-26-324</f>
        <v>1765</v>
      </c>
      <c r="G210">
        <f t="shared" si="13"/>
        <v>125315</v>
      </c>
      <c r="H210" s="137">
        <f>$K$138-F210-F212-F211</f>
        <v>0</v>
      </c>
      <c r="I210" s="119"/>
    </row>
    <row r="211" spans="1:9" ht="28.5" hidden="1" x14ac:dyDescent="0.25">
      <c r="A211">
        <v>1829</v>
      </c>
      <c r="B211" s="22" t="s">
        <v>54</v>
      </c>
      <c r="C211" s="155"/>
      <c r="D211" s="56">
        <v>5</v>
      </c>
      <c r="E211" s="57" t="s">
        <v>83</v>
      </c>
      <c r="F211">
        <f>91+92+141</f>
        <v>324</v>
      </c>
      <c r="G211">
        <f>+C210*F211</f>
        <v>23004</v>
      </c>
      <c r="H211" s="138"/>
      <c r="I211" s="119"/>
    </row>
    <row r="212" spans="1:9" ht="28.5" hidden="1" x14ac:dyDescent="0.25">
      <c r="A212">
        <v>1829</v>
      </c>
      <c r="B212" s="22" t="s">
        <v>54</v>
      </c>
      <c r="C212" s="143"/>
      <c r="D212" s="56">
        <v>15</v>
      </c>
      <c r="E212" s="57" t="s">
        <v>93</v>
      </c>
      <c r="F212">
        <v>26</v>
      </c>
      <c r="G212">
        <f>+C210*F212</f>
        <v>1846</v>
      </c>
      <c r="H212" s="138"/>
      <c r="I212" s="119"/>
    </row>
    <row r="213" spans="1:9" ht="42.75" hidden="1" x14ac:dyDescent="0.25">
      <c r="A213">
        <v>1829</v>
      </c>
      <c r="B213" s="22" t="s">
        <v>55</v>
      </c>
      <c r="C213" s="28">
        <v>85</v>
      </c>
      <c r="D213" s="56">
        <v>21</v>
      </c>
      <c r="E213" s="57" t="s">
        <v>99</v>
      </c>
      <c r="F213">
        <v>2105</v>
      </c>
      <c r="G213">
        <f t="shared" si="13"/>
        <v>178925</v>
      </c>
      <c r="H213" s="62">
        <f>$K$138-F213</f>
        <v>10</v>
      </c>
      <c r="I213" s="119"/>
    </row>
    <row r="214" spans="1:9" ht="28.5" hidden="1" x14ac:dyDescent="0.25">
      <c r="A214">
        <v>1829</v>
      </c>
      <c r="B214" s="144" t="s">
        <v>56</v>
      </c>
      <c r="C214" s="139">
        <v>75</v>
      </c>
      <c r="D214" s="56">
        <v>7</v>
      </c>
      <c r="E214" s="57" t="s">
        <v>85</v>
      </c>
      <c r="F214">
        <v>194</v>
      </c>
      <c r="G214">
        <f t="shared" si="13"/>
        <v>14550</v>
      </c>
      <c r="H214" s="138">
        <f>$K$138-F214-F215</f>
        <v>0</v>
      </c>
      <c r="I214" s="119"/>
    </row>
    <row r="215" spans="1:9" ht="42.75" hidden="1" x14ac:dyDescent="0.25">
      <c r="A215">
        <v>1829</v>
      </c>
      <c r="B215" s="145"/>
      <c r="C215" s="140"/>
      <c r="D215" s="56">
        <v>29</v>
      </c>
      <c r="E215" s="57" t="s">
        <v>107</v>
      </c>
      <c r="F215">
        <v>1921</v>
      </c>
      <c r="G215">
        <f>+C214*F215</f>
        <v>144075</v>
      </c>
      <c r="H215" s="138"/>
      <c r="I215" s="119"/>
    </row>
    <row r="216" spans="1:9" ht="28.5" hidden="1" x14ac:dyDescent="0.25">
      <c r="A216">
        <v>1829</v>
      </c>
      <c r="B216" s="22" t="s">
        <v>57</v>
      </c>
      <c r="C216" s="28">
        <v>110</v>
      </c>
      <c r="D216" s="56">
        <v>3</v>
      </c>
      <c r="E216" s="57" t="s">
        <v>82</v>
      </c>
      <c r="F216">
        <v>2115</v>
      </c>
      <c r="G216">
        <f t="shared" si="13"/>
        <v>232650</v>
      </c>
      <c r="H216" s="62">
        <f>$K$138-F216</f>
        <v>0</v>
      </c>
      <c r="I216" s="119"/>
    </row>
    <row r="217" spans="1:9" ht="28.5" hidden="1" x14ac:dyDescent="0.25">
      <c r="A217">
        <v>1829</v>
      </c>
      <c r="B217" s="22" t="s">
        <v>58</v>
      </c>
      <c r="C217" s="28">
        <v>121.00000000000001</v>
      </c>
      <c r="D217" s="56">
        <v>1</v>
      </c>
      <c r="E217" s="57" t="s">
        <v>80</v>
      </c>
      <c r="F217">
        <v>2115</v>
      </c>
      <c r="G217">
        <f t="shared" si="13"/>
        <v>255915.00000000003</v>
      </c>
      <c r="H217" s="62">
        <f>$K$138-F217</f>
        <v>0</v>
      </c>
      <c r="I217" s="119"/>
    </row>
    <row r="218" spans="1:9" hidden="1" x14ac:dyDescent="0.25">
      <c r="A218">
        <v>1829</v>
      </c>
      <c r="B218" s="33" t="s">
        <v>59</v>
      </c>
      <c r="C218" s="28">
        <v>70</v>
      </c>
      <c r="G218">
        <f t="shared" si="13"/>
        <v>0</v>
      </c>
      <c r="H218" s="62">
        <f>$K$138-F218</f>
        <v>2115</v>
      </c>
      <c r="I218" s="119"/>
    </row>
    <row r="219" spans="1:9" ht="28.5" hidden="1" x14ac:dyDescent="0.25">
      <c r="A219">
        <v>1829</v>
      </c>
      <c r="B219" s="144" t="s">
        <v>60</v>
      </c>
      <c r="C219" s="139">
        <v>120</v>
      </c>
      <c r="D219" s="56">
        <v>6</v>
      </c>
      <c r="E219" s="57" t="s">
        <v>84</v>
      </c>
      <c r="F219">
        <f>163+500+500</f>
        <v>1163</v>
      </c>
      <c r="G219">
        <f t="shared" si="13"/>
        <v>139560</v>
      </c>
      <c r="H219" s="138">
        <f>$K$138-F219-F220</f>
        <v>0</v>
      </c>
      <c r="I219" s="119"/>
    </row>
    <row r="220" spans="1:9" ht="28.5" hidden="1" x14ac:dyDescent="0.25">
      <c r="A220">
        <v>1829</v>
      </c>
      <c r="B220" s="145"/>
      <c r="C220" s="140"/>
      <c r="D220" s="56">
        <v>25</v>
      </c>
      <c r="E220" s="57" t="s">
        <v>103</v>
      </c>
      <c r="F220">
        <f>234+250+306+216-54</f>
        <v>952</v>
      </c>
      <c r="G220">
        <f>+C219*F220</f>
        <v>114240</v>
      </c>
      <c r="H220" s="138"/>
      <c r="I220" s="119"/>
    </row>
    <row r="221" spans="1:9" hidden="1" x14ac:dyDescent="0.25">
      <c r="A221">
        <v>1829</v>
      </c>
      <c r="B221" s="156" t="s">
        <v>78</v>
      </c>
      <c r="C221" s="158">
        <f>8.5*24</f>
        <v>204</v>
      </c>
      <c r="D221" s="56">
        <v>11</v>
      </c>
      <c r="E221" s="57" t="s">
        <v>89</v>
      </c>
      <c r="F221">
        <v>898</v>
      </c>
      <c r="G221">
        <f t="shared" si="13"/>
        <v>183192</v>
      </c>
      <c r="H221" s="138">
        <f>$K$138-F221-F223-F222</f>
        <v>0</v>
      </c>
      <c r="I221" s="119"/>
    </row>
    <row r="222" spans="1:9" ht="28.5" hidden="1" x14ac:dyDescent="0.25">
      <c r="B222" s="157"/>
      <c r="C222" s="159"/>
      <c r="D222" s="56">
        <v>12</v>
      </c>
      <c r="E222" s="57" t="s">
        <v>90</v>
      </c>
      <c r="F222">
        <v>1182</v>
      </c>
      <c r="G222">
        <f>+C221*F222</f>
        <v>241128</v>
      </c>
      <c r="H222" s="138"/>
      <c r="I222" s="119"/>
    </row>
    <row r="223" spans="1:9" hidden="1" x14ac:dyDescent="0.25">
      <c r="A223">
        <v>1829</v>
      </c>
      <c r="B223" s="120" t="s">
        <v>144</v>
      </c>
      <c r="C223" s="121">
        <f>8.5*28</f>
        <v>238</v>
      </c>
      <c r="D223" s="56">
        <v>11</v>
      </c>
      <c r="E223" s="57" t="s">
        <v>89</v>
      </c>
      <c r="F223">
        <v>35</v>
      </c>
      <c r="G223">
        <f t="shared" si="13"/>
        <v>8330</v>
      </c>
      <c r="H223" s="138"/>
      <c r="I223" s="119"/>
    </row>
    <row r="224" spans="1:9" ht="28.5" hidden="1" x14ac:dyDescent="0.25">
      <c r="A224">
        <v>1829</v>
      </c>
      <c r="B224" s="25" t="s">
        <v>65</v>
      </c>
      <c r="C224" s="28">
        <v>29.999999999999996</v>
      </c>
      <c r="D224" s="56">
        <v>17</v>
      </c>
      <c r="E224" s="57" t="s">
        <v>95</v>
      </c>
      <c r="F224">
        <v>862</v>
      </c>
      <c r="G224">
        <f t="shared" si="13"/>
        <v>25859.999999999996</v>
      </c>
      <c r="H224" s="62">
        <f>$K$138-F224</f>
        <v>1253</v>
      </c>
      <c r="I224" s="119"/>
    </row>
    <row r="225" spans="1:12" ht="28.5" hidden="1" x14ac:dyDescent="0.25">
      <c r="A225">
        <v>1829</v>
      </c>
      <c r="B225" s="161" t="s">
        <v>77</v>
      </c>
      <c r="C225" s="139">
        <v>80</v>
      </c>
      <c r="D225" s="56">
        <v>14</v>
      </c>
      <c r="E225" s="57" t="s">
        <v>92</v>
      </c>
      <c r="F225">
        <f>45+12+43+42+50</f>
        <v>192</v>
      </c>
      <c r="G225">
        <f t="shared" si="13"/>
        <v>15360</v>
      </c>
      <c r="H225" s="138">
        <f>$K$138-F225-F226</f>
        <v>458</v>
      </c>
      <c r="I225" s="119"/>
    </row>
    <row r="226" spans="1:12" hidden="1" x14ac:dyDescent="0.25">
      <c r="A226">
        <v>1829</v>
      </c>
      <c r="B226" s="162"/>
      <c r="C226" s="140"/>
      <c r="D226" s="56">
        <v>31</v>
      </c>
      <c r="E226" s="57" t="s">
        <v>130</v>
      </c>
      <c r="F226">
        <v>1465</v>
      </c>
      <c r="G226">
        <f>+C225*F226</f>
        <v>117200</v>
      </c>
      <c r="H226" s="138"/>
      <c r="I226" s="119"/>
    </row>
    <row r="227" spans="1:12" ht="28.5" hidden="1" x14ac:dyDescent="0.25">
      <c r="A227">
        <v>1829</v>
      </c>
      <c r="B227" s="163" t="s">
        <v>72</v>
      </c>
      <c r="C227" s="139">
        <v>59.999999999999993</v>
      </c>
      <c r="D227" s="56">
        <v>7</v>
      </c>
      <c r="E227" s="57" t="s">
        <v>85</v>
      </c>
      <c r="F227">
        <v>2074</v>
      </c>
      <c r="G227">
        <f t="shared" si="13"/>
        <v>124439.99999999999</v>
      </c>
      <c r="H227" s="138">
        <f>$K$138-F227-F228</f>
        <v>0</v>
      </c>
      <c r="I227" s="119"/>
    </row>
    <row r="228" spans="1:12" hidden="1" x14ac:dyDescent="0.25">
      <c r="A228">
        <v>1829</v>
      </c>
      <c r="B228" s="164"/>
      <c r="C228" s="140"/>
      <c r="D228" s="56">
        <v>34</v>
      </c>
      <c r="E228" s="57" t="s">
        <v>141</v>
      </c>
      <c r="F228">
        <v>41</v>
      </c>
      <c r="G228">
        <f>+C227*F228</f>
        <v>2459.9999999999995</v>
      </c>
      <c r="H228" s="138"/>
      <c r="I228" s="119"/>
    </row>
    <row r="229" spans="1:12" ht="21" hidden="1" x14ac:dyDescent="0.35">
      <c r="A229" s="105" t="s">
        <v>19</v>
      </c>
      <c r="B229" s="58"/>
      <c r="C229" s="58"/>
      <c r="D229" s="58"/>
      <c r="E229" s="58"/>
      <c r="F229" s="58"/>
      <c r="G229" s="58"/>
      <c r="H229" s="88"/>
      <c r="I229" s="21"/>
      <c r="J229" s="60" t="s">
        <v>115</v>
      </c>
      <c r="K229" s="112">
        <v>511</v>
      </c>
    </row>
    <row r="230" spans="1:12" ht="21" x14ac:dyDescent="0.35">
      <c r="A230" t="s">
        <v>132</v>
      </c>
      <c r="B230" s="20" t="s">
        <v>22</v>
      </c>
      <c r="C230" s="34">
        <v>15</v>
      </c>
      <c r="D230" s="56">
        <v>34</v>
      </c>
      <c r="E230" s="57" t="s">
        <v>141</v>
      </c>
      <c r="F230">
        <v>511</v>
      </c>
      <c r="G230">
        <f t="shared" ref="G230:G255" si="14">+C230*F230</f>
        <v>7665</v>
      </c>
      <c r="H230" s="62">
        <f t="shared" ref="H230:H245" si="15">$K$229-F230</f>
        <v>0</v>
      </c>
      <c r="J230" s="60" t="s">
        <v>116</v>
      </c>
      <c r="K230" s="115">
        <v>2719</v>
      </c>
    </row>
    <row r="231" spans="1:12" ht="21" x14ac:dyDescent="0.35">
      <c r="A231" t="s">
        <v>132</v>
      </c>
      <c r="B231" s="20" t="s">
        <v>23</v>
      </c>
      <c r="C231" s="34">
        <v>20</v>
      </c>
      <c r="D231" s="56">
        <v>34</v>
      </c>
      <c r="E231" s="57" t="s">
        <v>141</v>
      </c>
      <c r="F231">
        <v>511</v>
      </c>
      <c r="G231">
        <f t="shared" si="14"/>
        <v>10220</v>
      </c>
      <c r="H231" s="62">
        <f t="shared" si="15"/>
        <v>0</v>
      </c>
      <c r="J231" s="60" t="s">
        <v>117</v>
      </c>
      <c r="K231" s="117">
        <f>+K229*K230</f>
        <v>1389409</v>
      </c>
    </row>
    <row r="232" spans="1:12" ht="21" x14ac:dyDescent="0.35">
      <c r="A232" t="s">
        <v>132</v>
      </c>
      <c r="B232" s="20" t="s">
        <v>24</v>
      </c>
      <c r="C232" s="34">
        <v>15</v>
      </c>
      <c r="D232" s="56">
        <v>34</v>
      </c>
      <c r="E232" s="57" t="s">
        <v>141</v>
      </c>
      <c r="F232">
        <v>511</v>
      </c>
      <c r="G232">
        <f t="shared" si="14"/>
        <v>7665</v>
      </c>
      <c r="H232" s="62">
        <f t="shared" si="15"/>
        <v>0</v>
      </c>
      <c r="J232" s="60" t="s">
        <v>166</v>
      </c>
      <c r="K232" s="124">
        <f>SUM(G230:G287)</f>
        <v>775539</v>
      </c>
    </row>
    <row r="233" spans="1:12" ht="28.5" hidden="1" x14ac:dyDescent="0.3">
      <c r="A233" t="s">
        <v>132</v>
      </c>
      <c r="B233" s="29" t="s">
        <v>108</v>
      </c>
      <c r="C233" s="34">
        <v>12</v>
      </c>
      <c r="D233" s="56">
        <v>26</v>
      </c>
      <c r="E233" s="57" t="s">
        <v>104</v>
      </c>
      <c r="F233">
        <v>511</v>
      </c>
      <c r="G233">
        <f t="shared" si="14"/>
        <v>6132</v>
      </c>
      <c r="H233" s="62">
        <f t="shared" si="15"/>
        <v>0</v>
      </c>
      <c r="K233" s="124"/>
      <c r="L233" s="125"/>
    </row>
    <row r="234" spans="1:12" ht="18.75" hidden="1" x14ac:dyDescent="0.3">
      <c r="A234" t="s">
        <v>132</v>
      </c>
      <c r="B234" s="30" t="s">
        <v>109</v>
      </c>
      <c r="C234" s="28">
        <v>10</v>
      </c>
      <c r="G234">
        <f t="shared" si="14"/>
        <v>0</v>
      </c>
      <c r="H234" s="62">
        <f t="shared" si="15"/>
        <v>511</v>
      </c>
      <c r="L234" s="125"/>
    </row>
    <row r="235" spans="1:12" ht="28.5" hidden="1" x14ac:dyDescent="0.25">
      <c r="A235" t="s">
        <v>132</v>
      </c>
      <c r="B235" s="22" t="s">
        <v>110</v>
      </c>
      <c r="C235" s="28">
        <v>20</v>
      </c>
      <c r="D235" s="56">
        <v>26</v>
      </c>
      <c r="E235" s="57" t="s">
        <v>104</v>
      </c>
      <c r="F235">
        <v>511</v>
      </c>
      <c r="G235">
        <f t="shared" si="14"/>
        <v>10220</v>
      </c>
      <c r="H235" s="62">
        <f t="shared" si="15"/>
        <v>0</v>
      </c>
    </row>
    <row r="236" spans="1:12" ht="28.5" hidden="1" x14ac:dyDescent="0.25">
      <c r="A236" t="s">
        <v>132</v>
      </c>
      <c r="B236" s="25" t="s">
        <v>25</v>
      </c>
      <c r="C236" s="28">
        <v>50</v>
      </c>
      <c r="D236" s="56">
        <v>26</v>
      </c>
      <c r="E236" s="57" t="s">
        <v>104</v>
      </c>
      <c r="F236">
        <v>511</v>
      </c>
      <c r="G236">
        <f t="shared" si="14"/>
        <v>25550</v>
      </c>
      <c r="H236" s="62">
        <f t="shared" si="15"/>
        <v>0</v>
      </c>
    </row>
    <row r="237" spans="1:12" hidden="1" x14ac:dyDescent="0.25">
      <c r="A237" t="s">
        <v>132</v>
      </c>
      <c r="B237" s="30" t="s">
        <v>26</v>
      </c>
      <c r="C237" s="28">
        <v>10</v>
      </c>
      <c r="G237">
        <f t="shared" si="14"/>
        <v>0</v>
      </c>
      <c r="H237" s="62">
        <f t="shared" si="15"/>
        <v>511</v>
      </c>
    </row>
    <row r="238" spans="1:12" ht="28.5" hidden="1" x14ac:dyDescent="0.25">
      <c r="A238" t="s">
        <v>132</v>
      </c>
      <c r="B238" s="22" t="s">
        <v>27</v>
      </c>
      <c r="C238" s="28">
        <v>80</v>
      </c>
      <c r="D238" s="56">
        <v>17</v>
      </c>
      <c r="E238" s="57" t="s">
        <v>95</v>
      </c>
      <c r="F238">
        <v>511</v>
      </c>
      <c r="G238">
        <f t="shared" si="14"/>
        <v>40880</v>
      </c>
      <c r="H238" s="62">
        <f t="shared" si="15"/>
        <v>0</v>
      </c>
    </row>
    <row r="239" spans="1:12" hidden="1" x14ac:dyDescent="0.25">
      <c r="A239" t="s">
        <v>132</v>
      </c>
      <c r="B239" s="30" t="s">
        <v>28</v>
      </c>
      <c r="C239" s="28">
        <v>15</v>
      </c>
      <c r="G239">
        <f t="shared" si="14"/>
        <v>0</v>
      </c>
      <c r="H239" s="62">
        <f t="shared" si="15"/>
        <v>511</v>
      </c>
    </row>
    <row r="240" spans="1:12" ht="28.5" hidden="1" x14ac:dyDescent="0.25">
      <c r="A240" t="s">
        <v>132</v>
      </c>
      <c r="B240" s="22" t="s">
        <v>29</v>
      </c>
      <c r="C240" s="28">
        <v>40</v>
      </c>
      <c r="D240" s="56">
        <v>16</v>
      </c>
      <c r="E240" s="57" t="s">
        <v>94</v>
      </c>
      <c r="F240">
        <f>110+54+48+36+48</f>
        <v>296</v>
      </c>
      <c r="G240">
        <f t="shared" si="14"/>
        <v>11840</v>
      </c>
      <c r="H240" s="62">
        <f t="shared" si="15"/>
        <v>215</v>
      </c>
    </row>
    <row r="241" spans="1:8" hidden="1" x14ac:dyDescent="0.25">
      <c r="A241" t="s">
        <v>132</v>
      </c>
      <c r="B241" s="30" t="s">
        <v>30</v>
      </c>
      <c r="C241" s="28">
        <v>15</v>
      </c>
      <c r="G241">
        <f t="shared" si="14"/>
        <v>0</v>
      </c>
      <c r="H241" s="62">
        <f t="shared" si="15"/>
        <v>511</v>
      </c>
    </row>
    <row r="242" spans="1:8" ht="28.5" hidden="1" x14ac:dyDescent="0.25">
      <c r="A242" t="s">
        <v>132</v>
      </c>
      <c r="B242" s="22" t="s">
        <v>111</v>
      </c>
      <c r="C242" s="28">
        <v>61</v>
      </c>
      <c r="D242" s="56">
        <v>28</v>
      </c>
      <c r="E242" s="57" t="s">
        <v>106</v>
      </c>
      <c r="F242">
        <v>511</v>
      </c>
      <c r="G242">
        <f t="shared" si="14"/>
        <v>31171</v>
      </c>
      <c r="H242" s="62">
        <f t="shared" si="15"/>
        <v>0</v>
      </c>
    </row>
    <row r="243" spans="1:8" ht="28.5" hidden="1" x14ac:dyDescent="0.25">
      <c r="A243" t="s">
        <v>132</v>
      </c>
      <c r="B243" s="22" t="s">
        <v>112</v>
      </c>
      <c r="C243" s="28">
        <v>81</v>
      </c>
      <c r="D243" s="56">
        <v>16</v>
      </c>
      <c r="E243" s="57" t="s">
        <v>94</v>
      </c>
      <c r="F243">
        <v>511</v>
      </c>
      <c r="G243">
        <f t="shared" si="14"/>
        <v>41391</v>
      </c>
      <c r="H243" s="62">
        <f t="shared" si="15"/>
        <v>0</v>
      </c>
    </row>
    <row r="244" spans="1:8" hidden="1" x14ac:dyDescent="0.25">
      <c r="A244" t="s">
        <v>132</v>
      </c>
      <c r="B244" s="30" t="s">
        <v>113</v>
      </c>
      <c r="C244" s="28">
        <v>15</v>
      </c>
      <c r="G244">
        <f t="shared" si="14"/>
        <v>0</v>
      </c>
      <c r="H244" s="62">
        <f t="shared" si="15"/>
        <v>511</v>
      </c>
    </row>
    <row r="245" spans="1:8" ht="28.5" hidden="1" x14ac:dyDescent="0.25">
      <c r="A245" t="s">
        <v>132</v>
      </c>
      <c r="B245" s="22" t="s">
        <v>114</v>
      </c>
      <c r="C245" s="28">
        <v>70</v>
      </c>
      <c r="D245" s="56">
        <v>14</v>
      </c>
      <c r="E245" s="57" t="s">
        <v>92</v>
      </c>
      <c r="F245">
        <v>511</v>
      </c>
      <c r="G245">
        <f t="shared" si="14"/>
        <v>35770</v>
      </c>
      <c r="H245" s="62">
        <f t="shared" si="15"/>
        <v>0</v>
      </c>
    </row>
    <row r="246" spans="1:8" ht="28.5" hidden="1" x14ac:dyDescent="0.25">
      <c r="A246" t="s">
        <v>132</v>
      </c>
      <c r="B246" s="144" t="s">
        <v>33</v>
      </c>
      <c r="C246" s="139">
        <v>100</v>
      </c>
      <c r="D246" s="56">
        <v>14</v>
      </c>
      <c r="E246" s="57" t="s">
        <v>92</v>
      </c>
      <c r="F246">
        <f>22+66+30+24</f>
        <v>142</v>
      </c>
      <c r="G246">
        <f t="shared" si="14"/>
        <v>14200</v>
      </c>
      <c r="H246" s="138">
        <f>$K$229-F246-F247</f>
        <v>74</v>
      </c>
    </row>
    <row r="247" spans="1:8" ht="28.5" hidden="1" x14ac:dyDescent="0.25">
      <c r="A247" t="s">
        <v>132</v>
      </c>
      <c r="B247" s="145"/>
      <c r="C247" s="140"/>
      <c r="D247" s="56">
        <v>24</v>
      </c>
      <c r="E247" s="57" t="s">
        <v>102</v>
      </c>
      <c r="F247">
        <f>66+49+78+48+54</f>
        <v>295</v>
      </c>
      <c r="G247">
        <f>+C246*F247</f>
        <v>29500</v>
      </c>
      <c r="H247" s="138"/>
    </row>
    <row r="248" spans="1:8" ht="28.5" hidden="1" x14ac:dyDescent="0.25">
      <c r="A248" t="s">
        <v>132</v>
      </c>
      <c r="B248" s="144" t="s">
        <v>34</v>
      </c>
      <c r="C248" s="139">
        <v>33</v>
      </c>
      <c r="D248" s="56">
        <v>14</v>
      </c>
      <c r="E248" s="57" t="s">
        <v>92</v>
      </c>
      <c r="F248">
        <v>22</v>
      </c>
      <c r="G248">
        <f t="shared" si="14"/>
        <v>726</v>
      </c>
      <c r="H248" s="138">
        <f>$K$229-F248-F249</f>
        <v>0</v>
      </c>
    </row>
    <row r="249" spans="1:8" ht="28.5" hidden="1" x14ac:dyDescent="0.25">
      <c r="A249" t="s">
        <v>132</v>
      </c>
      <c r="B249" s="145"/>
      <c r="C249" s="140"/>
      <c r="D249" s="56">
        <v>33</v>
      </c>
      <c r="E249" s="57" t="s">
        <v>140</v>
      </c>
      <c r="F249">
        <v>489</v>
      </c>
      <c r="G249">
        <f>+C248*F249</f>
        <v>16137</v>
      </c>
      <c r="H249" s="138"/>
    </row>
    <row r="250" spans="1:8" ht="28.5" hidden="1" x14ac:dyDescent="0.25">
      <c r="A250" t="s">
        <v>132</v>
      </c>
      <c r="B250" s="144" t="s">
        <v>35</v>
      </c>
      <c r="C250" s="139">
        <v>20</v>
      </c>
      <c r="D250" s="56">
        <v>14</v>
      </c>
      <c r="E250" s="57" t="s">
        <v>92</v>
      </c>
      <c r="F250">
        <v>22</v>
      </c>
      <c r="G250">
        <f t="shared" si="14"/>
        <v>440</v>
      </c>
      <c r="H250" s="138">
        <f>$K$229-F250-F251</f>
        <v>0</v>
      </c>
    </row>
    <row r="251" spans="1:8" ht="28.5" hidden="1" x14ac:dyDescent="0.25">
      <c r="A251" t="s">
        <v>132</v>
      </c>
      <c r="B251" s="145"/>
      <c r="C251" s="140"/>
      <c r="D251" s="56">
        <v>33</v>
      </c>
      <c r="E251" s="57" t="s">
        <v>140</v>
      </c>
      <c r="F251">
        <v>489</v>
      </c>
      <c r="G251">
        <f>+C250*F251</f>
        <v>9780</v>
      </c>
      <c r="H251" s="138"/>
    </row>
    <row r="252" spans="1:8" ht="28.5" hidden="1" x14ac:dyDescent="0.25">
      <c r="A252" t="s">
        <v>132</v>
      </c>
      <c r="B252" s="144" t="s">
        <v>36</v>
      </c>
      <c r="C252" s="139">
        <v>33</v>
      </c>
      <c r="D252" s="56">
        <v>14</v>
      </c>
      <c r="E252" s="57" t="s">
        <v>92</v>
      </c>
      <c r="F252">
        <v>22</v>
      </c>
      <c r="G252">
        <f t="shared" si="14"/>
        <v>726</v>
      </c>
      <c r="H252" s="138">
        <f>$K$229-F252-F253</f>
        <v>0</v>
      </c>
    </row>
    <row r="253" spans="1:8" ht="28.5" hidden="1" x14ac:dyDescent="0.25">
      <c r="A253" t="s">
        <v>132</v>
      </c>
      <c r="B253" s="145"/>
      <c r="C253" s="140"/>
      <c r="D253" s="56">
        <v>33</v>
      </c>
      <c r="E253" s="57" t="s">
        <v>140</v>
      </c>
      <c r="F253">
        <v>489</v>
      </c>
      <c r="G253">
        <f>+C252*F253</f>
        <v>16137</v>
      </c>
      <c r="H253" s="138"/>
    </row>
    <row r="254" spans="1:8" ht="28.5" hidden="1" x14ac:dyDescent="0.25">
      <c r="A254" t="s">
        <v>132</v>
      </c>
      <c r="B254" s="22" t="s">
        <v>37</v>
      </c>
      <c r="C254" s="28">
        <v>43</v>
      </c>
      <c r="D254" s="56">
        <v>33</v>
      </c>
      <c r="E254" s="57" t="s">
        <v>140</v>
      </c>
      <c r="F254">
        <v>511</v>
      </c>
      <c r="G254">
        <f t="shared" si="14"/>
        <v>21973</v>
      </c>
      <c r="H254" s="62">
        <f>$K$229-F254</f>
        <v>0</v>
      </c>
    </row>
    <row r="255" spans="1:8" ht="28.5" hidden="1" x14ac:dyDescent="0.25">
      <c r="A255" t="s">
        <v>132</v>
      </c>
      <c r="B255" s="22" t="s">
        <v>38</v>
      </c>
      <c r="C255" s="28">
        <v>120</v>
      </c>
      <c r="D255" s="56">
        <v>18</v>
      </c>
      <c r="E255" s="57" t="s">
        <v>96</v>
      </c>
      <c r="F255">
        <v>511</v>
      </c>
      <c r="G255">
        <f t="shared" si="14"/>
        <v>61320</v>
      </c>
      <c r="H255" s="62">
        <f>$K$229-F255</f>
        <v>0</v>
      </c>
    </row>
    <row r="256" spans="1:8" ht="21" hidden="1" x14ac:dyDescent="0.35">
      <c r="A256" s="106" t="s">
        <v>39</v>
      </c>
      <c r="B256" s="59"/>
      <c r="C256" s="59"/>
      <c r="D256" s="59"/>
      <c r="E256" s="59"/>
      <c r="F256" s="59"/>
      <c r="G256" s="59"/>
      <c r="H256" s="89"/>
    </row>
    <row r="257" spans="1:8" hidden="1" x14ac:dyDescent="0.25">
      <c r="A257" t="s">
        <v>132</v>
      </c>
      <c r="B257" s="52" t="s">
        <v>125</v>
      </c>
      <c r="C257" s="53">
        <v>170</v>
      </c>
      <c r="G257">
        <f t="shared" ref="G257:G266" si="16">+C257*F257</f>
        <v>0</v>
      </c>
      <c r="H257" s="62">
        <f t="shared" ref="H257:H262" si="17">$K$229-F257</f>
        <v>511</v>
      </c>
    </row>
    <row r="258" spans="1:8" ht="28.5" hidden="1" x14ac:dyDescent="0.25">
      <c r="A258" t="s">
        <v>132</v>
      </c>
      <c r="B258" s="22" t="s">
        <v>74</v>
      </c>
      <c r="C258" s="28">
        <v>30</v>
      </c>
      <c r="D258" s="56">
        <v>5</v>
      </c>
      <c r="E258" s="57" t="s">
        <v>83</v>
      </c>
      <c r="F258" s="23">
        <v>511</v>
      </c>
      <c r="G258">
        <f t="shared" si="16"/>
        <v>15330</v>
      </c>
      <c r="H258" s="62">
        <f t="shared" si="17"/>
        <v>0</v>
      </c>
    </row>
    <row r="259" spans="1:8" hidden="1" x14ac:dyDescent="0.25">
      <c r="A259" t="s">
        <v>132</v>
      </c>
      <c r="B259" s="31" t="s">
        <v>40</v>
      </c>
      <c r="C259" s="32">
        <v>15</v>
      </c>
      <c r="G259">
        <f t="shared" si="16"/>
        <v>0</v>
      </c>
      <c r="H259" s="62">
        <f t="shared" si="17"/>
        <v>511</v>
      </c>
    </row>
    <row r="260" spans="1:8" hidden="1" x14ac:dyDescent="0.25">
      <c r="A260" t="s">
        <v>132</v>
      </c>
      <c r="B260" s="61" t="s">
        <v>133</v>
      </c>
      <c r="C260" s="28">
        <v>33</v>
      </c>
      <c r="G260">
        <f t="shared" si="16"/>
        <v>0</v>
      </c>
      <c r="H260" s="62">
        <f t="shared" si="17"/>
        <v>511</v>
      </c>
    </row>
    <row r="261" spans="1:8" hidden="1" x14ac:dyDescent="0.25">
      <c r="A261" t="s">
        <v>132</v>
      </c>
      <c r="B261" s="30" t="s">
        <v>43</v>
      </c>
      <c r="C261" s="28">
        <v>45</v>
      </c>
      <c r="G261">
        <f t="shared" si="16"/>
        <v>0</v>
      </c>
      <c r="H261" s="62">
        <f t="shared" si="17"/>
        <v>511</v>
      </c>
    </row>
    <row r="262" spans="1:8" hidden="1" x14ac:dyDescent="0.25">
      <c r="A262" t="s">
        <v>132</v>
      </c>
      <c r="B262" s="30" t="s">
        <v>44</v>
      </c>
      <c r="C262" s="28">
        <v>70</v>
      </c>
      <c r="G262">
        <f t="shared" si="16"/>
        <v>0</v>
      </c>
      <c r="H262" s="62">
        <f t="shared" si="17"/>
        <v>511</v>
      </c>
    </row>
    <row r="263" spans="1:8" hidden="1" x14ac:dyDescent="0.25">
      <c r="A263" t="s">
        <v>132</v>
      </c>
      <c r="B263" s="144" t="s">
        <v>134</v>
      </c>
      <c r="C263" s="139">
        <v>240</v>
      </c>
      <c r="D263" s="56">
        <v>32</v>
      </c>
      <c r="E263" s="57" t="s">
        <v>138</v>
      </c>
      <c r="F263">
        <f>22+30+24+24+24+12</f>
        <v>136</v>
      </c>
      <c r="G263">
        <f t="shared" si="16"/>
        <v>32640</v>
      </c>
      <c r="H263" s="138">
        <f>$K$229-F263-F264-F265</f>
        <v>0</v>
      </c>
    </row>
    <row r="264" spans="1:8" hidden="1" x14ac:dyDescent="0.25">
      <c r="A264" t="s">
        <v>132</v>
      </c>
      <c r="B264" s="146"/>
      <c r="C264" s="141"/>
      <c r="D264" s="56">
        <v>4</v>
      </c>
      <c r="E264" s="57" t="s">
        <v>21</v>
      </c>
      <c r="F264">
        <f>22+22+22+24+24+24+12+24+24+6</f>
        <v>204</v>
      </c>
      <c r="G264">
        <f>+C263*F264</f>
        <v>48960</v>
      </c>
      <c r="H264" s="138"/>
    </row>
    <row r="265" spans="1:8" ht="28.5" hidden="1" x14ac:dyDescent="0.25">
      <c r="A265" t="s">
        <v>132</v>
      </c>
      <c r="B265" s="145"/>
      <c r="C265" s="140"/>
      <c r="D265" s="56">
        <v>9</v>
      </c>
      <c r="E265" s="57" t="s">
        <v>87</v>
      </c>
      <c r="F265">
        <f>22+22+25+24+24+24+30</f>
        <v>171</v>
      </c>
      <c r="G265">
        <f>+C263*F265</f>
        <v>41040</v>
      </c>
      <c r="H265" s="138"/>
    </row>
    <row r="266" spans="1:8" ht="30" hidden="1" x14ac:dyDescent="0.25">
      <c r="A266" t="s">
        <v>132</v>
      </c>
      <c r="B266" s="33" t="s">
        <v>45</v>
      </c>
      <c r="C266" s="28">
        <v>70</v>
      </c>
      <c r="G266">
        <f t="shared" si="16"/>
        <v>0</v>
      </c>
      <c r="H266" s="62">
        <f>$K$229-F266</f>
        <v>511</v>
      </c>
    </row>
    <row r="267" spans="1:8" ht="21" hidden="1" x14ac:dyDescent="0.35">
      <c r="A267" s="106" t="s">
        <v>46</v>
      </c>
      <c r="B267" s="59"/>
      <c r="C267" s="59"/>
      <c r="D267" s="59"/>
      <c r="E267" s="59"/>
      <c r="F267" s="59"/>
      <c r="G267" s="59"/>
      <c r="H267" s="89"/>
    </row>
    <row r="268" spans="1:8" hidden="1" x14ac:dyDescent="0.25">
      <c r="A268" t="s">
        <v>132</v>
      </c>
      <c r="B268" s="30" t="s">
        <v>47</v>
      </c>
      <c r="C268" s="34">
        <v>12</v>
      </c>
      <c r="G268">
        <f>+C268*F268</f>
        <v>0</v>
      </c>
      <c r="H268" s="62">
        <f>$K$229-F268</f>
        <v>511</v>
      </c>
    </row>
    <row r="269" spans="1:8" hidden="1" x14ac:dyDescent="0.25">
      <c r="A269" t="s">
        <v>132</v>
      </c>
      <c r="B269" s="30" t="s">
        <v>48</v>
      </c>
      <c r="C269" s="34">
        <v>28</v>
      </c>
      <c r="G269">
        <f>+C269*F269</f>
        <v>0</v>
      </c>
      <c r="H269" s="62">
        <f>$K$229-F269</f>
        <v>511</v>
      </c>
    </row>
    <row r="270" spans="1:8" ht="28.5" hidden="1" x14ac:dyDescent="0.25">
      <c r="A270" t="s">
        <v>132</v>
      </c>
      <c r="B270" s="22" t="s">
        <v>49</v>
      </c>
      <c r="C270" s="34">
        <v>20</v>
      </c>
      <c r="D270" s="56">
        <v>15</v>
      </c>
      <c r="E270" s="57" t="s">
        <v>93</v>
      </c>
      <c r="F270">
        <v>511</v>
      </c>
      <c r="G270">
        <f>+C270*F270</f>
        <v>10220</v>
      </c>
      <c r="H270" s="62">
        <f>$K$229-F270</f>
        <v>0</v>
      </c>
    </row>
    <row r="271" spans="1:8" ht="21" hidden="1" x14ac:dyDescent="0.35">
      <c r="A271" s="106" t="s">
        <v>50</v>
      </c>
      <c r="B271" s="59"/>
      <c r="C271" s="59"/>
      <c r="D271" s="59"/>
      <c r="E271" s="59"/>
      <c r="F271" s="59"/>
      <c r="G271" s="59"/>
      <c r="H271" s="89"/>
    </row>
    <row r="272" spans="1:8" ht="16.5" x14ac:dyDescent="0.25">
      <c r="A272" t="s">
        <v>132</v>
      </c>
      <c r="B272" s="22" t="s">
        <v>135</v>
      </c>
      <c r="C272" s="34">
        <v>36</v>
      </c>
      <c r="D272" s="130">
        <v>34</v>
      </c>
      <c r="E272" s="131" t="s">
        <v>141</v>
      </c>
      <c r="F272">
        <v>511</v>
      </c>
      <c r="G272">
        <f>+C272*F272</f>
        <v>18396</v>
      </c>
      <c r="H272" s="62">
        <f>$K$229-F272</f>
        <v>0</v>
      </c>
    </row>
    <row r="273" spans="1:11" hidden="1" x14ac:dyDescent="0.25">
      <c r="A273" t="s">
        <v>132</v>
      </c>
      <c r="B273" s="22" t="s">
        <v>52</v>
      </c>
      <c r="C273" s="34">
        <v>15</v>
      </c>
      <c r="G273">
        <f>+C273*F273</f>
        <v>0</v>
      </c>
      <c r="H273" s="62">
        <f>$K$229-F273</f>
        <v>511</v>
      </c>
    </row>
    <row r="274" spans="1:11" ht="21" hidden="1" x14ac:dyDescent="0.35">
      <c r="A274" s="106" t="s">
        <v>20</v>
      </c>
      <c r="B274" s="59"/>
      <c r="C274" s="59"/>
      <c r="D274" s="59"/>
      <c r="E274" s="59"/>
      <c r="F274" s="59"/>
      <c r="G274" s="59"/>
      <c r="H274" s="89"/>
    </row>
    <row r="275" spans="1:11" ht="28.5" hidden="1" x14ac:dyDescent="0.25">
      <c r="A275" t="s">
        <v>132</v>
      </c>
      <c r="B275" s="22" t="s">
        <v>53</v>
      </c>
      <c r="C275" s="34">
        <v>81</v>
      </c>
      <c r="D275" s="56">
        <v>15</v>
      </c>
      <c r="E275" s="57" t="s">
        <v>93</v>
      </c>
      <c r="F275">
        <v>511</v>
      </c>
      <c r="G275">
        <f t="shared" ref="G275:G287" si="18">+C275*F275</f>
        <v>41391</v>
      </c>
      <c r="H275" s="62">
        <f>$K$229-F275</f>
        <v>0</v>
      </c>
    </row>
    <row r="276" spans="1:11" ht="28.5" hidden="1" x14ac:dyDescent="0.25">
      <c r="A276" t="s">
        <v>132</v>
      </c>
      <c r="B276" s="22" t="s">
        <v>54</v>
      </c>
      <c r="C276" s="142">
        <v>71</v>
      </c>
      <c r="D276" s="56">
        <v>15</v>
      </c>
      <c r="E276" s="57" t="s">
        <v>93</v>
      </c>
      <c r="F276">
        <v>70</v>
      </c>
      <c r="G276">
        <f t="shared" si="18"/>
        <v>4970</v>
      </c>
      <c r="H276" s="138">
        <f>$K$229-F276-F277</f>
        <v>0</v>
      </c>
    </row>
    <row r="277" spans="1:11" ht="42.75" hidden="1" x14ac:dyDescent="0.25">
      <c r="A277" t="s">
        <v>132</v>
      </c>
      <c r="B277" s="22" t="s">
        <v>54</v>
      </c>
      <c r="C277" s="143"/>
      <c r="D277" s="56">
        <v>29</v>
      </c>
      <c r="E277" s="57" t="s">
        <v>107</v>
      </c>
      <c r="F277">
        <v>441</v>
      </c>
      <c r="G277">
        <f>+C276*F277</f>
        <v>31311</v>
      </c>
      <c r="H277" s="138"/>
    </row>
    <row r="278" spans="1:11" ht="42.75" hidden="1" x14ac:dyDescent="0.25">
      <c r="A278" t="s">
        <v>132</v>
      </c>
      <c r="B278" s="22" t="s">
        <v>55</v>
      </c>
      <c r="C278" s="28">
        <v>85</v>
      </c>
      <c r="D278" s="56">
        <v>21</v>
      </c>
      <c r="E278" s="57" t="s">
        <v>99</v>
      </c>
      <c r="F278">
        <v>511</v>
      </c>
      <c r="G278">
        <f t="shared" si="18"/>
        <v>43435</v>
      </c>
      <c r="H278" s="62">
        <f t="shared" ref="H278:H287" si="19">$K$229-F278</f>
        <v>0</v>
      </c>
    </row>
    <row r="279" spans="1:11" ht="42.75" hidden="1" x14ac:dyDescent="0.25">
      <c r="A279" t="s">
        <v>132</v>
      </c>
      <c r="B279" s="22" t="s">
        <v>56</v>
      </c>
      <c r="C279" s="28">
        <v>75</v>
      </c>
      <c r="D279" s="56">
        <v>29</v>
      </c>
      <c r="E279" s="57" t="s">
        <v>107</v>
      </c>
      <c r="F279">
        <v>511</v>
      </c>
      <c r="G279">
        <f t="shared" si="18"/>
        <v>38325</v>
      </c>
      <c r="H279" s="62">
        <f t="shared" si="19"/>
        <v>0</v>
      </c>
    </row>
    <row r="280" spans="1:11" ht="28.5" hidden="1" x14ac:dyDescent="0.25">
      <c r="A280" t="s">
        <v>132</v>
      </c>
      <c r="B280" s="22" t="s">
        <v>57</v>
      </c>
      <c r="C280" s="28">
        <v>98</v>
      </c>
      <c r="D280" s="56">
        <v>3</v>
      </c>
      <c r="E280" s="57" t="s">
        <v>82</v>
      </c>
      <c r="F280">
        <v>511</v>
      </c>
      <c r="G280">
        <f t="shared" si="18"/>
        <v>50078</v>
      </c>
      <c r="H280" s="62">
        <f t="shared" si="19"/>
        <v>0</v>
      </c>
    </row>
    <row r="281" spans="1:11" hidden="1" x14ac:dyDescent="0.25">
      <c r="A281" t="s">
        <v>132</v>
      </c>
      <c r="B281" s="22" t="s">
        <v>58</v>
      </c>
      <c r="C281" s="28">
        <v>110</v>
      </c>
      <c r="G281">
        <f t="shared" si="18"/>
        <v>0</v>
      </c>
      <c r="H281" s="62">
        <f t="shared" si="19"/>
        <v>511</v>
      </c>
    </row>
    <row r="282" spans="1:11" hidden="1" x14ac:dyDescent="0.25">
      <c r="A282" t="s">
        <v>132</v>
      </c>
      <c r="B282" s="33" t="s">
        <v>59</v>
      </c>
      <c r="C282" s="28">
        <v>70</v>
      </c>
      <c r="G282">
        <f t="shared" si="18"/>
        <v>0</v>
      </c>
      <c r="H282" s="62">
        <f t="shared" si="19"/>
        <v>511</v>
      </c>
    </row>
    <row r="283" spans="1:11" hidden="1" x14ac:dyDescent="0.25">
      <c r="A283" t="s">
        <v>132</v>
      </c>
      <c r="B283" s="22" t="s">
        <v>60</v>
      </c>
      <c r="C283" s="28">
        <v>120</v>
      </c>
      <c r="G283">
        <f t="shared" si="18"/>
        <v>0</v>
      </c>
      <c r="H283" s="62">
        <f t="shared" si="19"/>
        <v>511</v>
      </c>
    </row>
    <row r="284" spans="1:11" hidden="1" x14ac:dyDescent="0.25">
      <c r="A284" t="s">
        <v>132</v>
      </c>
      <c r="B284" s="22" t="s">
        <v>136</v>
      </c>
      <c r="C284" s="28">
        <f>22*8.5</f>
        <v>187</v>
      </c>
      <c r="G284">
        <f t="shared" si="18"/>
        <v>0</v>
      </c>
      <c r="H284" s="62">
        <f t="shared" si="19"/>
        <v>511</v>
      </c>
    </row>
    <row r="285" spans="1:11" hidden="1" x14ac:dyDescent="0.25">
      <c r="A285" t="s">
        <v>132</v>
      </c>
      <c r="B285" s="25" t="s">
        <v>65</v>
      </c>
      <c r="C285" s="28">
        <v>29.999999999999996</v>
      </c>
      <c r="G285">
        <f t="shared" si="18"/>
        <v>0</v>
      </c>
      <c r="H285" s="62">
        <f t="shared" si="19"/>
        <v>511</v>
      </c>
    </row>
    <row r="286" spans="1:11" hidden="1" x14ac:dyDescent="0.25">
      <c r="A286" t="s">
        <v>132</v>
      </c>
      <c r="B286" s="25" t="s">
        <v>77</v>
      </c>
      <c r="C286" s="28">
        <v>80</v>
      </c>
      <c r="G286">
        <f t="shared" si="18"/>
        <v>0</v>
      </c>
      <c r="H286" s="62">
        <f t="shared" si="19"/>
        <v>511</v>
      </c>
    </row>
    <row r="287" spans="1:11" hidden="1" x14ac:dyDescent="0.25">
      <c r="A287" t="s">
        <v>132</v>
      </c>
      <c r="B287" s="35" t="s">
        <v>72</v>
      </c>
      <c r="C287" s="28">
        <v>50</v>
      </c>
      <c r="G287">
        <f t="shared" si="18"/>
        <v>0</v>
      </c>
      <c r="H287" s="62">
        <f t="shared" si="19"/>
        <v>511</v>
      </c>
    </row>
    <row r="288" spans="1:11" ht="21" hidden="1" x14ac:dyDescent="0.35">
      <c r="A288" s="107" t="s">
        <v>19</v>
      </c>
      <c r="B288" s="66"/>
      <c r="C288" s="66"/>
      <c r="D288" s="66"/>
      <c r="E288" s="66"/>
      <c r="F288" s="66"/>
      <c r="G288" s="66"/>
      <c r="H288" s="90"/>
      <c r="I288" s="21"/>
      <c r="J288" s="67" t="s">
        <v>115</v>
      </c>
      <c r="K288" s="112">
        <v>174</v>
      </c>
    </row>
    <row r="289" spans="1:11" ht="21" hidden="1" x14ac:dyDescent="0.35">
      <c r="A289" t="s">
        <v>145</v>
      </c>
      <c r="B289" s="20" t="s">
        <v>22</v>
      </c>
      <c r="C289" s="34">
        <v>15</v>
      </c>
      <c r="D289" s="56"/>
      <c r="E289" s="57"/>
      <c r="G289">
        <f t="shared" ref="G289:G314" si="20">+C289*F289</f>
        <v>0</v>
      </c>
      <c r="H289" s="62">
        <f>$K$288-F289</f>
        <v>174</v>
      </c>
      <c r="J289" s="67" t="s">
        <v>116</v>
      </c>
      <c r="K289" s="115">
        <v>2719</v>
      </c>
    </row>
    <row r="290" spans="1:11" ht="21" hidden="1" x14ac:dyDescent="0.35">
      <c r="A290" t="s">
        <v>145</v>
      </c>
      <c r="B290" s="20" t="s">
        <v>23</v>
      </c>
      <c r="C290" s="34">
        <v>20</v>
      </c>
      <c r="D290" s="56"/>
      <c r="E290" s="57"/>
      <c r="G290">
        <f t="shared" si="20"/>
        <v>0</v>
      </c>
      <c r="H290" s="62">
        <f t="shared" ref="H290:H314" si="21">$K$288-F290</f>
        <v>174</v>
      </c>
      <c r="J290" s="67" t="s">
        <v>117</v>
      </c>
      <c r="K290" s="117">
        <f>+K288*K289</f>
        <v>473106</v>
      </c>
    </row>
    <row r="291" spans="1:11" ht="21" hidden="1" x14ac:dyDescent="0.35">
      <c r="A291" t="s">
        <v>145</v>
      </c>
      <c r="B291" s="20" t="s">
        <v>24</v>
      </c>
      <c r="C291" s="34">
        <v>15</v>
      </c>
      <c r="D291" s="56">
        <v>34</v>
      </c>
      <c r="E291" s="57" t="s">
        <v>141</v>
      </c>
      <c r="F291">
        <v>174</v>
      </c>
      <c r="G291">
        <f t="shared" si="20"/>
        <v>2610</v>
      </c>
      <c r="H291" s="62">
        <f t="shared" si="21"/>
        <v>0</v>
      </c>
      <c r="J291" s="67" t="s">
        <v>166</v>
      </c>
      <c r="K291" s="114">
        <f>SUM(G289:G345)</f>
        <v>23838</v>
      </c>
    </row>
    <row r="292" spans="1:11" ht="33" hidden="1" x14ac:dyDescent="0.25">
      <c r="A292" t="s">
        <v>145</v>
      </c>
      <c r="B292" s="29" t="s">
        <v>108</v>
      </c>
      <c r="C292" s="34">
        <v>12</v>
      </c>
      <c r="D292" s="130">
        <v>26</v>
      </c>
      <c r="E292" s="131" t="s">
        <v>104</v>
      </c>
      <c r="F292">
        <v>174</v>
      </c>
      <c r="G292">
        <f t="shared" si="20"/>
        <v>2088</v>
      </c>
      <c r="H292" s="62">
        <f t="shared" si="21"/>
        <v>0</v>
      </c>
    </row>
    <row r="293" spans="1:11" hidden="1" x14ac:dyDescent="0.25">
      <c r="A293" t="s">
        <v>145</v>
      </c>
      <c r="B293" s="30" t="s">
        <v>109</v>
      </c>
      <c r="C293" s="28">
        <v>10</v>
      </c>
      <c r="G293">
        <f t="shared" si="20"/>
        <v>0</v>
      </c>
      <c r="H293" s="62">
        <f t="shared" si="21"/>
        <v>174</v>
      </c>
    </row>
    <row r="294" spans="1:11" ht="33" hidden="1" x14ac:dyDescent="0.25">
      <c r="A294" t="s">
        <v>145</v>
      </c>
      <c r="B294" s="22" t="s">
        <v>110</v>
      </c>
      <c r="C294" s="28">
        <v>20</v>
      </c>
      <c r="D294" s="130">
        <v>26</v>
      </c>
      <c r="E294" s="131" t="s">
        <v>104</v>
      </c>
      <c r="F294">
        <v>174</v>
      </c>
      <c r="G294">
        <f t="shared" si="20"/>
        <v>3480</v>
      </c>
      <c r="H294" s="62">
        <f t="shared" si="21"/>
        <v>0</v>
      </c>
    </row>
    <row r="295" spans="1:11" ht="28.5" hidden="1" x14ac:dyDescent="0.25">
      <c r="A295" t="s">
        <v>145</v>
      </c>
      <c r="B295" s="25" t="s">
        <v>25</v>
      </c>
      <c r="C295" s="28">
        <v>50</v>
      </c>
      <c r="D295" s="56">
        <v>5</v>
      </c>
      <c r="E295" s="57" t="s">
        <v>83</v>
      </c>
      <c r="F295">
        <v>174</v>
      </c>
      <c r="G295">
        <f t="shared" si="20"/>
        <v>8700</v>
      </c>
      <c r="H295" s="62">
        <f t="shared" si="21"/>
        <v>0</v>
      </c>
    </row>
    <row r="296" spans="1:11" ht="28.5" hidden="1" x14ac:dyDescent="0.25">
      <c r="A296" t="s">
        <v>145</v>
      </c>
      <c r="B296" s="30" t="s">
        <v>26</v>
      </c>
      <c r="C296" s="28">
        <v>10</v>
      </c>
      <c r="D296" s="56">
        <v>5</v>
      </c>
      <c r="E296" s="57" t="s">
        <v>83</v>
      </c>
      <c r="F296">
        <v>174</v>
      </c>
      <c r="G296">
        <f t="shared" si="20"/>
        <v>1740</v>
      </c>
      <c r="H296" s="62">
        <f t="shared" si="21"/>
        <v>0</v>
      </c>
    </row>
    <row r="297" spans="1:11" hidden="1" x14ac:dyDescent="0.25">
      <c r="A297" t="s">
        <v>145</v>
      </c>
      <c r="B297" s="22" t="s">
        <v>27</v>
      </c>
      <c r="C297" s="28">
        <v>80</v>
      </c>
      <c r="D297" s="56"/>
      <c r="E297" s="57"/>
      <c r="G297">
        <f t="shared" si="20"/>
        <v>0</v>
      </c>
      <c r="H297" s="62">
        <f t="shared" si="21"/>
        <v>174</v>
      </c>
    </row>
    <row r="298" spans="1:11" hidden="1" x14ac:dyDescent="0.25">
      <c r="A298" t="s">
        <v>145</v>
      </c>
      <c r="B298" s="30" t="s">
        <v>28</v>
      </c>
      <c r="C298" s="28">
        <v>15</v>
      </c>
      <c r="G298">
        <f t="shared" si="20"/>
        <v>0</v>
      </c>
      <c r="H298" s="62">
        <f t="shared" si="21"/>
        <v>174</v>
      </c>
    </row>
    <row r="299" spans="1:11" hidden="1" x14ac:dyDescent="0.25">
      <c r="A299" t="s">
        <v>145</v>
      </c>
      <c r="B299" s="22" t="s">
        <v>29</v>
      </c>
      <c r="C299" s="28">
        <v>40</v>
      </c>
      <c r="D299" s="56"/>
      <c r="E299" s="57"/>
      <c r="G299">
        <f t="shared" si="20"/>
        <v>0</v>
      </c>
      <c r="H299" s="62">
        <f t="shared" si="21"/>
        <v>174</v>
      </c>
    </row>
    <row r="300" spans="1:11" hidden="1" x14ac:dyDescent="0.25">
      <c r="A300" t="s">
        <v>145</v>
      </c>
      <c r="B300" s="30" t="s">
        <v>30</v>
      </c>
      <c r="C300" s="28">
        <v>15</v>
      </c>
      <c r="G300">
        <f t="shared" si="20"/>
        <v>0</v>
      </c>
      <c r="H300" s="62">
        <f t="shared" si="21"/>
        <v>174</v>
      </c>
    </row>
    <row r="301" spans="1:11" hidden="1" x14ac:dyDescent="0.25">
      <c r="A301" t="s">
        <v>145</v>
      </c>
      <c r="B301" s="22" t="s">
        <v>111</v>
      </c>
      <c r="C301" s="28">
        <v>61</v>
      </c>
      <c r="D301" s="56"/>
      <c r="E301" s="57"/>
      <c r="G301">
        <f t="shared" si="20"/>
        <v>0</v>
      </c>
      <c r="H301" s="62">
        <f t="shared" si="21"/>
        <v>174</v>
      </c>
    </row>
    <row r="302" spans="1:11" hidden="1" x14ac:dyDescent="0.25">
      <c r="A302" t="s">
        <v>145</v>
      </c>
      <c r="B302" s="22" t="s">
        <v>112</v>
      </c>
      <c r="C302" s="28">
        <v>81</v>
      </c>
      <c r="D302" s="56"/>
      <c r="E302" s="57"/>
      <c r="G302">
        <f t="shared" si="20"/>
        <v>0</v>
      </c>
      <c r="H302" s="62">
        <f t="shared" si="21"/>
        <v>174</v>
      </c>
    </row>
    <row r="303" spans="1:11" hidden="1" x14ac:dyDescent="0.25">
      <c r="A303" t="s">
        <v>145</v>
      </c>
      <c r="B303" s="30" t="s">
        <v>113</v>
      </c>
      <c r="C303" s="28">
        <v>15</v>
      </c>
      <c r="G303">
        <f t="shared" si="20"/>
        <v>0</v>
      </c>
      <c r="H303" s="62">
        <f t="shared" si="21"/>
        <v>174</v>
      </c>
    </row>
    <row r="304" spans="1:11" hidden="1" x14ac:dyDescent="0.25">
      <c r="A304" t="s">
        <v>145</v>
      </c>
      <c r="B304" s="22" t="s">
        <v>114</v>
      </c>
      <c r="C304" s="28">
        <v>70</v>
      </c>
      <c r="D304" s="56"/>
      <c r="E304" s="57"/>
      <c r="G304">
        <f t="shared" si="20"/>
        <v>0</v>
      </c>
      <c r="H304" s="62">
        <f t="shared" si="21"/>
        <v>174</v>
      </c>
    </row>
    <row r="305" spans="1:8" hidden="1" x14ac:dyDescent="0.25">
      <c r="A305" t="s">
        <v>145</v>
      </c>
      <c r="B305" s="144" t="s">
        <v>33</v>
      </c>
      <c r="C305" s="28">
        <v>100</v>
      </c>
      <c r="D305" s="56"/>
      <c r="E305" s="57"/>
      <c r="G305">
        <f t="shared" si="20"/>
        <v>0</v>
      </c>
      <c r="H305" s="62">
        <f t="shared" si="21"/>
        <v>174</v>
      </c>
    </row>
    <row r="306" spans="1:8" hidden="1" x14ac:dyDescent="0.25">
      <c r="A306" t="s">
        <v>145</v>
      </c>
      <c r="B306" s="145"/>
      <c r="C306" s="28"/>
      <c r="D306" s="56"/>
      <c r="E306" s="57"/>
      <c r="G306">
        <f t="shared" si="20"/>
        <v>0</v>
      </c>
      <c r="H306" s="62">
        <f t="shared" si="21"/>
        <v>174</v>
      </c>
    </row>
    <row r="307" spans="1:8" hidden="1" x14ac:dyDescent="0.25">
      <c r="A307" t="s">
        <v>145</v>
      </c>
      <c r="B307" s="144" t="s">
        <v>34</v>
      </c>
      <c r="C307" s="28">
        <v>33</v>
      </c>
      <c r="D307" s="56"/>
      <c r="E307" s="57"/>
      <c r="G307">
        <f t="shared" si="20"/>
        <v>0</v>
      </c>
      <c r="H307" s="62">
        <f t="shared" si="21"/>
        <v>174</v>
      </c>
    </row>
    <row r="308" spans="1:8" hidden="1" x14ac:dyDescent="0.25">
      <c r="A308" t="s">
        <v>145</v>
      </c>
      <c r="B308" s="145"/>
      <c r="C308" s="28"/>
      <c r="D308" s="56"/>
      <c r="E308" s="57"/>
      <c r="G308">
        <f t="shared" si="20"/>
        <v>0</v>
      </c>
      <c r="H308" s="62">
        <f t="shared" si="21"/>
        <v>174</v>
      </c>
    </row>
    <row r="309" spans="1:8" hidden="1" x14ac:dyDescent="0.25">
      <c r="A309" t="s">
        <v>145</v>
      </c>
      <c r="B309" s="144" t="s">
        <v>35</v>
      </c>
      <c r="C309" s="28">
        <v>20</v>
      </c>
      <c r="D309" s="56"/>
      <c r="E309" s="57"/>
      <c r="G309">
        <f t="shared" si="20"/>
        <v>0</v>
      </c>
      <c r="H309" s="62">
        <f t="shared" si="21"/>
        <v>174</v>
      </c>
    </row>
    <row r="310" spans="1:8" hidden="1" x14ac:dyDescent="0.25">
      <c r="A310" t="s">
        <v>145</v>
      </c>
      <c r="B310" s="145"/>
      <c r="C310" s="28"/>
      <c r="D310" s="56"/>
      <c r="E310" s="57"/>
      <c r="G310">
        <f t="shared" si="20"/>
        <v>0</v>
      </c>
      <c r="H310" s="62">
        <f t="shared" si="21"/>
        <v>174</v>
      </c>
    </row>
    <row r="311" spans="1:8" hidden="1" x14ac:dyDescent="0.25">
      <c r="A311" t="s">
        <v>145</v>
      </c>
      <c r="B311" s="144" t="s">
        <v>36</v>
      </c>
      <c r="C311" s="28">
        <v>33</v>
      </c>
      <c r="D311" s="56"/>
      <c r="E311" s="57"/>
      <c r="G311">
        <f t="shared" si="20"/>
        <v>0</v>
      </c>
      <c r="H311" s="62">
        <f t="shared" si="21"/>
        <v>174</v>
      </c>
    </row>
    <row r="312" spans="1:8" hidden="1" x14ac:dyDescent="0.25">
      <c r="A312" t="s">
        <v>145</v>
      </c>
      <c r="B312" s="145"/>
      <c r="C312" s="28"/>
      <c r="D312" s="56"/>
      <c r="E312" s="57"/>
      <c r="G312">
        <f t="shared" si="20"/>
        <v>0</v>
      </c>
      <c r="H312" s="62">
        <f t="shared" si="21"/>
        <v>174</v>
      </c>
    </row>
    <row r="313" spans="1:8" hidden="1" x14ac:dyDescent="0.25">
      <c r="A313" t="s">
        <v>145</v>
      </c>
      <c r="B313" s="22" t="s">
        <v>37</v>
      </c>
      <c r="C313" s="28">
        <v>43</v>
      </c>
      <c r="D313" s="56"/>
      <c r="E313" s="57"/>
      <c r="G313">
        <f t="shared" si="20"/>
        <v>0</v>
      </c>
      <c r="H313" s="62">
        <f t="shared" si="21"/>
        <v>174</v>
      </c>
    </row>
    <row r="314" spans="1:8" hidden="1" x14ac:dyDescent="0.25">
      <c r="A314" t="s">
        <v>145</v>
      </c>
      <c r="B314" s="22" t="s">
        <v>38</v>
      </c>
      <c r="C314" s="28">
        <v>120</v>
      </c>
      <c r="D314" s="56"/>
      <c r="E314" s="57"/>
      <c r="G314">
        <f t="shared" si="20"/>
        <v>0</v>
      </c>
      <c r="H314" s="62">
        <f t="shared" si="21"/>
        <v>174</v>
      </c>
    </row>
    <row r="315" spans="1:8" ht="21" hidden="1" x14ac:dyDescent="0.35">
      <c r="A315" s="107" t="s">
        <v>39</v>
      </c>
      <c r="B315" s="66"/>
      <c r="C315" s="66"/>
      <c r="D315" s="66"/>
      <c r="E315" s="66"/>
      <c r="F315" s="107"/>
      <c r="G315" s="66"/>
      <c r="H315" s="66"/>
    </row>
    <row r="316" spans="1:8" hidden="1" x14ac:dyDescent="0.25">
      <c r="A316" t="s">
        <v>145</v>
      </c>
      <c r="B316" s="52" t="s">
        <v>125</v>
      </c>
      <c r="C316" s="53">
        <v>170</v>
      </c>
      <c r="G316">
        <f t="shared" ref="G316:G325" si="22">+C316*F316</f>
        <v>0</v>
      </c>
      <c r="H316" s="62">
        <f t="shared" ref="H316:H345" si="23">$K$288-F316</f>
        <v>174</v>
      </c>
    </row>
    <row r="317" spans="1:8" ht="42.75" hidden="1" x14ac:dyDescent="0.25">
      <c r="A317" t="s">
        <v>145</v>
      </c>
      <c r="B317" s="22" t="s">
        <v>74</v>
      </c>
      <c r="C317" s="28">
        <v>30</v>
      </c>
      <c r="D317" s="56">
        <v>21</v>
      </c>
      <c r="E317" s="57" t="s">
        <v>99</v>
      </c>
      <c r="F317" s="23">
        <v>174</v>
      </c>
      <c r="G317">
        <f t="shared" si="22"/>
        <v>5220</v>
      </c>
      <c r="H317" s="62">
        <f t="shared" si="23"/>
        <v>0</v>
      </c>
    </row>
    <row r="318" spans="1:8" hidden="1" x14ac:dyDescent="0.25">
      <c r="A318" t="s">
        <v>145</v>
      </c>
      <c r="B318" s="31" t="s">
        <v>40</v>
      </c>
      <c r="C318" s="32">
        <v>15</v>
      </c>
      <c r="G318">
        <f t="shared" si="22"/>
        <v>0</v>
      </c>
      <c r="H318" s="62">
        <f t="shared" si="23"/>
        <v>174</v>
      </c>
    </row>
    <row r="319" spans="1:8" hidden="1" x14ac:dyDescent="0.25">
      <c r="A319" t="s">
        <v>145</v>
      </c>
      <c r="B319" s="61" t="s">
        <v>133</v>
      </c>
      <c r="C319" s="28">
        <v>33</v>
      </c>
      <c r="G319">
        <f t="shared" si="22"/>
        <v>0</v>
      </c>
      <c r="H319" s="62">
        <f t="shared" si="23"/>
        <v>174</v>
      </c>
    </row>
    <row r="320" spans="1:8" hidden="1" x14ac:dyDescent="0.25">
      <c r="A320" t="s">
        <v>145</v>
      </c>
      <c r="B320" s="30" t="s">
        <v>43</v>
      </c>
      <c r="C320" s="28">
        <v>45</v>
      </c>
      <c r="G320">
        <f t="shared" si="22"/>
        <v>0</v>
      </c>
      <c r="H320" s="62">
        <f t="shared" si="23"/>
        <v>174</v>
      </c>
    </row>
    <row r="321" spans="1:8" hidden="1" x14ac:dyDescent="0.25">
      <c r="A321" t="s">
        <v>145</v>
      </c>
      <c r="B321" s="30" t="s">
        <v>44</v>
      </c>
      <c r="C321" s="28">
        <v>70</v>
      </c>
      <c r="G321">
        <f t="shared" si="22"/>
        <v>0</v>
      </c>
      <c r="H321" s="62">
        <f t="shared" si="23"/>
        <v>174</v>
      </c>
    </row>
    <row r="322" spans="1:8" hidden="1" x14ac:dyDescent="0.25">
      <c r="A322" t="s">
        <v>145</v>
      </c>
      <c r="B322" s="144" t="s">
        <v>134</v>
      </c>
      <c r="C322" s="28"/>
      <c r="D322" s="56"/>
      <c r="E322" s="57"/>
      <c r="G322">
        <f t="shared" si="22"/>
        <v>0</v>
      </c>
      <c r="H322" s="62">
        <f t="shared" si="23"/>
        <v>174</v>
      </c>
    </row>
    <row r="323" spans="1:8" hidden="1" x14ac:dyDescent="0.25">
      <c r="A323" t="s">
        <v>145</v>
      </c>
      <c r="B323" s="146"/>
      <c r="C323" s="28"/>
      <c r="D323" s="56"/>
      <c r="E323" s="57"/>
      <c r="G323">
        <f t="shared" si="22"/>
        <v>0</v>
      </c>
      <c r="H323" s="62">
        <f t="shared" si="23"/>
        <v>174</v>
      </c>
    </row>
    <row r="324" spans="1:8" hidden="1" x14ac:dyDescent="0.25">
      <c r="A324" t="s">
        <v>145</v>
      </c>
      <c r="B324" s="145"/>
      <c r="C324" s="28">
        <v>240</v>
      </c>
      <c r="D324" s="56"/>
      <c r="E324" s="57"/>
      <c r="G324">
        <f t="shared" si="22"/>
        <v>0</v>
      </c>
      <c r="H324" s="62">
        <f t="shared" si="23"/>
        <v>174</v>
      </c>
    </row>
    <row r="325" spans="1:8" ht="30" hidden="1" x14ac:dyDescent="0.25">
      <c r="A325" t="s">
        <v>145</v>
      </c>
      <c r="B325" s="33" t="s">
        <v>45</v>
      </c>
      <c r="C325" s="28">
        <v>70</v>
      </c>
      <c r="G325">
        <f t="shared" si="22"/>
        <v>0</v>
      </c>
      <c r="H325" s="62">
        <f t="shared" si="23"/>
        <v>174</v>
      </c>
    </row>
    <row r="326" spans="1:8" ht="21" hidden="1" x14ac:dyDescent="0.35">
      <c r="A326" s="107" t="s">
        <v>46</v>
      </c>
      <c r="B326" s="66"/>
      <c r="C326" s="66"/>
      <c r="D326" s="66"/>
      <c r="E326" s="66"/>
      <c r="F326" s="66"/>
      <c r="G326" s="66"/>
      <c r="H326" s="90"/>
    </row>
    <row r="327" spans="1:8" hidden="1" x14ac:dyDescent="0.25">
      <c r="A327" t="s">
        <v>145</v>
      </c>
      <c r="B327" s="30" t="s">
        <v>47</v>
      </c>
      <c r="C327" s="34">
        <v>12</v>
      </c>
      <c r="G327">
        <f>+C327*F327</f>
        <v>0</v>
      </c>
      <c r="H327" s="62">
        <f t="shared" si="23"/>
        <v>174</v>
      </c>
    </row>
    <row r="328" spans="1:8" hidden="1" x14ac:dyDescent="0.25">
      <c r="A328" t="s">
        <v>145</v>
      </c>
      <c r="B328" s="30" t="s">
        <v>48</v>
      </c>
      <c r="C328" s="34">
        <v>28</v>
      </c>
      <c r="G328">
        <f>+C328*F328</f>
        <v>0</v>
      </c>
      <c r="H328" s="62">
        <f t="shared" si="23"/>
        <v>174</v>
      </c>
    </row>
    <row r="329" spans="1:8" hidden="1" x14ac:dyDescent="0.25">
      <c r="A329" t="s">
        <v>145</v>
      </c>
      <c r="B329" s="22" t="s">
        <v>49</v>
      </c>
      <c r="C329" s="34">
        <v>20</v>
      </c>
      <c r="G329">
        <f>+C329*F329</f>
        <v>0</v>
      </c>
      <c r="H329" s="62">
        <f t="shared" si="23"/>
        <v>174</v>
      </c>
    </row>
    <row r="330" spans="1:8" ht="21" hidden="1" x14ac:dyDescent="0.35">
      <c r="A330" s="107" t="s">
        <v>50</v>
      </c>
      <c r="B330" s="66"/>
      <c r="C330" s="66"/>
      <c r="D330" s="66"/>
      <c r="E330" s="66"/>
      <c r="F330" s="66"/>
      <c r="G330" s="66"/>
      <c r="H330" s="90"/>
    </row>
    <row r="331" spans="1:8" hidden="1" x14ac:dyDescent="0.25">
      <c r="A331" t="s">
        <v>145</v>
      </c>
      <c r="B331" s="22" t="s">
        <v>135</v>
      </c>
      <c r="C331" s="34">
        <v>36</v>
      </c>
      <c r="G331">
        <f>+C331*F331</f>
        <v>0</v>
      </c>
      <c r="H331" s="62">
        <f t="shared" si="23"/>
        <v>174</v>
      </c>
    </row>
    <row r="332" spans="1:8" hidden="1" x14ac:dyDescent="0.25">
      <c r="A332" t="s">
        <v>145</v>
      </c>
      <c r="B332" s="22" t="s">
        <v>52</v>
      </c>
      <c r="C332" s="34">
        <v>15</v>
      </c>
      <c r="G332">
        <f>+C332*F332</f>
        <v>0</v>
      </c>
      <c r="H332" s="62">
        <f t="shared" si="23"/>
        <v>174</v>
      </c>
    </row>
    <row r="333" spans="1:8" ht="21" hidden="1" x14ac:dyDescent="0.35">
      <c r="A333" s="107" t="s">
        <v>20</v>
      </c>
      <c r="B333" s="66"/>
      <c r="C333" s="66"/>
      <c r="D333" s="66"/>
      <c r="E333" s="66"/>
      <c r="F333" s="66"/>
      <c r="G333" s="66"/>
      <c r="H333" s="90"/>
    </row>
    <row r="334" spans="1:8" hidden="1" x14ac:dyDescent="0.25">
      <c r="A334" t="s">
        <v>145</v>
      </c>
      <c r="B334" s="22" t="s">
        <v>53</v>
      </c>
      <c r="C334" s="34">
        <v>81</v>
      </c>
      <c r="G334">
        <f t="shared" ref="G334:G345" si="24">+C334*F334</f>
        <v>0</v>
      </c>
      <c r="H334" s="62">
        <f t="shared" si="23"/>
        <v>174</v>
      </c>
    </row>
    <row r="335" spans="1:8" hidden="1" x14ac:dyDescent="0.25">
      <c r="A335" t="s">
        <v>145</v>
      </c>
      <c r="B335" s="22" t="s">
        <v>54</v>
      </c>
      <c r="C335" s="34">
        <v>71</v>
      </c>
      <c r="G335">
        <f t="shared" si="24"/>
        <v>0</v>
      </c>
      <c r="H335" s="62">
        <f t="shared" si="23"/>
        <v>174</v>
      </c>
    </row>
    <row r="336" spans="1:8" hidden="1" x14ac:dyDescent="0.25">
      <c r="A336" t="s">
        <v>145</v>
      </c>
      <c r="B336" s="22" t="s">
        <v>55</v>
      </c>
      <c r="C336" s="28">
        <v>85</v>
      </c>
      <c r="D336" s="56"/>
      <c r="E336" s="57"/>
      <c r="G336">
        <f t="shared" si="24"/>
        <v>0</v>
      </c>
      <c r="H336" s="62">
        <f t="shared" si="23"/>
        <v>174</v>
      </c>
    </row>
    <row r="337" spans="1:11" hidden="1" x14ac:dyDescent="0.25">
      <c r="A337" t="s">
        <v>145</v>
      </c>
      <c r="B337" s="22" t="s">
        <v>56</v>
      </c>
      <c r="C337" s="28">
        <v>75</v>
      </c>
      <c r="G337">
        <f t="shared" si="24"/>
        <v>0</v>
      </c>
      <c r="H337" s="62">
        <f t="shared" si="23"/>
        <v>174</v>
      </c>
    </row>
    <row r="338" spans="1:11" hidden="1" x14ac:dyDescent="0.25">
      <c r="A338" t="s">
        <v>145</v>
      </c>
      <c r="B338" s="22" t="s">
        <v>57</v>
      </c>
      <c r="C338" s="28">
        <v>98</v>
      </c>
      <c r="D338" s="56"/>
      <c r="E338" s="57"/>
      <c r="G338">
        <f t="shared" si="24"/>
        <v>0</v>
      </c>
      <c r="H338" s="62">
        <f t="shared" si="23"/>
        <v>174</v>
      </c>
    </row>
    <row r="339" spans="1:11" hidden="1" x14ac:dyDescent="0.25">
      <c r="A339" t="s">
        <v>145</v>
      </c>
      <c r="B339" s="22" t="s">
        <v>58</v>
      </c>
      <c r="C339" s="28">
        <v>110</v>
      </c>
      <c r="G339">
        <f t="shared" si="24"/>
        <v>0</v>
      </c>
      <c r="H339" s="62">
        <f t="shared" si="23"/>
        <v>174</v>
      </c>
    </row>
    <row r="340" spans="1:11" hidden="1" x14ac:dyDescent="0.25">
      <c r="A340" t="s">
        <v>145</v>
      </c>
      <c r="B340" s="33" t="s">
        <v>59</v>
      </c>
      <c r="C340" s="28">
        <v>70</v>
      </c>
      <c r="G340">
        <f t="shared" si="24"/>
        <v>0</v>
      </c>
      <c r="H340" s="62">
        <f t="shared" si="23"/>
        <v>174</v>
      </c>
    </row>
    <row r="341" spans="1:11" hidden="1" x14ac:dyDescent="0.25">
      <c r="A341" t="s">
        <v>145</v>
      </c>
      <c r="B341" s="22" t="s">
        <v>60</v>
      </c>
      <c r="C341" s="28">
        <v>120</v>
      </c>
      <c r="G341">
        <f t="shared" si="24"/>
        <v>0</v>
      </c>
      <c r="H341" s="62">
        <f t="shared" si="23"/>
        <v>174</v>
      </c>
    </row>
    <row r="342" spans="1:11" hidden="1" x14ac:dyDescent="0.25">
      <c r="A342" t="s">
        <v>145</v>
      </c>
      <c r="B342" s="22" t="s">
        <v>136</v>
      </c>
      <c r="C342" s="28">
        <f>22*8.5</f>
        <v>187</v>
      </c>
      <c r="G342">
        <f t="shared" si="24"/>
        <v>0</v>
      </c>
      <c r="H342" s="62">
        <f t="shared" si="23"/>
        <v>174</v>
      </c>
    </row>
    <row r="343" spans="1:11" ht="21" hidden="1" x14ac:dyDescent="0.35">
      <c r="A343" t="s">
        <v>145</v>
      </c>
      <c r="B343" s="25" t="s">
        <v>65</v>
      </c>
      <c r="C343" s="28">
        <v>29.999999999999996</v>
      </c>
      <c r="G343">
        <f t="shared" si="24"/>
        <v>0</v>
      </c>
      <c r="H343" s="62">
        <f t="shared" si="23"/>
        <v>174</v>
      </c>
      <c r="J343" s="122"/>
      <c r="K343" s="126"/>
    </row>
    <row r="344" spans="1:11" ht="21" hidden="1" x14ac:dyDescent="0.35">
      <c r="A344" t="s">
        <v>145</v>
      </c>
      <c r="B344" s="25" t="s">
        <v>77</v>
      </c>
      <c r="C344" s="28">
        <v>80</v>
      </c>
      <c r="G344">
        <f t="shared" si="24"/>
        <v>0</v>
      </c>
      <c r="H344" s="62">
        <f t="shared" si="23"/>
        <v>174</v>
      </c>
      <c r="J344" s="122"/>
      <c r="K344" s="126"/>
    </row>
    <row r="345" spans="1:11" hidden="1" x14ac:dyDescent="0.25">
      <c r="A345" t="s">
        <v>145</v>
      </c>
      <c r="B345" s="35" t="s">
        <v>72</v>
      </c>
      <c r="C345" s="28">
        <v>50</v>
      </c>
      <c r="G345">
        <f t="shared" si="24"/>
        <v>0</v>
      </c>
      <c r="H345" s="62">
        <f t="shared" si="23"/>
        <v>174</v>
      </c>
    </row>
    <row r="346" spans="1:11" ht="21" hidden="1" x14ac:dyDescent="0.35">
      <c r="A346" s="108" t="s">
        <v>19</v>
      </c>
      <c r="B346" s="68"/>
      <c r="C346" s="68"/>
      <c r="D346" s="68"/>
      <c r="E346" s="68"/>
      <c r="F346" s="68"/>
      <c r="G346" s="68"/>
      <c r="H346" s="91"/>
      <c r="I346" s="21"/>
      <c r="J346" s="69" t="s">
        <v>115</v>
      </c>
      <c r="K346" s="112">
        <v>270</v>
      </c>
    </row>
    <row r="347" spans="1:11" ht="21" hidden="1" x14ac:dyDescent="0.35">
      <c r="A347" t="s">
        <v>146</v>
      </c>
      <c r="B347" s="20" t="s">
        <v>22</v>
      </c>
      <c r="C347" s="34">
        <v>15</v>
      </c>
      <c r="D347" s="56"/>
      <c r="E347" s="57"/>
      <c r="G347">
        <f t="shared" ref="G347:G372" si="25">+C347*F347</f>
        <v>0</v>
      </c>
      <c r="H347" s="62">
        <f>$K$346-F347</f>
        <v>270</v>
      </c>
      <c r="J347" s="69" t="s">
        <v>116</v>
      </c>
      <c r="K347" s="115">
        <v>2719</v>
      </c>
    </row>
    <row r="348" spans="1:11" ht="21" hidden="1" x14ac:dyDescent="0.35">
      <c r="A348" t="s">
        <v>146</v>
      </c>
      <c r="B348" s="20" t="s">
        <v>23</v>
      </c>
      <c r="C348" s="34">
        <v>20</v>
      </c>
      <c r="D348" s="56"/>
      <c r="E348" s="57"/>
      <c r="G348">
        <f t="shared" si="25"/>
        <v>0</v>
      </c>
      <c r="H348" s="62">
        <f t="shared" ref="H348:H372" si="26">$K$346-F348</f>
        <v>270</v>
      </c>
      <c r="J348" s="69" t="s">
        <v>117</v>
      </c>
      <c r="K348" s="117">
        <f>+K346*K347</f>
        <v>734130</v>
      </c>
    </row>
    <row r="349" spans="1:11" ht="21" hidden="1" x14ac:dyDescent="0.35">
      <c r="A349" t="s">
        <v>146</v>
      </c>
      <c r="B349" s="20" t="s">
        <v>24</v>
      </c>
      <c r="C349" s="34">
        <v>15</v>
      </c>
      <c r="D349" s="56"/>
      <c r="E349" s="57"/>
      <c r="G349">
        <f t="shared" si="25"/>
        <v>0</v>
      </c>
      <c r="H349" s="62">
        <f t="shared" si="26"/>
        <v>270</v>
      </c>
      <c r="J349" s="69" t="s">
        <v>166</v>
      </c>
      <c r="K349" s="114">
        <f>SUM(G347:G403)</f>
        <v>16740</v>
      </c>
    </row>
    <row r="350" spans="1:11" ht="33" hidden="1" x14ac:dyDescent="0.25">
      <c r="A350" t="s">
        <v>146</v>
      </c>
      <c r="B350" s="29" t="s">
        <v>108</v>
      </c>
      <c r="C350" s="34">
        <v>12</v>
      </c>
      <c r="D350" s="130">
        <v>26</v>
      </c>
      <c r="E350" s="131" t="s">
        <v>104</v>
      </c>
      <c r="F350">
        <v>270</v>
      </c>
      <c r="G350">
        <f t="shared" si="25"/>
        <v>3240</v>
      </c>
      <c r="H350" s="62">
        <f t="shared" si="26"/>
        <v>0</v>
      </c>
    </row>
    <row r="351" spans="1:11" hidden="1" x14ac:dyDescent="0.25">
      <c r="A351" t="s">
        <v>146</v>
      </c>
      <c r="B351" s="30" t="s">
        <v>109</v>
      </c>
      <c r="C351" s="28">
        <v>10</v>
      </c>
      <c r="G351">
        <f t="shared" si="25"/>
        <v>0</v>
      </c>
      <c r="H351" s="62">
        <f t="shared" si="26"/>
        <v>270</v>
      </c>
    </row>
    <row r="352" spans="1:11" ht="33" hidden="1" x14ac:dyDescent="0.25">
      <c r="A352" t="s">
        <v>146</v>
      </c>
      <c r="B352" s="22" t="s">
        <v>110</v>
      </c>
      <c r="C352" s="28">
        <v>20</v>
      </c>
      <c r="D352" s="130">
        <v>26</v>
      </c>
      <c r="E352" s="131" t="s">
        <v>104</v>
      </c>
      <c r="F352">
        <v>270</v>
      </c>
      <c r="G352">
        <f t="shared" si="25"/>
        <v>5400</v>
      </c>
      <c r="H352" s="62">
        <f t="shared" si="26"/>
        <v>0</v>
      </c>
    </row>
    <row r="353" spans="1:8" hidden="1" x14ac:dyDescent="0.25">
      <c r="A353" t="s">
        <v>146</v>
      </c>
      <c r="B353" s="25" t="s">
        <v>25</v>
      </c>
      <c r="C353" s="28">
        <v>50</v>
      </c>
      <c r="D353" s="56"/>
      <c r="E353" s="57"/>
      <c r="G353">
        <f t="shared" si="25"/>
        <v>0</v>
      </c>
      <c r="H353" s="62">
        <f t="shared" si="26"/>
        <v>270</v>
      </c>
    </row>
    <row r="354" spans="1:8" hidden="1" x14ac:dyDescent="0.25">
      <c r="A354" t="s">
        <v>146</v>
      </c>
      <c r="B354" s="30" t="s">
        <v>26</v>
      </c>
      <c r="C354" s="28">
        <v>10</v>
      </c>
      <c r="G354">
        <f t="shared" si="25"/>
        <v>0</v>
      </c>
      <c r="H354" s="62">
        <f t="shared" si="26"/>
        <v>270</v>
      </c>
    </row>
    <row r="355" spans="1:8" hidden="1" x14ac:dyDescent="0.25">
      <c r="A355" t="s">
        <v>146</v>
      </c>
      <c r="B355" s="22" t="s">
        <v>27</v>
      </c>
      <c r="C355" s="28">
        <v>80</v>
      </c>
      <c r="D355" s="56"/>
      <c r="E355" s="57"/>
      <c r="G355">
        <f t="shared" si="25"/>
        <v>0</v>
      </c>
      <c r="H355" s="62">
        <f t="shared" si="26"/>
        <v>270</v>
      </c>
    </row>
    <row r="356" spans="1:8" hidden="1" x14ac:dyDescent="0.25">
      <c r="A356" t="s">
        <v>146</v>
      </c>
      <c r="B356" s="30" t="s">
        <v>28</v>
      </c>
      <c r="C356" s="28">
        <v>15</v>
      </c>
      <c r="G356">
        <f t="shared" si="25"/>
        <v>0</v>
      </c>
      <c r="H356" s="62">
        <f t="shared" si="26"/>
        <v>270</v>
      </c>
    </row>
    <row r="357" spans="1:8" hidden="1" x14ac:dyDescent="0.25">
      <c r="A357" t="s">
        <v>146</v>
      </c>
      <c r="B357" s="22" t="s">
        <v>29</v>
      </c>
      <c r="C357" s="28">
        <v>40</v>
      </c>
      <c r="D357" s="56"/>
      <c r="E357" s="57"/>
      <c r="G357">
        <f t="shared" si="25"/>
        <v>0</v>
      </c>
      <c r="H357" s="62">
        <f t="shared" si="26"/>
        <v>270</v>
      </c>
    </row>
    <row r="358" spans="1:8" hidden="1" x14ac:dyDescent="0.25">
      <c r="A358" t="s">
        <v>146</v>
      </c>
      <c r="B358" s="30" t="s">
        <v>30</v>
      </c>
      <c r="C358" s="28">
        <v>15</v>
      </c>
      <c r="G358">
        <f t="shared" si="25"/>
        <v>0</v>
      </c>
      <c r="H358" s="62">
        <f t="shared" si="26"/>
        <v>270</v>
      </c>
    </row>
    <row r="359" spans="1:8" hidden="1" x14ac:dyDescent="0.25">
      <c r="A359" t="s">
        <v>146</v>
      </c>
      <c r="B359" s="22" t="s">
        <v>111</v>
      </c>
      <c r="C359" s="28">
        <v>61</v>
      </c>
      <c r="D359" s="56"/>
      <c r="E359" s="57"/>
      <c r="G359">
        <f t="shared" si="25"/>
        <v>0</v>
      </c>
      <c r="H359" s="62">
        <f t="shared" si="26"/>
        <v>270</v>
      </c>
    </row>
    <row r="360" spans="1:8" hidden="1" x14ac:dyDescent="0.25">
      <c r="A360" t="s">
        <v>146</v>
      </c>
      <c r="B360" s="22" t="s">
        <v>112</v>
      </c>
      <c r="C360" s="28">
        <v>81</v>
      </c>
      <c r="D360" s="56"/>
      <c r="E360" s="57"/>
      <c r="G360">
        <f t="shared" si="25"/>
        <v>0</v>
      </c>
      <c r="H360" s="62">
        <f t="shared" si="26"/>
        <v>270</v>
      </c>
    </row>
    <row r="361" spans="1:8" hidden="1" x14ac:dyDescent="0.25">
      <c r="A361" t="s">
        <v>146</v>
      </c>
      <c r="B361" s="30" t="s">
        <v>113</v>
      </c>
      <c r="C361" s="28">
        <v>15</v>
      </c>
      <c r="G361">
        <f t="shared" si="25"/>
        <v>0</v>
      </c>
      <c r="H361" s="62">
        <f t="shared" si="26"/>
        <v>270</v>
      </c>
    </row>
    <row r="362" spans="1:8" hidden="1" x14ac:dyDescent="0.25">
      <c r="A362" t="s">
        <v>146</v>
      </c>
      <c r="B362" s="22" t="s">
        <v>114</v>
      </c>
      <c r="C362" s="28">
        <v>70</v>
      </c>
      <c r="D362" s="56"/>
      <c r="E362" s="57"/>
      <c r="G362">
        <f t="shared" si="25"/>
        <v>0</v>
      </c>
      <c r="H362" s="62">
        <f t="shared" si="26"/>
        <v>270</v>
      </c>
    </row>
    <row r="363" spans="1:8" hidden="1" x14ac:dyDescent="0.25">
      <c r="A363" t="s">
        <v>146</v>
      </c>
      <c r="B363" s="144" t="s">
        <v>33</v>
      </c>
      <c r="C363" s="28"/>
      <c r="D363" s="56"/>
      <c r="E363" s="57"/>
      <c r="G363">
        <f t="shared" si="25"/>
        <v>0</v>
      </c>
      <c r="H363" s="62">
        <f t="shared" si="26"/>
        <v>270</v>
      </c>
    </row>
    <row r="364" spans="1:8" hidden="1" x14ac:dyDescent="0.25">
      <c r="A364" t="s">
        <v>146</v>
      </c>
      <c r="B364" s="145"/>
      <c r="C364" s="28">
        <v>100</v>
      </c>
      <c r="D364" s="56"/>
      <c r="E364" s="57"/>
      <c r="G364">
        <f t="shared" si="25"/>
        <v>0</v>
      </c>
      <c r="H364" s="62">
        <f t="shared" si="26"/>
        <v>270</v>
      </c>
    </row>
    <row r="365" spans="1:8" hidden="1" x14ac:dyDescent="0.25">
      <c r="A365" t="s">
        <v>146</v>
      </c>
      <c r="B365" s="144" t="s">
        <v>34</v>
      </c>
      <c r="C365" s="28"/>
      <c r="D365" s="56"/>
      <c r="E365" s="57"/>
      <c r="G365">
        <f t="shared" si="25"/>
        <v>0</v>
      </c>
      <c r="H365" s="62">
        <f t="shared" si="26"/>
        <v>270</v>
      </c>
    </row>
    <row r="366" spans="1:8" hidden="1" x14ac:dyDescent="0.25">
      <c r="A366" t="s">
        <v>146</v>
      </c>
      <c r="B366" s="145"/>
      <c r="C366" s="28">
        <v>33</v>
      </c>
      <c r="D366" s="56"/>
      <c r="E366" s="57"/>
      <c r="G366">
        <f t="shared" si="25"/>
        <v>0</v>
      </c>
      <c r="H366" s="62">
        <f t="shared" si="26"/>
        <v>270</v>
      </c>
    </row>
    <row r="367" spans="1:8" hidden="1" x14ac:dyDescent="0.25">
      <c r="A367" t="s">
        <v>146</v>
      </c>
      <c r="B367" s="144" t="s">
        <v>35</v>
      </c>
      <c r="C367" s="28"/>
      <c r="D367" s="56"/>
      <c r="E367" s="57"/>
      <c r="G367">
        <f t="shared" si="25"/>
        <v>0</v>
      </c>
      <c r="H367" s="62">
        <f t="shared" si="26"/>
        <v>270</v>
      </c>
    </row>
    <row r="368" spans="1:8" hidden="1" x14ac:dyDescent="0.25">
      <c r="A368" t="s">
        <v>146</v>
      </c>
      <c r="B368" s="145"/>
      <c r="C368" s="28">
        <v>20</v>
      </c>
      <c r="D368" s="56"/>
      <c r="E368" s="57"/>
      <c r="G368">
        <f t="shared" si="25"/>
        <v>0</v>
      </c>
      <c r="H368" s="62">
        <f t="shared" si="26"/>
        <v>270</v>
      </c>
    </row>
    <row r="369" spans="1:8" hidden="1" x14ac:dyDescent="0.25">
      <c r="A369" t="s">
        <v>146</v>
      </c>
      <c r="B369" s="144" t="s">
        <v>36</v>
      </c>
      <c r="C369" s="28"/>
      <c r="D369" s="56"/>
      <c r="E369" s="57"/>
      <c r="G369">
        <f t="shared" si="25"/>
        <v>0</v>
      </c>
      <c r="H369" s="62">
        <f t="shared" si="26"/>
        <v>270</v>
      </c>
    </row>
    <row r="370" spans="1:8" hidden="1" x14ac:dyDescent="0.25">
      <c r="A370" t="s">
        <v>146</v>
      </c>
      <c r="B370" s="145"/>
      <c r="C370" s="28">
        <v>33</v>
      </c>
      <c r="D370" s="56"/>
      <c r="E370" s="57"/>
      <c r="G370">
        <f t="shared" si="25"/>
        <v>0</v>
      </c>
      <c r="H370" s="62">
        <f t="shared" si="26"/>
        <v>270</v>
      </c>
    </row>
    <row r="371" spans="1:8" hidden="1" x14ac:dyDescent="0.25">
      <c r="A371" t="s">
        <v>146</v>
      </c>
      <c r="B371" s="22" t="s">
        <v>37</v>
      </c>
      <c r="C371" s="28">
        <v>43</v>
      </c>
      <c r="D371" s="56"/>
      <c r="E371" s="57"/>
      <c r="G371">
        <f t="shared" si="25"/>
        <v>0</v>
      </c>
      <c r="H371" s="62">
        <f t="shared" si="26"/>
        <v>270</v>
      </c>
    </row>
    <row r="372" spans="1:8" hidden="1" x14ac:dyDescent="0.25">
      <c r="A372" t="s">
        <v>146</v>
      </c>
      <c r="B372" s="22" t="s">
        <v>38</v>
      </c>
      <c r="C372" s="28">
        <v>120</v>
      </c>
      <c r="D372" s="56"/>
      <c r="E372" s="57"/>
      <c r="G372">
        <f t="shared" si="25"/>
        <v>0</v>
      </c>
      <c r="H372" s="62">
        <f t="shared" si="26"/>
        <v>270</v>
      </c>
    </row>
    <row r="373" spans="1:8" ht="21" hidden="1" x14ac:dyDescent="0.35">
      <c r="A373" s="108" t="s">
        <v>39</v>
      </c>
      <c r="B373" s="68"/>
      <c r="C373" s="68"/>
      <c r="D373" s="68"/>
      <c r="E373" s="68"/>
      <c r="F373" s="68"/>
      <c r="G373" s="68"/>
      <c r="H373" s="91"/>
    </row>
    <row r="374" spans="1:8" hidden="1" x14ac:dyDescent="0.25">
      <c r="A374" t="s">
        <v>146</v>
      </c>
      <c r="B374" s="52" t="s">
        <v>125</v>
      </c>
      <c r="C374" s="53">
        <v>170</v>
      </c>
      <c r="G374">
        <f t="shared" ref="G374:G383" si="27">+C374*F374</f>
        <v>0</v>
      </c>
      <c r="H374" s="62">
        <f t="shared" ref="H374:H403" si="28">$K$346-F374</f>
        <v>270</v>
      </c>
    </row>
    <row r="375" spans="1:8" ht="28.5" hidden="1" x14ac:dyDescent="0.25">
      <c r="A375" t="s">
        <v>146</v>
      </c>
      <c r="B375" s="22" t="s">
        <v>74</v>
      </c>
      <c r="C375" s="28">
        <v>30</v>
      </c>
      <c r="D375" s="56">
        <v>28</v>
      </c>
      <c r="E375" s="57" t="s">
        <v>106</v>
      </c>
      <c r="F375" s="23">
        <v>270</v>
      </c>
      <c r="G375">
        <f t="shared" si="27"/>
        <v>8100</v>
      </c>
      <c r="H375" s="62">
        <f t="shared" si="28"/>
        <v>0</v>
      </c>
    </row>
    <row r="376" spans="1:8" hidden="1" x14ac:dyDescent="0.25">
      <c r="A376" t="s">
        <v>146</v>
      </c>
      <c r="B376" s="31" t="s">
        <v>40</v>
      </c>
      <c r="C376" s="32">
        <v>15</v>
      </c>
      <c r="G376">
        <f t="shared" si="27"/>
        <v>0</v>
      </c>
      <c r="H376" s="62">
        <f>$K$346-F376</f>
        <v>270</v>
      </c>
    </row>
    <row r="377" spans="1:8" hidden="1" x14ac:dyDescent="0.25">
      <c r="A377" t="s">
        <v>146</v>
      </c>
      <c r="B377" s="61" t="s">
        <v>133</v>
      </c>
      <c r="C377" s="28">
        <v>33</v>
      </c>
      <c r="G377">
        <f t="shared" si="27"/>
        <v>0</v>
      </c>
      <c r="H377" s="62">
        <f t="shared" si="28"/>
        <v>270</v>
      </c>
    </row>
    <row r="378" spans="1:8" hidden="1" x14ac:dyDescent="0.25">
      <c r="A378" t="s">
        <v>146</v>
      </c>
      <c r="B378" s="30" t="s">
        <v>43</v>
      </c>
      <c r="C378" s="28">
        <v>45</v>
      </c>
      <c r="G378">
        <f t="shared" si="27"/>
        <v>0</v>
      </c>
      <c r="H378" s="62">
        <f t="shared" si="28"/>
        <v>270</v>
      </c>
    </row>
    <row r="379" spans="1:8" hidden="1" x14ac:dyDescent="0.25">
      <c r="A379" t="s">
        <v>146</v>
      </c>
      <c r="B379" s="30" t="s">
        <v>44</v>
      </c>
      <c r="C379" s="28">
        <v>70</v>
      </c>
      <c r="G379">
        <f t="shared" si="27"/>
        <v>0</v>
      </c>
      <c r="H379" s="62">
        <f t="shared" si="28"/>
        <v>270</v>
      </c>
    </row>
    <row r="380" spans="1:8" hidden="1" x14ac:dyDescent="0.25">
      <c r="A380" t="s">
        <v>146</v>
      </c>
      <c r="B380" s="144" t="s">
        <v>134</v>
      </c>
      <c r="C380" s="28"/>
      <c r="D380" s="56"/>
      <c r="E380" s="57"/>
      <c r="G380">
        <f t="shared" si="27"/>
        <v>0</v>
      </c>
      <c r="H380" s="62">
        <f t="shared" si="28"/>
        <v>270</v>
      </c>
    </row>
    <row r="381" spans="1:8" hidden="1" x14ac:dyDescent="0.25">
      <c r="A381" t="s">
        <v>146</v>
      </c>
      <c r="B381" s="146"/>
      <c r="C381" s="28"/>
      <c r="D381" s="56"/>
      <c r="E381" s="57"/>
      <c r="G381">
        <f t="shared" si="27"/>
        <v>0</v>
      </c>
      <c r="H381" s="62">
        <f t="shared" si="28"/>
        <v>270</v>
      </c>
    </row>
    <row r="382" spans="1:8" hidden="1" x14ac:dyDescent="0.25">
      <c r="A382" t="s">
        <v>146</v>
      </c>
      <c r="B382" s="145"/>
      <c r="C382" s="28">
        <v>240</v>
      </c>
      <c r="D382" s="56"/>
      <c r="E382" s="57"/>
      <c r="G382">
        <f t="shared" si="27"/>
        <v>0</v>
      </c>
      <c r="H382" s="62">
        <f t="shared" si="28"/>
        <v>270</v>
      </c>
    </row>
    <row r="383" spans="1:8" ht="30" hidden="1" x14ac:dyDescent="0.25">
      <c r="A383" t="s">
        <v>146</v>
      </c>
      <c r="B383" s="33" t="s">
        <v>45</v>
      </c>
      <c r="C383" s="28">
        <v>70</v>
      </c>
      <c r="G383">
        <f t="shared" si="27"/>
        <v>0</v>
      </c>
      <c r="H383" s="62">
        <f t="shared" si="28"/>
        <v>270</v>
      </c>
    </row>
    <row r="384" spans="1:8" ht="21" hidden="1" x14ac:dyDescent="0.35">
      <c r="A384" s="108" t="s">
        <v>46</v>
      </c>
      <c r="B384" s="68"/>
      <c r="C384" s="68"/>
      <c r="D384" s="68"/>
      <c r="E384" s="68"/>
      <c r="F384" s="68"/>
      <c r="G384" s="68"/>
      <c r="H384" s="91"/>
    </row>
    <row r="385" spans="1:8" hidden="1" x14ac:dyDescent="0.25">
      <c r="A385" t="s">
        <v>146</v>
      </c>
      <c r="B385" s="30" t="s">
        <v>47</v>
      </c>
      <c r="C385" s="34">
        <v>12</v>
      </c>
      <c r="G385">
        <f>+C385*F385</f>
        <v>0</v>
      </c>
      <c r="H385" s="62">
        <f t="shared" si="28"/>
        <v>270</v>
      </c>
    </row>
    <row r="386" spans="1:8" hidden="1" x14ac:dyDescent="0.25">
      <c r="A386" t="s">
        <v>146</v>
      </c>
      <c r="B386" s="30" t="s">
        <v>48</v>
      </c>
      <c r="C386" s="34">
        <v>28</v>
      </c>
      <c r="G386">
        <f>+C386*F386</f>
        <v>0</v>
      </c>
      <c r="H386" s="62">
        <f t="shared" si="28"/>
        <v>270</v>
      </c>
    </row>
    <row r="387" spans="1:8" hidden="1" x14ac:dyDescent="0.25">
      <c r="A387" t="s">
        <v>146</v>
      </c>
      <c r="B387" s="22" t="s">
        <v>49</v>
      </c>
      <c r="C387" s="34">
        <v>20</v>
      </c>
      <c r="G387">
        <f>+C387*F387</f>
        <v>0</v>
      </c>
      <c r="H387" s="62">
        <f t="shared" si="28"/>
        <v>270</v>
      </c>
    </row>
    <row r="388" spans="1:8" ht="21" hidden="1" x14ac:dyDescent="0.35">
      <c r="A388" s="108" t="s">
        <v>50</v>
      </c>
      <c r="B388" s="68"/>
      <c r="C388" s="68"/>
      <c r="D388" s="68"/>
      <c r="E388" s="68"/>
      <c r="F388" s="68"/>
      <c r="G388" s="68"/>
      <c r="H388" s="91"/>
    </row>
    <row r="389" spans="1:8" hidden="1" x14ac:dyDescent="0.25">
      <c r="A389" t="s">
        <v>146</v>
      </c>
      <c r="B389" s="22" t="s">
        <v>135</v>
      </c>
      <c r="C389" s="34">
        <v>36</v>
      </c>
      <c r="G389">
        <f>+C389*F389</f>
        <v>0</v>
      </c>
      <c r="H389" s="62">
        <f t="shared" si="28"/>
        <v>270</v>
      </c>
    </row>
    <row r="390" spans="1:8" hidden="1" x14ac:dyDescent="0.25">
      <c r="A390" t="s">
        <v>146</v>
      </c>
      <c r="B390" s="22" t="s">
        <v>52</v>
      </c>
      <c r="C390" s="34">
        <v>15</v>
      </c>
      <c r="G390">
        <f>+C390*F390</f>
        <v>0</v>
      </c>
      <c r="H390" s="62">
        <f t="shared" si="28"/>
        <v>270</v>
      </c>
    </row>
    <row r="391" spans="1:8" ht="21" hidden="1" x14ac:dyDescent="0.35">
      <c r="A391" s="108" t="s">
        <v>20</v>
      </c>
      <c r="B391" s="68"/>
      <c r="C391" s="68"/>
      <c r="D391" s="68"/>
      <c r="E391" s="68"/>
      <c r="F391" s="68"/>
      <c r="G391" s="68"/>
      <c r="H391" s="91"/>
    </row>
    <row r="392" spans="1:8" hidden="1" x14ac:dyDescent="0.25">
      <c r="A392" t="s">
        <v>146</v>
      </c>
      <c r="B392" s="22" t="s">
        <v>53</v>
      </c>
      <c r="C392" s="34">
        <v>81</v>
      </c>
      <c r="G392">
        <f t="shared" ref="G392:G403" si="29">+C392*F392</f>
        <v>0</v>
      </c>
      <c r="H392" s="62">
        <f t="shared" si="28"/>
        <v>270</v>
      </c>
    </row>
    <row r="393" spans="1:8" hidden="1" x14ac:dyDescent="0.25">
      <c r="A393" t="s">
        <v>146</v>
      </c>
      <c r="B393" s="22" t="s">
        <v>54</v>
      </c>
      <c r="C393" s="34">
        <v>71</v>
      </c>
      <c r="G393">
        <f t="shared" si="29"/>
        <v>0</v>
      </c>
      <c r="H393" s="62">
        <f t="shared" si="28"/>
        <v>270</v>
      </c>
    </row>
    <row r="394" spans="1:8" hidden="1" x14ac:dyDescent="0.25">
      <c r="A394" t="s">
        <v>146</v>
      </c>
      <c r="B394" s="22" t="s">
        <v>55</v>
      </c>
      <c r="C394" s="28">
        <v>85</v>
      </c>
      <c r="D394" s="56"/>
      <c r="E394" s="57"/>
      <c r="G394">
        <f t="shared" si="29"/>
        <v>0</v>
      </c>
      <c r="H394" s="62">
        <f t="shared" si="28"/>
        <v>270</v>
      </c>
    </row>
    <row r="395" spans="1:8" hidden="1" x14ac:dyDescent="0.25">
      <c r="A395" t="s">
        <v>146</v>
      </c>
      <c r="B395" s="22" t="s">
        <v>56</v>
      </c>
      <c r="C395" s="28">
        <v>75</v>
      </c>
      <c r="G395">
        <f t="shared" si="29"/>
        <v>0</v>
      </c>
      <c r="H395" s="62">
        <f t="shared" si="28"/>
        <v>270</v>
      </c>
    </row>
    <row r="396" spans="1:8" hidden="1" x14ac:dyDescent="0.25">
      <c r="A396" t="s">
        <v>146</v>
      </c>
      <c r="B396" s="22" t="s">
        <v>57</v>
      </c>
      <c r="C396" s="28">
        <v>98</v>
      </c>
      <c r="D396" s="56"/>
      <c r="E396" s="57"/>
      <c r="G396">
        <f t="shared" si="29"/>
        <v>0</v>
      </c>
      <c r="H396" s="62">
        <f t="shared" si="28"/>
        <v>270</v>
      </c>
    </row>
    <row r="397" spans="1:8" hidden="1" x14ac:dyDescent="0.25">
      <c r="A397" t="s">
        <v>146</v>
      </c>
      <c r="B397" s="22" t="s">
        <v>58</v>
      </c>
      <c r="C397" s="28">
        <v>110</v>
      </c>
      <c r="G397">
        <f t="shared" si="29"/>
        <v>0</v>
      </c>
      <c r="H397" s="62">
        <f t="shared" si="28"/>
        <v>270</v>
      </c>
    </row>
    <row r="398" spans="1:8" hidden="1" x14ac:dyDescent="0.25">
      <c r="A398" t="s">
        <v>146</v>
      </c>
      <c r="B398" s="33" t="s">
        <v>59</v>
      </c>
      <c r="C398" s="28">
        <v>70</v>
      </c>
      <c r="G398">
        <f t="shared" si="29"/>
        <v>0</v>
      </c>
      <c r="H398" s="62">
        <f t="shared" si="28"/>
        <v>270</v>
      </c>
    </row>
    <row r="399" spans="1:8" hidden="1" x14ac:dyDescent="0.25">
      <c r="A399" t="s">
        <v>146</v>
      </c>
      <c r="B399" s="22" t="s">
        <v>60</v>
      </c>
      <c r="C399" s="28">
        <v>120</v>
      </c>
      <c r="G399">
        <f t="shared" si="29"/>
        <v>0</v>
      </c>
      <c r="H399" s="62">
        <f t="shared" si="28"/>
        <v>270</v>
      </c>
    </row>
    <row r="400" spans="1:8" hidden="1" x14ac:dyDescent="0.25">
      <c r="A400" t="s">
        <v>146</v>
      </c>
      <c r="B400" s="22" t="s">
        <v>136</v>
      </c>
      <c r="C400" s="28">
        <f>22*8.5</f>
        <v>187</v>
      </c>
      <c r="G400">
        <f t="shared" si="29"/>
        <v>0</v>
      </c>
      <c r="H400" s="62">
        <f t="shared" si="28"/>
        <v>270</v>
      </c>
    </row>
    <row r="401" spans="1:11" ht="21" hidden="1" x14ac:dyDescent="0.35">
      <c r="A401" t="s">
        <v>146</v>
      </c>
      <c r="B401" s="25" t="s">
        <v>65</v>
      </c>
      <c r="C401" s="28">
        <v>29.999999999999996</v>
      </c>
      <c r="G401">
        <f t="shared" si="29"/>
        <v>0</v>
      </c>
      <c r="H401" s="62">
        <f t="shared" si="28"/>
        <v>270</v>
      </c>
      <c r="J401" s="122"/>
      <c r="K401" s="126"/>
    </row>
    <row r="402" spans="1:11" ht="21" hidden="1" x14ac:dyDescent="0.35">
      <c r="A402" t="s">
        <v>146</v>
      </c>
      <c r="B402" s="25" t="s">
        <v>77</v>
      </c>
      <c r="C402" s="28">
        <v>80</v>
      </c>
      <c r="G402">
        <f t="shared" si="29"/>
        <v>0</v>
      </c>
      <c r="H402" s="62">
        <f t="shared" si="28"/>
        <v>270</v>
      </c>
      <c r="J402" s="122"/>
      <c r="K402" s="126"/>
    </row>
    <row r="403" spans="1:11" hidden="1" x14ac:dyDescent="0.25">
      <c r="A403" t="s">
        <v>146</v>
      </c>
      <c r="B403" s="35" t="s">
        <v>72</v>
      </c>
      <c r="C403" s="28">
        <v>50</v>
      </c>
      <c r="G403">
        <f t="shared" si="29"/>
        <v>0</v>
      </c>
      <c r="H403" s="62">
        <f t="shared" si="28"/>
        <v>270</v>
      </c>
    </row>
    <row r="404" spans="1:11" ht="21" hidden="1" x14ac:dyDescent="0.35">
      <c r="A404" s="109" t="s">
        <v>19</v>
      </c>
      <c r="B404" s="65"/>
      <c r="C404" s="65"/>
      <c r="D404" s="65"/>
      <c r="E404" s="65"/>
      <c r="F404" s="65"/>
      <c r="G404" s="65"/>
      <c r="H404" s="92"/>
      <c r="I404" s="21"/>
      <c r="J404" s="70" t="s">
        <v>115</v>
      </c>
      <c r="K404" s="112">
        <v>238</v>
      </c>
    </row>
    <row r="405" spans="1:11" ht="21" hidden="1" x14ac:dyDescent="0.35">
      <c r="A405" t="s">
        <v>147</v>
      </c>
      <c r="B405" s="20" t="s">
        <v>22</v>
      </c>
      <c r="C405" s="34">
        <v>15</v>
      </c>
      <c r="D405" s="56">
        <v>34</v>
      </c>
      <c r="E405" s="57" t="s">
        <v>141</v>
      </c>
      <c r="F405">
        <v>238</v>
      </c>
      <c r="G405">
        <f t="shared" ref="G405:G430" si="30">+C405*F405</f>
        <v>3570</v>
      </c>
      <c r="H405" s="62">
        <f>$K$404-F405</f>
        <v>0</v>
      </c>
      <c r="J405" s="70" t="s">
        <v>116</v>
      </c>
      <c r="K405" s="115">
        <v>2719</v>
      </c>
    </row>
    <row r="406" spans="1:11" ht="21" hidden="1" x14ac:dyDescent="0.35">
      <c r="A406" t="s">
        <v>147</v>
      </c>
      <c r="B406" s="20" t="s">
        <v>23</v>
      </c>
      <c r="C406" s="34">
        <v>20</v>
      </c>
      <c r="D406" s="56">
        <v>34</v>
      </c>
      <c r="E406" s="57" t="s">
        <v>141</v>
      </c>
      <c r="F406">
        <v>238</v>
      </c>
      <c r="G406">
        <f t="shared" si="30"/>
        <v>4760</v>
      </c>
      <c r="H406" s="62">
        <f t="shared" ref="H406:H430" si="31">$K$404-F406</f>
        <v>0</v>
      </c>
      <c r="J406" s="70" t="s">
        <v>117</v>
      </c>
      <c r="K406" s="117">
        <f>+K404*K405</f>
        <v>647122</v>
      </c>
    </row>
    <row r="407" spans="1:11" ht="21" hidden="1" x14ac:dyDescent="0.35">
      <c r="A407" t="s">
        <v>147</v>
      </c>
      <c r="B407" s="20" t="s">
        <v>24</v>
      </c>
      <c r="C407" s="34">
        <v>15</v>
      </c>
      <c r="D407" s="56">
        <v>34</v>
      </c>
      <c r="E407" s="57" t="s">
        <v>141</v>
      </c>
      <c r="F407">
        <v>187</v>
      </c>
      <c r="G407">
        <f t="shared" si="30"/>
        <v>2805</v>
      </c>
      <c r="H407" s="62">
        <f t="shared" si="31"/>
        <v>51</v>
      </c>
      <c r="J407" s="70" t="s">
        <v>166</v>
      </c>
      <c r="K407" s="114">
        <f>SUM(G405:G461)</f>
        <v>72039</v>
      </c>
    </row>
    <row r="408" spans="1:11" ht="33" hidden="1" x14ac:dyDescent="0.25">
      <c r="A408" t="s">
        <v>147</v>
      </c>
      <c r="B408" s="29" t="s">
        <v>108</v>
      </c>
      <c r="C408" s="34">
        <v>12</v>
      </c>
      <c r="D408" s="130">
        <v>22</v>
      </c>
      <c r="E408" s="131" t="s">
        <v>100</v>
      </c>
      <c r="F408">
        <v>238</v>
      </c>
      <c r="G408">
        <f t="shared" si="30"/>
        <v>2856</v>
      </c>
      <c r="H408" s="62">
        <f t="shared" si="31"/>
        <v>0</v>
      </c>
    </row>
    <row r="409" spans="1:11" hidden="1" x14ac:dyDescent="0.25">
      <c r="A409" t="s">
        <v>147</v>
      </c>
      <c r="B409" s="30" t="s">
        <v>109</v>
      </c>
      <c r="C409" s="28">
        <v>10</v>
      </c>
      <c r="G409">
        <f t="shared" si="30"/>
        <v>0</v>
      </c>
      <c r="H409" s="62">
        <f t="shared" si="31"/>
        <v>238</v>
      </c>
    </row>
    <row r="410" spans="1:11" ht="33" hidden="1" x14ac:dyDescent="0.25">
      <c r="A410" t="s">
        <v>147</v>
      </c>
      <c r="B410" s="22" t="s">
        <v>110</v>
      </c>
      <c r="C410" s="28">
        <v>20</v>
      </c>
      <c r="D410" s="130">
        <v>22</v>
      </c>
      <c r="E410" s="131" t="s">
        <v>100</v>
      </c>
      <c r="F410">
        <v>238</v>
      </c>
      <c r="G410">
        <f t="shared" si="30"/>
        <v>4760</v>
      </c>
      <c r="H410" s="62">
        <f t="shared" si="31"/>
        <v>0</v>
      </c>
    </row>
    <row r="411" spans="1:11" ht="28.5" hidden="1" x14ac:dyDescent="0.25">
      <c r="A411" t="s">
        <v>147</v>
      </c>
      <c r="B411" s="25" t="s">
        <v>25</v>
      </c>
      <c r="C411" s="28">
        <v>50</v>
      </c>
      <c r="D411" s="56">
        <v>5</v>
      </c>
      <c r="E411" s="57" t="s">
        <v>83</v>
      </c>
      <c r="F411">
        <v>238</v>
      </c>
      <c r="G411">
        <f t="shared" si="30"/>
        <v>11900</v>
      </c>
      <c r="H411" s="62">
        <f t="shared" si="31"/>
        <v>0</v>
      </c>
    </row>
    <row r="412" spans="1:11" hidden="1" x14ac:dyDescent="0.25">
      <c r="A412" t="s">
        <v>147</v>
      </c>
      <c r="B412" s="30" t="s">
        <v>26</v>
      </c>
      <c r="C412" s="28">
        <v>10</v>
      </c>
      <c r="G412">
        <f t="shared" si="30"/>
        <v>0</v>
      </c>
      <c r="H412" s="62">
        <f t="shared" si="31"/>
        <v>238</v>
      </c>
    </row>
    <row r="413" spans="1:11" hidden="1" x14ac:dyDescent="0.25">
      <c r="A413" t="s">
        <v>147</v>
      </c>
      <c r="B413" s="22" t="s">
        <v>27</v>
      </c>
      <c r="C413" s="28">
        <v>80</v>
      </c>
      <c r="D413" s="56"/>
      <c r="E413" s="57"/>
      <c r="G413">
        <f t="shared" si="30"/>
        <v>0</v>
      </c>
      <c r="H413" s="62">
        <f t="shared" si="31"/>
        <v>238</v>
      </c>
    </row>
    <row r="414" spans="1:11" hidden="1" x14ac:dyDescent="0.25">
      <c r="A414" t="s">
        <v>147</v>
      </c>
      <c r="B414" s="30" t="s">
        <v>28</v>
      </c>
      <c r="C414" s="28">
        <v>15</v>
      </c>
      <c r="G414">
        <f t="shared" si="30"/>
        <v>0</v>
      </c>
      <c r="H414" s="62">
        <f t="shared" si="31"/>
        <v>238</v>
      </c>
    </row>
    <row r="415" spans="1:11" hidden="1" x14ac:dyDescent="0.25">
      <c r="A415" t="s">
        <v>147</v>
      </c>
      <c r="B415" s="22" t="s">
        <v>29</v>
      </c>
      <c r="C415" s="28">
        <v>40</v>
      </c>
      <c r="D415" s="56"/>
      <c r="E415" s="57"/>
      <c r="G415">
        <f t="shared" si="30"/>
        <v>0</v>
      </c>
      <c r="H415" s="62">
        <f t="shared" si="31"/>
        <v>238</v>
      </c>
    </row>
    <row r="416" spans="1:11" hidden="1" x14ac:dyDescent="0.25">
      <c r="A416" t="s">
        <v>147</v>
      </c>
      <c r="B416" s="30" t="s">
        <v>30</v>
      </c>
      <c r="C416" s="28">
        <v>15</v>
      </c>
      <c r="G416">
        <f t="shared" si="30"/>
        <v>0</v>
      </c>
      <c r="H416" s="62">
        <f t="shared" si="31"/>
        <v>238</v>
      </c>
    </row>
    <row r="417" spans="1:8" hidden="1" x14ac:dyDescent="0.25">
      <c r="A417" t="s">
        <v>147</v>
      </c>
      <c r="B417" s="22" t="s">
        <v>111</v>
      </c>
      <c r="C417" s="28">
        <v>61</v>
      </c>
      <c r="D417" s="56"/>
      <c r="E417" s="57"/>
      <c r="G417">
        <f t="shared" si="30"/>
        <v>0</v>
      </c>
      <c r="H417" s="62">
        <f t="shared" si="31"/>
        <v>238</v>
      </c>
    </row>
    <row r="418" spans="1:8" hidden="1" x14ac:dyDescent="0.25">
      <c r="A418" t="s">
        <v>147</v>
      </c>
      <c r="B418" s="22" t="s">
        <v>112</v>
      </c>
      <c r="C418" s="28">
        <v>81</v>
      </c>
      <c r="D418" s="56"/>
      <c r="E418" s="57"/>
      <c r="G418">
        <f t="shared" si="30"/>
        <v>0</v>
      </c>
      <c r="H418" s="62">
        <f t="shared" si="31"/>
        <v>238</v>
      </c>
    </row>
    <row r="419" spans="1:8" hidden="1" x14ac:dyDescent="0.25">
      <c r="A419" t="s">
        <v>147</v>
      </c>
      <c r="B419" s="30" t="s">
        <v>113</v>
      </c>
      <c r="C419" s="28">
        <v>15</v>
      </c>
      <c r="G419">
        <f t="shared" si="30"/>
        <v>0</v>
      </c>
      <c r="H419" s="62">
        <f t="shared" si="31"/>
        <v>238</v>
      </c>
    </row>
    <row r="420" spans="1:8" hidden="1" x14ac:dyDescent="0.25">
      <c r="A420" t="s">
        <v>147</v>
      </c>
      <c r="B420" s="22" t="s">
        <v>114</v>
      </c>
      <c r="C420" s="28">
        <v>70</v>
      </c>
      <c r="D420" s="56"/>
      <c r="E420" s="57"/>
      <c r="G420">
        <f t="shared" si="30"/>
        <v>0</v>
      </c>
      <c r="H420" s="62">
        <f t="shared" si="31"/>
        <v>238</v>
      </c>
    </row>
    <row r="421" spans="1:8" hidden="1" x14ac:dyDescent="0.25">
      <c r="A421" t="s">
        <v>147</v>
      </c>
      <c r="B421" s="144" t="s">
        <v>33</v>
      </c>
      <c r="C421" s="28"/>
      <c r="D421" s="56"/>
      <c r="E421" s="57"/>
      <c r="G421">
        <f t="shared" si="30"/>
        <v>0</v>
      </c>
      <c r="H421" s="62">
        <f t="shared" si="31"/>
        <v>238</v>
      </c>
    </row>
    <row r="422" spans="1:8" hidden="1" x14ac:dyDescent="0.25">
      <c r="A422" t="s">
        <v>147</v>
      </c>
      <c r="B422" s="145"/>
      <c r="C422" s="28">
        <v>100</v>
      </c>
      <c r="D422" s="56"/>
      <c r="E422" s="57"/>
      <c r="G422">
        <f t="shared" si="30"/>
        <v>0</v>
      </c>
      <c r="H422" s="62">
        <f t="shared" si="31"/>
        <v>238</v>
      </c>
    </row>
    <row r="423" spans="1:8" hidden="1" x14ac:dyDescent="0.25">
      <c r="A423" t="s">
        <v>147</v>
      </c>
      <c r="B423" s="144" t="s">
        <v>34</v>
      </c>
      <c r="C423" s="28"/>
      <c r="D423" s="56"/>
      <c r="E423" s="57"/>
      <c r="G423">
        <f t="shared" si="30"/>
        <v>0</v>
      </c>
      <c r="H423" s="62">
        <f t="shared" si="31"/>
        <v>238</v>
      </c>
    </row>
    <row r="424" spans="1:8" hidden="1" x14ac:dyDescent="0.25">
      <c r="A424" t="s">
        <v>147</v>
      </c>
      <c r="B424" s="145"/>
      <c r="C424" s="28">
        <v>33</v>
      </c>
      <c r="D424" s="56"/>
      <c r="E424" s="57"/>
      <c r="G424">
        <f t="shared" si="30"/>
        <v>0</v>
      </c>
      <c r="H424" s="62">
        <f t="shared" si="31"/>
        <v>238</v>
      </c>
    </row>
    <row r="425" spans="1:8" hidden="1" x14ac:dyDescent="0.25">
      <c r="A425" t="s">
        <v>147</v>
      </c>
      <c r="B425" s="144" t="s">
        <v>35</v>
      </c>
      <c r="C425" s="28"/>
      <c r="D425" s="56"/>
      <c r="E425" s="57"/>
      <c r="G425">
        <f t="shared" si="30"/>
        <v>0</v>
      </c>
      <c r="H425" s="62">
        <f t="shared" si="31"/>
        <v>238</v>
      </c>
    </row>
    <row r="426" spans="1:8" hidden="1" x14ac:dyDescent="0.25">
      <c r="A426" t="s">
        <v>147</v>
      </c>
      <c r="B426" s="145"/>
      <c r="C426" s="28">
        <v>20</v>
      </c>
      <c r="D426" s="56"/>
      <c r="E426" s="57"/>
      <c r="G426">
        <f t="shared" si="30"/>
        <v>0</v>
      </c>
      <c r="H426" s="62">
        <f t="shared" si="31"/>
        <v>238</v>
      </c>
    </row>
    <row r="427" spans="1:8" hidden="1" x14ac:dyDescent="0.25">
      <c r="A427" t="s">
        <v>147</v>
      </c>
      <c r="B427" s="144" t="s">
        <v>36</v>
      </c>
      <c r="C427" s="28"/>
      <c r="D427" s="56"/>
      <c r="E427" s="57"/>
      <c r="G427">
        <f t="shared" si="30"/>
        <v>0</v>
      </c>
      <c r="H427" s="62">
        <f t="shared" si="31"/>
        <v>238</v>
      </c>
    </row>
    <row r="428" spans="1:8" hidden="1" x14ac:dyDescent="0.25">
      <c r="A428" t="s">
        <v>147</v>
      </c>
      <c r="B428" s="145"/>
      <c r="C428" s="28">
        <v>33</v>
      </c>
      <c r="D428" s="56"/>
      <c r="E428" s="57"/>
      <c r="G428">
        <f t="shared" si="30"/>
        <v>0</v>
      </c>
      <c r="H428" s="62">
        <f t="shared" si="31"/>
        <v>238</v>
      </c>
    </row>
    <row r="429" spans="1:8" hidden="1" x14ac:dyDescent="0.25">
      <c r="A429" t="s">
        <v>147</v>
      </c>
      <c r="B429" s="22" t="s">
        <v>37</v>
      </c>
      <c r="C429" s="28">
        <v>43</v>
      </c>
      <c r="D429" s="56"/>
      <c r="E429" s="57"/>
      <c r="G429">
        <f t="shared" si="30"/>
        <v>0</v>
      </c>
      <c r="H429" s="62">
        <f t="shared" si="31"/>
        <v>238</v>
      </c>
    </row>
    <row r="430" spans="1:8" hidden="1" x14ac:dyDescent="0.25">
      <c r="A430" t="s">
        <v>147</v>
      </c>
      <c r="B430" s="22" t="s">
        <v>38</v>
      </c>
      <c r="C430" s="28">
        <v>120</v>
      </c>
      <c r="D430" s="56"/>
      <c r="E430" s="57"/>
      <c r="G430">
        <f t="shared" si="30"/>
        <v>0</v>
      </c>
      <c r="H430" s="62">
        <f t="shared" si="31"/>
        <v>238</v>
      </c>
    </row>
    <row r="431" spans="1:8" ht="21" hidden="1" x14ac:dyDescent="0.35">
      <c r="A431" s="109" t="s">
        <v>39</v>
      </c>
      <c r="B431" s="65"/>
      <c r="C431" s="65"/>
      <c r="D431" s="65"/>
      <c r="E431" s="65"/>
      <c r="F431" s="65"/>
      <c r="G431" s="65"/>
      <c r="H431" s="92"/>
    </row>
    <row r="432" spans="1:8" hidden="1" x14ac:dyDescent="0.25">
      <c r="A432" t="s">
        <v>147</v>
      </c>
      <c r="B432" s="52" t="s">
        <v>125</v>
      </c>
      <c r="C432" s="53">
        <v>170</v>
      </c>
      <c r="G432">
        <f t="shared" ref="G432:G441" si="32">+C432*F432</f>
        <v>0</v>
      </c>
      <c r="H432" s="62">
        <f t="shared" ref="H432:H441" si="33">$K$404-F432</f>
        <v>238</v>
      </c>
    </row>
    <row r="433" spans="1:8" ht="28.5" hidden="1" x14ac:dyDescent="0.25">
      <c r="A433" t="s">
        <v>147</v>
      </c>
      <c r="B433" s="22" t="s">
        <v>74</v>
      </c>
      <c r="C433" s="28">
        <v>30</v>
      </c>
      <c r="D433" s="56">
        <v>28</v>
      </c>
      <c r="E433" s="57" t="s">
        <v>106</v>
      </c>
      <c r="F433" s="23">
        <v>238</v>
      </c>
      <c r="G433">
        <f t="shared" si="32"/>
        <v>7140</v>
      </c>
      <c r="H433" s="62">
        <f t="shared" si="33"/>
        <v>0</v>
      </c>
    </row>
    <row r="434" spans="1:8" hidden="1" x14ac:dyDescent="0.25">
      <c r="A434" t="s">
        <v>147</v>
      </c>
      <c r="B434" s="31" t="s">
        <v>40</v>
      </c>
      <c r="C434" s="32">
        <v>15</v>
      </c>
      <c r="G434">
        <f t="shared" si="32"/>
        <v>0</v>
      </c>
      <c r="H434" s="62">
        <f t="shared" si="33"/>
        <v>238</v>
      </c>
    </row>
    <row r="435" spans="1:8" hidden="1" x14ac:dyDescent="0.25">
      <c r="A435" t="s">
        <v>147</v>
      </c>
      <c r="B435" s="61" t="s">
        <v>133</v>
      </c>
      <c r="C435" s="28">
        <v>33</v>
      </c>
      <c r="G435">
        <f t="shared" si="32"/>
        <v>0</v>
      </c>
      <c r="H435" s="62">
        <f t="shared" si="33"/>
        <v>238</v>
      </c>
    </row>
    <row r="436" spans="1:8" hidden="1" x14ac:dyDescent="0.25">
      <c r="A436" t="s">
        <v>147</v>
      </c>
      <c r="B436" s="30" t="s">
        <v>43</v>
      </c>
      <c r="C436" s="28">
        <v>45</v>
      </c>
      <c r="G436">
        <f t="shared" si="32"/>
        <v>0</v>
      </c>
      <c r="H436" s="62">
        <f t="shared" si="33"/>
        <v>238</v>
      </c>
    </row>
    <row r="437" spans="1:8" hidden="1" x14ac:dyDescent="0.25">
      <c r="A437" t="s">
        <v>147</v>
      </c>
      <c r="B437" s="30" t="s">
        <v>44</v>
      </c>
      <c r="C437" s="28">
        <v>70</v>
      </c>
      <c r="G437">
        <f t="shared" si="32"/>
        <v>0</v>
      </c>
      <c r="H437" s="62">
        <f t="shared" si="33"/>
        <v>238</v>
      </c>
    </row>
    <row r="438" spans="1:8" ht="28.5" hidden="1" x14ac:dyDescent="0.25">
      <c r="A438" t="s">
        <v>147</v>
      </c>
      <c r="B438" s="144" t="s">
        <v>134</v>
      </c>
      <c r="C438" s="139">
        <v>240</v>
      </c>
      <c r="D438" s="56">
        <v>9</v>
      </c>
      <c r="E438" s="57" t="s">
        <v>87</v>
      </c>
      <c r="F438">
        <v>19</v>
      </c>
      <c r="G438">
        <f t="shared" si="32"/>
        <v>4560</v>
      </c>
      <c r="H438" s="62">
        <f t="shared" si="33"/>
        <v>219</v>
      </c>
    </row>
    <row r="439" spans="1:8" hidden="1" x14ac:dyDescent="0.25">
      <c r="A439" t="s">
        <v>147</v>
      </c>
      <c r="B439" s="146"/>
      <c r="C439" s="141"/>
      <c r="D439" s="56">
        <v>32</v>
      </c>
      <c r="E439" s="57" t="s">
        <v>138</v>
      </c>
      <c r="F439">
        <v>70</v>
      </c>
      <c r="G439">
        <f>+C438*F439</f>
        <v>16800</v>
      </c>
      <c r="H439" s="62">
        <f t="shared" si="33"/>
        <v>168</v>
      </c>
    </row>
    <row r="440" spans="1:8" hidden="1" x14ac:dyDescent="0.25">
      <c r="A440" t="s">
        <v>147</v>
      </c>
      <c r="B440" s="145"/>
      <c r="C440" s="140"/>
      <c r="D440" s="56">
        <v>4</v>
      </c>
      <c r="E440" s="57" t="s">
        <v>21</v>
      </c>
      <c r="F440">
        <f>74-56</f>
        <v>18</v>
      </c>
      <c r="G440">
        <f>+C438*F440</f>
        <v>4320</v>
      </c>
      <c r="H440" s="62">
        <f t="shared" si="33"/>
        <v>220</v>
      </c>
    </row>
    <row r="441" spans="1:8" ht="30" hidden="1" x14ac:dyDescent="0.25">
      <c r="A441" t="s">
        <v>147</v>
      </c>
      <c r="B441" s="33" t="s">
        <v>45</v>
      </c>
      <c r="C441" s="28">
        <v>70</v>
      </c>
      <c r="G441">
        <f t="shared" si="32"/>
        <v>0</v>
      </c>
      <c r="H441" s="62">
        <f t="shared" si="33"/>
        <v>238</v>
      </c>
    </row>
    <row r="442" spans="1:8" ht="21" hidden="1" x14ac:dyDescent="0.35">
      <c r="A442" s="109" t="s">
        <v>46</v>
      </c>
      <c r="B442" s="65"/>
      <c r="C442" s="65"/>
      <c r="D442" s="65"/>
      <c r="E442" s="65"/>
      <c r="F442" s="65"/>
      <c r="G442" s="65"/>
      <c r="H442" s="92"/>
    </row>
    <row r="443" spans="1:8" hidden="1" x14ac:dyDescent="0.25">
      <c r="A443" t="s">
        <v>147</v>
      </c>
      <c r="B443" s="30" t="s">
        <v>47</v>
      </c>
      <c r="C443" s="34">
        <v>12</v>
      </c>
      <c r="G443">
        <f>+C443*F443</f>
        <v>0</v>
      </c>
      <c r="H443" s="62">
        <f>$K$404-F443</f>
        <v>238</v>
      </c>
    </row>
    <row r="444" spans="1:8" hidden="1" x14ac:dyDescent="0.25">
      <c r="A444" t="s">
        <v>147</v>
      </c>
      <c r="B444" s="30" t="s">
        <v>48</v>
      </c>
      <c r="C444" s="34">
        <v>28</v>
      </c>
      <c r="G444">
        <f>+C444*F444</f>
        <v>0</v>
      </c>
      <c r="H444" s="62">
        <f>$K$404-F444</f>
        <v>238</v>
      </c>
    </row>
    <row r="445" spans="1:8" hidden="1" x14ac:dyDescent="0.25">
      <c r="A445" t="s">
        <v>147</v>
      </c>
      <c r="B445" s="22" t="s">
        <v>49</v>
      </c>
      <c r="C445" s="34">
        <v>20</v>
      </c>
      <c r="G445">
        <f>+C445*F445</f>
        <v>0</v>
      </c>
      <c r="H445" s="62">
        <f>$K$404-F445</f>
        <v>238</v>
      </c>
    </row>
    <row r="446" spans="1:8" ht="21" hidden="1" x14ac:dyDescent="0.35">
      <c r="A446" s="109" t="s">
        <v>50</v>
      </c>
      <c r="B446" s="65"/>
      <c r="C446" s="65"/>
      <c r="D446" s="65"/>
      <c r="E446" s="65"/>
      <c r="F446" s="65"/>
      <c r="G446" s="65"/>
      <c r="H446" s="92"/>
    </row>
    <row r="447" spans="1:8" hidden="1" x14ac:dyDescent="0.25">
      <c r="A447" t="s">
        <v>147</v>
      </c>
      <c r="B447" s="22" t="s">
        <v>135</v>
      </c>
      <c r="C447" s="34">
        <v>36</v>
      </c>
      <c r="D447" s="56">
        <v>34</v>
      </c>
      <c r="E447" s="57" t="s">
        <v>141</v>
      </c>
      <c r="F447">
        <v>238</v>
      </c>
      <c r="G447">
        <f>+C447*F447</f>
        <v>8568</v>
      </c>
      <c r="H447" s="62">
        <f>$K$404-F447</f>
        <v>0</v>
      </c>
    </row>
    <row r="448" spans="1:8" hidden="1" x14ac:dyDescent="0.25">
      <c r="A448" t="s">
        <v>147</v>
      </c>
      <c r="B448" s="22" t="s">
        <v>52</v>
      </c>
      <c r="C448" s="34">
        <v>15</v>
      </c>
      <c r="G448">
        <f>+C448*F448</f>
        <v>0</v>
      </c>
      <c r="H448" s="62">
        <f>$K$404-F448</f>
        <v>238</v>
      </c>
    </row>
    <row r="449" spans="1:11" ht="21" hidden="1" x14ac:dyDescent="0.35">
      <c r="A449" s="109" t="s">
        <v>20</v>
      </c>
      <c r="B449" s="65"/>
      <c r="C449" s="65"/>
      <c r="D449" s="65"/>
      <c r="E449" s="65"/>
      <c r="F449" s="65"/>
      <c r="G449" s="65"/>
      <c r="H449" s="92"/>
    </row>
    <row r="450" spans="1:11" hidden="1" x14ac:dyDescent="0.25">
      <c r="A450" t="s">
        <v>147</v>
      </c>
      <c r="B450" s="22" t="s">
        <v>53</v>
      </c>
      <c r="C450" s="34">
        <v>81</v>
      </c>
      <c r="G450">
        <f t="shared" ref="G450:G461" si="34">+C450*F450</f>
        <v>0</v>
      </c>
      <c r="H450" s="62">
        <f t="shared" ref="H450:H461" si="35">$K$404-F450</f>
        <v>238</v>
      </c>
    </row>
    <row r="451" spans="1:11" hidden="1" x14ac:dyDescent="0.25">
      <c r="A451" t="s">
        <v>147</v>
      </c>
      <c r="B451" s="22" t="s">
        <v>54</v>
      </c>
      <c r="C451" s="34">
        <v>71</v>
      </c>
      <c r="G451">
        <f t="shared" si="34"/>
        <v>0</v>
      </c>
      <c r="H451" s="62">
        <f t="shared" si="35"/>
        <v>238</v>
      </c>
    </row>
    <row r="452" spans="1:11" hidden="1" x14ac:dyDescent="0.25">
      <c r="A452" t="s">
        <v>147</v>
      </c>
      <c r="B452" s="22" t="s">
        <v>55</v>
      </c>
      <c r="C452" s="28">
        <v>85</v>
      </c>
      <c r="D452" s="56"/>
      <c r="E452" s="57"/>
      <c r="G452">
        <f t="shared" si="34"/>
        <v>0</v>
      </c>
      <c r="H452" s="62">
        <f t="shared" si="35"/>
        <v>238</v>
      </c>
    </row>
    <row r="453" spans="1:11" hidden="1" x14ac:dyDescent="0.25">
      <c r="A453" t="s">
        <v>147</v>
      </c>
      <c r="B453" s="22" t="s">
        <v>56</v>
      </c>
      <c r="C453" s="28">
        <v>75</v>
      </c>
      <c r="G453">
        <f t="shared" si="34"/>
        <v>0</v>
      </c>
      <c r="H453" s="62">
        <f t="shared" si="35"/>
        <v>238</v>
      </c>
    </row>
    <row r="454" spans="1:11" hidden="1" x14ac:dyDescent="0.25">
      <c r="A454" t="s">
        <v>147</v>
      </c>
      <c r="B454" s="22" t="s">
        <v>57</v>
      </c>
      <c r="C454" s="28">
        <v>98</v>
      </c>
      <c r="D454" s="56"/>
      <c r="E454" s="57"/>
      <c r="G454">
        <f t="shared" si="34"/>
        <v>0</v>
      </c>
      <c r="H454" s="62">
        <f t="shared" si="35"/>
        <v>238</v>
      </c>
    </row>
    <row r="455" spans="1:11" hidden="1" x14ac:dyDescent="0.25">
      <c r="A455" t="s">
        <v>147</v>
      </c>
      <c r="B455" s="22" t="s">
        <v>58</v>
      </c>
      <c r="C455" s="28">
        <v>110</v>
      </c>
      <c r="G455">
        <f t="shared" si="34"/>
        <v>0</v>
      </c>
      <c r="H455" s="62">
        <f t="shared" si="35"/>
        <v>238</v>
      </c>
    </row>
    <row r="456" spans="1:11" hidden="1" x14ac:dyDescent="0.25">
      <c r="A456" t="s">
        <v>147</v>
      </c>
      <c r="B456" s="33" t="s">
        <v>59</v>
      </c>
      <c r="C456" s="28">
        <v>70</v>
      </c>
      <c r="G456">
        <f t="shared" si="34"/>
        <v>0</v>
      </c>
      <c r="H456" s="62">
        <f t="shared" si="35"/>
        <v>238</v>
      </c>
    </row>
    <row r="457" spans="1:11" hidden="1" x14ac:dyDescent="0.25">
      <c r="A457" t="s">
        <v>147</v>
      </c>
      <c r="B457" s="22" t="s">
        <v>60</v>
      </c>
      <c r="C457" s="28">
        <v>120</v>
      </c>
      <c r="G457">
        <f t="shared" si="34"/>
        <v>0</v>
      </c>
      <c r="H457" s="62">
        <f t="shared" si="35"/>
        <v>238</v>
      </c>
    </row>
    <row r="458" spans="1:11" hidden="1" x14ac:dyDescent="0.25">
      <c r="A458" t="s">
        <v>147</v>
      </c>
      <c r="B458" s="22" t="s">
        <v>136</v>
      </c>
      <c r="C458" s="28">
        <f>22*8.5</f>
        <v>187</v>
      </c>
      <c r="G458">
        <f t="shared" si="34"/>
        <v>0</v>
      </c>
      <c r="H458" s="62">
        <f t="shared" si="35"/>
        <v>238</v>
      </c>
    </row>
    <row r="459" spans="1:11" ht="21" hidden="1" x14ac:dyDescent="0.35">
      <c r="A459" t="s">
        <v>147</v>
      </c>
      <c r="B459" s="25" t="s">
        <v>65</v>
      </c>
      <c r="C459" s="28">
        <v>29.999999999999996</v>
      </c>
      <c r="G459">
        <f t="shared" si="34"/>
        <v>0</v>
      </c>
      <c r="H459" s="62">
        <f t="shared" si="35"/>
        <v>238</v>
      </c>
      <c r="J459" s="122"/>
      <c r="K459" s="126"/>
    </row>
    <row r="460" spans="1:11" ht="21" hidden="1" x14ac:dyDescent="0.35">
      <c r="A460" t="s">
        <v>147</v>
      </c>
      <c r="B460" s="25" t="s">
        <v>77</v>
      </c>
      <c r="C460" s="28">
        <v>80</v>
      </c>
      <c r="G460">
        <f t="shared" si="34"/>
        <v>0</v>
      </c>
      <c r="H460" s="62">
        <f t="shared" si="35"/>
        <v>238</v>
      </c>
      <c r="J460" s="122"/>
      <c r="K460" s="126"/>
    </row>
    <row r="461" spans="1:11" hidden="1" x14ac:dyDescent="0.25">
      <c r="A461" t="s">
        <v>147</v>
      </c>
      <c r="B461" s="35" t="s">
        <v>72</v>
      </c>
      <c r="C461" s="28">
        <v>50</v>
      </c>
      <c r="G461">
        <f t="shared" si="34"/>
        <v>0</v>
      </c>
      <c r="H461" s="62">
        <f t="shared" si="35"/>
        <v>238</v>
      </c>
    </row>
    <row r="462" spans="1:11" ht="21" hidden="1" x14ac:dyDescent="0.35">
      <c r="A462" s="110" t="s">
        <v>19</v>
      </c>
      <c r="B462" s="71"/>
      <c r="C462" s="71"/>
      <c r="D462" s="71"/>
      <c r="E462" s="71"/>
      <c r="F462" s="71"/>
      <c r="G462" s="71"/>
      <c r="H462" s="93"/>
      <c r="I462" s="21"/>
      <c r="J462" s="72" t="s">
        <v>115</v>
      </c>
      <c r="K462" s="112">
        <v>371</v>
      </c>
    </row>
    <row r="463" spans="1:11" ht="21" hidden="1" x14ac:dyDescent="0.35">
      <c r="A463" t="s">
        <v>148</v>
      </c>
      <c r="B463" s="20" t="s">
        <v>22</v>
      </c>
      <c r="C463" s="34">
        <v>15</v>
      </c>
      <c r="D463" s="56"/>
      <c r="E463" s="57"/>
      <c r="G463">
        <f t="shared" ref="G463:G488" si="36">+C463*F463</f>
        <v>0</v>
      </c>
      <c r="H463" s="62">
        <f>$K$462-F463</f>
        <v>371</v>
      </c>
      <c r="J463" s="72" t="s">
        <v>116</v>
      </c>
      <c r="K463" s="115">
        <v>2719</v>
      </c>
    </row>
    <row r="464" spans="1:11" ht="21" hidden="1" x14ac:dyDescent="0.35">
      <c r="A464" t="s">
        <v>148</v>
      </c>
      <c r="B464" s="20" t="s">
        <v>23</v>
      </c>
      <c r="C464" s="34">
        <v>20</v>
      </c>
      <c r="D464" s="56"/>
      <c r="E464" s="57"/>
      <c r="G464">
        <f t="shared" si="36"/>
        <v>0</v>
      </c>
      <c r="H464" s="62">
        <f t="shared" ref="H464:H488" si="37">$K$462-F464</f>
        <v>371</v>
      </c>
      <c r="J464" s="72" t="s">
        <v>117</v>
      </c>
      <c r="K464" s="117">
        <f>+K462*K463</f>
        <v>1008749</v>
      </c>
    </row>
    <row r="465" spans="1:11" ht="21" hidden="1" x14ac:dyDescent="0.35">
      <c r="A465" t="s">
        <v>148</v>
      </c>
      <c r="B465" s="20" t="s">
        <v>24</v>
      </c>
      <c r="C465" s="34">
        <v>15</v>
      </c>
      <c r="D465" s="56"/>
      <c r="E465" s="57"/>
      <c r="G465">
        <f t="shared" si="36"/>
        <v>0</v>
      </c>
      <c r="H465" s="62">
        <f t="shared" si="37"/>
        <v>371</v>
      </c>
      <c r="J465" s="72" t="s">
        <v>166</v>
      </c>
      <c r="K465" s="114">
        <f>SUM(G463:G519)</f>
        <v>15514</v>
      </c>
    </row>
    <row r="466" spans="1:11" ht="33" hidden="1" x14ac:dyDescent="0.25">
      <c r="A466" t="s">
        <v>148</v>
      </c>
      <c r="B466" s="29" t="s">
        <v>108</v>
      </c>
      <c r="C466" s="34">
        <v>12</v>
      </c>
      <c r="D466" s="130">
        <v>26</v>
      </c>
      <c r="E466" s="131" t="s">
        <v>104</v>
      </c>
      <c r="F466">
        <v>137</v>
      </c>
      <c r="G466">
        <f t="shared" si="36"/>
        <v>1644</v>
      </c>
      <c r="H466" s="62">
        <f t="shared" si="37"/>
        <v>234</v>
      </c>
    </row>
    <row r="467" spans="1:11" hidden="1" x14ac:dyDescent="0.25">
      <c r="A467" t="s">
        <v>148</v>
      </c>
      <c r="B467" s="30" t="s">
        <v>109</v>
      </c>
      <c r="C467" s="28">
        <v>10</v>
      </c>
      <c r="G467">
        <f t="shared" si="36"/>
        <v>0</v>
      </c>
      <c r="H467" s="62">
        <f t="shared" si="37"/>
        <v>371</v>
      </c>
    </row>
    <row r="468" spans="1:11" ht="33" hidden="1" x14ac:dyDescent="0.25">
      <c r="A468" t="s">
        <v>148</v>
      </c>
      <c r="B468" s="22" t="s">
        <v>110</v>
      </c>
      <c r="C468" s="28">
        <v>20</v>
      </c>
      <c r="D468" s="130">
        <v>26</v>
      </c>
      <c r="E468" s="131" t="s">
        <v>104</v>
      </c>
      <c r="F468">
        <v>137</v>
      </c>
      <c r="G468">
        <f t="shared" si="36"/>
        <v>2740</v>
      </c>
      <c r="H468" s="62">
        <f t="shared" si="37"/>
        <v>234</v>
      </c>
    </row>
    <row r="469" spans="1:11" hidden="1" x14ac:dyDescent="0.25">
      <c r="A469" t="s">
        <v>148</v>
      </c>
      <c r="B469" s="25" t="s">
        <v>25</v>
      </c>
      <c r="C469" s="28">
        <v>50</v>
      </c>
      <c r="D469" s="56"/>
      <c r="E469" s="57"/>
      <c r="G469">
        <f t="shared" si="36"/>
        <v>0</v>
      </c>
      <c r="H469" s="62">
        <f t="shared" si="37"/>
        <v>371</v>
      </c>
    </row>
    <row r="470" spans="1:11" hidden="1" x14ac:dyDescent="0.25">
      <c r="A470" t="s">
        <v>148</v>
      </c>
      <c r="B470" s="30" t="s">
        <v>26</v>
      </c>
      <c r="C470" s="28">
        <v>10</v>
      </c>
      <c r="G470">
        <f t="shared" si="36"/>
        <v>0</v>
      </c>
      <c r="H470" s="62">
        <f t="shared" si="37"/>
        <v>371</v>
      </c>
    </row>
    <row r="471" spans="1:11" hidden="1" x14ac:dyDescent="0.25">
      <c r="A471" t="s">
        <v>148</v>
      </c>
      <c r="B471" s="22" t="s">
        <v>27</v>
      </c>
      <c r="C471" s="28">
        <v>80</v>
      </c>
      <c r="D471" s="56"/>
      <c r="E471" s="57"/>
      <c r="G471">
        <f t="shared" si="36"/>
        <v>0</v>
      </c>
      <c r="H471" s="62">
        <f t="shared" si="37"/>
        <v>371</v>
      </c>
    </row>
    <row r="472" spans="1:11" hidden="1" x14ac:dyDescent="0.25">
      <c r="A472" t="s">
        <v>148</v>
      </c>
      <c r="B472" s="30" t="s">
        <v>28</v>
      </c>
      <c r="C472" s="28">
        <v>15</v>
      </c>
      <c r="G472">
        <f t="shared" si="36"/>
        <v>0</v>
      </c>
      <c r="H472" s="62">
        <f t="shared" si="37"/>
        <v>371</v>
      </c>
    </row>
    <row r="473" spans="1:11" hidden="1" x14ac:dyDescent="0.25">
      <c r="A473" t="s">
        <v>148</v>
      </c>
      <c r="B473" s="22" t="s">
        <v>29</v>
      </c>
      <c r="C473" s="28">
        <v>40</v>
      </c>
      <c r="D473" s="56"/>
      <c r="E473" s="57"/>
      <c r="G473">
        <f t="shared" si="36"/>
        <v>0</v>
      </c>
      <c r="H473" s="62">
        <f t="shared" si="37"/>
        <v>371</v>
      </c>
    </row>
    <row r="474" spans="1:11" hidden="1" x14ac:dyDescent="0.25">
      <c r="A474" t="s">
        <v>148</v>
      </c>
      <c r="B474" s="30" t="s">
        <v>30</v>
      </c>
      <c r="C474" s="28">
        <v>15</v>
      </c>
      <c r="G474">
        <f t="shared" si="36"/>
        <v>0</v>
      </c>
      <c r="H474" s="62">
        <f t="shared" si="37"/>
        <v>371</v>
      </c>
    </row>
    <row r="475" spans="1:11" hidden="1" x14ac:dyDescent="0.25">
      <c r="A475" t="s">
        <v>148</v>
      </c>
      <c r="B475" s="22" t="s">
        <v>111</v>
      </c>
      <c r="C475" s="28">
        <v>61</v>
      </c>
      <c r="D475" s="56"/>
      <c r="E475" s="57"/>
      <c r="G475">
        <f t="shared" si="36"/>
        <v>0</v>
      </c>
      <c r="H475" s="62">
        <f t="shared" si="37"/>
        <v>371</v>
      </c>
    </row>
    <row r="476" spans="1:11" hidden="1" x14ac:dyDescent="0.25">
      <c r="A476" t="s">
        <v>148</v>
      </c>
      <c r="B476" s="22" t="s">
        <v>112</v>
      </c>
      <c r="C476" s="28">
        <v>81</v>
      </c>
      <c r="D476" s="56"/>
      <c r="E476" s="57"/>
      <c r="G476">
        <f t="shared" si="36"/>
        <v>0</v>
      </c>
      <c r="H476" s="62">
        <f t="shared" si="37"/>
        <v>371</v>
      </c>
    </row>
    <row r="477" spans="1:11" hidden="1" x14ac:dyDescent="0.25">
      <c r="A477" t="s">
        <v>148</v>
      </c>
      <c r="B477" s="30" t="s">
        <v>113</v>
      </c>
      <c r="C477" s="28">
        <v>15</v>
      </c>
      <c r="G477">
        <f t="shared" si="36"/>
        <v>0</v>
      </c>
      <c r="H477" s="62">
        <f t="shared" si="37"/>
        <v>371</v>
      </c>
    </row>
    <row r="478" spans="1:11" hidden="1" x14ac:dyDescent="0.25">
      <c r="A478" t="s">
        <v>148</v>
      </c>
      <c r="B478" s="22" t="s">
        <v>114</v>
      </c>
      <c r="C478" s="28">
        <v>70</v>
      </c>
      <c r="D478" s="56"/>
      <c r="E478" s="57"/>
      <c r="G478">
        <f t="shared" si="36"/>
        <v>0</v>
      </c>
      <c r="H478" s="62">
        <f t="shared" si="37"/>
        <v>371</v>
      </c>
    </row>
    <row r="479" spans="1:11" hidden="1" x14ac:dyDescent="0.25">
      <c r="A479" t="s">
        <v>148</v>
      </c>
      <c r="B479" s="144" t="s">
        <v>33</v>
      </c>
      <c r="C479" s="28"/>
      <c r="D479" s="56"/>
      <c r="E479" s="57"/>
      <c r="G479">
        <f t="shared" si="36"/>
        <v>0</v>
      </c>
      <c r="H479" s="62">
        <f t="shared" si="37"/>
        <v>371</v>
      </c>
    </row>
    <row r="480" spans="1:11" hidden="1" x14ac:dyDescent="0.25">
      <c r="A480" t="s">
        <v>148</v>
      </c>
      <c r="B480" s="145"/>
      <c r="C480" s="28">
        <v>100</v>
      </c>
      <c r="D480" s="56"/>
      <c r="E480" s="57"/>
      <c r="G480">
        <f t="shared" si="36"/>
        <v>0</v>
      </c>
      <c r="H480" s="62">
        <f t="shared" si="37"/>
        <v>371</v>
      </c>
    </row>
    <row r="481" spans="1:8" hidden="1" x14ac:dyDescent="0.25">
      <c r="A481" t="s">
        <v>148</v>
      </c>
      <c r="B481" s="144" t="s">
        <v>34</v>
      </c>
      <c r="C481" s="28"/>
      <c r="D481" s="56"/>
      <c r="E481" s="57"/>
      <c r="G481">
        <f t="shared" si="36"/>
        <v>0</v>
      </c>
      <c r="H481" s="62">
        <f t="shared" si="37"/>
        <v>371</v>
      </c>
    </row>
    <row r="482" spans="1:8" hidden="1" x14ac:dyDescent="0.25">
      <c r="A482" t="s">
        <v>148</v>
      </c>
      <c r="B482" s="145"/>
      <c r="C482" s="28">
        <v>33</v>
      </c>
      <c r="D482" s="56"/>
      <c r="E482" s="57"/>
      <c r="G482">
        <f t="shared" si="36"/>
        <v>0</v>
      </c>
      <c r="H482" s="62">
        <f t="shared" si="37"/>
        <v>371</v>
      </c>
    </row>
    <row r="483" spans="1:8" hidden="1" x14ac:dyDescent="0.25">
      <c r="A483" t="s">
        <v>148</v>
      </c>
      <c r="B483" s="144" t="s">
        <v>35</v>
      </c>
      <c r="C483" s="28"/>
      <c r="D483" s="56"/>
      <c r="E483" s="57"/>
      <c r="G483">
        <f t="shared" si="36"/>
        <v>0</v>
      </c>
      <c r="H483" s="62">
        <f t="shared" si="37"/>
        <v>371</v>
      </c>
    </row>
    <row r="484" spans="1:8" hidden="1" x14ac:dyDescent="0.25">
      <c r="A484" t="s">
        <v>148</v>
      </c>
      <c r="B484" s="145"/>
      <c r="C484" s="28">
        <v>20</v>
      </c>
      <c r="D484" s="56"/>
      <c r="E484" s="57"/>
      <c r="G484">
        <f t="shared" si="36"/>
        <v>0</v>
      </c>
      <c r="H484" s="62">
        <f t="shared" si="37"/>
        <v>371</v>
      </c>
    </row>
    <row r="485" spans="1:8" hidden="1" x14ac:dyDescent="0.25">
      <c r="A485" t="s">
        <v>148</v>
      </c>
      <c r="B485" s="144" t="s">
        <v>36</v>
      </c>
      <c r="C485" s="28"/>
      <c r="D485" s="56"/>
      <c r="E485" s="57"/>
      <c r="G485">
        <f t="shared" si="36"/>
        <v>0</v>
      </c>
      <c r="H485" s="62">
        <f t="shared" si="37"/>
        <v>371</v>
      </c>
    </row>
    <row r="486" spans="1:8" hidden="1" x14ac:dyDescent="0.25">
      <c r="A486" t="s">
        <v>148</v>
      </c>
      <c r="B486" s="145"/>
      <c r="C486" s="28">
        <v>33</v>
      </c>
      <c r="D486" s="56"/>
      <c r="E486" s="57"/>
      <c r="G486">
        <f t="shared" si="36"/>
        <v>0</v>
      </c>
      <c r="H486" s="62">
        <f t="shared" si="37"/>
        <v>371</v>
      </c>
    </row>
    <row r="487" spans="1:8" hidden="1" x14ac:dyDescent="0.25">
      <c r="A487" t="s">
        <v>148</v>
      </c>
      <c r="B487" s="22" t="s">
        <v>37</v>
      </c>
      <c r="C487" s="28">
        <v>43</v>
      </c>
      <c r="D487" s="56"/>
      <c r="E487" s="57"/>
      <c r="G487">
        <f t="shared" si="36"/>
        <v>0</v>
      </c>
      <c r="H487" s="62">
        <f t="shared" si="37"/>
        <v>371</v>
      </c>
    </row>
    <row r="488" spans="1:8" hidden="1" x14ac:dyDescent="0.25">
      <c r="A488" t="s">
        <v>148</v>
      </c>
      <c r="B488" s="22" t="s">
        <v>38</v>
      </c>
      <c r="C488" s="28">
        <v>120</v>
      </c>
      <c r="D488" s="56"/>
      <c r="E488" s="57"/>
      <c r="G488">
        <f t="shared" si="36"/>
        <v>0</v>
      </c>
      <c r="H488" s="62">
        <f t="shared" si="37"/>
        <v>371</v>
      </c>
    </row>
    <row r="489" spans="1:8" ht="21" hidden="1" x14ac:dyDescent="0.35">
      <c r="A489" s="110" t="s">
        <v>39</v>
      </c>
      <c r="B489" s="71"/>
      <c r="C489" s="71"/>
      <c r="D489" s="71"/>
      <c r="E489" s="71"/>
      <c r="F489" s="71"/>
      <c r="G489" s="71"/>
      <c r="H489" s="93"/>
    </row>
    <row r="490" spans="1:8" hidden="1" x14ac:dyDescent="0.25">
      <c r="A490" t="s">
        <v>148</v>
      </c>
      <c r="B490" s="52" t="s">
        <v>125</v>
      </c>
      <c r="C490" s="53">
        <v>170</v>
      </c>
      <c r="G490">
        <f t="shared" ref="G490:G499" si="38">+C490*F490</f>
        <v>0</v>
      </c>
      <c r="H490" s="62">
        <f t="shared" ref="H490:H519" si="39">$K$462-F490</f>
        <v>371</v>
      </c>
    </row>
    <row r="491" spans="1:8" ht="28.5" hidden="1" x14ac:dyDescent="0.25">
      <c r="A491" t="s">
        <v>148</v>
      </c>
      <c r="B491" s="22" t="s">
        <v>74</v>
      </c>
      <c r="C491" s="28">
        <v>30</v>
      </c>
      <c r="D491" s="56">
        <v>28</v>
      </c>
      <c r="E491" s="57" t="s">
        <v>106</v>
      </c>
      <c r="F491" s="23">
        <v>371</v>
      </c>
      <c r="G491">
        <f t="shared" si="38"/>
        <v>11130</v>
      </c>
      <c r="H491" s="62">
        <f t="shared" si="39"/>
        <v>0</v>
      </c>
    </row>
    <row r="492" spans="1:8" hidden="1" x14ac:dyDescent="0.25">
      <c r="A492" t="s">
        <v>148</v>
      </c>
      <c r="B492" s="31" t="s">
        <v>40</v>
      </c>
      <c r="C492" s="32">
        <v>15</v>
      </c>
      <c r="G492">
        <f t="shared" si="38"/>
        <v>0</v>
      </c>
      <c r="H492" s="62">
        <f t="shared" si="39"/>
        <v>371</v>
      </c>
    </row>
    <row r="493" spans="1:8" hidden="1" x14ac:dyDescent="0.25">
      <c r="A493" t="s">
        <v>148</v>
      </c>
      <c r="B493" s="61" t="s">
        <v>133</v>
      </c>
      <c r="C493" s="28">
        <v>33</v>
      </c>
      <c r="G493">
        <f t="shared" si="38"/>
        <v>0</v>
      </c>
      <c r="H493" s="62">
        <f t="shared" si="39"/>
        <v>371</v>
      </c>
    </row>
    <row r="494" spans="1:8" hidden="1" x14ac:dyDescent="0.25">
      <c r="A494" t="s">
        <v>148</v>
      </c>
      <c r="B494" s="30" t="s">
        <v>43</v>
      </c>
      <c r="C494" s="28">
        <v>45</v>
      </c>
      <c r="G494">
        <f t="shared" si="38"/>
        <v>0</v>
      </c>
      <c r="H494" s="62">
        <f t="shared" si="39"/>
        <v>371</v>
      </c>
    </row>
    <row r="495" spans="1:8" hidden="1" x14ac:dyDescent="0.25">
      <c r="A495" t="s">
        <v>148</v>
      </c>
      <c r="B495" s="30" t="s">
        <v>44</v>
      </c>
      <c r="C495" s="28">
        <v>70</v>
      </c>
      <c r="G495">
        <f t="shared" si="38"/>
        <v>0</v>
      </c>
      <c r="H495" s="62">
        <f t="shared" si="39"/>
        <v>371</v>
      </c>
    </row>
    <row r="496" spans="1:8" hidden="1" x14ac:dyDescent="0.25">
      <c r="A496" t="s">
        <v>148</v>
      </c>
      <c r="B496" s="144" t="s">
        <v>134</v>
      </c>
      <c r="C496" s="28"/>
      <c r="D496" s="56"/>
      <c r="E496" s="57"/>
      <c r="G496">
        <f t="shared" si="38"/>
        <v>0</v>
      </c>
      <c r="H496" s="62">
        <f t="shared" si="39"/>
        <v>371</v>
      </c>
    </row>
    <row r="497" spans="1:8" hidden="1" x14ac:dyDescent="0.25">
      <c r="A497" t="s">
        <v>148</v>
      </c>
      <c r="B497" s="146"/>
      <c r="C497" s="28"/>
      <c r="D497" s="56"/>
      <c r="E497" s="57"/>
      <c r="G497">
        <f t="shared" si="38"/>
        <v>0</v>
      </c>
      <c r="H497" s="62">
        <f t="shared" si="39"/>
        <v>371</v>
      </c>
    </row>
    <row r="498" spans="1:8" hidden="1" x14ac:dyDescent="0.25">
      <c r="A498" t="s">
        <v>148</v>
      </c>
      <c r="B498" s="145"/>
      <c r="C498" s="28">
        <v>240</v>
      </c>
      <c r="D498" s="56"/>
      <c r="E498" s="57"/>
      <c r="G498">
        <f t="shared" si="38"/>
        <v>0</v>
      </c>
      <c r="H498" s="62">
        <f t="shared" si="39"/>
        <v>371</v>
      </c>
    </row>
    <row r="499" spans="1:8" ht="30" hidden="1" x14ac:dyDescent="0.25">
      <c r="A499" t="s">
        <v>148</v>
      </c>
      <c r="B499" s="33" t="s">
        <v>45</v>
      </c>
      <c r="C499" s="28">
        <v>70</v>
      </c>
      <c r="G499">
        <f t="shared" si="38"/>
        <v>0</v>
      </c>
      <c r="H499" s="62">
        <f t="shared" si="39"/>
        <v>371</v>
      </c>
    </row>
    <row r="500" spans="1:8" ht="21" hidden="1" x14ac:dyDescent="0.35">
      <c r="A500" s="110" t="s">
        <v>46</v>
      </c>
      <c r="B500" s="71"/>
      <c r="C500" s="71"/>
      <c r="D500" s="71"/>
      <c r="E500" s="71"/>
      <c r="F500" s="71"/>
      <c r="G500" s="71"/>
      <c r="H500" s="94"/>
    </row>
    <row r="501" spans="1:8" hidden="1" x14ac:dyDescent="0.25">
      <c r="A501" t="s">
        <v>148</v>
      </c>
      <c r="B501" s="30" t="s">
        <v>47</v>
      </c>
      <c r="C501" s="34">
        <v>12</v>
      </c>
      <c r="G501">
        <f>+C501*F501</f>
        <v>0</v>
      </c>
      <c r="H501" s="62">
        <f t="shared" si="39"/>
        <v>371</v>
      </c>
    </row>
    <row r="502" spans="1:8" hidden="1" x14ac:dyDescent="0.25">
      <c r="A502" t="s">
        <v>148</v>
      </c>
      <c r="B502" s="30" t="s">
        <v>48</v>
      </c>
      <c r="C502" s="34">
        <v>28</v>
      </c>
      <c r="G502">
        <f>+C502*F502</f>
        <v>0</v>
      </c>
      <c r="H502" s="62">
        <f t="shared" si="39"/>
        <v>371</v>
      </c>
    </row>
    <row r="503" spans="1:8" hidden="1" x14ac:dyDescent="0.25">
      <c r="A503" t="s">
        <v>148</v>
      </c>
      <c r="B503" s="22" t="s">
        <v>49</v>
      </c>
      <c r="C503" s="34">
        <v>20</v>
      </c>
      <c r="G503">
        <f>+C503*F503</f>
        <v>0</v>
      </c>
      <c r="H503" s="62">
        <f t="shared" si="39"/>
        <v>371</v>
      </c>
    </row>
    <row r="504" spans="1:8" ht="21" hidden="1" x14ac:dyDescent="0.35">
      <c r="A504" s="110" t="s">
        <v>50</v>
      </c>
      <c r="B504" s="71"/>
      <c r="C504" s="71"/>
      <c r="D504" s="71"/>
      <c r="E504" s="71"/>
      <c r="F504" s="71"/>
      <c r="G504" s="71"/>
      <c r="H504" s="93"/>
    </row>
    <row r="505" spans="1:8" hidden="1" x14ac:dyDescent="0.25">
      <c r="A505" t="s">
        <v>148</v>
      </c>
      <c r="B505" s="22" t="s">
        <v>135</v>
      </c>
      <c r="C505" s="34">
        <v>36</v>
      </c>
      <c r="D505" s="56"/>
      <c r="E505" s="57"/>
      <c r="G505">
        <f>+C505*F505</f>
        <v>0</v>
      </c>
      <c r="H505" s="62">
        <f t="shared" si="39"/>
        <v>371</v>
      </c>
    </row>
    <row r="506" spans="1:8" hidden="1" x14ac:dyDescent="0.25">
      <c r="A506" t="s">
        <v>148</v>
      </c>
      <c r="B506" s="22" t="s">
        <v>52</v>
      </c>
      <c r="C506" s="34">
        <v>15</v>
      </c>
      <c r="G506">
        <f>+C506*F506</f>
        <v>0</v>
      </c>
      <c r="H506" s="62">
        <f t="shared" si="39"/>
        <v>371</v>
      </c>
    </row>
    <row r="507" spans="1:8" ht="21" hidden="1" x14ac:dyDescent="0.35">
      <c r="A507" s="110" t="s">
        <v>20</v>
      </c>
      <c r="B507" s="71"/>
      <c r="C507" s="71"/>
      <c r="D507" s="71"/>
      <c r="E507" s="71"/>
      <c r="F507" s="71"/>
      <c r="G507" s="71"/>
      <c r="H507" s="93"/>
    </row>
    <row r="508" spans="1:8" hidden="1" x14ac:dyDescent="0.25">
      <c r="A508" t="s">
        <v>148</v>
      </c>
      <c r="B508" s="22" t="s">
        <v>53</v>
      </c>
      <c r="C508" s="34">
        <v>81</v>
      </c>
      <c r="G508">
        <f t="shared" ref="G508:G519" si="40">+C508*F508</f>
        <v>0</v>
      </c>
      <c r="H508" s="62">
        <f t="shared" si="39"/>
        <v>371</v>
      </c>
    </row>
    <row r="509" spans="1:8" hidden="1" x14ac:dyDescent="0.25">
      <c r="A509" t="s">
        <v>148</v>
      </c>
      <c r="B509" s="22" t="s">
        <v>54</v>
      </c>
      <c r="C509" s="34">
        <v>71</v>
      </c>
      <c r="G509">
        <f t="shared" si="40"/>
        <v>0</v>
      </c>
      <c r="H509" s="62">
        <f t="shared" si="39"/>
        <v>371</v>
      </c>
    </row>
    <row r="510" spans="1:8" hidden="1" x14ac:dyDescent="0.25">
      <c r="A510" t="s">
        <v>148</v>
      </c>
      <c r="B510" s="22" t="s">
        <v>55</v>
      </c>
      <c r="C510" s="28">
        <v>85</v>
      </c>
      <c r="D510" s="56"/>
      <c r="E510" s="57"/>
      <c r="G510">
        <f t="shared" si="40"/>
        <v>0</v>
      </c>
      <c r="H510" s="62">
        <f t="shared" si="39"/>
        <v>371</v>
      </c>
    </row>
    <row r="511" spans="1:8" hidden="1" x14ac:dyDescent="0.25">
      <c r="A511" t="s">
        <v>148</v>
      </c>
      <c r="B511" s="22" t="s">
        <v>56</v>
      </c>
      <c r="C511" s="28">
        <v>75</v>
      </c>
      <c r="G511">
        <f t="shared" si="40"/>
        <v>0</v>
      </c>
      <c r="H511" s="62">
        <f t="shared" si="39"/>
        <v>371</v>
      </c>
    </row>
    <row r="512" spans="1:8" hidden="1" x14ac:dyDescent="0.25">
      <c r="A512" t="s">
        <v>148</v>
      </c>
      <c r="B512" s="22" t="s">
        <v>57</v>
      </c>
      <c r="C512" s="28">
        <v>98</v>
      </c>
      <c r="D512" s="56"/>
      <c r="E512" s="57"/>
      <c r="G512">
        <f t="shared" si="40"/>
        <v>0</v>
      </c>
      <c r="H512" s="62">
        <f t="shared" si="39"/>
        <v>371</v>
      </c>
    </row>
    <row r="513" spans="1:11" hidden="1" x14ac:dyDescent="0.25">
      <c r="A513" t="s">
        <v>148</v>
      </c>
      <c r="B513" s="22" t="s">
        <v>58</v>
      </c>
      <c r="C513" s="28">
        <v>110</v>
      </c>
      <c r="G513">
        <f t="shared" si="40"/>
        <v>0</v>
      </c>
      <c r="H513" s="62">
        <f t="shared" si="39"/>
        <v>371</v>
      </c>
    </row>
    <row r="514" spans="1:11" hidden="1" x14ac:dyDescent="0.25">
      <c r="A514" t="s">
        <v>148</v>
      </c>
      <c r="B514" s="33" t="s">
        <v>59</v>
      </c>
      <c r="C514" s="28">
        <v>70</v>
      </c>
      <c r="G514">
        <f t="shared" si="40"/>
        <v>0</v>
      </c>
      <c r="H514" s="62">
        <f t="shared" si="39"/>
        <v>371</v>
      </c>
    </row>
    <row r="515" spans="1:11" hidden="1" x14ac:dyDescent="0.25">
      <c r="A515" t="s">
        <v>148</v>
      </c>
      <c r="B515" s="22" t="s">
        <v>60</v>
      </c>
      <c r="C515" s="28">
        <v>120</v>
      </c>
      <c r="G515">
        <f t="shared" si="40"/>
        <v>0</v>
      </c>
      <c r="H515" s="62">
        <f t="shared" si="39"/>
        <v>371</v>
      </c>
    </row>
    <row r="516" spans="1:11" hidden="1" x14ac:dyDescent="0.25">
      <c r="A516" t="s">
        <v>148</v>
      </c>
      <c r="B516" s="22" t="s">
        <v>136</v>
      </c>
      <c r="C516" s="28">
        <f>22*8.5</f>
        <v>187</v>
      </c>
      <c r="G516">
        <f t="shared" si="40"/>
        <v>0</v>
      </c>
      <c r="H516" s="62">
        <f t="shared" si="39"/>
        <v>371</v>
      </c>
    </row>
    <row r="517" spans="1:11" ht="21" hidden="1" x14ac:dyDescent="0.35">
      <c r="A517" t="s">
        <v>148</v>
      </c>
      <c r="B517" s="25" t="s">
        <v>65</v>
      </c>
      <c r="C517" s="28">
        <v>29.999999999999996</v>
      </c>
      <c r="G517">
        <f t="shared" si="40"/>
        <v>0</v>
      </c>
      <c r="H517" s="62">
        <f t="shared" si="39"/>
        <v>371</v>
      </c>
      <c r="J517" s="122"/>
      <c r="K517" s="126"/>
    </row>
    <row r="518" spans="1:11" ht="21" hidden="1" x14ac:dyDescent="0.35">
      <c r="A518" t="s">
        <v>148</v>
      </c>
      <c r="B518" s="25" t="s">
        <v>77</v>
      </c>
      <c r="C518" s="28">
        <v>80</v>
      </c>
      <c r="G518">
        <f t="shared" si="40"/>
        <v>0</v>
      </c>
      <c r="H518" s="62">
        <f t="shared" si="39"/>
        <v>371</v>
      </c>
      <c r="J518" s="122"/>
      <c r="K518" s="126"/>
    </row>
    <row r="519" spans="1:11" hidden="1" x14ac:dyDescent="0.25">
      <c r="A519" t="s">
        <v>148</v>
      </c>
      <c r="B519" s="35" t="s">
        <v>72</v>
      </c>
      <c r="C519" s="28">
        <v>50</v>
      </c>
      <c r="G519">
        <f t="shared" si="40"/>
        <v>0</v>
      </c>
      <c r="H519" s="62">
        <f t="shared" si="39"/>
        <v>371</v>
      </c>
    </row>
    <row r="520" spans="1:11" ht="21" hidden="1" x14ac:dyDescent="0.35">
      <c r="A520" s="111" t="s">
        <v>19</v>
      </c>
      <c r="B520" s="73"/>
      <c r="C520" s="73"/>
      <c r="D520" s="73"/>
      <c r="E520" s="73"/>
      <c r="F520" s="73"/>
      <c r="G520" s="73"/>
      <c r="H520" s="95"/>
      <c r="I520" s="21"/>
      <c r="J520" s="74" t="s">
        <v>115</v>
      </c>
      <c r="K520" s="112">
        <v>371</v>
      </c>
    </row>
    <row r="521" spans="1:11" ht="21" hidden="1" x14ac:dyDescent="0.35">
      <c r="A521" t="s">
        <v>149</v>
      </c>
      <c r="B521" s="20" t="s">
        <v>22</v>
      </c>
      <c r="C521" s="34">
        <v>15</v>
      </c>
      <c r="D521" s="56">
        <v>34</v>
      </c>
      <c r="E521" s="57" t="s">
        <v>141</v>
      </c>
      <c r="F521">
        <v>371</v>
      </c>
      <c r="G521">
        <f t="shared" ref="G521:G550" si="41">+C521*F521</f>
        <v>5565</v>
      </c>
      <c r="H521" s="62">
        <f>$K$462-F521</f>
        <v>0</v>
      </c>
      <c r="J521" s="74" t="s">
        <v>116</v>
      </c>
      <c r="K521" s="115">
        <v>2719</v>
      </c>
    </row>
    <row r="522" spans="1:11" ht="21" hidden="1" x14ac:dyDescent="0.35">
      <c r="A522" t="s">
        <v>149</v>
      </c>
      <c r="B522" s="20" t="s">
        <v>23</v>
      </c>
      <c r="C522" s="34">
        <v>20</v>
      </c>
      <c r="D522" s="56">
        <v>34</v>
      </c>
      <c r="E522" s="57" t="s">
        <v>141</v>
      </c>
      <c r="F522">
        <v>371</v>
      </c>
      <c r="G522">
        <f t="shared" si="41"/>
        <v>7420</v>
      </c>
      <c r="H522" s="62">
        <f>$K$462-F522</f>
        <v>0</v>
      </c>
      <c r="J522" s="74" t="s">
        <v>117</v>
      </c>
      <c r="K522" s="117">
        <f>+K520*K521</f>
        <v>1008749</v>
      </c>
    </row>
    <row r="523" spans="1:11" ht="21" hidden="1" x14ac:dyDescent="0.35">
      <c r="A523" t="s">
        <v>149</v>
      </c>
      <c r="B523" s="147" t="s">
        <v>24</v>
      </c>
      <c r="C523" s="142">
        <v>15</v>
      </c>
      <c r="D523" s="56">
        <v>34</v>
      </c>
      <c r="E523" s="57" t="s">
        <v>141</v>
      </c>
      <c r="F523">
        <v>202</v>
      </c>
      <c r="G523">
        <f t="shared" si="41"/>
        <v>3030</v>
      </c>
      <c r="H523" s="138">
        <f>$K$462-F523-F524</f>
        <v>0</v>
      </c>
      <c r="J523" s="74" t="s">
        <v>166</v>
      </c>
      <c r="K523" s="114">
        <f>SUM(G521:G582)</f>
        <v>296093</v>
      </c>
    </row>
    <row r="524" spans="1:11" ht="28.5" hidden="1" x14ac:dyDescent="0.25">
      <c r="A524" t="s">
        <v>149</v>
      </c>
      <c r="B524" s="148"/>
      <c r="C524" s="143"/>
      <c r="D524" s="56">
        <v>18</v>
      </c>
      <c r="E524" s="57" t="s">
        <v>96</v>
      </c>
      <c r="F524">
        <f>371-202</f>
        <v>169</v>
      </c>
      <c r="G524">
        <f>+C523*F524</f>
        <v>2535</v>
      </c>
      <c r="H524" s="138"/>
    </row>
    <row r="525" spans="1:11" ht="33" hidden="1" x14ac:dyDescent="0.25">
      <c r="A525" t="s">
        <v>149</v>
      </c>
      <c r="B525" s="153" t="s">
        <v>108</v>
      </c>
      <c r="C525" s="142">
        <v>12</v>
      </c>
      <c r="D525" s="130">
        <v>26</v>
      </c>
      <c r="E525" s="131" t="s">
        <v>104</v>
      </c>
      <c r="F525">
        <f>280-94</f>
        <v>186</v>
      </c>
      <c r="G525">
        <f t="shared" si="41"/>
        <v>2232</v>
      </c>
      <c r="H525" s="138">
        <f>$K$462-F525-F526</f>
        <v>0</v>
      </c>
    </row>
    <row r="526" spans="1:11" ht="28.5" hidden="1" x14ac:dyDescent="0.25">
      <c r="A526" t="s">
        <v>149</v>
      </c>
      <c r="B526" s="154"/>
      <c r="C526" s="143"/>
      <c r="D526" s="56">
        <v>22</v>
      </c>
      <c r="E526" s="57" t="s">
        <v>100</v>
      </c>
      <c r="F526">
        <f>94+46+19+26</f>
        <v>185</v>
      </c>
      <c r="G526">
        <f>+C525*F526</f>
        <v>2220</v>
      </c>
      <c r="H526" s="138"/>
    </row>
    <row r="527" spans="1:11" hidden="1" x14ac:dyDescent="0.25">
      <c r="A527" t="s">
        <v>149</v>
      </c>
      <c r="B527" s="30" t="s">
        <v>109</v>
      </c>
      <c r="C527" s="28">
        <v>10</v>
      </c>
      <c r="G527">
        <f t="shared" si="41"/>
        <v>0</v>
      </c>
      <c r="H527" s="62">
        <f>$K$462-F527</f>
        <v>371</v>
      </c>
      <c r="I527" s="119">
        <f>+H527*C527</f>
        <v>3710</v>
      </c>
    </row>
    <row r="528" spans="1:11" ht="33" hidden="1" x14ac:dyDescent="0.25">
      <c r="A528" t="s">
        <v>149</v>
      </c>
      <c r="B528" s="144" t="s">
        <v>110</v>
      </c>
      <c r="C528" s="139">
        <v>20</v>
      </c>
      <c r="D528" s="130">
        <v>26</v>
      </c>
      <c r="E528" s="131" t="s">
        <v>104</v>
      </c>
      <c r="F528">
        <f>254-94</f>
        <v>160</v>
      </c>
      <c r="G528">
        <f t="shared" si="41"/>
        <v>3200</v>
      </c>
      <c r="H528" s="138">
        <f>$K$462-F528-F529</f>
        <v>0</v>
      </c>
    </row>
    <row r="529" spans="1:9" ht="28.5" hidden="1" x14ac:dyDescent="0.25">
      <c r="A529" t="s">
        <v>149</v>
      </c>
      <c r="B529" s="145"/>
      <c r="C529" s="140"/>
      <c r="D529" s="56">
        <v>22</v>
      </c>
      <c r="E529" s="57" t="s">
        <v>100</v>
      </c>
      <c r="F529">
        <v>211</v>
      </c>
      <c r="G529">
        <f>+C528*F529</f>
        <v>4220</v>
      </c>
      <c r="H529" s="138"/>
    </row>
    <row r="530" spans="1:9" ht="28.5" hidden="1" x14ac:dyDescent="0.25">
      <c r="A530" t="s">
        <v>149</v>
      </c>
      <c r="B530" s="25" t="s">
        <v>25</v>
      </c>
      <c r="C530" s="28">
        <v>50</v>
      </c>
      <c r="D530" s="56">
        <v>5</v>
      </c>
      <c r="E530" s="57" t="s">
        <v>83</v>
      </c>
      <c r="F530">
        <v>371</v>
      </c>
      <c r="G530">
        <f t="shared" si="41"/>
        <v>18550</v>
      </c>
      <c r="H530" s="62">
        <f>$K$462-F530</f>
        <v>0</v>
      </c>
    </row>
    <row r="531" spans="1:9" ht="28.5" hidden="1" x14ac:dyDescent="0.25">
      <c r="A531" t="s">
        <v>149</v>
      </c>
      <c r="B531" s="30" t="s">
        <v>26</v>
      </c>
      <c r="C531" s="28">
        <v>10</v>
      </c>
      <c r="D531" s="56">
        <v>17</v>
      </c>
      <c r="E531" s="57" t="s">
        <v>95</v>
      </c>
      <c r="F531">
        <v>195</v>
      </c>
      <c r="G531">
        <f t="shared" si="41"/>
        <v>1950</v>
      </c>
      <c r="H531" s="62">
        <f>$K$462-F531</f>
        <v>176</v>
      </c>
      <c r="I531" s="119">
        <f>+H531*C531</f>
        <v>1760</v>
      </c>
    </row>
    <row r="532" spans="1:9" ht="28.5" hidden="1" x14ac:dyDescent="0.25">
      <c r="A532" t="s">
        <v>149</v>
      </c>
      <c r="B532" s="22" t="s">
        <v>27</v>
      </c>
      <c r="C532" s="28">
        <v>80</v>
      </c>
      <c r="D532" s="56">
        <v>17</v>
      </c>
      <c r="E532" s="57" t="s">
        <v>95</v>
      </c>
      <c r="F532">
        <v>371</v>
      </c>
      <c r="G532">
        <f t="shared" si="41"/>
        <v>29680</v>
      </c>
      <c r="H532" s="62">
        <f>$K$462-F532</f>
        <v>0</v>
      </c>
    </row>
    <row r="533" spans="1:9" hidden="1" x14ac:dyDescent="0.25">
      <c r="A533" t="s">
        <v>149</v>
      </c>
      <c r="B533" s="30" t="s">
        <v>28</v>
      </c>
      <c r="C533" s="28">
        <v>15</v>
      </c>
      <c r="G533">
        <f t="shared" si="41"/>
        <v>0</v>
      </c>
      <c r="H533" s="62">
        <f>$K$462-F533</f>
        <v>371</v>
      </c>
      <c r="I533" s="119">
        <f>+H533*C533</f>
        <v>5565</v>
      </c>
    </row>
    <row r="534" spans="1:9" ht="28.5" hidden="1" x14ac:dyDescent="0.25">
      <c r="A534" t="s">
        <v>149</v>
      </c>
      <c r="B534" s="144" t="s">
        <v>29</v>
      </c>
      <c r="C534" s="139">
        <v>40</v>
      </c>
      <c r="D534" s="56">
        <v>18</v>
      </c>
      <c r="E534" s="57" t="s">
        <v>96</v>
      </c>
      <c r="F534">
        <f>24+19</f>
        <v>43</v>
      </c>
      <c r="G534">
        <f t="shared" si="41"/>
        <v>1720</v>
      </c>
      <c r="H534" s="138">
        <f>$K$462-F534-F535</f>
        <v>95</v>
      </c>
    </row>
    <row r="535" spans="1:9" ht="28.5" hidden="1" x14ac:dyDescent="0.25">
      <c r="A535" t="s">
        <v>149</v>
      </c>
      <c r="B535" s="145"/>
      <c r="C535" s="140"/>
      <c r="D535" s="56">
        <v>16</v>
      </c>
      <c r="E535" s="57" t="s">
        <v>94</v>
      </c>
      <c r="F535">
        <f>50+40+52+52+39</f>
        <v>233</v>
      </c>
      <c r="G535">
        <f>+C534*F535</f>
        <v>9320</v>
      </c>
      <c r="H535" s="138"/>
    </row>
    <row r="536" spans="1:9" hidden="1" x14ac:dyDescent="0.25">
      <c r="A536" t="s">
        <v>149</v>
      </c>
      <c r="B536" s="30" t="s">
        <v>30</v>
      </c>
      <c r="C536" s="28">
        <v>15</v>
      </c>
      <c r="G536">
        <f t="shared" si="41"/>
        <v>0</v>
      </c>
      <c r="H536" s="62">
        <f t="shared" ref="H536:H550" si="42">$K$462-F536</f>
        <v>371</v>
      </c>
    </row>
    <row r="537" spans="1:9" ht="28.5" hidden="1" x14ac:dyDescent="0.25">
      <c r="A537" t="s">
        <v>149</v>
      </c>
      <c r="B537" s="22" t="s">
        <v>111</v>
      </c>
      <c r="C537" s="28">
        <v>61</v>
      </c>
      <c r="D537" s="56">
        <v>28</v>
      </c>
      <c r="E537" s="57" t="s">
        <v>106</v>
      </c>
      <c r="F537">
        <v>371</v>
      </c>
      <c r="G537">
        <f t="shared" si="41"/>
        <v>22631</v>
      </c>
      <c r="H537" s="62">
        <f t="shared" si="42"/>
        <v>0</v>
      </c>
    </row>
    <row r="538" spans="1:9" ht="28.5" hidden="1" x14ac:dyDescent="0.25">
      <c r="A538" t="s">
        <v>149</v>
      </c>
      <c r="B538" s="22" t="s">
        <v>112</v>
      </c>
      <c r="C538" s="28">
        <v>81</v>
      </c>
      <c r="D538" s="56">
        <v>16</v>
      </c>
      <c r="E538" s="57" t="s">
        <v>94</v>
      </c>
      <c r="F538">
        <v>371</v>
      </c>
      <c r="G538">
        <f t="shared" si="41"/>
        <v>30051</v>
      </c>
      <c r="H538" s="62">
        <f t="shared" si="42"/>
        <v>0</v>
      </c>
    </row>
    <row r="539" spans="1:9" hidden="1" x14ac:dyDescent="0.25">
      <c r="A539" t="s">
        <v>149</v>
      </c>
      <c r="B539" s="30" t="s">
        <v>113</v>
      </c>
      <c r="C539" s="28">
        <v>15</v>
      </c>
      <c r="G539">
        <f t="shared" si="41"/>
        <v>0</v>
      </c>
      <c r="H539" s="62">
        <f t="shared" si="42"/>
        <v>371</v>
      </c>
      <c r="I539" s="119">
        <f>+H539*C539</f>
        <v>5565</v>
      </c>
    </row>
    <row r="540" spans="1:9" ht="28.5" hidden="1" x14ac:dyDescent="0.25">
      <c r="A540" t="s">
        <v>149</v>
      </c>
      <c r="B540" s="22" t="s">
        <v>114</v>
      </c>
      <c r="C540" s="28">
        <v>70</v>
      </c>
      <c r="D540" s="56">
        <v>22</v>
      </c>
      <c r="E540" s="57" t="s">
        <v>100</v>
      </c>
      <c r="F540">
        <v>371</v>
      </c>
      <c r="G540">
        <f t="shared" si="41"/>
        <v>25970</v>
      </c>
      <c r="H540" s="62">
        <f t="shared" si="42"/>
        <v>0</v>
      </c>
    </row>
    <row r="541" spans="1:9" ht="28.5" hidden="1" x14ac:dyDescent="0.25">
      <c r="A541" t="s">
        <v>149</v>
      </c>
      <c r="B541" s="144" t="s">
        <v>33</v>
      </c>
      <c r="C541" s="28">
        <v>100</v>
      </c>
      <c r="D541" s="56">
        <v>22</v>
      </c>
      <c r="E541" s="57" t="s">
        <v>100</v>
      </c>
      <c r="F541">
        <f>24+52</f>
        <v>76</v>
      </c>
      <c r="G541">
        <f t="shared" si="41"/>
        <v>7600</v>
      </c>
      <c r="H541" s="62">
        <f t="shared" si="42"/>
        <v>295</v>
      </c>
    </row>
    <row r="542" spans="1:9" hidden="1" x14ac:dyDescent="0.25">
      <c r="A542" t="s">
        <v>149</v>
      </c>
      <c r="B542" s="145"/>
      <c r="C542" s="28"/>
      <c r="D542" s="56"/>
      <c r="E542" s="57"/>
      <c r="G542">
        <f t="shared" si="41"/>
        <v>0</v>
      </c>
      <c r="H542" s="62">
        <f t="shared" si="42"/>
        <v>371</v>
      </c>
    </row>
    <row r="543" spans="1:9" hidden="1" x14ac:dyDescent="0.25">
      <c r="A543" t="s">
        <v>149</v>
      </c>
      <c r="B543" s="144" t="s">
        <v>34</v>
      </c>
      <c r="C543" s="28">
        <v>33</v>
      </c>
      <c r="D543" s="56"/>
      <c r="E543" s="57"/>
      <c r="G543">
        <f t="shared" si="41"/>
        <v>0</v>
      </c>
      <c r="H543" s="62">
        <f t="shared" si="42"/>
        <v>371</v>
      </c>
    </row>
    <row r="544" spans="1:9" hidden="1" x14ac:dyDescent="0.25">
      <c r="A544" t="s">
        <v>149</v>
      </c>
      <c r="B544" s="145"/>
      <c r="C544" s="28"/>
      <c r="D544" s="56"/>
      <c r="E544" s="57"/>
      <c r="G544">
        <f t="shared" si="41"/>
        <v>0</v>
      </c>
      <c r="H544" s="62">
        <f t="shared" si="42"/>
        <v>371</v>
      </c>
    </row>
    <row r="545" spans="1:8" hidden="1" x14ac:dyDescent="0.25">
      <c r="A545" t="s">
        <v>149</v>
      </c>
      <c r="B545" s="144" t="s">
        <v>35</v>
      </c>
      <c r="C545" s="28">
        <v>20</v>
      </c>
      <c r="D545" s="56"/>
      <c r="E545" s="57"/>
      <c r="G545">
        <f t="shared" si="41"/>
        <v>0</v>
      </c>
      <c r="H545" s="62">
        <f t="shared" si="42"/>
        <v>371</v>
      </c>
    </row>
    <row r="546" spans="1:8" hidden="1" x14ac:dyDescent="0.25">
      <c r="A546" t="s">
        <v>149</v>
      </c>
      <c r="B546" s="145"/>
      <c r="C546" s="28"/>
      <c r="D546" s="56"/>
      <c r="E546" s="57"/>
      <c r="G546">
        <f t="shared" si="41"/>
        <v>0</v>
      </c>
      <c r="H546" s="62">
        <f t="shared" si="42"/>
        <v>371</v>
      </c>
    </row>
    <row r="547" spans="1:8" hidden="1" x14ac:dyDescent="0.25">
      <c r="A547" t="s">
        <v>149</v>
      </c>
      <c r="B547" s="144" t="s">
        <v>36</v>
      </c>
      <c r="C547" s="28">
        <v>33</v>
      </c>
      <c r="D547" s="56"/>
      <c r="E547" s="57"/>
      <c r="G547">
        <f t="shared" si="41"/>
        <v>0</v>
      </c>
      <c r="H547" s="62">
        <f t="shared" si="42"/>
        <v>371</v>
      </c>
    </row>
    <row r="548" spans="1:8" hidden="1" x14ac:dyDescent="0.25">
      <c r="A548" t="s">
        <v>149</v>
      </c>
      <c r="B548" s="145"/>
      <c r="C548" s="28"/>
      <c r="D548" s="56"/>
      <c r="E548" s="57"/>
      <c r="G548">
        <f t="shared" si="41"/>
        <v>0</v>
      </c>
      <c r="H548" s="62">
        <f t="shared" si="42"/>
        <v>371</v>
      </c>
    </row>
    <row r="549" spans="1:8" ht="28.5" hidden="1" x14ac:dyDescent="0.25">
      <c r="A549" t="s">
        <v>149</v>
      </c>
      <c r="B549" s="22" t="s">
        <v>37</v>
      </c>
      <c r="C549" s="28">
        <v>43</v>
      </c>
      <c r="D549" s="56">
        <v>33</v>
      </c>
      <c r="E549" s="57" t="s">
        <v>140</v>
      </c>
      <c r="F549">
        <v>371</v>
      </c>
      <c r="G549">
        <f t="shared" si="41"/>
        <v>15953</v>
      </c>
      <c r="H549" s="62">
        <f t="shared" si="42"/>
        <v>0</v>
      </c>
    </row>
    <row r="550" spans="1:8" ht="28.5" hidden="1" x14ac:dyDescent="0.25">
      <c r="A550" t="s">
        <v>149</v>
      </c>
      <c r="B550" s="22" t="s">
        <v>38</v>
      </c>
      <c r="C550" s="28">
        <v>120</v>
      </c>
      <c r="D550" s="56">
        <v>18</v>
      </c>
      <c r="E550" s="57" t="s">
        <v>96</v>
      </c>
      <c r="F550">
        <v>202</v>
      </c>
      <c r="G550">
        <f t="shared" si="41"/>
        <v>24240</v>
      </c>
      <c r="H550" s="62">
        <f t="shared" si="42"/>
        <v>169</v>
      </c>
    </row>
    <row r="551" spans="1:8" ht="21" hidden="1" x14ac:dyDescent="0.35">
      <c r="A551" s="111" t="s">
        <v>39</v>
      </c>
      <c r="B551" s="73"/>
      <c r="C551" s="73"/>
      <c r="D551" s="73"/>
      <c r="E551" s="73"/>
      <c r="F551" s="73"/>
      <c r="G551" s="73"/>
      <c r="H551" s="95"/>
    </row>
    <row r="552" spans="1:8" hidden="1" x14ac:dyDescent="0.25">
      <c r="A552" t="s">
        <v>149</v>
      </c>
      <c r="B552" s="52" t="s">
        <v>125</v>
      </c>
      <c r="C552" s="53">
        <v>170</v>
      </c>
      <c r="G552">
        <f t="shared" ref="G552:G561" si="43">+C552*F552</f>
        <v>0</v>
      </c>
      <c r="H552" s="62">
        <f t="shared" ref="H552:H561" si="44">$K$462-F552</f>
        <v>371</v>
      </c>
    </row>
    <row r="553" spans="1:8" ht="42.75" hidden="1" x14ac:dyDescent="0.25">
      <c r="A553" t="s">
        <v>149</v>
      </c>
      <c r="B553" s="22" t="s">
        <v>74</v>
      </c>
      <c r="C553" s="28">
        <v>30</v>
      </c>
      <c r="D553" s="56">
        <v>21</v>
      </c>
      <c r="E553" s="57" t="s">
        <v>99</v>
      </c>
      <c r="F553" s="23">
        <v>371</v>
      </c>
      <c r="G553">
        <f t="shared" si="43"/>
        <v>11130</v>
      </c>
      <c r="H553" s="62">
        <f t="shared" si="44"/>
        <v>0</v>
      </c>
    </row>
    <row r="554" spans="1:8" hidden="1" x14ac:dyDescent="0.25">
      <c r="A554" t="s">
        <v>149</v>
      </c>
      <c r="B554" s="31" t="s">
        <v>40</v>
      </c>
      <c r="C554" s="32">
        <v>15</v>
      </c>
      <c r="G554">
        <f t="shared" si="43"/>
        <v>0</v>
      </c>
      <c r="H554" s="62">
        <f t="shared" si="44"/>
        <v>371</v>
      </c>
    </row>
    <row r="555" spans="1:8" hidden="1" x14ac:dyDescent="0.25">
      <c r="A555" t="s">
        <v>149</v>
      </c>
      <c r="B555" s="61" t="s">
        <v>133</v>
      </c>
      <c r="C555" s="28">
        <v>33</v>
      </c>
      <c r="G555">
        <f t="shared" si="43"/>
        <v>0</v>
      </c>
      <c r="H555" s="62">
        <f t="shared" si="44"/>
        <v>371</v>
      </c>
    </row>
    <row r="556" spans="1:8" hidden="1" x14ac:dyDescent="0.25">
      <c r="A556" t="s">
        <v>149</v>
      </c>
      <c r="B556" s="30" t="s">
        <v>43</v>
      </c>
      <c r="C556" s="28">
        <v>45</v>
      </c>
      <c r="G556">
        <f t="shared" si="43"/>
        <v>0</v>
      </c>
      <c r="H556" s="62">
        <f t="shared" si="44"/>
        <v>371</v>
      </c>
    </row>
    <row r="557" spans="1:8" hidden="1" x14ac:dyDescent="0.25">
      <c r="A557" t="s">
        <v>149</v>
      </c>
      <c r="B557" s="30" t="s">
        <v>44</v>
      </c>
      <c r="C557" s="28">
        <v>70</v>
      </c>
      <c r="G557">
        <f t="shared" si="43"/>
        <v>0</v>
      </c>
      <c r="H557" s="62">
        <f t="shared" si="44"/>
        <v>371</v>
      </c>
    </row>
    <row r="558" spans="1:8" ht="28.5" hidden="1" x14ac:dyDescent="0.25">
      <c r="A558" t="s">
        <v>149</v>
      </c>
      <c r="B558" s="144" t="s">
        <v>134</v>
      </c>
      <c r="C558" s="139">
        <v>240</v>
      </c>
      <c r="D558" s="56">
        <v>9</v>
      </c>
      <c r="E558" s="57" t="s">
        <v>87</v>
      </c>
      <c r="F558">
        <f>47+19+26</f>
        <v>92</v>
      </c>
      <c r="G558">
        <f t="shared" si="43"/>
        <v>22080</v>
      </c>
      <c r="H558" s="137">
        <f>$K$462-F558-F559-F560:F560</f>
        <v>148</v>
      </c>
    </row>
    <row r="559" spans="1:8" hidden="1" x14ac:dyDescent="0.25">
      <c r="A559" t="s">
        <v>149</v>
      </c>
      <c r="B559" s="146"/>
      <c r="C559" s="141"/>
      <c r="D559" s="56">
        <v>4</v>
      </c>
      <c r="E559" s="57" t="s">
        <v>21</v>
      </c>
      <c r="F559">
        <f>47+19+19</f>
        <v>85</v>
      </c>
      <c r="G559">
        <f>+C558*F559</f>
        <v>20400</v>
      </c>
      <c r="H559" s="138"/>
    </row>
    <row r="560" spans="1:8" hidden="1" x14ac:dyDescent="0.25">
      <c r="A560" t="s">
        <v>149</v>
      </c>
      <c r="B560" s="145"/>
      <c r="C560" s="140"/>
      <c r="D560" s="56">
        <v>32</v>
      </c>
      <c r="E560" s="57" t="s">
        <v>138</v>
      </c>
      <c r="F560">
        <v>46</v>
      </c>
      <c r="G560">
        <f>+C558*F560</f>
        <v>11040</v>
      </c>
      <c r="H560" s="138"/>
    </row>
    <row r="561" spans="1:8" ht="30" hidden="1" x14ac:dyDescent="0.25">
      <c r="A561" t="s">
        <v>149</v>
      </c>
      <c r="B561" s="33" t="s">
        <v>45</v>
      </c>
      <c r="C561" s="28">
        <v>70</v>
      </c>
      <c r="G561">
        <f t="shared" si="43"/>
        <v>0</v>
      </c>
      <c r="H561" s="62">
        <f t="shared" si="44"/>
        <v>371</v>
      </c>
    </row>
    <row r="562" spans="1:8" ht="21" hidden="1" x14ac:dyDescent="0.35">
      <c r="A562" s="111" t="s">
        <v>46</v>
      </c>
      <c r="B562" s="73"/>
      <c r="C562" s="73"/>
      <c r="D562" s="73"/>
      <c r="E562" s="73"/>
      <c r="F562" s="73"/>
      <c r="G562" s="73"/>
      <c r="H562" s="95"/>
    </row>
    <row r="563" spans="1:8" hidden="1" x14ac:dyDescent="0.25">
      <c r="A563" t="s">
        <v>149</v>
      </c>
      <c r="B563" s="30" t="s">
        <v>47</v>
      </c>
      <c r="C563" s="34">
        <v>12</v>
      </c>
      <c r="G563">
        <f>+C563*F563</f>
        <v>0</v>
      </c>
      <c r="H563" s="62">
        <f>$K$462-F563</f>
        <v>371</v>
      </c>
    </row>
    <row r="564" spans="1:8" hidden="1" x14ac:dyDescent="0.25">
      <c r="A564" t="s">
        <v>149</v>
      </c>
      <c r="B564" s="30" t="s">
        <v>48</v>
      </c>
      <c r="C564" s="34">
        <v>28</v>
      </c>
      <c r="G564">
        <f>+C564*F564</f>
        <v>0</v>
      </c>
      <c r="H564" s="62">
        <f>$K$462-F564</f>
        <v>371</v>
      </c>
    </row>
    <row r="565" spans="1:8" hidden="1" x14ac:dyDescent="0.25">
      <c r="A565" t="s">
        <v>149</v>
      </c>
      <c r="B565" s="22" t="s">
        <v>49</v>
      </c>
      <c r="C565" s="34">
        <v>20</v>
      </c>
      <c r="G565">
        <f>+C565*F565</f>
        <v>0</v>
      </c>
      <c r="H565" s="62">
        <f>$K$462-F565</f>
        <v>371</v>
      </c>
    </row>
    <row r="566" spans="1:8" ht="21" hidden="1" x14ac:dyDescent="0.35">
      <c r="A566" s="111" t="s">
        <v>50</v>
      </c>
      <c r="B566" s="73"/>
      <c r="C566" s="73"/>
      <c r="D566" s="73"/>
      <c r="E566" s="73"/>
      <c r="F566" s="73"/>
      <c r="G566" s="73"/>
      <c r="H566" s="95"/>
    </row>
    <row r="567" spans="1:8" hidden="1" x14ac:dyDescent="0.25">
      <c r="A567" t="s">
        <v>149</v>
      </c>
      <c r="B567" s="22" t="s">
        <v>135</v>
      </c>
      <c r="C567" s="34">
        <v>36</v>
      </c>
      <c r="D567" s="56">
        <v>34</v>
      </c>
      <c r="E567" s="57" t="s">
        <v>141</v>
      </c>
      <c r="F567">
        <v>371</v>
      </c>
      <c r="G567">
        <f>+C567*F567</f>
        <v>13356</v>
      </c>
      <c r="H567" s="62">
        <f>$K$462-F567</f>
        <v>0</v>
      </c>
    </row>
    <row r="568" spans="1:8" hidden="1" x14ac:dyDescent="0.25">
      <c r="A568" t="s">
        <v>149</v>
      </c>
      <c r="B568" s="22" t="s">
        <v>52</v>
      </c>
      <c r="C568" s="34">
        <v>15</v>
      </c>
      <c r="G568">
        <f>+C568*F568</f>
        <v>0</v>
      </c>
      <c r="H568" s="62">
        <f>$K$462-F568</f>
        <v>371</v>
      </c>
    </row>
    <row r="569" spans="1:8" ht="21" hidden="1" x14ac:dyDescent="0.35">
      <c r="A569" s="111" t="s">
        <v>20</v>
      </c>
      <c r="B569" s="73"/>
      <c r="C569" s="73"/>
      <c r="D569" s="73"/>
      <c r="E569" s="73"/>
      <c r="F569" s="73"/>
      <c r="G569" s="73"/>
      <c r="H569" s="95"/>
    </row>
    <row r="570" spans="1:8" hidden="1" x14ac:dyDescent="0.25">
      <c r="A570" t="s">
        <v>149</v>
      </c>
      <c r="B570" s="22" t="s">
        <v>53</v>
      </c>
      <c r="C570" s="34">
        <v>81</v>
      </c>
      <c r="G570">
        <f t="shared" ref="G570:G581" si="45">+C570*F570</f>
        <v>0</v>
      </c>
      <c r="H570" s="62">
        <f t="shared" ref="H570:H581" si="46">$K$462-F570</f>
        <v>371</v>
      </c>
    </row>
    <row r="571" spans="1:8" hidden="1" x14ac:dyDescent="0.25">
      <c r="A571" t="s">
        <v>149</v>
      </c>
      <c r="B571" s="22" t="s">
        <v>54</v>
      </c>
      <c r="C571" s="34">
        <v>71</v>
      </c>
      <c r="G571">
        <f t="shared" si="45"/>
        <v>0</v>
      </c>
      <c r="H571" s="62">
        <f t="shared" si="46"/>
        <v>371</v>
      </c>
    </row>
    <row r="572" spans="1:8" hidden="1" x14ac:dyDescent="0.25">
      <c r="A572" t="s">
        <v>149</v>
      </c>
      <c r="B572" s="22" t="s">
        <v>55</v>
      </c>
      <c r="C572" s="28">
        <v>85</v>
      </c>
      <c r="D572" s="56"/>
      <c r="E572" s="57"/>
      <c r="G572">
        <f t="shared" si="45"/>
        <v>0</v>
      </c>
      <c r="H572" s="62">
        <f t="shared" si="46"/>
        <v>371</v>
      </c>
    </row>
    <row r="573" spans="1:8" hidden="1" x14ac:dyDescent="0.25">
      <c r="A573" t="s">
        <v>149</v>
      </c>
      <c r="B573" s="22" t="s">
        <v>56</v>
      </c>
      <c r="C573" s="28">
        <v>75</v>
      </c>
      <c r="G573">
        <f t="shared" si="45"/>
        <v>0</v>
      </c>
      <c r="H573" s="62">
        <f t="shared" si="46"/>
        <v>371</v>
      </c>
    </row>
    <row r="574" spans="1:8" hidden="1" x14ac:dyDescent="0.25">
      <c r="A574" t="s">
        <v>149</v>
      </c>
      <c r="B574" s="22" t="s">
        <v>57</v>
      </c>
      <c r="C574" s="28">
        <v>98</v>
      </c>
      <c r="D574" s="56"/>
      <c r="E574" s="57"/>
      <c r="G574">
        <f t="shared" si="45"/>
        <v>0</v>
      </c>
      <c r="H574" s="62">
        <f t="shared" si="46"/>
        <v>371</v>
      </c>
    </row>
    <row r="575" spans="1:8" hidden="1" x14ac:dyDescent="0.25">
      <c r="A575" t="s">
        <v>149</v>
      </c>
      <c r="B575" s="22" t="s">
        <v>58</v>
      </c>
      <c r="C575" s="28">
        <v>110</v>
      </c>
      <c r="G575">
        <f t="shared" si="45"/>
        <v>0</v>
      </c>
      <c r="H575" s="62">
        <f t="shared" si="46"/>
        <v>371</v>
      </c>
    </row>
    <row r="576" spans="1:8" hidden="1" x14ac:dyDescent="0.25">
      <c r="A576" t="s">
        <v>149</v>
      </c>
      <c r="B576" s="33" t="s">
        <v>59</v>
      </c>
      <c r="C576" s="28">
        <v>70</v>
      </c>
      <c r="G576">
        <f t="shared" si="45"/>
        <v>0</v>
      </c>
      <c r="H576" s="62">
        <f t="shared" si="46"/>
        <v>371</v>
      </c>
    </row>
    <row r="577" spans="1:11" hidden="1" x14ac:dyDescent="0.25">
      <c r="A577" t="s">
        <v>149</v>
      </c>
      <c r="B577" s="22" t="s">
        <v>60</v>
      </c>
      <c r="C577" s="28">
        <v>120</v>
      </c>
      <c r="G577">
        <f t="shared" si="45"/>
        <v>0</v>
      </c>
      <c r="H577" s="62">
        <f t="shared" si="46"/>
        <v>371</v>
      </c>
    </row>
    <row r="578" spans="1:11" hidden="1" x14ac:dyDescent="0.25">
      <c r="A578" t="s">
        <v>149</v>
      </c>
      <c r="B578" s="22" t="s">
        <v>136</v>
      </c>
      <c r="C578" s="28">
        <f>22*8.5</f>
        <v>187</v>
      </c>
      <c r="G578">
        <f t="shared" si="45"/>
        <v>0</v>
      </c>
      <c r="H578" s="62">
        <f t="shared" si="46"/>
        <v>371</v>
      </c>
    </row>
    <row r="579" spans="1:11" ht="21" hidden="1" x14ac:dyDescent="0.35">
      <c r="A579" t="s">
        <v>149</v>
      </c>
      <c r="B579" s="25" t="s">
        <v>65</v>
      </c>
      <c r="C579" s="28">
        <v>29.999999999999996</v>
      </c>
      <c r="G579">
        <f t="shared" si="45"/>
        <v>0</v>
      </c>
      <c r="H579" s="62">
        <f t="shared" si="46"/>
        <v>371</v>
      </c>
      <c r="J579" s="75">
        <f>SUM(G521:G581)</f>
        <v>296093</v>
      </c>
    </row>
    <row r="580" spans="1:11" ht="21" hidden="1" x14ac:dyDescent="0.35">
      <c r="A580" t="s">
        <v>149</v>
      </c>
      <c r="B580" s="25" t="s">
        <v>77</v>
      </c>
      <c r="C580" s="28">
        <v>80</v>
      </c>
      <c r="E580">
        <f>130*371</f>
        <v>48230</v>
      </c>
      <c r="G580">
        <f t="shared" si="45"/>
        <v>0</v>
      </c>
      <c r="H580" s="62">
        <f t="shared" si="46"/>
        <v>371</v>
      </c>
      <c r="J580" s="75">
        <f>+K522-J579</f>
        <v>712656</v>
      </c>
      <c r="K580" s="114" t="s">
        <v>139</v>
      </c>
    </row>
    <row r="581" spans="1:11" hidden="1" x14ac:dyDescent="0.25">
      <c r="A581" t="s">
        <v>149</v>
      </c>
      <c r="B581" s="35" t="s">
        <v>72</v>
      </c>
      <c r="C581" s="28">
        <v>50</v>
      </c>
      <c r="G581">
        <f t="shared" si="45"/>
        <v>0</v>
      </c>
      <c r="H581" s="62">
        <f t="shared" si="46"/>
        <v>371</v>
      </c>
    </row>
  </sheetData>
  <autoFilter ref="A7:H581">
    <filterColumn colId="0">
      <filters>
        <filter val="Z001"/>
      </filters>
    </filterColumn>
    <filterColumn colId="3">
      <filters>
        <filter val="34"/>
      </filters>
    </filterColumn>
  </autoFilter>
  <mergeCells count="184">
    <mergeCell ref="B250:B251"/>
    <mergeCell ref="H250:H251"/>
    <mergeCell ref="C16:C17"/>
    <mergeCell ref="H219:H220"/>
    <mergeCell ref="H185:H189"/>
    <mergeCell ref="B157:B158"/>
    <mergeCell ref="H157:H158"/>
    <mergeCell ref="B168:B169"/>
    <mergeCell ref="H168:H169"/>
    <mergeCell ref="B160:B163"/>
    <mergeCell ref="H160:H163"/>
    <mergeCell ref="B165:B167"/>
    <mergeCell ref="H165:H167"/>
    <mergeCell ref="H194:H198"/>
    <mergeCell ref="B175:B176"/>
    <mergeCell ref="B152:B153"/>
    <mergeCell ref="H144:H147"/>
    <mergeCell ref="H141:H143"/>
    <mergeCell ref="H152:H153"/>
    <mergeCell ref="H63:H66"/>
    <mergeCell ref="C134:C135"/>
    <mergeCell ref="C139:C140"/>
    <mergeCell ref="C141:C143"/>
    <mergeCell ref="C144:C147"/>
    <mergeCell ref="B1:G1"/>
    <mergeCell ref="B28:B29"/>
    <mergeCell ref="B31:B32"/>
    <mergeCell ref="B20:B22"/>
    <mergeCell ref="B23:B24"/>
    <mergeCell ref="B99:B100"/>
    <mergeCell ref="B37:B39"/>
    <mergeCell ref="B26:B27"/>
    <mergeCell ref="B70:B71"/>
    <mergeCell ref="B52:B53"/>
    <mergeCell ref="B56:B57"/>
    <mergeCell ref="B54:B55"/>
    <mergeCell ref="H10:H12"/>
    <mergeCell ref="H28:H29"/>
    <mergeCell ref="H31:H32"/>
    <mergeCell ref="H20:H22"/>
    <mergeCell ref="B16:B17"/>
    <mergeCell ref="H16:H17"/>
    <mergeCell ref="H120:H121"/>
    <mergeCell ref="H23:H24"/>
    <mergeCell ref="H37:H39"/>
    <mergeCell ref="H26:H27"/>
    <mergeCell ref="H41:H43"/>
    <mergeCell ref="H44:H45"/>
    <mergeCell ref="B113:B115"/>
    <mergeCell ref="H113:H115"/>
    <mergeCell ref="B95:B97"/>
    <mergeCell ref="H95:H97"/>
    <mergeCell ref="B85:B86"/>
    <mergeCell ref="H85:H86"/>
    <mergeCell ref="H99:H100"/>
    <mergeCell ref="H77:H78"/>
    <mergeCell ref="H52:H53"/>
    <mergeCell ref="H56:H57"/>
    <mergeCell ref="H54:H55"/>
    <mergeCell ref="B248:B249"/>
    <mergeCell ref="H248:H249"/>
    <mergeCell ref="H154:H155"/>
    <mergeCell ref="B194:B198"/>
    <mergeCell ref="B144:B147"/>
    <mergeCell ref="B185:B189"/>
    <mergeCell ref="B182:B184"/>
    <mergeCell ref="B141:B143"/>
    <mergeCell ref="B154:B155"/>
    <mergeCell ref="B172:B174"/>
    <mergeCell ref="H246:H247"/>
    <mergeCell ref="H139:H140"/>
    <mergeCell ref="H172:H174"/>
    <mergeCell ref="H175:H176"/>
    <mergeCell ref="B214:B215"/>
    <mergeCell ref="H214:H215"/>
    <mergeCell ref="H221:H223"/>
    <mergeCell ref="B225:B226"/>
    <mergeCell ref="H225:H226"/>
    <mergeCell ref="B227:B228"/>
    <mergeCell ref="H227:H228"/>
    <mergeCell ref="H182:H184"/>
    <mergeCell ref="B139:B140"/>
    <mergeCell ref="C154:C155"/>
    <mergeCell ref="C157:C158"/>
    <mergeCell ref="C160:C163"/>
    <mergeCell ref="C165:C167"/>
    <mergeCell ref="C172:C174"/>
    <mergeCell ref="C175:C176"/>
    <mergeCell ref="C179:C180"/>
    <mergeCell ref="C182:C184"/>
    <mergeCell ref="B322:B324"/>
    <mergeCell ref="B309:B310"/>
    <mergeCell ref="B311:B312"/>
    <mergeCell ref="B305:B306"/>
    <mergeCell ref="B307:B308"/>
    <mergeCell ref="B179:B180"/>
    <mergeCell ref="H179:H180"/>
    <mergeCell ref="B263:B265"/>
    <mergeCell ref="B252:B253"/>
    <mergeCell ref="B246:B247"/>
    <mergeCell ref="H263:H265"/>
    <mergeCell ref="B219:B220"/>
    <mergeCell ref="C185:C189"/>
    <mergeCell ref="C194:C198"/>
    <mergeCell ref="C208:C209"/>
    <mergeCell ref="C210:C212"/>
    <mergeCell ref="C214:C215"/>
    <mergeCell ref="C219:C220"/>
    <mergeCell ref="B221:B222"/>
    <mergeCell ref="C221:C222"/>
    <mergeCell ref="C225:C226"/>
    <mergeCell ref="C227:C228"/>
    <mergeCell ref="C246:C247"/>
    <mergeCell ref="H252:H253"/>
    <mergeCell ref="B380:B382"/>
    <mergeCell ref="B363:B364"/>
    <mergeCell ref="B365:B366"/>
    <mergeCell ref="B367:B368"/>
    <mergeCell ref="B369:B370"/>
    <mergeCell ref="B427:B428"/>
    <mergeCell ref="B438:B440"/>
    <mergeCell ref="B421:B422"/>
    <mergeCell ref="B423:B424"/>
    <mergeCell ref="B425:B426"/>
    <mergeCell ref="B543:B544"/>
    <mergeCell ref="B545:B546"/>
    <mergeCell ref="B485:B486"/>
    <mergeCell ref="B496:B498"/>
    <mergeCell ref="B479:B480"/>
    <mergeCell ref="B481:B482"/>
    <mergeCell ref="B483:B484"/>
    <mergeCell ref="H69:H71"/>
    <mergeCell ref="H125:H126"/>
    <mergeCell ref="H127:H128"/>
    <mergeCell ref="H208:H209"/>
    <mergeCell ref="H210:H212"/>
    <mergeCell ref="H276:H277"/>
    <mergeCell ref="H134:H135"/>
    <mergeCell ref="B523:B524"/>
    <mergeCell ref="H523:H524"/>
    <mergeCell ref="B525:B526"/>
    <mergeCell ref="H525:H526"/>
    <mergeCell ref="B528:B529"/>
    <mergeCell ref="H528:H529"/>
    <mergeCell ref="B534:B535"/>
    <mergeCell ref="H534:H535"/>
    <mergeCell ref="C127:C128"/>
    <mergeCell ref="C152:C153"/>
    <mergeCell ref="B547:B548"/>
    <mergeCell ref="B558:B560"/>
    <mergeCell ref="B541:B542"/>
    <mergeCell ref="C10:C11"/>
    <mergeCell ref="C12:C13"/>
    <mergeCell ref="C20:C22"/>
    <mergeCell ref="C23:C24"/>
    <mergeCell ref="C26:C27"/>
    <mergeCell ref="C37:C39"/>
    <mergeCell ref="C41:C43"/>
    <mergeCell ref="C44:C45"/>
    <mergeCell ref="C52:C53"/>
    <mergeCell ref="C54:C55"/>
    <mergeCell ref="C56:C57"/>
    <mergeCell ref="C63:C64"/>
    <mergeCell ref="C65:C66"/>
    <mergeCell ref="C70:C71"/>
    <mergeCell ref="C77:C78"/>
    <mergeCell ref="C85:C86"/>
    <mergeCell ref="C95:C97"/>
    <mergeCell ref="C99:C100"/>
    <mergeCell ref="C113:C115"/>
    <mergeCell ref="C120:C121"/>
    <mergeCell ref="C125:C126"/>
    <mergeCell ref="H558:H560"/>
    <mergeCell ref="C534:C535"/>
    <mergeCell ref="C558:C560"/>
    <mergeCell ref="C248:C249"/>
    <mergeCell ref="C250:C251"/>
    <mergeCell ref="C252:C253"/>
    <mergeCell ref="C263:C265"/>
    <mergeCell ref="C276:C277"/>
    <mergeCell ref="C438:C440"/>
    <mergeCell ref="C523:C524"/>
    <mergeCell ref="C525:C526"/>
    <mergeCell ref="C528:C529"/>
  </mergeCells>
  <pageMargins left="0.7" right="0.7" top="0.75" bottom="0.75" header="0.3" footer="0.3"/>
  <pageSetup paperSize="5"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70" zoomScaleNormal="70" workbookViewId="0">
      <selection activeCell="C2" sqref="C2"/>
    </sheetView>
  </sheetViews>
  <sheetFormatPr baseColWidth="10" defaultRowHeight="20.25" x14ac:dyDescent="0.3"/>
  <cols>
    <col min="1" max="1" width="11.5703125" style="38"/>
    <col min="2" max="2" width="61.28515625" style="36" customWidth="1"/>
    <col min="3" max="3" width="24.42578125" customWidth="1"/>
  </cols>
  <sheetData>
    <row r="2" spans="1:7" x14ac:dyDescent="0.25">
      <c r="A2" s="38">
        <v>1</v>
      </c>
      <c r="B2" s="37" t="s">
        <v>80</v>
      </c>
      <c r="C2" s="28">
        <f>(398*20)+(80*350)+(73*25)+(120*1)</f>
        <v>37905</v>
      </c>
    </row>
    <row r="3" spans="1:7" x14ac:dyDescent="0.25">
      <c r="A3" s="38">
        <v>2</v>
      </c>
      <c r="B3" s="37" t="s">
        <v>81</v>
      </c>
      <c r="C3" s="28"/>
    </row>
    <row r="4" spans="1:7" x14ac:dyDescent="0.25">
      <c r="A4" s="38">
        <v>3</v>
      </c>
      <c r="B4" s="37" t="s">
        <v>82</v>
      </c>
      <c r="C4" s="28">
        <f>(80*110)+(56*20)</f>
        <v>9920</v>
      </c>
    </row>
    <row r="5" spans="1:7" x14ac:dyDescent="0.25">
      <c r="A5" s="38">
        <v>4</v>
      </c>
      <c r="B5" s="37" t="s">
        <v>21</v>
      </c>
      <c r="C5" s="28">
        <f>94*240</f>
        <v>22560</v>
      </c>
    </row>
    <row r="6" spans="1:7" x14ac:dyDescent="0.25">
      <c r="A6" s="38">
        <v>5</v>
      </c>
      <c r="B6" s="37" t="s">
        <v>83</v>
      </c>
      <c r="C6" s="28">
        <f>(3786*25.75)+(3.5*3786)</f>
        <v>110740.5</v>
      </c>
    </row>
    <row r="7" spans="1:7" x14ac:dyDescent="0.25">
      <c r="A7" s="38">
        <v>6</v>
      </c>
      <c r="B7" s="37" t="s">
        <v>84</v>
      </c>
      <c r="C7" s="28">
        <f>24*140</f>
        <v>3360</v>
      </c>
    </row>
    <row r="8" spans="1:7" x14ac:dyDescent="0.25">
      <c r="A8" s="38">
        <v>7</v>
      </c>
      <c r="B8" s="37" t="s">
        <v>85</v>
      </c>
      <c r="C8" s="28">
        <f>+(146*80)+(425*20)</f>
        <v>20180</v>
      </c>
    </row>
    <row r="9" spans="1:7" x14ac:dyDescent="0.25">
      <c r="A9" s="38">
        <v>8</v>
      </c>
      <c r="B9" s="37" t="s">
        <v>86</v>
      </c>
      <c r="C9" s="28"/>
    </row>
    <row r="10" spans="1:7" x14ac:dyDescent="0.25">
      <c r="A10" s="38">
        <v>9</v>
      </c>
      <c r="B10" s="37" t="s">
        <v>87</v>
      </c>
      <c r="C10" s="28"/>
    </row>
    <row r="11" spans="1:7" x14ac:dyDescent="0.25">
      <c r="A11" s="38">
        <v>10</v>
      </c>
      <c r="B11" s="37" t="s">
        <v>88</v>
      </c>
      <c r="C11" s="28">
        <f>20*10000</f>
        <v>200000</v>
      </c>
    </row>
    <row r="12" spans="1:7" x14ac:dyDescent="0.25">
      <c r="A12" s="38">
        <v>11</v>
      </c>
      <c r="B12" s="37" t="s">
        <v>89</v>
      </c>
      <c r="C12" s="28">
        <f>96*22*8.5</f>
        <v>17952</v>
      </c>
      <c r="G12" s="21"/>
    </row>
    <row r="13" spans="1:7" x14ac:dyDescent="0.25">
      <c r="A13" s="38">
        <v>12</v>
      </c>
      <c r="B13" s="37" t="s">
        <v>90</v>
      </c>
      <c r="C13" s="28">
        <f>12*3786</f>
        <v>45432</v>
      </c>
    </row>
    <row r="14" spans="1:7" x14ac:dyDescent="0.25">
      <c r="A14" s="38">
        <v>13</v>
      </c>
      <c r="B14" s="37" t="s">
        <v>91</v>
      </c>
      <c r="C14" s="28"/>
      <c r="G14" s="21"/>
    </row>
    <row r="15" spans="1:7" x14ac:dyDescent="0.25">
      <c r="A15" s="38">
        <v>14</v>
      </c>
      <c r="B15" s="37" t="s">
        <v>92</v>
      </c>
      <c r="C15" s="28">
        <f>3786*6</f>
        <v>22716</v>
      </c>
    </row>
    <row r="16" spans="1:7" x14ac:dyDescent="0.25">
      <c r="A16" s="38">
        <v>15</v>
      </c>
      <c r="B16" s="37" t="s">
        <v>93</v>
      </c>
      <c r="C16" s="28"/>
    </row>
    <row r="17" spans="1:3" x14ac:dyDescent="0.25">
      <c r="A17" s="38">
        <v>16</v>
      </c>
      <c r="B17" s="37" t="s">
        <v>94</v>
      </c>
      <c r="C17" s="28">
        <f>(40*81)+(19*61)</f>
        <v>4399</v>
      </c>
    </row>
    <row r="18" spans="1:3" x14ac:dyDescent="0.25">
      <c r="A18" s="38">
        <v>17</v>
      </c>
      <c r="B18" s="37" t="s">
        <v>95</v>
      </c>
      <c r="C18" s="28">
        <f>(3.75*3786)+(60*30)+(60*80)+(68*80)</f>
        <v>26237.5</v>
      </c>
    </row>
    <row r="19" spans="1:3" x14ac:dyDescent="0.25">
      <c r="A19" s="38">
        <v>18</v>
      </c>
      <c r="B19" s="37" t="s">
        <v>96</v>
      </c>
      <c r="C19" s="28"/>
    </row>
    <row r="20" spans="1:3" x14ac:dyDescent="0.25">
      <c r="A20" s="38">
        <v>19</v>
      </c>
      <c r="B20" s="37" t="s">
        <v>97</v>
      </c>
      <c r="C20" s="28"/>
    </row>
    <row r="21" spans="1:3" x14ac:dyDescent="0.25">
      <c r="A21" s="38">
        <v>20</v>
      </c>
      <c r="B21" s="37" t="s">
        <v>98</v>
      </c>
      <c r="C21" s="28"/>
    </row>
    <row r="22" spans="1:3" x14ac:dyDescent="0.25">
      <c r="A22" s="38">
        <v>21</v>
      </c>
      <c r="B22" s="37" t="s">
        <v>99</v>
      </c>
      <c r="C22" s="28">
        <f>146*85</f>
        <v>12410</v>
      </c>
    </row>
    <row r="23" spans="1:3" x14ac:dyDescent="0.25">
      <c r="A23" s="38">
        <v>22</v>
      </c>
      <c r="B23" s="37" t="s">
        <v>100</v>
      </c>
      <c r="C23" s="28">
        <f>250*10</f>
        <v>2500</v>
      </c>
    </row>
    <row r="24" spans="1:3" x14ac:dyDescent="0.25">
      <c r="A24" s="38">
        <v>23</v>
      </c>
      <c r="B24" s="37" t="s">
        <v>101</v>
      </c>
      <c r="C24" s="28"/>
    </row>
    <row r="25" spans="1:3" x14ac:dyDescent="0.25">
      <c r="A25" s="38">
        <v>24</v>
      </c>
      <c r="B25" s="37" t="s">
        <v>102</v>
      </c>
      <c r="C25" s="28">
        <f>(60*100)+(270*26)+(12*100)+(8*100)</f>
        <v>15020</v>
      </c>
    </row>
    <row r="26" spans="1:3" x14ac:dyDescent="0.25">
      <c r="A26" s="38">
        <v>25</v>
      </c>
      <c r="B26" s="37" t="s">
        <v>103</v>
      </c>
      <c r="C26" s="28">
        <f>12.75*3786+6480</f>
        <v>54751.5</v>
      </c>
    </row>
    <row r="27" spans="1:3" x14ac:dyDescent="0.25">
      <c r="A27" s="38">
        <v>26</v>
      </c>
      <c r="B27" s="37" t="s">
        <v>104</v>
      </c>
      <c r="C27" s="28">
        <f>(80*43)+(30*66)</f>
        <v>5420</v>
      </c>
    </row>
    <row r="28" spans="1:3" x14ac:dyDescent="0.25">
      <c r="A28" s="38">
        <v>27</v>
      </c>
      <c r="B28" s="37" t="s">
        <v>105</v>
      </c>
      <c r="C28" s="28"/>
    </row>
    <row r="29" spans="1:3" x14ac:dyDescent="0.25">
      <c r="A29" s="38">
        <v>28</v>
      </c>
      <c r="B29" s="37" t="s">
        <v>106</v>
      </c>
      <c r="C29" s="28">
        <f>3786+(60*61)</f>
        <v>7446</v>
      </c>
    </row>
    <row r="30" spans="1:3" ht="23.45" customHeight="1" x14ac:dyDescent="0.25">
      <c r="A30" s="38">
        <v>29</v>
      </c>
      <c r="B30" s="37" t="s">
        <v>107</v>
      </c>
      <c r="C30" s="28">
        <f>(29*120)+(110*146)</f>
        <v>19540</v>
      </c>
    </row>
    <row r="31" spans="1:3" ht="23.45" customHeight="1" x14ac:dyDescent="0.25">
      <c r="A31" s="38">
        <v>30</v>
      </c>
      <c r="B31" s="37" t="s">
        <v>119</v>
      </c>
      <c r="C31" s="28">
        <f>20*10000</f>
        <v>200000</v>
      </c>
    </row>
    <row r="32" spans="1:3" ht="23.45" customHeight="1" x14ac:dyDescent="0.25">
      <c r="A32" s="38">
        <v>31</v>
      </c>
      <c r="B32" s="37" t="s">
        <v>130</v>
      </c>
      <c r="C32" s="28">
        <f>+((8.5+8.5+6)*3786)+(43*60)+(19*20)</f>
        <v>90038</v>
      </c>
    </row>
    <row r="33" spans="1:3" x14ac:dyDescent="0.25">
      <c r="A33" s="38">
        <v>32</v>
      </c>
      <c r="B33" s="37" t="s">
        <v>138</v>
      </c>
      <c r="C33" s="28"/>
    </row>
    <row r="34" spans="1:3" x14ac:dyDescent="0.25">
      <c r="A34" s="38">
        <v>33</v>
      </c>
      <c r="B34" s="37" t="s">
        <v>140</v>
      </c>
      <c r="C34" s="28"/>
    </row>
    <row r="35" spans="1:3" x14ac:dyDescent="0.25">
      <c r="A35" s="38">
        <v>34</v>
      </c>
      <c r="B35" s="37" t="s">
        <v>141</v>
      </c>
      <c r="C35" s="28">
        <f>146*36</f>
        <v>5256</v>
      </c>
    </row>
  </sheetData>
  <pageMargins left="0.7" right="0.7" top="0.75" bottom="0.75" header="0.3" footer="0.3"/>
  <pageSetup paperSize="5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zoomScale="70" zoomScaleNormal="70" workbookViewId="0">
      <selection activeCell="B4" sqref="B4"/>
    </sheetView>
  </sheetViews>
  <sheetFormatPr baseColWidth="10" defaultColWidth="11.5703125" defaultRowHeight="21" customHeight="1" x14ac:dyDescent="0.25"/>
  <cols>
    <col min="1" max="1" width="3.28515625" style="130" bestFit="1" customWidth="1"/>
    <col min="2" max="2" width="48.28515625" style="133" bestFit="1" customWidth="1"/>
    <col min="3" max="3" width="24.42578125" style="133" customWidth="1"/>
    <col min="4" max="16384" width="11.5703125" style="133"/>
  </cols>
  <sheetData>
    <row r="2" spans="1:3" ht="21" customHeight="1" x14ac:dyDescent="0.25">
      <c r="A2" s="130">
        <v>1</v>
      </c>
      <c r="B2" s="131" t="s">
        <v>80</v>
      </c>
      <c r="C2" s="132"/>
    </row>
    <row r="3" spans="1:3" ht="21" customHeight="1" x14ac:dyDescent="0.25">
      <c r="A3" s="130">
        <v>2</v>
      </c>
      <c r="B3" s="131" t="s">
        <v>81</v>
      </c>
      <c r="C3" s="132"/>
    </row>
    <row r="4" spans="1:3" ht="21" customHeight="1" x14ac:dyDescent="0.25">
      <c r="A4" s="130">
        <v>3</v>
      </c>
      <c r="B4" s="131" t="s">
        <v>82</v>
      </c>
      <c r="C4" s="132"/>
    </row>
    <row r="5" spans="1:3" ht="21" customHeight="1" x14ac:dyDescent="0.25">
      <c r="A5" s="130">
        <v>4</v>
      </c>
      <c r="B5" s="131" t="s">
        <v>21</v>
      </c>
      <c r="C5" s="132"/>
    </row>
    <row r="6" spans="1:3" ht="21" customHeight="1" x14ac:dyDescent="0.25">
      <c r="A6" s="130">
        <v>5</v>
      </c>
      <c r="B6" s="131" t="s">
        <v>83</v>
      </c>
      <c r="C6" s="132"/>
    </row>
    <row r="7" spans="1:3" ht="21" customHeight="1" x14ac:dyDescent="0.25">
      <c r="A7" s="130">
        <v>6</v>
      </c>
      <c r="B7" s="131" t="s">
        <v>84</v>
      </c>
      <c r="C7" s="132"/>
    </row>
    <row r="8" spans="1:3" ht="21" customHeight="1" x14ac:dyDescent="0.25">
      <c r="A8" s="130">
        <v>7</v>
      </c>
      <c r="B8" s="131" t="s">
        <v>85</v>
      </c>
      <c r="C8" s="132"/>
    </row>
    <row r="9" spans="1:3" ht="21" customHeight="1" x14ac:dyDescent="0.25">
      <c r="A9" s="130">
        <v>8</v>
      </c>
      <c r="B9" s="131" t="s">
        <v>86</v>
      </c>
      <c r="C9" s="132"/>
    </row>
    <row r="10" spans="1:3" ht="21" customHeight="1" x14ac:dyDescent="0.25">
      <c r="A10" s="130">
        <v>9</v>
      </c>
      <c r="B10" s="131" t="s">
        <v>87</v>
      </c>
      <c r="C10" s="132"/>
    </row>
    <row r="11" spans="1:3" ht="21" customHeight="1" x14ac:dyDescent="0.25">
      <c r="A11" s="130">
        <v>10</v>
      </c>
      <c r="B11" s="131" t="s">
        <v>88</v>
      </c>
      <c r="C11" s="132"/>
    </row>
    <row r="12" spans="1:3" ht="21" customHeight="1" x14ac:dyDescent="0.25">
      <c r="A12" s="130">
        <v>11</v>
      </c>
      <c r="B12" s="131" t="s">
        <v>89</v>
      </c>
      <c r="C12" s="132"/>
    </row>
    <row r="13" spans="1:3" ht="21" customHeight="1" x14ac:dyDescent="0.25">
      <c r="A13" s="130">
        <v>12</v>
      </c>
      <c r="B13" s="131" t="s">
        <v>90</v>
      </c>
      <c r="C13" s="132"/>
    </row>
    <row r="14" spans="1:3" ht="21" customHeight="1" x14ac:dyDescent="0.25">
      <c r="A14" s="130">
        <v>13</v>
      </c>
      <c r="B14" s="131" t="s">
        <v>91</v>
      </c>
      <c r="C14" s="132"/>
    </row>
    <row r="15" spans="1:3" ht="21" customHeight="1" x14ac:dyDescent="0.25">
      <c r="A15" s="130">
        <v>14</v>
      </c>
      <c r="B15" s="131" t="s">
        <v>92</v>
      </c>
      <c r="C15" s="132"/>
    </row>
    <row r="16" spans="1:3" ht="21" customHeight="1" x14ac:dyDescent="0.25">
      <c r="A16" s="130">
        <v>15</v>
      </c>
      <c r="B16" s="131" t="s">
        <v>93</v>
      </c>
      <c r="C16" s="132"/>
    </row>
    <row r="17" spans="1:3" ht="21" customHeight="1" x14ac:dyDescent="0.25">
      <c r="A17" s="130">
        <v>16</v>
      </c>
      <c r="B17" s="131" t="s">
        <v>94</v>
      </c>
      <c r="C17" s="132"/>
    </row>
    <row r="18" spans="1:3" ht="21" customHeight="1" x14ac:dyDescent="0.25">
      <c r="A18" s="130">
        <v>17</v>
      </c>
      <c r="B18" s="131" t="s">
        <v>95</v>
      </c>
      <c r="C18" s="132"/>
    </row>
    <row r="19" spans="1:3" ht="21" customHeight="1" x14ac:dyDescent="0.25">
      <c r="A19" s="130">
        <v>18</v>
      </c>
      <c r="B19" s="131" t="s">
        <v>96</v>
      </c>
      <c r="C19" s="132"/>
    </row>
    <row r="20" spans="1:3" ht="21" customHeight="1" x14ac:dyDescent="0.25">
      <c r="A20" s="130">
        <v>19</v>
      </c>
      <c r="B20" s="131" t="s">
        <v>97</v>
      </c>
      <c r="C20" s="132"/>
    </row>
    <row r="21" spans="1:3" ht="21" customHeight="1" x14ac:dyDescent="0.25">
      <c r="A21" s="130">
        <v>20</v>
      </c>
      <c r="B21" s="131" t="s">
        <v>98</v>
      </c>
      <c r="C21" s="132"/>
    </row>
    <row r="22" spans="1:3" ht="21" customHeight="1" x14ac:dyDescent="0.25">
      <c r="A22" s="130">
        <v>21</v>
      </c>
      <c r="B22" s="131" t="s">
        <v>99</v>
      </c>
      <c r="C22" s="132"/>
    </row>
    <row r="23" spans="1:3" ht="21" customHeight="1" x14ac:dyDescent="0.25">
      <c r="A23" s="130">
        <v>22</v>
      </c>
      <c r="B23" s="131" t="s">
        <v>100</v>
      </c>
      <c r="C23" s="132"/>
    </row>
    <row r="24" spans="1:3" ht="21" customHeight="1" x14ac:dyDescent="0.25">
      <c r="A24" s="130">
        <v>23</v>
      </c>
      <c r="B24" s="131" t="s">
        <v>101</v>
      </c>
      <c r="C24" s="132"/>
    </row>
    <row r="25" spans="1:3" ht="21" customHeight="1" x14ac:dyDescent="0.25">
      <c r="A25" s="130">
        <v>24</v>
      </c>
      <c r="B25" s="131" t="s">
        <v>102</v>
      </c>
      <c r="C25" s="132"/>
    </row>
    <row r="26" spans="1:3" ht="21" customHeight="1" x14ac:dyDescent="0.25">
      <c r="A26" s="130">
        <v>25</v>
      </c>
      <c r="B26" s="131" t="s">
        <v>103</v>
      </c>
      <c r="C26" s="132"/>
    </row>
    <row r="27" spans="1:3" ht="21" customHeight="1" x14ac:dyDescent="0.25">
      <c r="A27" s="130">
        <v>26</v>
      </c>
      <c r="B27" s="131" t="s">
        <v>104</v>
      </c>
      <c r="C27" s="132"/>
    </row>
    <row r="28" spans="1:3" ht="21" customHeight="1" x14ac:dyDescent="0.25">
      <c r="A28" s="130">
        <v>27</v>
      </c>
      <c r="B28" s="131" t="s">
        <v>105</v>
      </c>
      <c r="C28" s="132"/>
    </row>
    <row r="29" spans="1:3" ht="21" customHeight="1" x14ac:dyDescent="0.25">
      <c r="A29" s="130">
        <v>28</v>
      </c>
      <c r="B29" s="131" t="s">
        <v>106</v>
      </c>
      <c r="C29" s="132"/>
    </row>
    <row r="30" spans="1:3" ht="21" customHeight="1" x14ac:dyDescent="0.25">
      <c r="A30" s="130">
        <v>29</v>
      </c>
      <c r="B30" s="131" t="s">
        <v>107</v>
      </c>
      <c r="C30" s="132"/>
    </row>
    <row r="31" spans="1:3" ht="23.45" customHeight="1" x14ac:dyDescent="0.25">
      <c r="A31" s="130">
        <v>30</v>
      </c>
      <c r="B31" s="131" t="s">
        <v>119</v>
      </c>
      <c r="C31" s="132"/>
    </row>
    <row r="32" spans="1:3" ht="23.45" customHeight="1" x14ac:dyDescent="0.25">
      <c r="A32" s="130">
        <v>31</v>
      </c>
      <c r="B32" s="131" t="s">
        <v>130</v>
      </c>
      <c r="C32" s="132"/>
    </row>
    <row r="33" spans="1:3" ht="23.45" customHeight="1" x14ac:dyDescent="0.25">
      <c r="A33" s="130">
        <v>32</v>
      </c>
      <c r="B33" s="131" t="s">
        <v>138</v>
      </c>
      <c r="C33" s="132"/>
    </row>
    <row r="34" spans="1:3" ht="23.45" customHeight="1" x14ac:dyDescent="0.25">
      <c r="A34" s="130">
        <v>33</v>
      </c>
      <c r="B34" s="131" t="s">
        <v>140</v>
      </c>
      <c r="C34" s="132"/>
    </row>
    <row r="35" spans="1:3" ht="23.45" customHeight="1" x14ac:dyDescent="0.25">
      <c r="A35" s="130">
        <v>34</v>
      </c>
      <c r="B35" s="131" t="s">
        <v>141</v>
      </c>
      <c r="C35" s="132"/>
    </row>
  </sheetData>
  <pageMargins left="0.7" right="0.7" top="0.75" bottom="0.75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zoomScale="85" zoomScaleNormal="85" workbookViewId="0">
      <selection activeCell="C8" sqref="C8"/>
    </sheetView>
  </sheetViews>
  <sheetFormatPr baseColWidth="10" defaultRowHeight="15" x14ac:dyDescent="0.25"/>
  <cols>
    <col min="2" max="2" width="49.28515625" customWidth="1"/>
    <col min="3" max="3" width="11.5703125" style="114"/>
  </cols>
  <sheetData>
    <row r="1" spans="1:3" x14ac:dyDescent="0.25">
      <c r="A1" s="27"/>
      <c r="B1" s="27"/>
    </row>
    <row r="2" spans="1:3" ht="20.25" x14ac:dyDescent="0.25">
      <c r="A2" s="38">
        <v>1</v>
      </c>
      <c r="B2" s="37" t="s">
        <v>80</v>
      </c>
      <c r="C2" s="134">
        <f>'TD LOTES'!E4+OTROS!C2</f>
        <v>741836</v>
      </c>
    </row>
    <row r="3" spans="1:3" ht="20.25" x14ac:dyDescent="0.25">
      <c r="A3" s="38">
        <v>2</v>
      </c>
      <c r="B3" s="37" t="s">
        <v>81</v>
      </c>
      <c r="C3" s="134">
        <f>'TD LOTES'!E5+OTROS!C3</f>
        <v>0</v>
      </c>
    </row>
    <row r="4" spans="1:3" ht="20.25" x14ac:dyDescent="0.25">
      <c r="A4" s="38">
        <v>3</v>
      </c>
      <c r="B4" s="37" t="s">
        <v>82</v>
      </c>
      <c r="C4" s="134">
        <f>'TD LOTES'!E6+OTROS!C4</f>
        <v>602208</v>
      </c>
    </row>
    <row r="5" spans="1:3" ht="20.25" x14ac:dyDescent="0.25">
      <c r="A5" s="38">
        <v>4</v>
      </c>
      <c r="B5" s="37" t="s">
        <v>21</v>
      </c>
      <c r="C5" s="134">
        <f>'TD LOTES'!E7+OTROS!C5</f>
        <v>566930</v>
      </c>
    </row>
    <row r="6" spans="1:3" ht="20.25" x14ac:dyDescent="0.25">
      <c r="A6" s="38">
        <v>5</v>
      </c>
      <c r="B6" s="37" t="s">
        <v>83</v>
      </c>
      <c r="C6" s="134">
        <f>'TD LOTES'!E8+OTROS!C6</f>
        <v>425627.5</v>
      </c>
    </row>
    <row r="7" spans="1:3" ht="20.25" x14ac:dyDescent="0.25">
      <c r="A7" s="38">
        <v>6</v>
      </c>
      <c r="B7" s="37" t="s">
        <v>84</v>
      </c>
      <c r="C7" s="134">
        <f>'TD LOTES'!E9+OTROS!C7</f>
        <v>546480</v>
      </c>
    </row>
    <row r="8" spans="1:3" ht="20.25" x14ac:dyDescent="0.25">
      <c r="A8" s="38">
        <v>7</v>
      </c>
      <c r="B8" s="37" t="s">
        <v>85</v>
      </c>
      <c r="C8" s="134">
        <f>'TD LOTES'!E10+OTROS!C8</f>
        <v>397630</v>
      </c>
    </row>
    <row r="9" spans="1:3" ht="20.25" x14ac:dyDescent="0.25">
      <c r="A9" s="38">
        <v>8</v>
      </c>
      <c r="B9" s="37" t="s">
        <v>86</v>
      </c>
      <c r="C9" s="134">
        <f>'TD LOTES'!E11+OTROS!C9</f>
        <v>0</v>
      </c>
    </row>
    <row r="10" spans="1:3" ht="20.25" x14ac:dyDescent="0.25">
      <c r="A10" s="38">
        <v>9</v>
      </c>
      <c r="B10" s="37" t="s">
        <v>87</v>
      </c>
      <c r="C10" s="134">
        <f>'TD LOTES'!E12+OTROS!C10</f>
        <v>511500</v>
      </c>
    </row>
    <row r="11" spans="1:3" ht="20.25" x14ac:dyDescent="0.25">
      <c r="A11" s="38">
        <v>10</v>
      </c>
      <c r="B11" s="37" t="s">
        <v>88</v>
      </c>
      <c r="C11" s="134">
        <f>'TD LOTES'!E13+OTROS!C11</f>
        <v>221600</v>
      </c>
    </row>
    <row r="12" spans="1:3" ht="20.25" x14ac:dyDescent="0.25">
      <c r="A12" s="38">
        <v>11</v>
      </c>
      <c r="B12" s="37" t="s">
        <v>89</v>
      </c>
      <c r="C12" s="134">
        <f>'TD LOTES'!E14+OTROS!C12</f>
        <v>557566</v>
      </c>
    </row>
    <row r="13" spans="1:3" ht="20.25" x14ac:dyDescent="0.25">
      <c r="A13" s="38">
        <v>12</v>
      </c>
      <c r="B13" s="37" t="s">
        <v>90</v>
      </c>
      <c r="C13" s="134">
        <f>'TD LOTES'!E15+OTROS!C13</f>
        <v>624095</v>
      </c>
    </row>
    <row r="14" spans="1:3" ht="20.25" x14ac:dyDescent="0.25">
      <c r="A14" s="38">
        <v>13</v>
      </c>
      <c r="B14" s="37" t="s">
        <v>91</v>
      </c>
      <c r="C14" s="134">
        <f>'TD LOTES'!E16+OTROS!C14</f>
        <v>0</v>
      </c>
    </row>
    <row r="15" spans="1:3" ht="20.25" x14ac:dyDescent="0.25">
      <c r="A15" s="38">
        <v>14</v>
      </c>
      <c r="B15" s="37" t="s">
        <v>92</v>
      </c>
      <c r="C15" s="134">
        <f>'TD LOTES'!E17+OTROS!C15</f>
        <v>347232</v>
      </c>
    </row>
    <row r="16" spans="1:3" ht="20.25" x14ac:dyDescent="0.25">
      <c r="A16" s="38">
        <v>15</v>
      </c>
      <c r="B16" s="37" t="s">
        <v>93</v>
      </c>
      <c r="C16" s="134">
        <f>'TD LOTES'!E18+OTROS!C16</f>
        <v>650524</v>
      </c>
    </row>
    <row r="17" spans="1:3" ht="20.25" x14ac:dyDescent="0.25">
      <c r="A17" s="38">
        <v>16</v>
      </c>
      <c r="B17" s="37" t="s">
        <v>94</v>
      </c>
      <c r="C17" s="134">
        <f>'TD LOTES'!E19+OTROS!C17</f>
        <v>593603</v>
      </c>
    </row>
    <row r="18" spans="1:3" ht="20.25" x14ac:dyDescent="0.25">
      <c r="A18" s="38">
        <v>17</v>
      </c>
      <c r="B18" s="37" t="s">
        <v>95</v>
      </c>
      <c r="C18" s="134">
        <f>'TD LOTES'!E20+OTROS!C18</f>
        <v>446987.5</v>
      </c>
    </row>
    <row r="19" spans="1:3" ht="20.25" x14ac:dyDescent="0.25">
      <c r="A19" s="38">
        <v>18</v>
      </c>
      <c r="B19" s="37" t="s">
        <v>96</v>
      </c>
      <c r="C19" s="134">
        <f>'TD LOTES'!E21+OTROS!C19</f>
        <v>612205</v>
      </c>
    </row>
    <row r="20" spans="1:3" ht="20.25" x14ac:dyDescent="0.25">
      <c r="A20" s="38">
        <v>19</v>
      </c>
      <c r="B20" s="37" t="s">
        <v>97</v>
      </c>
      <c r="C20" s="134">
        <f>'TD LOTES'!E22+OTROS!C20</f>
        <v>156750</v>
      </c>
    </row>
    <row r="21" spans="1:3" ht="20.25" x14ac:dyDescent="0.25">
      <c r="A21" s="38">
        <v>20</v>
      </c>
      <c r="B21" s="37" t="s">
        <v>98</v>
      </c>
      <c r="C21" s="134">
        <f>'TD LOTES'!E23+OTROS!C21</f>
        <v>0</v>
      </c>
    </row>
    <row r="22" spans="1:3" ht="40.5" x14ac:dyDescent="0.25">
      <c r="A22" s="38">
        <v>21</v>
      </c>
      <c r="B22" s="37" t="s">
        <v>99</v>
      </c>
      <c r="C22" s="134">
        <f>'TD LOTES'!E24+OTROS!C22</f>
        <v>512660</v>
      </c>
    </row>
    <row r="23" spans="1:3" ht="20.25" x14ac:dyDescent="0.25">
      <c r="A23" s="38">
        <v>22</v>
      </c>
      <c r="B23" s="37" t="s">
        <v>100</v>
      </c>
      <c r="C23" s="134">
        <f>'TD LOTES'!E25+OTROS!C23</f>
        <v>183233</v>
      </c>
    </row>
    <row r="24" spans="1:3" ht="20.25" x14ac:dyDescent="0.25">
      <c r="A24" s="38">
        <v>23</v>
      </c>
      <c r="B24" s="37" t="s">
        <v>101</v>
      </c>
      <c r="C24" s="134">
        <f>'TD LOTES'!E26+OTROS!C24</f>
        <v>0</v>
      </c>
    </row>
    <row r="25" spans="1:3" ht="20.25" x14ac:dyDescent="0.25">
      <c r="A25" s="38">
        <v>24</v>
      </c>
      <c r="B25" s="37" t="s">
        <v>102</v>
      </c>
      <c r="C25" s="134">
        <f>'TD LOTES'!E27+OTROS!C25</f>
        <v>426824</v>
      </c>
    </row>
    <row r="26" spans="1:3" ht="20.25" x14ac:dyDescent="0.25">
      <c r="A26" s="38">
        <v>25</v>
      </c>
      <c r="B26" s="37" t="s">
        <v>103</v>
      </c>
      <c r="C26" s="134">
        <f>'TD LOTES'!E28+OTROS!C26</f>
        <v>448251.5</v>
      </c>
    </row>
    <row r="27" spans="1:3" ht="20.25" x14ac:dyDescent="0.25">
      <c r="A27" s="38">
        <v>26</v>
      </c>
      <c r="B27" s="37" t="s">
        <v>104</v>
      </c>
      <c r="C27" s="134">
        <f>'TD LOTES'!E29+OTROS!C27</f>
        <v>147499</v>
      </c>
    </row>
    <row r="28" spans="1:3" ht="40.5" x14ac:dyDescent="0.25">
      <c r="A28" s="38">
        <v>27</v>
      </c>
      <c r="B28" s="37" t="s">
        <v>105</v>
      </c>
      <c r="C28" s="134">
        <f>'TD LOTES'!E30+OTROS!C28</f>
        <v>0</v>
      </c>
    </row>
    <row r="29" spans="1:3" ht="20.25" x14ac:dyDescent="0.25">
      <c r="A29" s="38">
        <v>28</v>
      </c>
      <c r="B29" s="37" t="s">
        <v>106</v>
      </c>
      <c r="C29" s="134">
        <f>'TD LOTES'!E31+OTROS!C29</f>
        <v>309352</v>
      </c>
    </row>
    <row r="30" spans="1:3" ht="40.5" x14ac:dyDescent="0.25">
      <c r="A30" s="38">
        <v>29</v>
      </c>
      <c r="B30" s="37" t="s">
        <v>107</v>
      </c>
      <c r="C30" s="134">
        <f>'TD LOTES'!E32+OTROS!C30</f>
        <v>747755</v>
      </c>
    </row>
    <row r="31" spans="1:3" ht="20.25" x14ac:dyDescent="0.25">
      <c r="A31" s="38">
        <v>30</v>
      </c>
      <c r="B31" s="37" t="s">
        <v>119</v>
      </c>
      <c r="C31" s="134">
        <f>'TD LOTES'!E33+OTROS!C31</f>
        <v>314180</v>
      </c>
    </row>
    <row r="32" spans="1:3" ht="20.25" x14ac:dyDescent="0.25">
      <c r="A32" s="38">
        <v>31</v>
      </c>
      <c r="B32" s="37" t="s">
        <v>130</v>
      </c>
      <c r="C32" s="134">
        <f>'TD LOTES'!E34+OTROS!C32</f>
        <v>444788</v>
      </c>
    </row>
    <row r="33" spans="1:3" ht="20.25" x14ac:dyDescent="0.25">
      <c r="A33" s="38">
        <v>32</v>
      </c>
      <c r="B33" s="37" t="s">
        <v>138</v>
      </c>
      <c r="C33" s="134">
        <f>'TD LOTES'!E35+OTROS!C33</f>
        <v>345525</v>
      </c>
    </row>
    <row r="34" spans="1:3" ht="20.25" x14ac:dyDescent="0.25">
      <c r="A34" s="38">
        <v>33</v>
      </c>
      <c r="B34" s="37" t="s">
        <v>140</v>
      </c>
      <c r="C34" s="134">
        <f>'TD LOTES'!E36+OTROS!C34</f>
        <v>96492</v>
      </c>
    </row>
    <row r="35" spans="1:3" ht="20.25" x14ac:dyDescent="0.25">
      <c r="A35" s="38">
        <v>34</v>
      </c>
      <c r="B35" s="37" t="s">
        <v>141</v>
      </c>
      <c r="C35" s="134">
        <f>'TD LOTES'!E37+OTROS!C35</f>
        <v>326346</v>
      </c>
    </row>
    <row r="36" spans="1:3" ht="18.75" x14ac:dyDescent="0.3">
      <c r="A36" s="24"/>
      <c r="B36" s="24"/>
      <c r="C36" s="134"/>
    </row>
    <row r="37" spans="1:3" ht="18.75" x14ac:dyDescent="0.3">
      <c r="A37" s="24"/>
      <c r="B37" s="24"/>
      <c r="C37" s="134"/>
    </row>
    <row r="38" spans="1:3" ht="18.75" x14ac:dyDescent="0.3">
      <c r="A38" s="24"/>
      <c r="B38" s="24"/>
      <c r="C38" s="134"/>
    </row>
    <row r="39" spans="1:3" ht="18.75" x14ac:dyDescent="0.3">
      <c r="A39" s="24"/>
      <c r="B39" s="24"/>
      <c r="C39" s="134"/>
    </row>
    <row r="40" spans="1:3" ht="18.75" x14ac:dyDescent="0.3">
      <c r="A40" s="24"/>
      <c r="B40" s="24"/>
      <c r="C40" s="134"/>
    </row>
    <row r="41" spans="1:3" ht="18.75" x14ac:dyDescent="0.3">
      <c r="A41" s="24"/>
      <c r="B41" s="24"/>
      <c r="C41" s="134"/>
    </row>
    <row r="42" spans="1:3" ht="18.75" x14ac:dyDescent="0.3">
      <c r="A42" s="24"/>
      <c r="B42" s="24"/>
      <c r="C42" s="134"/>
    </row>
    <row r="43" spans="1:3" ht="18.75" x14ac:dyDescent="0.3">
      <c r="A43" s="24"/>
      <c r="B43" s="24"/>
      <c r="C43" s="134"/>
    </row>
    <row r="44" spans="1:3" ht="18.75" x14ac:dyDescent="0.3">
      <c r="A44" s="24"/>
      <c r="B44" s="24"/>
      <c r="C44" s="134"/>
    </row>
    <row r="45" spans="1:3" ht="18.75" x14ac:dyDescent="0.3">
      <c r="A45" s="24"/>
      <c r="B45" s="24"/>
      <c r="C45" s="134"/>
    </row>
    <row r="46" spans="1:3" ht="18.75" x14ac:dyDescent="0.3">
      <c r="A46" s="24"/>
      <c r="B46" s="24"/>
      <c r="C46" s="134"/>
    </row>
  </sheetData>
  <pageMargins left="0.39370078740157483" right="0.39370078740157483" top="0.39370078740157483" bottom="0.39370078740157483" header="0.31496062992125984" footer="0.31496062992125984"/>
  <pageSetup scale="8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A76" sqref="A76"/>
    </sheetView>
  </sheetViews>
  <sheetFormatPr baseColWidth="10" defaultRowHeight="15" x14ac:dyDescent="0.25"/>
  <cols>
    <col min="3" max="3" width="19.5703125" bestFit="1" customWidth="1"/>
  </cols>
  <sheetData>
    <row r="1" spans="1:5" x14ac:dyDescent="0.25">
      <c r="A1" t="s">
        <v>172</v>
      </c>
    </row>
    <row r="3" spans="1:5" x14ac:dyDescent="0.25">
      <c r="A3" t="s">
        <v>173</v>
      </c>
    </row>
    <row r="4" spans="1:5" x14ac:dyDescent="0.25">
      <c r="A4" t="s">
        <v>206</v>
      </c>
      <c r="B4" t="s">
        <v>205</v>
      </c>
      <c r="C4" t="s">
        <v>203</v>
      </c>
      <c r="D4" t="s">
        <v>204</v>
      </c>
    </row>
    <row r="5" spans="1:5" x14ac:dyDescent="0.25">
      <c r="A5">
        <v>1</v>
      </c>
      <c r="B5" t="s">
        <v>174</v>
      </c>
      <c r="C5" t="s">
        <v>175</v>
      </c>
    </row>
    <row r="6" spans="1:5" x14ac:dyDescent="0.25">
      <c r="C6" t="s">
        <v>176</v>
      </c>
    </row>
    <row r="7" spans="1:5" x14ac:dyDescent="0.25">
      <c r="C7" t="s">
        <v>177</v>
      </c>
    </row>
    <row r="8" spans="1:5" x14ac:dyDescent="0.25">
      <c r="C8" t="s">
        <v>178</v>
      </c>
    </row>
    <row r="9" spans="1:5" x14ac:dyDescent="0.25">
      <c r="C9" t="s">
        <v>179</v>
      </c>
    </row>
    <row r="10" spans="1:5" x14ac:dyDescent="0.25">
      <c r="C10" t="s">
        <v>180</v>
      </c>
    </row>
    <row r="12" spans="1:5" x14ac:dyDescent="0.25">
      <c r="A12">
        <v>2</v>
      </c>
      <c r="B12" t="s">
        <v>152</v>
      </c>
      <c r="C12" t="s">
        <v>181</v>
      </c>
    </row>
    <row r="13" spans="1:5" x14ac:dyDescent="0.25">
      <c r="C13" t="s">
        <v>207</v>
      </c>
      <c r="D13" t="s">
        <v>182</v>
      </c>
      <c r="E13" t="s">
        <v>183</v>
      </c>
    </row>
    <row r="14" spans="1:5" x14ac:dyDescent="0.25">
      <c r="C14" t="s">
        <v>184</v>
      </c>
    </row>
    <row r="15" spans="1:5" x14ac:dyDescent="0.25">
      <c r="C15" t="s">
        <v>185</v>
      </c>
    </row>
    <row r="17" spans="1:3" x14ac:dyDescent="0.25">
      <c r="A17">
        <v>3</v>
      </c>
      <c r="B17" t="s">
        <v>186</v>
      </c>
      <c r="C17" t="s">
        <v>191</v>
      </c>
    </row>
    <row r="18" spans="1:3" x14ac:dyDescent="0.25">
      <c r="C18" t="s">
        <v>192</v>
      </c>
    </row>
    <row r="19" spans="1:3" x14ac:dyDescent="0.25">
      <c r="C19" t="s">
        <v>193</v>
      </c>
    </row>
    <row r="20" spans="1:3" x14ac:dyDescent="0.25">
      <c r="C20" t="s">
        <v>194</v>
      </c>
    </row>
    <row r="21" spans="1:3" x14ac:dyDescent="0.25">
      <c r="C21" t="s">
        <v>195</v>
      </c>
    </row>
    <row r="22" spans="1:3" x14ac:dyDescent="0.25">
      <c r="C22" t="s">
        <v>196</v>
      </c>
    </row>
    <row r="23" spans="1:3" x14ac:dyDescent="0.25">
      <c r="C23" t="s">
        <v>197</v>
      </c>
    </row>
    <row r="24" spans="1:3" x14ac:dyDescent="0.25">
      <c r="C24" t="s">
        <v>159</v>
      </c>
    </row>
    <row r="25" spans="1:3" x14ac:dyDescent="0.25">
      <c r="C25" t="s">
        <v>202</v>
      </c>
    </row>
    <row r="27" spans="1:3" x14ac:dyDescent="0.25">
      <c r="A27">
        <v>4</v>
      </c>
      <c r="B27" t="s">
        <v>187</v>
      </c>
      <c r="C27" t="s">
        <v>191</v>
      </c>
    </row>
    <row r="28" spans="1:3" x14ac:dyDescent="0.25">
      <c r="C28" t="s">
        <v>192</v>
      </c>
    </row>
    <row r="29" spans="1:3" x14ac:dyDescent="0.25">
      <c r="C29" t="s">
        <v>193</v>
      </c>
    </row>
    <row r="30" spans="1:3" x14ac:dyDescent="0.25">
      <c r="C30" t="s">
        <v>194</v>
      </c>
    </row>
    <row r="31" spans="1:3" x14ac:dyDescent="0.25">
      <c r="C31" t="s">
        <v>195</v>
      </c>
    </row>
    <row r="32" spans="1:3" x14ac:dyDescent="0.25">
      <c r="C32" t="s">
        <v>196</v>
      </c>
    </row>
    <row r="33" spans="1:3" x14ac:dyDescent="0.25">
      <c r="C33" t="s">
        <v>197</v>
      </c>
    </row>
    <row r="34" spans="1:3" x14ac:dyDescent="0.25">
      <c r="C34" t="s">
        <v>159</v>
      </c>
    </row>
    <row r="35" spans="1:3" x14ac:dyDescent="0.25">
      <c r="C35" t="s">
        <v>202</v>
      </c>
    </row>
    <row r="37" spans="1:3" x14ac:dyDescent="0.25">
      <c r="A37">
        <v>5</v>
      </c>
      <c r="B37" t="s">
        <v>188</v>
      </c>
      <c r="C37" t="s">
        <v>191</v>
      </c>
    </row>
    <row r="38" spans="1:3" x14ac:dyDescent="0.25">
      <c r="C38" t="s">
        <v>192</v>
      </c>
    </row>
    <row r="39" spans="1:3" x14ac:dyDescent="0.25">
      <c r="C39" t="s">
        <v>193</v>
      </c>
    </row>
    <row r="40" spans="1:3" x14ac:dyDescent="0.25">
      <c r="C40" t="s">
        <v>194</v>
      </c>
    </row>
    <row r="41" spans="1:3" x14ac:dyDescent="0.25">
      <c r="C41" t="s">
        <v>195</v>
      </c>
    </row>
    <row r="42" spans="1:3" x14ac:dyDescent="0.25">
      <c r="C42" t="s">
        <v>196</v>
      </c>
    </row>
    <row r="43" spans="1:3" x14ac:dyDescent="0.25">
      <c r="C43" t="s">
        <v>197</v>
      </c>
    </row>
    <row r="44" spans="1:3" x14ac:dyDescent="0.25">
      <c r="C44" t="s">
        <v>159</v>
      </c>
    </row>
    <row r="45" spans="1:3" x14ac:dyDescent="0.25">
      <c r="C45" t="s">
        <v>202</v>
      </c>
    </row>
    <row r="47" spans="1:3" x14ac:dyDescent="0.25">
      <c r="A47">
        <v>6</v>
      </c>
      <c r="B47" t="s">
        <v>189</v>
      </c>
      <c r="C47" t="s">
        <v>191</v>
      </c>
    </row>
    <row r="48" spans="1:3" x14ac:dyDescent="0.25">
      <c r="C48" t="s">
        <v>192</v>
      </c>
    </row>
    <row r="49" spans="1:3" x14ac:dyDescent="0.25">
      <c r="C49" t="s">
        <v>193</v>
      </c>
    </row>
    <row r="50" spans="1:3" x14ac:dyDescent="0.25">
      <c r="C50" t="s">
        <v>194</v>
      </c>
    </row>
    <row r="51" spans="1:3" x14ac:dyDescent="0.25">
      <c r="C51" t="s">
        <v>195</v>
      </c>
    </row>
    <row r="52" spans="1:3" x14ac:dyDescent="0.25">
      <c r="C52" t="s">
        <v>196</v>
      </c>
    </row>
    <row r="53" spans="1:3" x14ac:dyDescent="0.25">
      <c r="C53" t="s">
        <v>197</v>
      </c>
    </row>
    <row r="54" spans="1:3" x14ac:dyDescent="0.25">
      <c r="C54" t="s">
        <v>159</v>
      </c>
    </row>
    <row r="55" spans="1:3" x14ac:dyDescent="0.25">
      <c r="C55" t="s">
        <v>202</v>
      </c>
    </row>
    <row r="57" spans="1:3" x14ac:dyDescent="0.25">
      <c r="A57">
        <v>7</v>
      </c>
      <c r="B57" t="s">
        <v>190</v>
      </c>
      <c r="C57" t="s">
        <v>191</v>
      </c>
    </row>
    <row r="58" spans="1:3" x14ac:dyDescent="0.25">
      <c r="C58" t="s">
        <v>192</v>
      </c>
    </row>
    <row r="59" spans="1:3" x14ac:dyDescent="0.25">
      <c r="C59" t="s">
        <v>193</v>
      </c>
    </row>
    <row r="60" spans="1:3" x14ac:dyDescent="0.25">
      <c r="C60" t="s">
        <v>194</v>
      </c>
    </row>
    <row r="61" spans="1:3" x14ac:dyDescent="0.25">
      <c r="C61" t="s">
        <v>195</v>
      </c>
    </row>
    <row r="62" spans="1:3" x14ac:dyDescent="0.25">
      <c r="C62" t="s">
        <v>196</v>
      </c>
    </row>
    <row r="63" spans="1:3" x14ac:dyDescent="0.25">
      <c r="C63" t="s">
        <v>197</v>
      </c>
    </row>
    <row r="64" spans="1:3" x14ac:dyDescent="0.25">
      <c r="C64" t="s">
        <v>159</v>
      </c>
    </row>
    <row r="65" spans="1:3" x14ac:dyDescent="0.25">
      <c r="C65" t="s">
        <v>202</v>
      </c>
    </row>
    <row r="67" spans="1:3" x14ac:dyDescent="0.25">
      <c r="B67" t="s">
        <v>198</v>
      </c>
      <c r="C67" t="s">
        <v>175</v>
      </c>
    </row>
    <row r="68" spans="1:3" x14ac:dyDescent="0.25">
      <c r="C68" t="s">
        <v>199</v>
      </c>
    </row>
    <row r="69" spans="1:3" x14ac:dyDescent="0.25">
      <c r="C69" t="s">
        <v>192</v>
      </c>
    </row>
    <row r="70" spans="1:3" x14ac:dyDescent="0.25">
      <c r="C70" t="s">
        <v>200</v>
      </c>
    </row>
    <row r="71" spans="1:3" x14ac:dyDescent="0.25">
      <c r="C71" t="s">
        <v>201</v>
      </c>
    </row>
    <row r="72" spans="1:3" x14ac:dyDescent="0.25">
      <c r="C72" t="s">
        <v>193</v>
      </c>
    </row>
    <row r="73" spans="1:3" x14ac:dyDescent="0.25">
      <c r="C73" t="s">
        <v>197</v>
      </c>
    </row>
    <row r="74" spans="1:3" x14ac:dyDescent="0.25">
      <c r="C74" t="s">
        <v>159</v>
      </c>
    </row>
    <row r="75" spans="1:3" x14ac:dyDescent="0.25">
      <c r="C75" t="s">
        <v>202</v>
      </c>
    </row>
    <row r="76" spans="1:3" x14ac:dyDescent="0.25">
      <c r="A76" t="s">
        <v>208</v>
      </c>
    </row>
    <row r="77" spans="1:3" x14ac:dyDescent="0.25">
      <c r="A77">
        <v>8</v>
      </c>
      <c r="B77" t="s">
        <v>209</v>
      </c>
      <c r="C77" t="s">
        <v>175</v>
      </c>
    </row>
    <row r="78" spans="1:3" x14ac:dyDescent="0.25">
      <c r="C78" t="s">
        <v>199</v>
      </c>
    </row>
    <row r="79" spans="1:3" x14ac:dyDescent="0.25">
      <c r="C79" t="s">
        <v>192</v>
      </c>
    </row>
    <row r="80" spans="1:3" x14ac:dyDescent="0.25">
      <c r="C80" t="s">
        <v>200</v>
      </c>
    </row>
    <row r="81" spans="3:3" x14ac:dyDescent="0.25">
      <c r="C81" t="s">
        <v>201</v>
      </c>
    </row>
    <row r="82" spans="3:3" x14ac:dyDescent="0.25">
      <c r="C82" t="s">
        <v>193</v>
      </c>
    </row>
    <row r="83" spans="3:3" x14ac:dyDescent="0.25">
      <c r="C83" t="s">
        <v>197</v>
      </c>
    </row>
    <row r="84" spans="3:3" x14ac:dyDescent="0.25">
      <c r="C84" t="s">
        <v>210</v>
      </c>
    </row>
    <row r="86" spans="3:3" x14ac:dyDescent="0.25">
      <c r="C8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Hoja1</vt:lpstr>
      <vt:lpstr>TD LOTES</vt:lpstr>
      <vt:lpstr>LOTES</vt:lpstr>
      <vt:lpstr>OTROS</vt:lpstr>
      <vt:lpstr>OPERARIOS</vt:lpstr>
      <vt:lpstr>total</vt:lpstr>
      <vt:lpstr>tablas a identificar</vt:lpstr>
      <vt:lpstr>LOTES!Área_de_impresión</vt:lpstr>
      <vt:lpstr>total!Área_de_impresión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Hector Holguin</cp:lastModifiedBy>
  <cp:lastPrinted>2021-09-17T14:23:12Z</cp:lastPrinted>
  <dcterms:created xsi:type="dcterms:W3CDTF">2017-06-16T19:08:33Z</dcterms:created>
  <dcterms:modified xsi:type="dcterms:W3CDTF">2021-10-21T04:11:20Z</dcterms:modified>
</cp:coreProperties>
</file>