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ller\OneDrive\Desktop\dcf\"/>
    </mc:Choice>
  </mc:AlternateContent>
  <bookViews>
    <workbookView xWindow="0" yWindow="0" windowWidth="19200" windowHeight="6465" activeTab="5"/>
  </bookViews>
  <sheets>
    <sheet name="income_statement_data" sheetId="6" r:id="rId1"/>
    <sheet name="Balance_sheet" sheetId="1" r:id="rId2"/>
    <sheet name="Cash_flow_data" sheetId="2" r:id="rId3"/>
    <sheet name="Work_Capital" sheetId="3" r:id="rId4"/>
    <sheet name="WACC" sheetId="4" r:id="rId5"/>
    <sheet name="DCF" sheetId="5" r:id="rId6"/>
  </sheets>
  <calcPr calcId="162913"/>
</workbook>
</file>

<file path=xl/calcChain.xml><?xml version="1.0" encoding="utf-8"?>
<calcChain xmlns="http://schemas.openxmlformats.org/spreadsheetml/2006/main">
  <c r="D40" i="5" l="1"/>
  <c r="D42" i="5"/>
  <c r="D45" i="5"/>
  <c r="D23" i="4"/>
  <c r="C25" i="4"/>
  <c r="L22" i="4"/>
  <c r="R22" i="4"/>
  <c r="R10" i="4"/>
  <c r="D21" i="4"/>
  <c r="N10" i="4"/>
  <c r="P10" i="4"/>
  <c r="D39" i="5" l="1"/>
  <c r="X7" i="4"/>
  <c r="X30" i="4" s="1"/>
  <c r="D12" i="4"/>
  <c r="D13" i="4"/>
  <c r="J36" i="5"/>
  <c r="F26" i="3"/>
  <c r="E26" i="3"/>
  <c r="X29" i="4"/>
  <c r="P44" i="5"/>
  <c r="O7" i="5"/>
  <c r="I8" i="5"/>
  <c r="J7" i="5"/>
  <c r="I15" i="5"/>
  <c r="D38" i="5"/>
  <c r="E26" i="5"/>
  <c r="N14" i="5"/>
  <c r="X21" i="4"/>
  <c r="N22" i="4"/>
  <c r="P22" i="4"/>
  <c r="H15" i="4"/>
  <c r="N9" i="4"/>
  <c r="R9" i="4" s="1"/>
  <c r="K26" i="5"/>
  <c r="G26" i="5"/>
  <c r="J27" i="5"/>
  <c r="P11" i="4"/>
  <c r="P12" i="4" s="1"/>
  <c r="P13" i="4" s="1"/>
  <c r="R13" i="4" s="1"/>
  <c r="P9" i="4"/>
  <c r="D14" i="4"/>
  <c r="X17" i="4"/>
  <c r="X18" i="4" s="1"/>
  <c r="AA8" i="4" s="1"/>
  <c r="E70" i="1"/>
  <c r="D70" i="1"/>
  <c r="E71" i="1"/>
  <c r="D71" i="1"/>
  <c r="C71" i="1"/>
  <c r="B71" i="1"/>
  <c r="D66" i="1"/>
  <c r="E66" i="1"/>
  <c r="C66" i="1"/>
  <c r="B66" i="1"/>
  <c r="X15" i="4"/>
  <c r="X11" i="4"/>
  <c r="D31" i="2"/>
  <c r="E31" i="2"/>
  <c r="C31" i="2"/>
  <c r="B31" i="2"/>
  <c r="E19" i="5"/>
  <c r="L31" i="3"/>
  <c r="K31" i="3"/>
  <c r="L36" i="3"/>
  <c r="K23" i="3"/>
  <c r="L26" i="3"/>
  <c r="G24" i="3"/>
  <c r="D24" i="3"/>
  <c r="H23" i="3"/>
  <c r="G23" i="3"/>
  <c r="F23" i="3"/>
  <c r="E23" i="3"/>
  <c r="D23" i="3"/>
  <c r="K20" i="3"/>
  <c r="J20" i="3"/>
  <c r="L21" i="3"/>
  <c r="K21" i="3"/>
  <c r="J21" i="3"/>
  <c r="I21" i="3"/>
  <c r="G20" i="3"/>
  <c r="G19" i="3"/>
  <c r="G18" i="3"/>
  <c r="E20" i="3"/>
  <c r="F20" i="3"/>
  <c r="E21" i="3"/>
  <c r="F21" i="3"/>
  <c r="D20" i="3"/>
  <c r="E26" i="1"/>
  <c r="D26" i="1"/>
  <c r="C26" i="1"/>
  <c r="B26" i="1"/>
  <c r="E15" i="1"/>
  <c r="D15" i="1"/>
  <c r="C15" i="1"/>
  <c r="B15" i="1"/>
  <c r="E16" i="1"/>
  <c r="D16" i="1"/>
  <c r="C16" i="1"/>
  <c r="B16" i="1"/>
  <c r="D55" i="1"/>
  <c r="C55" i="1"/>
  <c r="B55" i="1"/>
  <c r="D19" i="1"/>
  <c r="C19" i="1"/>
  <c r="B19" i="1"/>
  <c r="B70" i="1"/>
  <c r="C70" i="1"/>
  <c r="E19" i="3"/>
  <c r="F19" i="3"/>
  <c r="D19" i="3"/>
  <c r="E13" i="1"/>
  <c r="D13" i="1"/>
  <c r="C13" i="1"/>
  <c r="B13" i="1"/>
  <c r="B18" i="1"/>
  <c r="E18" i="3"/>
  <c r="F18" i="3"/>
  <c r="D18" i="3"/>
  <c r="E2" i="1"/>
  <c r="D2" i="1"/>
  <c r="C2" i="1"/>
  <c r="B2" i="1"/>
  <c r="G14" i="3"/>
  <c r="E14" i="3"/>
  <c r="F14" i="3"/>
  <c r="D14" i="3"/>
  <c r="E57" i="1"/>
  <c r="D57" i="1"/>
  <c r="C57" i="1"/>
  <c r="B57" i="1"/>
  <c r="G13" i="3"/>
  <c r="E13" i="3"/>
  <c r="F13" i="3"/>
  <c r="D13" i="3"/>
  <c r="E28" i="1"/>
  <c r="D28" i="1"/>
  <c r="C28" i="1"/>
  <c r="B28" i="1"/>
  <c r="G12" i="3"/>
  <c r="D12" i="3"/>
  <c r="E12" i="3"/>
  <c r="F12" i="3"/>
  <c r="E3" i="1"/>
  <c r="D3" i="1"/>
  <c r="C3" i="1"/>
  <c r="B3" i="1"/>
  <c r="G9" i="3"/>
  <c r="E9" i="3"/>
  <c r="F9" i="3"/>
  <c r="D9" i="3"/>
  <c r="G7" i="3"/>
  <c r="I6" i="3"/>
  <c r="J6" i="3"/>
  <c r="K6" i="3"/>
  <c r="L6" i="3"/>
  <c r="H6" i="3"/>
  <c r="G6" i="3"/>
  <c r="E6" i="3"/>
  <c r="F6" i="3"/>
  <c r="D6" i="3"/>
  <c r="E7" i="3"/>
  <c r="E36" i="3" s="1"/>
  <c r="F7" i="3"/>
  <c r="F31" i="3" s="1"/>
  <c r="D7" i="3"/>
  <c r="L22" i="5"/>
  <c r="K22" i="5"/>
  <c r="M22" i="5"/>
  <c r="N22" i="5"/>
  <c r="J22" i="5"/>
  <c r="I22" i="5"/>
  <c r="F22" i="5"/>
  <c r="G22" i="5"/>
  <c r="E22" i="5"/>
  <c r="B4" i="2"/>
  <c r="E4" i="2"/>
  <c r="D4" i="2"/>
  <c r="C4" i="2"/>
  <c r="H7" i="5"/>
  <c r="E26" i="2"/>
  <c r="I16" i="5" s="1"/>
  <c r="D26" i="2"/>
  <c r="G16" i="5" s="1"/>
  <c r="B26" i="2"/>
  <c r="E16" i="5" s="1"/>
  <c r="C26" i="2"/>
  <c r="F16" i="5" s="1"/>
  <c r="I14" i="5"/>
  <c r="F14" i="5"/>
  <c r="F15" i="5" s="1"/>
  <c r="G14" i="5"/>
  <c r="G15" i="5" s="1"/>
  <c r="E14" i="5"/>
  <c r="E8" i="6"/>
  <c r="D8" i="6"/>
  <c r="C8" i="6"/>
  <c r="B8" i="6"/>
  <c r="I13" i="5"/>
  <c r="F13" i="5"/>
  <c r="G13" i="5"/>
  <c r="E13" i="5"/>
  <c r="E10" i="6"/>
  <c r="D10" i="6"/>
  <c r="C10" i="6"/>
  <c r="B10" i="6"/>
  <c r="I11" i="5"/>
  <c r="G11" i="5"/>
  <c r="G12" i="5" s="1"/>
  <c r="C11" i="6"/>
  <c r="F11" i="5" s="1"/>
  <c r="B11" i="6"/>
  <c r="E11" i="5" s="1"/>
  <c r="E11" i="6"/>
  <c r="D11" i="6"/>
  <c r="F8" i="5"/>
  <c r="E44" i="6"/>
  <c r="D44" i="6"/>
  <c r="C44" i="6"/>
  <c r="B44" i="6"/>
  <c r="L6" i="5"/>
  <c r="M6" i="5" s="1"/>
  <c r="N6" i="5" s="1"/>
  <c r="K6" i="5"/>
  <c r="F6" i="5"/>
  <c r="G6" i="5"/>
  <c r="E6" i="5"/>
  <c r="C50" i="5"/>
  <c r="L50" i="5" s="1"/>
  <c r="J30" i="5"/>
  <c r="K30" i="5" s="1"/>
  <c r="L30" i="5" s="1"/>
  <c r="M30" i="5" s="1"/>
  <c r="N30" i="5" s="1"/>
  <c r="G10" i="5"/>
  <c r="J9" i="5"/>
  <c r="K9" i="5" s="1"/>
  <c r="L9" i="5" s="1"/>
  <c r="H16" i="4"/>
  <c r="N13" i="4"/>
  <c r="N12" i="4"/>
  <c r="N11" i="4"/>
  <c r="D15" i="4" l="1"/>
  <c r="M26" i="4"/>
  <c r="P26" i="4" s="1"/>
  <c r="R26" i="4" s="1"/>
  <c r="P37" i="5"/>
  <c r="O49" i="5"/>
  <c r="P49" i="5" s="1"/>
  <c r="Q49" i="5" s="1"/>
  <c r="F49" i="5"/>
  <c r="H49" i="5" s="1"/>
  <c r="I49" i="5" s="1"/>
  <c r="R12" i="4"/>
  <c r="R11" i="4"/>
  <c r="R15" i="4"/>
  <c r="AA14" i="4"/>
  <c r="AA17" i="4" s="1"/>
  <c r="AA11" i="4"/>
  <c r="AA7" i="4"/>
  <c r="N16" i="4"/>
  <c r="X19" i="4"/>
  <c r="D36" i="3"/>
  <c r="D31" i="3"/>
  <c r="D21" i="3"/>
  <c r="D30" i="3"/>
  <c r="E8" i="3"/>
  <c r="F8" i="3"/>
  <c r="G30" i="3"/>
  <c r="D34" i="3"/>
  <c r="F29" i="3"/>
  <c r="E29" i="3"/>
  <c r="D29" i="3"/>
  <c r="F35" i="3"/>
  <c r="G15" i="3"/>
  <c r="I24" i="5" s="1"/>
  <c r="E35" i="3"/>
  <c r="G34" i="3"/>
  <c r="D15" i="3"/>
  <c r="G29" i="3"/>
  <c r="E31" i="3"/>
  <c r="D35" i="3"/>
  <c r="G21" i="3"/>
  <c r="I25" i="5" s="1"/>
  <c r="E34" i="3"/>
  <c r="F34" i="3"/>
  <c r="F15" i="3"/>
  <c r="E15" i="3"/>
  <c r="F30" i="3"/>
  <c r="E30" i="3"/>
  <c r="G35" i="3"/>
  <c r="G8" i="3"/>
  <c r="H8" i="3" s="1"/>
  <c r="F36" i="3"/>
  <c r="G36" i="3"/>
  <c r="G31" i="3"/>
  <c r="F17" i="5"/>
  <c r="F18" i="5" s="1"/>
  <c r="E17" i="5"/>
  <c r="E18" i="5" s="1"/>
  <c r="G17" i="5"/>
  <c r="G20" i="5" s="1"/>
  <c r="H11" i="5"/>
  <c r="I17" i="5"/>
  <c r="C51" i="5"/>
  <c r="C52" i="5" s="1"/>
  <c r="H14" i="5"/>
  <c r="I20" i="5"/>
  <c r="I19" i="5"/>
  <c r="I18" i="5"/>
  <c r="I10" i="5"/>
  <c r="I12" i="5"/>
  <c r="F10" i="5"/>
  <c r="G8" i="5"/>
  <c r="F12" i="5"/>
  <c r="E10" i="5"/>
  <c r="E15" i="5"/>
  <c r="M9" i="5"/>
  <c r="C53" i="5"/>
  <c r="L52" i="5"/>
  <c r="N15" i="4"/>
  <c r="L51" i="5"/>
  <c r="K26" i="4" l="1"/>
  <c r="I26" i="4" s="1"/>
  <c r="N49" i="5"/>
  <c r="M49" i="5" s="1"/>
  <c r="E49" i="5"/>
  <c r="D49" i="5" s="1"/>
  <c r="R16" i="4"/>
  <c r="AA12" i="4"/>
  <c r="AA9" i="4"/>
  <c r="X22" i="4"/>
  <c r="AA10" i="4"/>
  <c r="D8" i="4"/>
  <c r="D9" i="4" s="1"/>
  <c r="H7" i="3"/>
  <c r="H20" i="3" s="1"/>
  <c r="H36" i="3" s="1"/>
  <c r="H9" i="3"/>
  <c r="E24" i="3"/>
  <c r="I26" i="5"/>
  <c r="I8" i="3"/>
  <c r="J8" i="3" s="1"/>
  <c r="K8" i="3" s="1"/>
  <c r="L8" i="3" s="1"/>
  <c r="G18" i="5"/>
  <c r="E20" i="5"/>
  <c r="F19" i="5"/>
  <c r="F20" i="5"/>
  <c r="G19" i="5"/>
  <c r="H17" i="5"/>
  <c r="J13" i="5"/>
  <c r="H20" i="5"/>
  <c r="K7" i="5"/>
  <c r="K11" i="5" s="1"/>
  <c r="K12" i="5" s="1"/>
  <c r="J14" i="5"/>
  <c r="J10" i="5"/>
  <c r="J11" i="5"/>
  <c r="J12" i="5" s="1"/>
  <c r="J17" i="5"/>
  <c r="E12" i="5"/>
  <c r="L7" i="5"/>
  <c r="L53" i="5"/>
  <c r="C54" i="5"/>
  <c r="L54" i="5" s="1"/>
  <c r="N9" i="5"/>
  <c r="M29" i="4" l="1"/>
  <c r="E29" i="5"/>
  <c r="N31" i="5" s="1"/>
  <c r="P36" i="5"/>
  <c r="H18" i="3"/>
  <c r="H34" i="3" s="1"/>
  <c r="H13" i="3"/>
  <c r="H12" i="3"/>
  <c r="H29" i="3" s="1"/>
  <c r="H14" i="3"/>
  <c r="H31" i="3" s="1"/>
  <c r="H19" i="3"/>
  <c r="H35" i="3" s="1"/>
  <c r="F26" i="5"/>
  <c r="F24" i="3"/>
  <c r="G26" i="3"/>
  <c r="I9" i="3"/>
  <c r="I7" i="3"/>
  <c r="H30" i="3"/>
  <c r="K10" i="5"/>
  <c r="J20" i="5"/>
  <c r="J19" i="5"/>
  <c r="K13" i="5"/>
  <c r="L13" i="5" s="1"/>
  <c r="J18" i="5"/>
  <c r="K17" i="5" s="1"/>
  <c r="J16" i="5"/>
  <c r="J21" i="5" s="1"/>
  <c r="J15" i="5"/>
  <c r="K14" i="5" s="1"/>
  <c r="K16" i="5" s="1"/>
  <c r="K21" i="5" s="1"/>
  <c r="L11" i="5"/>
  <c r="L12" i="5" s="1"/>
  <c r="M7" i="5"/>
  <c r="L10" i="5"/>
  <c r="D41" i="5" l="1"/>
  <c r="J31" i="5"/>
  <c r="P27" i="4"/>
  <c r="M27" i="4"/>
  <c r="R29" i="4"/>
  <c r="P31" i="4"/>
  <c r="P29" i="4"/>
  <c r="R27" i="4"/>
  <c r="I28" i="4"/>
  <c r="I30" i="4"/>
  <c r="R30" i="4"/>
  <c r="I27" i="4"/>
  <c r="K30" i="4"/>
  <c r="P28" i="4"/>
  <c r="K31" i="4"/>
  <c r="K27" i="4"/>
  <c r="K28" i="4"/>
  <c r="M30" i="4"/>
  <c r="I29" i="4"/>
  <c r="R31" i="4"/>
  <c r="I31" i="4"/>
  <c r="M28" i="4"/>
  <c r="P30" i="4"/>
  <c r="R28" i="4"/>
  <c r="M31" i="4"/>
  <c r="K29" i="4"/>
  <c r="J9" i="3"/>
  <c r="K9" i="3" s="1"/>
  <c r="I13" i="3"/>
  <c r="I30" i="3" s="1"/>
  <c r="I18" i="3"/>
  <c r="I34" i="3" s="1"/>
  <c r="I20" i="3"/>
  <c r="I36" i="3" s="1"/>
  <c r="I12" i="3"/>
  <c r="I29" i="3" s="1"/>
  <c r="H21" i="3"/>
  <c r="J25" i="5" s="1"/>
  <c r="H15" i="3"/>
  <c r="J24" i="5" s="1"/>
  <c r="I14" i="3"/>
  <c r="I31" i="3" s="1"/>
  <c r="I19" i="3"/>
  <c r="I35" i="3" s="1"/>
  <c r="J7" i="3"/>
  <c r="K20" i="5"/>
  <c r="K19" i="5"/>
  <c r="K18" i="5"/>
  <c r="L17" i="5" s="1"/>
  <c r="M13" i="5"/>
  <c r="K15" i="5"/>
  <c r="L14" i="5" s="1"/>
  <c r="L15" i="5" s="1"/>
  <c r="M14" i="5" s="1"/>
  <c r="N7" i="5"/>
  <c r="M11" i="5"/>
  <c r="M12" i="5" s="1"/>
  <c r="M10" i="5"/>
  <c r="K31" i="5" l="1"/>
  <c r="K13" i="3"/>
  <c r="K25" i="5"/>
  <c r="K7" i="3"/>
  <c r="K12" i="3" s="1"/>
  <c r="J12" i="3"/>
  <c r="J36" i="3"/>
  <c r="J18" i="3"/>
  <c r="J34" i="3" s="1"/>
  <c r="K18" i="3" s="1"/>
  <c r="J13" i="3"/>
  <c r="J30" i="3" s="1"/>
  <c r="J26" i="5"/>
  <c r="J28" i="5" s="1"/>
  <c r="H24" i="3"/>
  <c r="I15" i="3"/>
  <c r="K24" i="5" s="1"/>
  <c r="J14" i="3"/>
  <c r="J31" i="3" s="1"/>
  <c r="J19" i="3"/>
  <c r="J35" i="3" s="1"/>
  <c r="K19" i="3" s="1"/>
  <c r="K35" i="3" s="1"/>
  <c r="N11" i="5"/>
  <c r="O11" i="5" s="1"/>
  <c r="L18" i="5"/>
  <c r="M17" i="5" s="1"/>
  <c r="L20" i="5"/>
  <c r="L19" i="5"/>
  <c r="L16" i="5"/>
  <c r="L21" i="5" s="1"/>
  <c r="M15" i="5"/>
  <c r="O14" i="5" s="1"/>
  <c r="N10" i="5"/>
  <c r="K30" i="3"/>
  <c r="L9" i="3"/>
  <c r="L7" i="3"/>
  <c r="L12" i="3" s="1"/>
  <c r="K14" i="3"/>
  <c r="N13" i="5"/>
  <c r="M18" i="5"/>
  <c r="N17" i="5" s="1"/>
  <c r="M31" i="5" l="1"/>
  <c r="L31" i="5"/>
  <c r="J32" i="5"/>
  <c r="K36" i="3"/>
  <c r="L25" i="5"/>
  <c r="L13" i="3"/>
  <c r="L30" i="3" s="1"/>
  <c r="K27" i="5"/>
  <c r="K28" i="5" s="1"/>
  <c r="K32" i="5" s="1"/>
  <c r="H26" i="3"/>
  <c r="I23" i="3"/>
  <c r="I26" i="3" s="1"/>
  <c r="J15" i="3"/>
  <c r="L24" i="5" s="1"/>
  <c r="L26" i="5" s="1"/>
  <c r="J29" i="3"/>
  <c r="N20" i="5"/>
  <c r="O20" i="5" s="1"/>
  <c r="O17" i="5"/>
  <c r="N19" i="5"/>
  <c r="M20" i="5"/>
  <c r="M19" i="5"/>
  <c r="M16" i="5"/>
  <c r="M21" i="5" s="1"/>
  <c r="K34" i="3"/>
  <c r="L18" i="3" s="1"/>
  <c r="N12" i="5"/>
  <c r="L14" i="3"/>
  <c r="L20" i="3"/>
  <c r="M7" i="3"/>
  <c r="L19" i="3"/>
  <c r="L35" i="3" s="1"/>
  <c r="N18" i="5"/>
  <c r="K15" i="3"/>
  <c r="K29" i="3"/>
  <c r="N16" i="5"/>
  <c r="N21" i="5" s="1"/>
  <c r="N15" i="5"/>
  <c r="M25" i="5" l="1"/>
  <c r="I24" i="3"/>
  <c r="J23" i="3"/>
  <c r="J26" i="3" s="1"/>
  <c r="L15" i="3"/>
  <c r="L29" i="3"/>
  <c r="L34" i="3"/>
  <c r="N25" i="5"/>
  <c r="M24" i="5"/>
  <c r="L27" i="5"/>
  <c r="L28" i="5" s="1"/>
  <c r="L32" i="5" s="1"/>
  <c r="M26" i="5" l="1"/>
  <c r="M27" i="5" s="1"/>
  <c r="M28" i="5" s="1"/>
  <c r="M32" i="5" s="1"/>
  <c r="K24" i="3"/>
  <c r="J24" i="3"/>
  <c r="K26" i="3"/>
  <c r="N24" i="5"/>
  <c r="N26" i="5" s="1"/>
  <c r="L23" i="3"/>
  <c r="L24" i="3" s="1"/>
  <c r="N27" i="5" l="1"/>
  <c r="N28" i="5" s="1"/>
  <c r="P35" i="5" s="1"/>
  <c r="P39" i="5" s="1"/>
  <c r="O52" i="5" s="1"/>
  <c r="N32" i="5"/>
  <c r="D35" i="5" s="1"/>
  <c r="I50" i="5" l="1"/>
  <c r="I54" i="5"/>
  <c r="E53" i="5"/>
  <c r="I52" i="5"/>
  <c r="D51" i="5"/>
  <c r="H51" i="5"/>
  <c r="F51" i="5"/>
  <c r="E52" i="5"/>
  <c r="F53" i="5"/>
  <c r="E50" i="5"/>
  <c r="D53" i="5"/>
  <c r="H50" i="5"/>
  <c r="H52" i="5"/>
  <c r="H53" i="5"/>
  <c r="F50" i="5"/>
  <c r="I53" i="5"/>
  <c r="D52" i="5"/>
  <c r="E51" i="5"/>
  <c r="D50" i="5"/>
  <c r="E54" i="5"/>
  <c r="H54" i="5"/>
  <c r="F54" i="5"/>
  <c r="D54" i="5"/>
  <c r="I51" i="5"/>
  <c r="Q54" i="5"/>
  <c r="N51" i="5"/>
  <c r="P53" i="5"/>
  <c r="O50" i="5"/>
  <c r="M53" i="5"/>
  <c r="P51" i="5"/>
  <c r="Q52" i="5"/>
  <c r="M54" i="5"/>
  <c r="M50" i="5"/>
  <c r="O51" i="5"/>
  <c r="Q50" i="5"/>
  <c r="N54" i="5"/>
  <c r="N50" i="5"/>
  <c r="M51" i="5"/>
  <c r="O54" i="5"/>
  <c r="N53" i="5"/>
  <c r="N52" i="5"/>
  <c r="P54" i="5"/>
  <c r="P50" i="5"/>
  <c r="Q53" i="5"/>
  <c r="P52" i="5"/>
  <c r="M52" i="5"/>
  <c r="Q51" i="5"/>
  <c r="O53" i="5"/>
  <c r="O43" i="5" l="1"/>
  <c r="O45" i="5" s="1"/>
  <c r="J35" i="5"/>
  <c r="J40" i="5" s="1"/>
  <c r="J45" i="5" s="1"/>
  <c r="F52" i="5"/>
  <c r="C49" i="5"/>
  <c r="D43" i="5"/>
</calcChain>
</file>

<file path=xl/sharedStrings.xml><?xml version="1.0" encoding="utf-8"?>
<sst xmlns="http://schemas.openxmlformats.org/spreadsheetml/2006/main" count="377" uniqueCount="338">
  <si>
    <t>2019-12-31</t>
  </si>
  <si>
    <t>2020-12-31</t>
  </si>
  <si>
    <t>2021-12-31</t>
  </si>
  <si>
    <t>2022-12-31</t>
  </si>
  <si>
    <t>accountsPayable</t>
  </si>
  <si>
    <t>accountsReceivable</t>
  </si>
  <si>
    <t>accumulatedDepreciation</t>
  </si>
  <si>
    <t>additionalPaidInCapital</t>
  </si>
  <si>
    <t>allowanceForDoubtfulAccountsReceivable</t>
  </si>
  <si>
    <t>capitalLeaseObligations</t>
  </si>
  <si>
    <t>capitalStock</t>
  </si>
  <si>
    <t>cashAndCashEquivalents</t>
  </si>
  <si>
    <t>cashCashEquivalentsAndShortTermInvestments</t>
  </si>
  <si>
    <t>commonStock</t>
  </si>
  <si>
    <t>commonStockEquity</t>
  </si>
  <si>
    <t>currentAccruedExpenses</t>
  </si>
  <si>
    <t>currentAssets</t>
  </si>
  <si>
    <t>currentCapitalLeaseObligation</t>
  </si>
  <si>
    <t>currentDebt</t>
  </si>
  <si>
    <t>currentDebtAndCapitalLeaseObligation</t>
  </si>
  <si>
    <t>currentLiabilities</t>
  </si>
  <si>
    <t>currentProvisions</t>
  </si>
  <si>
    <t>finishedGoods</t>
  </si>
  <si>
    <t>gainsLossesNotAffectingRetainedEarnings</t>
  </si>
  <si>
    <t>goodwill</t>
  </si>
  <si>
    <t>goodwillAndOtherIntangibleAssets</t>
  </si>
  <si>
    <t>grossAccountsReceivable</t>
  </si>
  <si>
    <t>grossPPE</t>
  </si>
  <si>
    <t>incomeTaxPayable</t>
  </si>
  <si>
    <t>inventoriesAdjustmentsAllowances</t>
  </si>
  <si>
    <t>inventory</t>
  </si>
  <si>
    <t>investedCapital</t>
  </si>
  <si>
    <t>investmentsAndAdvances</t>
  </si>
  <si>
    <t>investmentsinAssociatesatCost</t>
  </si>
  <si>
    <t>longTermCapitalLeaseObligation</t>
  </si>
  <si>
    <t>longTermDebt</t>
  </si>
  <si>
    <t>longTermDebtAndCapitalLeaseObligation</t>
  </si>
  <si>
    <t>longTermEquityInvestment</t>
  </si>
  <si>
    <t>machineryFurnitureEquipment</t>
  </si>
  <si>
    <t>minorityInterest</t>
  </si>
  <si>
    <t>netDebt</t>
  </si>
  <si>
    <t>netPPE</t>
  </si>
  <si>
    <t>netTangibleAssets</t>
  </si>
  <si>
    <t>nonCurrentDeferredAssets</t>
  </si>
  <si>
    <t>nonCurrentDeferredLiabilities</t>
  </si>
  <si>
    <t>nonCurrentDeferredTaxesAssets</t>
  </si>
  <si>
    <t>nonCurrentDeferredTaxesLiabilities</t>
  </si>
  <si>
    <t>ordinarySharesNumber</t>
  </si>
  <si>
    <t>otherCurrentAssets</t>
  </si>
  <si>
    <t>otherCurrentBorrowings</t>
  </si>
  <si>
    <t>otherEquityAdjustments</t>
  </si>
  <si>
    <t>otherIntangibleAssets</t>
  </si>
  <si>
    <t>otherNonCurrentAssets</t>
  </si>
  <si>
    <t>otherNonCurrentLiabilities</t>
  </si>
  <si>
    <t>otherProperties</t>
  </si>
  <si>
    <t>payables</t>
  </si>
  <si>
    <t>payablesAndAccruedExpenses</t>
  </si>
  <si>
    <t>pensionandOtherPostRetirementBenefitPlansCurrent</t>
  </si>
  <si>
    <t>preferredStock</t>
  </si>
  <si>
    <t>prepaidAssets</t>
  </si>
  <si>
    <t>properties</t>
  </si>
  <si>
    <t>rawMaterials</t>
  </si>
  <si>
    <t>receivables</t>
  </si>
  <si>
    <t>retainedEarnings</t>
  </si>
  <si>
    <t>shareIssued</t>
  </si>
  <si>
    <t>stockholdersEquity</t>
  </si>
  <si>
    <t>tangibleBookValue</t>
  </si>
  <si>
    <t>taxesReceivable</t>
  </si>
  <si>
    <t>totalAssets</t>
  </si>
  <si>
    <t>totalCapitalization</t>
  </si>
  <si>
    <t>totalDebt</t>
  </si>
  <si>
    <t>totalEquityGrossMinorityInterest</t>
  </si>
  <si>
    <t>totalLiabilitiesNetMinorityInterest</t>
  </si>
  <si>
    <t>totalNonCurrentAssets</t>
  </si>
  <si>
    <t>totalNonCurrentLiabilitiesNetMinorityInterest</t>
  </si>
  <si>
    <t>totalTaxPayable</t>
  </si>
  <si>
    <t>tradeandOtherPayablesNonCurrent</t>
  </si>
  <si>
    <t>workingCapital</t>
  </si>
  <si>
    <t>assetsHeldForSaleCurrent</t>
  </si>
  <si>
    <t>liabilitiesHeldforSaleNonCurrent</t>
  </si>
  <si>
    <t>assetImpairmentCharge</t>
  </si>
  <si>
    <t>beginningCashPosition</t>
  </si>
  <si>
    <t>capitalExpenditure</t>
  </si>
  <si>
    <t>cashDividendsPaid</t>
  </si>
  <si>
    <t>cashFlowFromContinuingFinancingActivities</t>
  </si>
  <si>
    <t>cashFlowFromContinuingInvestingActivities</t>
  </si>
  <si>
    <t>cashFlowFromContinuingOperatingActivities</t>
  </si>
  <si>
    <t>changeInAccountPayable</t>
  </si>
  <si>
    <t>changeInAccruedExpense</t>
  </si>
  <si>
    <t>changeInCashSupplementalAsReported</t>
  </si>
  <si>
    <t>changeInInventory</t>
  </si>
  <si>
    <t>changeInOtherWorkingCapital</t>
  </si>
  <si>
    <t>changeInPayable</t>
  </si>
  <si>
    <t>changeInPayablesAndAccruedExpense</t>
  </si>
  <si>
    <t>changeInPrepaidAssets</t>
  </si>
  <si>
    <t>changeInReceivables</t>
  </si>
  <si>
    <t>changeInWorkingCapital</t>
  </si>
  <si>
    <t>changesInAccountReceivables</t>
  </si>
  <si>
    <t>changesInCash</t>
  </si>
  <si>
    <t>commonStockDividendPaid</t>
  </si>
  <si>
    <t>commonStockPayments</t>
  </si>
  <si>
    <t>deferredIncomeTax</t>
  </si>
  <si>
    <t>deferredTax</t>
  </si>
  <si>
    <t>depreciationAmortizationDepletion</t>
  </si>
  <si>
    <t>depreciationAndAmortization</t>
  </si>
  <si>
    <t>dividendsReceivedCFI</t>
  </si>
  <si>
    <t>effectOfExchangeRateChanges</t>
  </si>
  <si>
    <t>endCashPosition</t>
  </si>
  <si>
    <t>financingCashFlow</t>
  </si>
  <si>
    <t>freeCashFlow</t>
  </si>
  <si>
    <t>incomeTaxPaidSupplementalData</t>
  </si>
  <si>
    <t>interestPaidSupplementalData</t>
  </si>
  <si>
    <t>investingCashFlow</t>
  </si>
  <si>
    <t>issuanceOfDebt</t>
  </si>
  <si>
    <t>longTermDebtIssuance</t>
  </si>
  <si>
    <t>longTermDebtPayments</t>
  </si>
  <si>
    <t>netBusinessPurchaseAndSale</t>
  </si>
  <si>
    <t>netCommonStockIssuance</t>
  </si>
  <si>
    <t>netIncome</t>
  </si>
  <si>
    <t>netIncomeFromContinuingOperations</t>
  </si>
  <si>
    <t>netIssuancePaymentsOfDebt</t>
  </si>
  <si>
    <t>netLongTermDebtIssuance</t>
  </si>
  <si>
    <t>netPPEPurchaseAndSale</t>
  </si>
  <si>
    <t>operatingCashFlow</t>
  </si>
  <si>
    <t>otherNonCashItems</t>
  </si>
  <si>
    <t>proceedsFromStockOptionExercised</t>
  </si>
  <si>
    <t>purchaseOfBusiness</t>
  </si>
  <si>
    <t>purchaseOfPPE</t>
  </si>
  <si>
    <t>repaymentOfDebt</t>
  </si>
  <si>
    <t>repurchaseOfCapitalStock</t>
  </si>
  <si>
    <t>saleOfBusiness</t>
  </si>
  <si>
    <t>stockBasedCompensation</t>
  </si>
  <si>
    <t>gainLossOnSaleOfBusiness</t>
  </si>
  <si>
    <t>operatingGainsLosses</t>
  </si>
  <si>
    <t>cashFromDiscontinuedInvestingActivities</t>
  </si>
  <si>
    <t>cashFromDiscontinuedOperatingActivities</t>
  </si>
  <si>
    <t xml:space="preserve">Polaris Corporation </t>
  </si>
  <si>
    <t>Working Capital Projections</t>
  </si>
  <si>
    <t>($ in millions,fiscal year ending on the 31th )</t>
  </si>
  <si>
    <t>Operating Scenario:</t>
  </si>
  <si>
    <t xml:space="preserve">Base </t>
  </si>
  <si>
    <t>Operating Scenario</t>
  </si>
  <si>
    <t>Historical Period</t>
  </si>
  <si>
    <t>Projection Period</t>
  </si>
  <si>
    <t>CAGR</t>
  </si>
  <si>
    <t>N/A</t>
  </si>
  <si>
    <t>Cost of Goods sold</t>
  </si>
  <si>
    <t xml:space="preserve">Current Assets </t>
  </si>
  <si>
    <t xml:space="preserve">Acount recievable </t>
  </si>
  <si>
    <t>Inventories</t>
  </si>
  <si>
    <t>Prepaid Expenses and other</t>
  </si>
  <si>
    <t>Total Current Assets</t>
  </si>
  <si>
    <t>Current Liabilities</t>
  </si>
  <si>
    <t>Accounts Payable</t>
  </si>
  <si>
    <t>Accrued Liabilities</t>
  </si>
  <si>
    <t>Other Current Liabilities</t>
  </si>
  <si>
    <t>Total Current Liabilities</t>
  </si>
  <si>
    <t>Net Working Capital</t>
  </si>
  <si>
    <t>% Sales</t>
  </si>
  <si>
    <t>(Increase)/Decrease in NWC</t>
  </si>
  <si>
    <t>Current Assets</t>
  </si>
  <si>
    <t>Days Sales Outstanding</t>
  </si>
  <si>
    <t>Days Inventory Held</t>
  </si>
  <si>
    <t>Prepaids and Other CA (% of sales)</t>
  </si>
  <si>
    <t>Days Payable Outstanding</t>
  </si>
  <si>
    <t>Accrued Liabilities (% of sales)</t>
  </si>
  <si>
    <t>Other Current Liabilities (% of sales)</t>
  </si>
  <si>
    <t>Weighted Average Cost of Capital Analysis</t>
  </si>
  <si>
    <t>% of Total Capitalization</t>
  </si>
  <si>
    <t>Term</t>
  </si>
  <si>
    <t>Coupon</t>
  </si>
  <si>
    <t>WACC Calculation</t>
  </si>
  <si>
    <t xml:space="preserve">Comparable Companies Unlevered Beta </t>
  </si>
  <si>
    <t>Amount</t>
  </si>
  <si>
    <t>Target Capital Structure</t>
  </si>
  <si>
    <t>Market                 Value of Dept</t>
  </si>
  <si>
    <t xml:space="preserve">Market                 Value of Equity       </t>
  </si>
  <si>
    <t xml:space="preserve">Dept/                   Equity       </t>
  </si>
  <si>
    <t>Marginal                  Tax Rate</t>
  </si>
  <si>
    <t xml:space="preserve">Unlevered                   Beta </t>
  </si>
  <si>
    <t>Debt-to-Total Capitalization</t>
  </si>
  <si>
    <t>Company</t>
  </si>
  <si>
    <t>Equity-to-Total Capitalization</t>
  </si>
  <si>
    <t xml:space="preserve">Cost of Debt </t>
  </si>
  <si>
    <t>Cost-of-Debt</t>
  </si>
  <si>
    <t>Tax Rate</t>
  </si>
  <si>
    <t>After-tax Cost of Debt</t>
  </si>
  <si>
    <t>Mean</t>
  </si>
  <si>
    <t>Median</t>
  </si>
  <si>
    <t>Total Capitalization</t>
  </si>
  <si>
    <t xml:space="preserve">Net Debt </t>
  </si>
  <si>
    <t>Cost of Equity</t>
  </si>
  <si>
    <t>ValueCo Relevered Beta</t>
  </si>
  <si>
    <t>Mean              Unlevered            Beta</t>
  </si>
  <si>
    <t>Target                  Debt/                    Equity</t>
  </si>
  <si>
    <t xml:space="preserve">Target              Marginal                   Tax Rate </t>
  </si>
  <si>
    <t>Relevered              Beta</t>
  </si>
  <si>
    <t>Debt/Equity</t>
  </si>
  <si>
    <t>Debt/Total Capitalization</t>
  </si>
  <si>
    <t xml:space="preserve">Levered Beta </t>
  </si>
  <si>
    <t>Relevered Beta</t>
  </si>
  <si>
    <t xml:space="preserve">      Cost of Equity </t>
  </si>
  <si>
    <t>WACC Sensetivity Analysis</t>
  </si>
  <si>
    <t xml:space="preserve">      WACC</t>
  </si>
  <si>
    <t>Pre-tax Cost of Debt</t>
  </si>
  <si>
    <t xml:space="preserve">Debt-to-Total Capitalization </t>
  </si>
  <si>
    <t>Discounted Cash Flow Analysis</t>
  </si>
  <si>
    <t>Mid Year Convention</t>
  </si>
  <si>
    <t>Y</t>
  </si>
  <si>
    <t xml:space="preserve">Tax Rate </t>
  </si>
  <si>
    <t>Sales</t>
  </si>
  <si>
    <t xml:space="preserve">      %growth</t>
  </si>
  <si>
    <t>NA</t>
  </si>
  <si>
    <t>%of sales</t>
  </si>
  <si>
    <t>Gross Profit</t>
  </si>
  <si>
    <t xml:space="preserve">     %margin</t>
  </si>
  <si>
    <t>Selling, General &amp; Administrative</t>
  </si>
  <si>
    <t>EBITDA</t>
  </si>
  <si>
    <t>Depriciation &amp; Amortization</t>
  </si>
  <si>
    <t>EBIT</t>
  </si>
  <si>
    <t>Taxes</t>
  </si>
  <si>
    <t>EBIAT</t>
  </si>
  <si>
    <t>Plus: Depriciation &amp; Amortization</t>
  </si>
  <si>
    <t>Less: Capital expendeture</t>
  </si>
  <si>
    <t xml:space="preserve">Total current assets </t>
  </si>
  <si>
    <t>Less: Total Current Liabilites</t>
  </si>
  <si>
    <t>Less: Inc./(Dec.) in NWC</t>
  </si>
  <si>
    <t>Unlevered Free Cash Flow</t>
  </si>
  <si>
    <t xml:space="preserve"> WACC</t>
  </si>
  <si>
    <t>Discount Period</t>
  </si>
  <si>
    <t>Discount Factor</t>
  </si>
  <si>
    <t>Present Value of Free Cash Flow</t>
  </si>
  <si>
    <t>Enterprise Value</t>
  </si>
  <si>
    <t>Implied Equity Value and Share Price</t>
  </si>
  <si>
    <t>Implied Perpetuity Growth Rate</t>
  </si>
  <si>
    <t>Cumulative Present Value of FCF</t>
  </si>
  <si>
    <t>Terminal Year Free Cash Flow (2024E)</t>
  </si>
  <si>
    <t>Less: Total Debt</t>
  </si>
  <si>
    <t>WACC</t>
  </si>
  <si>
    <t>Terminal Value</t>
  </si>
  <si>
    <t>Terminal Year EBITDA (2024E)</t>
  </si>
  <si>
    <t>Exit Multiple(Assumed 7.5 page 145)</t>
  </si>
  <si>
    <t>Plus: Cash and Cash Equivalents</t>
  </si>
  <si>
    <t>Implied Equity Value</t>
  </si>
  <si>
    <t>Present Value of Terminal Value</t>
  </si>
  <si>
    <t>Implied EV/EBITDA</t>
  </si>
  <si>
    <t xml:space="preserve"> % of Enterprise Value</t>
  </si>
  <si>
    <t>LTM 9/30/2019 EBITDA</t>
  </si>
  <si>
    <t xml:space="preserve"> Implied Equity Value</t>
  </si>
  <si>
    <t xml:space="preserve">Exit Multiple </t>
  </si>
  <si>
    <t>Exit Multiple</t>
  </si>
  <si>
    <t>2023-09-30</t>
  </si>
  <si>
    <t>basicAverageShares</t>
  </si>
  <si>
    <t>basicEPS</t>
  </si>
  <si>
    <t>costOfRevenue</t>
  </si>
  <si>
    <t>dilutedAverageShares</t>
  </si>
  <si>
    <t>dilutedEPS</t>
  </si>
  <si>
    <t>dilutedNIAvailtoComStockholders</t>
  </si>
  <si>
    <t>eBITDA</t>
  </si>
  <si>
    <t>ebit</t>
  </si>
  <si>
    <t>generalAndAdministrativeExpense</t>
  </si>
  <si>
    <t>grossProfit</t>
  </si>
  <si>
    <t>interestExpense</t>
  </si>
  <si>
    <t>interestExpenseNonOperating</t>
  </si>
  <si>
    <t>minorityInterests</t>
  </si>
  <si>
    <t>netIncomeCommonStockholders</t>
  </si>
  <si>
    <t>netIncomeContinuousOperations</t>
  </si>
  <si>
    <t>netIncomeDiscontinuousOperations</t>
  </si>
  <si>
    <t>netIncomeFromContinuingAndDiscontinuedOperation</t>
  </si>
  <si>
    <t>netIncomeFromContinuingOperationNetMinorityInterest</t>
  </si>
  <si>
    <t>netIncomeIncludingNoncontrollingInterests</t>
  </si>
  <si>
    <t>netInterestIncome</t>
  </si>
  <si>
    <t>netNonOperatingInterestIncomeExpense</t>
  </si>
  <si>
    <t>normalizedEBITDA</t>
  </si>
  <si>
    <t>normalizedIncome</t>
  </si>
  <si>
    <t>operatingExpense</t>
  </si>
  <si>
    <t>operatingIncome</t>
  </si>
  <si>
    <t>operatingRevenue</t>
  </si>
  <si>
    <t>otherGandA</t>
  </si>
  <si>
    <t>otherIncomeExpense</t>
  </si>
  <si>
    <t>otherNonOperatingIncomeExpenses</t>
  </si>
  <si>
    <t>otherOperatingExpenses</t>
  </si>
  <si>
    <t>pretaxIncome</t>
  </si>
  <si>
    <t>reconciledCostOfRevenue</t>
  </si>
  <si>
    <t>reconciledDepreciation</t>
  </si>
  <si>
    <t>researchAndDevelopment</t>
  </si>
  <si>
    <t>sellingAndMarketingExpense</t>
  </si>
  <si>
    <t>sellingGeneralAndAdministration</t>
  </si>
  <si>
    <t>taxEffectOfUnusualItems</t>
  </si>
  <si>
    <t>taxProvision</t>
  </si>
  <si>
    <t>taxRateForCalcs</t>
  </si>
  <si>
    <t>totalExpenses</t>
  </si>
  <si>
    <t>totalOperatingIncomeAsReported</t>
  </si>
  <si>
    <t>totalRevenue</t>
  </si>
  <si>
    <t>totalUnusualItems</t>
  </si>
  <si>
    <t>totalUnusualItemsExcludingGoodwill</t>
  </si>
  <si>
    <t>earningsFromEquityInterest</t>
  </si>
  <si>
    <t>impairmentOfCapitalAssets</t>
  </si>
  <si>
    <t>specialIncomeCharges</t>
  </si>
  <si>
    <t>gainOnSaleOfBusiness</t>
  </si>
  <si>
    <t>(19-21)'</t>
  </si>
  <si>
    <t>LTM(2022)</t>
  </si>
  <si>
    <t>2 year Period CAGR</t>
  </si>
  <si>
    <t>5 year period CAGR</t>
  </si>
  <si>
    <t>In milliions conversion</t>
  </si>
  <si>
    <r>
      <t xml:space="preserve"> </t>
    </r>
    <r>
      <rPr>
        <i/>
        <sz val="11"/>
        <color theme="1"/>
        <rFont val="Calibri"/>
        <family val="2"/>
        <charset val="204"/>
        <scheme val="minor"/>
      </rPr>
      <t xml:space="preserve">  % sales</t>
    </r>
  </si>
  <si>
    <t>Total days in normal year</t>
  </si>
  <si>
    <t>Senior Notes***</t>
  </si>
  <si>
    <t>Shareholders' Equity***</t>
  </si>
  <si>
    <t>Cash and Cash Equivalents***</t>
  </si>
  <si>
    <t>Term loan facility***</t>
  </si>
  <si>
    <t>Incremental term loan***</t>
  </si>
  <si>
    <t>Revolving loan facility***</t>
  </si>
  <si>
    <t>3 years(2026)</t>
  </si>
  <si>
    <t>5 years(2028)</t>
  </si>
  <si>
    <t xml:space="preserve">    Notes payable and other***</t>
  </si>
  <si>
    <t>Finance lease obligations***</t>
  </si>
  <si>
    <t>Less: current maturities</t>
  </si>
  <si>
    <t>Various through 2030</t>
  </si>
  <si>
    <t>Various through 2029</t>
  </si>
  <si>
    <t>Total Debt***(Total long-term debt, finance lease obligations, and notes payable )</t>
  </si>
  <si>
    <t>Interest expense***</t>
  </si>
  <si>
    <t>General Motors Company</t>
  </si>
  <si>
    <t>Lucid Group</t>
  </si>
  <si>
    <t>Fisker Inc.</t>
  </si>
  <si>
    <t>Harley-Davidson, Inc</t>
  </si>
  <si>
    <t>Fox Factory Holding</t>
  </si>
  <si>
    <t>Risk-free Rate**</t>
  </si>
  <si>
    <t xml:space="preserve">Market Risk Premium** </t>
  </si>
  <si>
    <t>Size premium</t>
  </si>
  <si>
    <t>EV</t>
  </si>
  <si>
    <t>Enterprize Value</t>
  </si>
  <si>
    <t xml:space="preserve"> EV= Market Cap + Total Debt – Cash</t>
  </si>
  <si>
    <t>Total Liabilities</t>
  </si>
  <si>
    <t>Less: Preferred Stock***</t>
  </si>
  <si>
    <t>Less: Noncontrolling Interest***</t>
  </si>
  <si>
    <t>Market Cap(outstanding shares of stock)***</t>
  </si>
  <si>
    <t>5 year Predicted       Levared Beta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</si>
</sst>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£&quot;* #,##0.00_-;\-&quot;£&quot;* #,##0.00_-;_-&quot;£&quot;* &quot;-&quot;??_-;_-@_-"/>
    <numFmt numFmtId="164" formatCode="0.0%"/>
    <numFmt numFmtId="165" formatCode="_-[$$-409]* #,##0.00_ ;_-[$$-409]* \-#,##0.00\ ;_-[$$-409]* &quot;-&quot;??_ ;_-@_ "/>
    <numFmt numFmtId="166" formatCode="0.0"/>
    <numFmt numFmtId="167" formatCode="_-[$$-409]* #,##0.0_ ;_-[$$-409]* \-#,##0.0\ ;_-[$$-409]* &quot;-&quot;??_ ;_-@_ "/>
    <numFmt numFmtId="168" formatCode="0.0000%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b/>
      <sz val="11"/>
      <color rgb="FF9C0006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30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2" borderId="0">
      <alignment horizontal="left"/>
    </xf>
    <xf numFmtId="9" fontId="8" fillId="0" borderId="0"/>
    <xf numFmtId="44" fontId="8" fillId="0" borderId="0"/>
    <xf numFmtId="0" fontId="12" fillId="5" borderId="0"/>
    <xf numFmtId="0" fontId="13" fillId="6" borderId="0"/>
    <xf numFmtId="0" fontId="8" fillId="7" borderId="4"/>
    <xf numFmtId="0" fontId="8" fillId="8" borderId="0"/>
    <xf numFmtId="0" fontId="3" fillId="9" borderId="0"/>
    <xf numFmtId="0" fontId="3" fillId="10" borderId="0"/>
    <xf numFmtId="0" fontId="3" fillId="11" borderId="0"/>
    <xf numFmtId="0" fontId="8" fillId="12" borderId="0"/>
    <xf numFmtId="0" fontId="3" fillId="13" borderId="0"/>
  </cellStyleXfs>
  <cellXfs count="223">
    <xf numFmtId="0" fontId="0" fillId="0" borderId="0" xfId="0"/>
    <xf numFmtId="0" fontId="4" fillId="2" borderId="0" xfId="1" applyFont="1" applyAlignment="1"/>
    <xf numFmtId="0" fontId="0" fillId="3" borderId="0" xfId="0" applyFill="1" applyAlignment="1">
      <alignment horizontal="center"/>
    </xf>
    <xf numFmtId="0" fontId="3" fillId="2" borderId="0" xfId="1" applyAlignment="1">
      <alignment horizontal="center"/>
    </xf>
    <xf numFmtId="0" fontId="7" fillId="0" borderId="0" xfId="0" applyFont="1"/>
    <xf numFmtId="0" fontId="2" fillId="0" borderId="0" xfId="0" applyFont="1"/>
    <xf numFmtId="10" fontId="7" fillId="0" borderId="0" xfId="0" applyNumberFormat="1" applyFont="1"/>
    <xf numFmtId="9" fontId="7" fillId="0" borderId="0" xfId="0" applyNumberFormat="1" applyFont="1"/>
    <xf numFmtId="9" fontId="0" fillId="0" borderId="0" xfId="2" applyFont="1"/>
    <xf numFmtId="164" fontId="7" fillId="0" borderId="0" xfId="2" applyNumberFormat="1" applyFont="1"/>
    <xf numFmtId="164" fontId="0" fillId="0" borderId="0" xfId="2" applyNumberFormat="1" applyFont="1"/>
    <xf numFmtId="165" fontId="2" fillId="0" borderId="0" xfId="0" applyNumberFormat="1" applyFont="1"/>
    <xf numFmtId="0" fontId="0" fillId="3" borderId="2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/>
    <xf numFmtId="0" fontId="0" fillId="3" borderId="2" xfId="0" applyFill="1" applyBorder="1" applyAlignment="1">
      <alignment vertical="center"/>
    </xf>
    <xf numFmtId="164" fontId="2" fillId="0" borderId="0" xfId="2" applyNumberFormat="1" applyFont="1"/>
    <xf numFmtId="0" fontId="0" fillId="14" borderId="0" xfId="0" applyFill="1"/>
    <xf numFmtId="0" fontId="0" fillId="14" borderId="0" xfId="0" applyFill="1" applyAlignment="1">
      <alignment horizontal="center"/>
    </xf>
    <xf numFmtId="0" fontId="16" fillId="14" borderId="5" xfId="0" applyFont="1" applyFill="1" applyBorder="1"/>
    <xf numFmtId="0" fontId="14" fillId="14" borderId="5" xfId="0" applyFont="1" applyFill="1" applyBorder="1"/>
    <xf numFmtId="0" fontId="0" fillId="14" borderId="5" xfId="0" applyFill="1" applyBorder="1"/>
    <xf numFmtId="0" fontId="15" fillId="14" borderId="5" xfId="0" applyFont="1" applyFill="1" applyBorder="1"/>
    <xf numFmtId="164" fontId="2" fillId="0" borderId="5" xfId="2" applyNumberFormat="1" applyFont="1" applyBorder="1"/>
    <xf numFmtId="165" fontId="2" fillId="0" borderId="5" xfId="0" applyNumberFormat="1" applyFont="1" applyBorder="1"/>
    <xf numFmtId="165" fontId="14" fillId="0" borderId="0" xfId="0" applyNumberFormat="1" applyFont="1"/>
    <xf numFmtId="165" fontId="14" fillId="0" borderId="6" xfId="3" applyNumberFormat="1" applyFont="1" applyBorder="1"/>
    <xf numFmtId="165" fontId="0" fillId="0" borderId="0" xfId="0" applyNumberFormat="1"/>
    <xf numFmtId="164" fontId="0" fillId="14" borderId="0" xfId="0" applyNumberFormat="1" applyFill="1"/>
    <xf numFmtId="164" fontId="0" fillId="14" borderId="0" xfId="0" applyNumberFormat="1" applyFill="1" applyAlignment="1">
      <alignment horizontal="center"/>
    </xf>
    <xf numFmtId="165" fontId="10" fillId="0" borderId="0" xfId="0" applyNumberFormat="1" applyFont="1"/>
    <xf numFmtId="9" fontId="0" fillId="0" borderId="0" xfId="0" applyNumberFormat="1"/>
    <xf numFmtId="9" fontId="13" fillId="6" borderId="0" xfId="5" applyNumberFormat="1"/>
    <xf numFmtId="0" fontId="14" fillId="0" borderId="5" xfId="0" applyFont="1" applyBorder="1"/>
    <xf numFmtId="0" fontId="3" fillId="11" borderId="10" xfId="10" applyBorder="1"/>
    <xf numFmtId="0" fontId="3" fillId="11" borderId="13" xfId="10" applyBorder="1"/>
    <xf numFmtId="0" fontId="3" fillId="11" borderId="0" xfId="10"/>
    <xf numFmtId="164" fontId="0" fillId="0" borderId="0" xfId="0" applyNumberFormat="1"/>
    <xf numFmtId="164" fontId="14" fillId="0" borderId="6" xfId="0" applyNumberFormat="1" applyFont="1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2" fontId="0" fillId="0" borderId="0" xfId="0" applyNumberFormat="1"/>
    <xf numFmtId="164" fontId="0" fillId="7" borderId="4" xfId="6" applyNumberFormat="1" applyFont="1"/>
    <xf numFmtId="0" fontId="8" fillId="8" borderId="0" xfId="7"/>
    <xf numFmtId="164" fontId="7" fillId="0" borderId="0" xfId="0" applyNumberFormat="1" applyFont="1"/>
    <xf numFmtId="0" fontId="10" fillId="0" borderId="0" xfId="0" applyFont="1"/>
    <xf numFmtId="2" fontId="10" fillId="0" borderId="0" xfId="0" applyNumberFormat="1" applyFont="1" applyAlignment="1">
      <alignment horizontal="right"/>
    </xf>
    <xf numFmtId="164" fontId="0" fillId="15" borderId="0" xfId="0" applyNumberFormat="1" applyFill="1"/>
    <xf numFmtId="0" fontId="8" fillId="17" borderId="0" xfId="9" applyFont="1" applyFill="1"/>
    <xf numFmtId="2" fontId="14" fillId="11" borderId="7" xfId="10" applyNumberFormat="1" applyFont="1" applyBorder="1"/>
    <xf numFmtId="9" fontId="14" fillId="13" borderId="0" xfId="12" applyNumberFormat="1" applyFont="1"/>
    <xf numFmtId="164" fontId="14" fillId="13" borderId="0" xfId="12" applyNumberFormat="1" applyFont="1"/>
    <xf numFmtId="164" fontId="8" fillId="11" borderId="0" xfId="10" applyNumberFormat="1" applyFont="1"/>
    <xf numFmtId="10" fontId="3" fillId="2" borderId="0" xfId="1" applyNumberFormat="1" applyAlignment="1"/>
    <xf numFmtId="10" fontId="3" fillId="2" borderId="0" xfId="2" applyNumberFormat="1" applyFont="1" applyFill="1"/>
    <xf numFmtId="164" fontId="14" fillId="11" borderId="0" xfId="10" applyNumberFormat="1" applyFont="1"/>
    <xf numFmtId="165" fontId="14" fillId="11" borderId="0" xfId="10" applyNumberFormat="1" applyFont="1"/>
    <xf numFmtId="0" fontId="20" fillId="0" borderId="20" xfId="0" applyFont="1" applyBorder="1" applyAlignment="1">
      <alignment horizontal="center" vertical="top"/>
    </xf>
    <xf numFmtId="0" fontId="0" fillId="0" borderId="0" xfId="0"/>
    <xf numFmtId="0" fontId="0" fillId="0" borderId="5" xfId="0" applyBorder="1"/>
    <xf numFmtId="0" fontId="7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0" fontId="0" fillId="0" borderId="6" xfId="0" applyBorder="1"/>
    <xf numFmtId="0" fontId="18" fillId="2" borderId="0" xfId="1" applyFont="1" applyAlignment="1">
      <alignment horizontal="center"/>
    </xf>
    <xf numFmtId="0" fontId="3" fillId="2" borderId="0" xfId="1" applyAlignment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 applyAlignment="1">
      <alignment horizontal="center"/>
    </xf>
    <xf numFmtId="166" fontId="0" fillId="3" borderId="0" xfId="0" applyNumberFormat="1" applyFill="1"/>
    <xf numFmtId="166" fontId="2" fillId="0" borderId="5" xfId="0" applyNumberFormat="1" applyFont="1" applyBorder="1"/>
    <xf numFmtId="166" fontId="17" fillId="15" borderId="0" xfId="2" applyNumberFormat="1" applyFont="1" applyFill="1"/>
    <xf numFmtId="166" fontId="17" fillId="16" borderId="0" xfId="2" applyNumberFormat="1" applyFont="1" applyFill="1"/>
    <xf numFmtId="166" fontId="0" fillId="0" borderId="0" xfId="2" applyNumberFormat="1" applyFont="1"/>
    <xf numFmtId="166" fontId="17" fillId="15" borderId="0" xfId="0" applyNumberFormat="1" applyFont="1" applyFill="1"/>
    <xf numFmtId="166" fontId="17" fillId="16" borderId="0" xfId="0" applyNumberFormat="1" applyFont="1" applyFill="1"/>
    <xf numFmtId="166" fontId="0" fillId="0" borderId="0" xfId="0" applyNumberFormat="1"/>
    <xf numFmtId="167" fontId="14" fillId="0" borderId="6" xfId="0" applyNumberFormat="1" applyFont="1" applyBorder="1"/>
    <xf numFmtId="166" fontId="17" fillId="0" borderId="0" xfId="0" applyNumberFormat="1" applyFont="1"/>
    <xf numFmtId="166" fontId="0" fillId="15" borderId="0" xfId="0" applyNumberFormat="1" applyFill="1"/>
    <xf numFmtId="166" fontId="0" fillId="14" borderId="0" xfId="0" applyNumberFormat="1" applyFill="1"/>
    <xf numFmtId="166" fontId="0" fillId="14" borderId="0" xfId="0" applyNumberFormat="1" applyFill="1" applyAlignment="1">
      <alignment horizontal="center"/>
    </xf>
    <xf numFmtId="166" fontId="2" fillId="0" borderId="0" xfId="0" applyNumberFormat="1" applyFont="1"/>
    <xf numFmtId="166" fontId="0" fillId="0" borderId="2" xfId="0" applyNumberFormat="1" applyBorder="1"/>
    <xf numFmtId="166" fontId="0" fillId="0" borderId="2" xfId="0" applyNumberFormat="1" applyBorder="1" applyAlignment="1">
      <alignment vertical="center"/>
    </xf>
    <xf numFmtId="167" fontId="2" fillId="0" borderId="0" xfId="0" applyNumberFormat="1" applyFont="1" applyAlignment="1">
      <alignment horizontal="right"/>
    </xf>
    <xf numFmtId="167" fontId="2" fillId="0" borderId="0" xfId="0" applyNumberFormat="1" applyFont="1"/>
    <xf numFmtId="167" fontId="0" fillId="0" borderId="2" xfId="0" applyNumberFormat="1" applyBorder="1"/>
    <xf numFmtId="167" fontId="0" fillId="0" borderId="2" xfId="0" applyNumberFormat="1" applyBorder="1" applyAlignment="1">
      <alignment horizontal="left"/>
    </xf>
    <xf numFmtId="166" fontId="10" fillId="0" borderId="0" xfId="0" applyNumberFormat="1" applyFont="1"/>
    <xf numFmtId="166" fontId="14" fillId="0" borderId="0" xfId="0" applyNumberFormat="1" applyFont="1"/>
    <xf numFmtId="167" fontId="14" fillId="8" borderId="1" xfId="7" applyNumberFormat="1" applyFont="1" applyBorder="1"/>
    <xf numFmtId="166" fontId="14" fillId="17" borderId="0" xfId="9" applyNumberFormat="1" applyFont="1" applyFill="1"/>
    <xf numFmtId="167" fontId="0" fillId="0" borderId="0" xfId="0" applyNumberFormat="1"/>
    <xf numFmtId="166" fontId="14" fillId="11" borderId="7" xfId="10" applyNumberFormat="1" applyFont="1" applyBorder="1"/>
    <xf numFmtId="44" fontId="3" fillId="2" borderId="0" xfId="1" applyNumberFormat="1" applyAlignment="1"/>
    <xf numFmtId="0" fontId="21" fillId="0" borderId="21" xfId="0" applyFont="1" applyBorder="1" applyAlignment="1">
      <alignment horizontal="center" vertical="top"/>
    </xf>
    <xf numFmtId="0" fontId="0" fillId="0" borderId="0" xfId="0"/>
    <xf numFmtId="4" fontId="2" fillId="3" borderId="0" xfId="0" applyNumberFormat="1" applyFont="1" applyFill="1"/>
    <xf numFmtId="4" fontId="0" fillId="0" borderId="0" xfId="0" applyNumberFormat="1"/>
    <xf numFmtId="4" fontId="0" fillId="3" borderId="0" xfId="0" applyNumberFormat="1" applyFill="1"/>
    <xf numFmtId="4" fontId="2" fillId="0" borderId="0" xfId="0" applyNumberFormat="1" applyFont="1"/>
    <xf numFmtId="0" fontId="20" fillId="0" borderId="21" xfId="0" applyFont="1" applyBorder="1" applyAlignment="1">
      <alignment horizontal="center" vertical="top"/>
    </xf>
    <xf numFmtId="166" fontId="0" fillId="3" borderId="2" xfId="0" applyNumberFormat="1" applyFill="1" applyBorder="1"/>
    <xf numFmtId="2" fontId="2" fillId="0" borderId="0" xfId="0" applyNumberFormat="1" applyFont="1"/>
    <xf numFmtId="10" fontId="22" fillId="5" borderId="0" xfId="4" applyNumberFormat="1" applyFont="1"/>
    <xf numFmtId="0" fontId="14" fillId="0" borderId="1" xfId="0" applyFont="1" applyBorder="1"/>
    <xf numFmtId="0" fontId="22" fillId="5" borderId="0" xfId="4" applyFont="1"/>
    <xf numFmtId="0" fontId="0" fillId="0" borderId="0" xfId="0" applyAlignment="1"/>
    <xf numFmtId="9" fontId="0" fillId="0" borderId="0" xfId="0" applyNumberFormat="1" applyAlignment="1">
      <alignment horizontal="right"/>
    </xf>
    <xf numFmtId="0" fontId="25" fillId="0" borderId="21" xfId="0" applyFont="1" applyBorder="1" applyAlignment="1">
      <alignment horizontal="center" vertical="top"/>
    </xf>
    <xf numFmtId="0" fontId="25" fillId="0" borderId="20" xfId="0" applyFont="1" applyBorder="1" applyAlignment="1">
      <alignment horizontal="center" vertical="top"/>
    </xf>
    <xf numFmtId="166" fontId="14" fillId="9" borderId="1" xfId="8" applyNumberFormat="1" applyFont="1" applyBorder="1"/>
    <xf numFmtId="166" fontId="14" fillId="18" borderId="1" xfId="0" applyNumberFormat="1" applyFont="1" applyFill="1" applyBorder="1"/>
    <xf numFmtId="0" fontId="10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0" fillId="0" borderId="0" xfId="0"/>
    <xf numFmtId="0" fontId="5" fillId="2" borderId="0" xfId="1" applyFont="1" applyAlignment="1">
      <alignment horizontal="left"/>
    </xf>
    <xf numFmtId="0" fontId="1" fillId="2" borderId="0" xfId="1" applyFont="1" applyAlignment="1">
      <alignment horizontal="left"/>
    </xf>
    <xf numFmtId="0" fontId="6" fillId="2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15" fillId="0" borderId="5" xfId="0" applyFont="1" applyBorder="1" applyAlignment="1">
      <alignment horizontal="left"/>
    </xf>
    <xf numFmtId="0" fontId="0" fillId="0" borderId="5" xfId="0" applyBorder="1"/>
    <xf numFmtId="0" fontId="7" fillId="0" borderId="0" xfId="0" applyFont="1" applyAlignment="1">
      <alignment horizontal="center"/>
    </xf>
    <xf numFmtId="0" fontId="14" fillId="0" borderId="0" xfId="0" applyFont="1"/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2" fontId="0" fillId="15" borderId="0" xfId="0" applyNumberFormat="1" applyFill="1" applyAlignment="1">
      <alignment horizontal="center"/>
    </xf>
    <xf numFmtId="2" fontId="0" fillId="0" borderId="0" xfId="0" applyNumberFormat="1"/>
    <xf numFmtId="0" fontId="18" fillId="2" borderId="0" xfId="1" applyFon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right"/>
    </xf>
    <xf numFmtId="0" fontId="24" fillId="0" borderId="0" xfId="0" applyFont="1" applyAlignment="1">
      <alignment horizontal="center"/>
    </xf>
    <xf numFmtId="166" fontId="10" fillId="0" borderId="0" xfId="0" applyNumberFormat="1" applyFont="1" applyAlignment="1">
      <alignment horizontal="right"/>
    </xf>
    <xf numFmtId="0" fontId="18" fillId="2" borderId="5" xfId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3" fillId="2" borderId="5" xfId="1" applyBorder="1" applyAlignment="1"/>
    <xf numFmtId="0" fontId="14" fillId="0" borderId="5" xfId="0" applyFont="1" applyBorder="1" applyAlignment="1">
      <alignment horizontal="center" wrapText="1"/>
    </xf>
    <xf numFmtId="0" fontId="3" fillId="2" borderId="0" xfId="1" applyAlignment="1"/>
    <xf numFmtId="166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0" fontId="18" fillId="2" borderId="5" xfId="1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4" fillId="11" borderId="10" xfId="10" applyNumberFormat="1" applyFont="1" applyBorder="1" applyAlignment="1">
      <alignment horizontal="center"/>
    </xf>
    <xf numFmtId="0" fontId="0" fillId="0" borderId="10" xfId="0" applyBorder="1"/>
    <xf numFmtId="2" fontId="14" fillId="11" borderId="13" xfId="10" applyNumberFormat="1" applyFont="1" applyBorder="1" applyAlignment="1">
      <alignment horizontal="center"/>
    </xf>
    <xf numFmtId="0" fontId="0" fillId="0" borderId="13" xfId="0" applyBorder="1"/>
    <xf numFmtId="0" fontId="14" fillId="11" borderId="9" xfId="10" applyFont="1" applyBorder="1" applyAlignment="1">
      <alignment horizontal="center"/>
    </xf>
    <xf numFmtId="0" fontId="14" fillId="11" borderId="12" xfId="10" applyFont="1" applyBorder="1" applyAlignment="1">
      <alignment horizontal="center"/>
    </xf>
    <xf numFmtId="164" fontId="8" fillId="11" borderId="15" xfId="10" applyNumberFormat="1" applyFont="1" applyBorder="1" applyAlignment="1">
      <alignment horizontal="center"/>
    </xf>
    <xf numFmtId="0" fontId="0" fillId="0" borderId="15" xfId="0" applyBorder="1"/>
    <xf numFmtId="164" fontId="0" fillId="15" borderId="0" xfId="0" applyNumberFormat="1" applyFill="1" applyAlignment="1">
      <alignment horizontal="center"/>
    </xf>
    <xf numFmtId="10" fontId="0" fillId="15" borderId="0" xfId="0" applyNumberFormat="1" applyFill="1" applyAlignment="1">
      <alignment horizontal="center"/>
    </xf>
    <xf numFmtId="166" fontId="0" fillId="0" borderId="6" xfId="0" applyNumberFormat="1" applyBorder="1" applyAlignment="1">
      <alignment horizontal="right"/>
    </xf>
    <xf numFmtId="164" fontId="0" fillId="0" borderId="0" xfId="0" applyNumberFormat="1" applyAlignment="1">
      <alignment horizontal="center"/>
    </xf>
    <xf numFmtId="164" fontId="14" fillId="11" borderId="10" xfId="10" applyNumberFormat="1" applyFont="1" applyBorder="1" applyAlignment="1">
      <alignment horizontal="center"/>
    </xf>
    <xf numFmtId="10" fontId="0" fillId="0" borderId="0" xfId="0" applyNumberFormat="1"/>
    <xf numFmtId="10" fontId="8" fillId="11" borderId="0" xfId="10" applyNumberFormat="1" applyFont="1" applyAlignment="1">
      <alignment horizontal="right"/>
    </xf>
    <xf numFmtId="166" fontId="14" fillId="0" borderId="6" xfId="0" applyNumberFormat="1" applyFont="1" applyBorder="1" applyAlignment="1">
      <alignment horizontal="right"/>
    </xf>
    <xf numFmtId="166" fontId="17" fillId="0" borderId="0" xfId="0" applyNumberFormat="1" applyFont="1" applyAlignment="1">
      <alignment horizontal="right"/>
    </xf>
    <xf numFmtId="166" fontId="0" fillId="0" borderId="1" xfId="0" applyNumberFormat="1" applyBorder="1"/>
    <xf numFmtId="0" fontId="0" fillId="0" borderId="1" xfId="0" applyBorder="1"/>
    <xf numFmtId="2" fontId="14" fillId="11" borderId="11" xfId="10" applyNumberFormat="1" applyFont="1" applyBorder="1" applyAlignment="1">
      <alignment horizontal="center"/>
    </xf>
    <xf numFmtId="0" fontId="0" fillId="0" borderId="11" xfId="0" applyBorder="1"/>
    <xf numFmtId="2" fontId="14" fillId="11" borderId="14" xfId="10" applyNumberFormat="1" applyFont="1" applyBorder="1" applyAlignment="1">
      <alignment horizontal="center"/>
    </xf>
    <xf numFmtId="0" fontId="0" fillId="0" borderId="14" xfId="0" applyBorder="1"/>
    <xf numFmtId="0" fontId="14" fillId="0" borderId="0" xfId="0" applyFont="1" applyAlignment="1">
      <alignment horizontal="center" wrapText="1"/>
    </xf>
    <xf numFmtId="0" fontId="18" fillId="2" borderId="0" xfId="1" applyFont="1" applyAlignment="1">
      <alignment horizontal="left"/>
    </xf>
    <xf numFmtId="164" fontId="14" fillId="0" borderId="6" xfId="0" applyNumberFormat="1" applyFont="1" applyBorder="1" applyAlignment="1">
      <alignment horizontal="center"/>
    </xf>
    <xf numFmtId="10" fontId="8" fillId="12" borderId="1" xfId="11" applyNumberFormat="1" applyBorder="1" applyAlignment="1">
      <alignment horizontal="center"/>
    </xf>
    <xf numFmtId="0" fontId="13" fillId="6" borderId="0" xfId="5" applyAlignment="1">
      <alignment horizontal="center"/>
    </xf>
    <xf numFmtId="164" fontId="14" fillId="11" borderId="13" xfId="1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3" fillId="2" borderId="0" xfId="1" applyNumberFormat="1" applyAlignment="1">
      <alignment horizontal="center"/>
    </xf>
    <xf numFmtId="164" fontId="8" fillId="11" borderId="0" xfId="10" applyNumberFormat="1" applyFont="1" applyAlignment="1">
      <alignment horizontal="center"/>
    </xf>
    <xf numFmtId="10" fontId="8" fillId="12" borderId="16" xfId="11" applyNumberFormat="1" applyBorder="1" applyAlignment="1">
      <alignment horizontal="center"/>
    </xf>
    <xf numFmtId="0" fontId="0" fillId="0" borderId="16" xfId="0" applyBorder="1"/>
    <xf numFmtId="164" fontId="0" fillId="0" borderId="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3" fillId="2" borderId="0" xfId="1" applyAlignment="1">
      <alignment horizontal="center" vertical="center" textRotation="90" wrapText="1"/>
    </xf>
    <xf numFmtId="0" fontId="23" fillId="0" borderId="0" xfId="0" applyFont="1" applyAlignment="1">
      <alignment horizontal="left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4" fillId="17" borderId="0" xfId="9" applyFont="1" applyFill="1" applyAlignment="1">
      <alignment horizontal="center"/>
    </xf>
    <xf numFmtId="0" fontId="14" fillId="8" borderId="0" xfId="7" applyFont="1" applyAlignment="1">
      <alignment horizontal="center"/>
    </xf>
    <xf numFmtId="0" fontId="17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0" fontId="14" fillId="11" borderId="0" xfId="10" applyFont="1" applyAlignment="1">
      <alignment horizontal="center"/>
    </xf>
    <xf numFmtId="166" fontId="14" fillId="11" borderId="6" xfId="10" applyNumberFormat="1" applyFont="1" applyBorder="1" applyAlignment="1">
      <alignment horizontal="right" vertical="center"/>
    </xf>
    <xf numFmtId="0" fontId="14" fillId="0" borderId="13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2" fontId="13" fillId="7" borderId="4" xfId="6" applyNumberFormat="1" applyFont="1" applyAlignment="1">
      <alignment horizontal="right"/>
    </xf>
    <xf numFmtId="2" fontId="0" fillId="0" borderId="19" xfId="0" applyNumberFormat="1" applyBorder="1"/>
    <xf numFmtId="165" fontId="14" fillId="11" borderId="7" xfId="10" applyNumberFormat="1" applyFont="1" applyBorder="1" applyAlignment="1">
      <alignment horizontal="center"/>
    </xf>
    <xf numFmtId="0" fontId="0" fillId="0" borderId="8" xfId="0" applyBorder="1"/>
    <xf numFmtId="165" fontId="0" fillId="0" borderId="0" xfId="0" applyNumberFormat="1" applyAlignment="1">
      <alignment horizontal="right"/>
    </xf>
    <xf numFmtId="164" fontId="0" fillId="0" borderId="0" xfId="2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0" fontId="18" fillId="2" borderId="0" xfId="1" applyFont="1" applyAlignment="1">
      <alignment horizontal="center" vertical="center" textRotation="90"/>
    </xf>
    <xf numFmtId="166" fontId="14" fillId="9" borderId="1" xfId="8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4" fontId="3" fillId="2" borderId="0" xfId="1" applyNumberFormat="1" applyAlignment="1">
      <alignment horizontal="center"/>
    </xf>
    <xf numFmtId="44" fontId="14" fillId="11" borderId="0" xfId="10" applyNumberFormat="1" applyFont="1" applyAlignment="1">
      <alignment horizontal="center"/>
    </xf>
  </cellXfs>
  <cellStyles count="13">
    <cellStyle name="20% - Accent1" xfId="7" builtinId="30"/>
    <cellStyle name="20% - Accent5" xfId="11" builtinId="46"/>
    <cellStyle name="60% - Accent1" xfId="8" builtinId="32"/>
    <cellStyle name="60% - Accent4" xfId="10" builtinId="44"/>
    <cellStyle name="60% - Accent5" xfId="12" builtinId="48"/>
    <cellStyle name="Accent4" xfId="9" builtinId="41"/>
    <cellStyle name="Bad" xfId="4" builtinId="27"/>
    <cellStyle name="Currency" xfId="3" builtinId="4"/>
    <cellStyle name="Neutral" xfId="5" builtinId="28"/>
    <cellStyle name="Normal" xfId="0" builtinId="0"/>
    <cellStyle name="Note" xfId="6" builtinId="10"/>
    <cellStyle name="Percent" xfId="2" builtinId="5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33</xdr:row>
      <xdr:rowOff>133350</xdr:rowOff>
    </xdr:from>
    <xdr:to>
      <xdr:col>27</xdr:col>
      <xdr:colOff>171450</xdr:colOff>
      <xdr:row>45</xdr:row>
      <xdr:rowOff>152400</xdr:rowOff>
    </xdr:to>
    <xdr:sp macro="" textlink="">
      <xdr:nvSpPr>
        <xdr:cNvPr id="3" name="TextBox 2"/>
        <xdr:cNvSpPr txBox="1"/>
      </xdr:nvSpPr>
      <xdr:spPr>
        <a:xfrm>
          <a:off x="12734925" y="6629400"/>
          <a:ext cx="41814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FF0000"/>
              </a:solidFill>
            </a:rPr>
            <a:t>Senior Notes,</a:t>
          </a:r>
          <a:r>
            <a:rPr lang="en-GB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Term loan,Total Debt</a:t>
          </a:r>
          <a:r>
            <a:rPr lang="en-GB" sz="1100">
              <a:solidFill>
                <a:srgbClr val="FF0000"/>
              </a:solidFill>
            </a:rPr>
            <a:t>*** - </a:t>
          </a:r>
          <a:r>
            <a:rPr lang="en-GB" sz="1100">
              <a:solidFill>
                <a:schemeClr val="tx1"/>
              </a:solidFill>
            </a:rPr>
            <a:t>comes from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Annual report 2022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FF0000"/>
              </a:solidFill>
            </a:rPr>
            <a:t>Predicted Levared Beta *- </a:t>
          </a:r>
          <a:r>
            <a:rPr lang="en-GB" sz="1100">
              <a:solidFill>
                <a:schemeClr val="tx1"/>
              </a:solidFill>
            </a:rPr>
            <a:t>https://pages.stern.nyu.edu/~adamodar/New_Home_Page/datafile/Betas.html</a:t>
          </a:r>
        </a:p>
        <a:p>
          <a:endParaRPr lang="en-GB" sz="1100">
            <a:solidFill>
              <a:schemeClr val="tx1"/>
            </a:solidFill>
          </a:endParaRPr>
        </a:p>
        <a:p>
          <a:r>
            <a:rPr lang="en-GB" sz="1100" b="1">
              <a:solidFill>
                <a:srgbClr val="FF0000"/>
              </a:solidFill>
            </a:rPr>
            <a:t>Risk-free Rate (1)** </a:t>
          </a:r>
          <a:r>
            <a:rPr lang="en-GB" sz="1100">
              <a:solidFill>
                <a:schemeClr val="tx1"/>
              </a:solidFill>
            </a:rPr>
            <a:t>- </a:t>
          </a:r>
        </a:p>
        <a:p>
          <a:r>
            <a:rPr lang="en-GB" sz="1100">
              <a:solidFill>
                <a:schemeClr val="tx1"/>
              </a:solidFill>
            </a:rPr>
            <a:t>https://ycharts.com/indicators/10_year_treasury_rate</a:t>
          </a:r>
        </a:p>
        <a:p>
          <a:r>
            <a:rPr lang="en-GB" sz="1100">
              <a:solidFill>
                <a:srgbClr val="FF0000"/>
              </a:solidFill>
            </a:rPr>
            <a:t>Market Risk Premium -</a:t>
          </a:r>
        </a:p>
        <a:p>
          <a:r>
            <a:rPr lang="en-GB" sz="1100">
              <a:solidFill>
                <a:schemeClr val="tx1"/>
              </a:solidFill>
            </a:rPr>
            <a:t>https://www.statista.com/statistics/664840/average-market-risk-premium-usa/</a:t>
          </a:r>
        </a:p>
      </xdr:txBody>
    </xdr:sp>
    <xdr:clientData/>
  </xdr:twoCellAnchor>
  <xdr:twoCellAnchor>
    <xdr:from>
      <xdr:col>7</xdr:col>
      <xdr:colOff>428625</xdr:colOff>
      <xdr:row>32</xdr:row>
      <xdr:rowOff>161925</xdr:rowOff>
    </xdr:from>
    <xdr:to>
      <xdr:col>17</xdr:col>
      <xdr:colOff>200025</xdr:colOff>
      <xdr:row>46</xdr:row>
      <xdr:rowOff>171450</xdr:rowOff>
    </xdr:to>
    <xdr:sp macro="" textlink="">
      <xdr:nvSpPr>
        <xdr:cNvPr id="2" name="TextBox 1"/>
        <xdr:cNvSpPr txBox="1"/>
      </xdr:nvSpPr>
      <xdr:spPr>
        <a:xfrm>
          <a:off x="4695825" y="6467475"/>
          <a:ext cx="5867400" cy="267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NOTES FOR</a:t>
          </a:r>
          <a:r>
            <a:rPr lang="en-GB" sz="1100" baseline="0"/>
            <a:t> COMPANY COMPARABLE ANALYSIS: </a:t>
          </a:r>
        </a:p>
        <a:p>
          <a:endParaRPr lang="en-GB" sz="1100" baseline="0"/>
        </a:p>
        <a:p>
          <a:r>
            <a:rPr lang="en-GB" sz="1100" baseline="0"/>
            <a:t>They must produce off road vechicle.</a:t>
          </a:r>
        </a:p>
        <a:p>
          <a:r>
            <a:rPr lang="en-GB" sz="1100" baseline="0"/>
            <a:t>They must be domestic on USA market. </a:t>
          </a:r>
        </a:p>
        <a:p>
          <a:r>
            <a:rPr lang="en-GB" sz="1100" b="1" baseline="0">
              <a:solidFill>
                <a:srgbClr val="FF0000"/>
              </a:solidFill>
            </a:rPr>
            <a:t>They must be atleast 5 years on the market.( for beta value). 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371475</xdr:colOff>
      <xdr:row>10</xdr:row>
      <xdr:rowOff>161925</xdr:rowOff>
    </xdr:from>
    <xdr:to>
      <xdr:col>26</xdr:col>
      <xdr:colOff>219075</xdr:colOff>
      <xdr:row>21</xdr:row>
      <xdr:rowOff>142875</xdr:rowOff>
    </xdr:to>
    <xdr:sp macro="" textlink="">
      <xdr:nvSpPr>
        <xdr:cNvPr id="2" name="TextBox 1"/>
        <xdr:cNvSpPr txBox="1"/>
      </xdr:nvSpPr>
      <xdr:spPr>
        <a:xfrm>
          <a:off x="13563600" y="2276475"/>
          <a:ext cx="35052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REVENUE</a:t>
          </a:r>
          <a:r>
            <a:rPr lang="en-GB" sz="1100" baseline="0"/>
            <a:t> AND SALES - NOT THE SAME. </a:t>
          </a:r>
        </a:p>
        <a:p>
          <a:r>
            <a:rPr lang="en-GB" sz="1100" b="1" baseline="0">
              <a:solidFill>
                <a:srgbClr val="FF0000"/>
              </a:solidFill>
            </a:rPr>
            <a:t>Sales* ARE NOT avalibale from yahoo so I got them from annual report.</a:t>
          </a:r>
        </a:p>
        <a:p>
          <a:r>
            <a:rPr lang="en-GB" sz="1100" b="1" baseline="0">
              <a:solidFill>
                <a:srgbClr val="FF0000"/>
              </a:solidFill>
            </a:rPr>
            <a:t>Cost of Sales*- is also not reported on Yahoo</a:t>
          </a:r>
        </a:p>
        <a:p>
          <a:endParaRPr lang="en-GB" sz="1100"/>
        </a:p>
        <a:p>
          <a:r>
            <a:rPr lang="en-GB" sz="1100"/>
            <a:t>Tax rate - assumed from</a:t>
          </a:r>
          <a:r>
            <a:rPr lang="en-GB" sz="1100" baseline="0"/>
            <a:t> Annual report ( 21%) </a:t>
          </a:r>
          <a:endParaRPr lang="en-GB" sz="1100"/>
        </a:p>
        <a:p>
          <a:endParaRPr lang="en-GB" sz="1100"/>
        </a:p>
        <a:p>
          <a:r>
            <a:rPr lang="en-GB" sz="1100"/>
            <a:t>***-annual report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45" sqref="A45"/>
    </sheetView>
  </sheetViews>
  <sheetFormatPr defaultRowHeight="15" x14ac:dyDescent="0.25"/>
  <cols>
    <col min="1" max="1" width="35.5703125" customWidth="1"/>
    <col min="2" max="2" width="22.85546875" customWidth="1"/>
    <col min="3" max="3" width="19.140625" customWidth="1"/>
    <col min="4" max="4" width="23.28515625" customWidth="1"/>
    <col min="5" max="5" width="23" customWidth="1"/>
    <col min="6" max="6" width="24" customWidth="1"/>
  </cols>
  <sheetData>
    <row r="1" spans="1:6" x14ac:dyDescent="0.25">
      <c r="A1" s="59"/>
      <c r="B1" s="99" t="s">
        <v>0</v>
      </c>
      <c r="C1" s="99" t="s">
        <v>1</v>
      </c>
      <c r="D1" s="99" t="s">
        <v>2</v>
      </c>
      <c r="E1" s="99" t="s">
        <v>3</v>
      </c>
      <c r="F1" s="99" t="s">
        <v>251</v>
      </c>
    </row>
    <row r="2" spans="1:6" x14ac:dyDescent="0.25">
      <c r="A2" s="99" t="s">
        <v>252</v>
      </c>
      <c r="B2">
        <v>61400000</v>
      </c>
      <c r="C2">
        <v>61900000</v>
      </c>
      <c r="D2">
        <v>61300000</v>
      </c>
      <c r="E2">
        <v>59300000</v>
      </c>
      <c r="F2">
        <v>57350000</v>
      </c>
    </row>
    <row r="3" spans="1:6" x14ac:dyDescent="0.25">
      <c r="A3" s="113" t="s">
        <v>253</v>
      </c>
      <c r="B3">
        <v>5.27</v>
      </c>
      <c r="C3">
        <v>2.02</v>
      </c>
      <c r="D3">
        <v>8.06</v>
      </c>
      <c r="E3">
        <v>7.54</v>
      </c>
      <c r="F3">
        <v>10.31</v>
      </c>
    </row>
    <row r="4" spans="1:6" x14ac:dyDescent="0.25">
      <c r="A4" s="99" t="s">
        <v>254</v>
      </c>
      <c r="B4">
        <v>5133736000</v>
      </c>
      <c r="C4">
        <v>5317700000</v>
      </c>
      <c r="D4">
        <v>6255500000</v>
      </c>
      <c r="E4">
        <v>6629500000</v>
      </c>
      <c r="F4">
        <v>6993300000</v>
      </c>
    </row>
    <row r="5" spans="1:6" x14ac:dyDescent="0.25">
      <c r="A5" s="99" t="s">
        <v>255</v>
      </c>
      <c r="B5">
        <v>62300000</v>
      </c>
      <c r="C5">
        <v>62600000</v>
      </c>
      <c r="D5">
        <v>62700000</v>
      </c>
      <c r="E5">
        <v>60100000</v>
      </c>
      <c r="F5">
        <v>58075000</v>
      </c>
    </row>
    <row r="6" spans="1:6" x14ac:dyDescent="0.25">
      <c r="A6" s="99" t="s">
        <v>256</v>
      </c>
      <c r="B6">
        <v>5.2</v>
      </c>
      <c r="C6">
        <v>1.99</v>
      </c>
      <c r="D6">
        <v>7.88</v>
      </c>
      <c r="E6">
        <v>7.44</v>
      </c>
      <c r="F6">
        <v>10.19</v>
      </c>
    </row>
    <row r="7" spans="1:6" x14ac:dyDescent="0.25">
      <c r="A7" s="99" t="s">
        <v>257</v>
      </c>
      <c r="B7">
        <v>323960000</v>
      </c>
      <c r="C7">
        <v>124800000</v>
      </c>
      <c r="D7">
        <v>493900000</v>
      </c>
      <c r="E7">
        <v>447100000</v>
      </c>
      <c r="F7">
        <v>594900000</v>
      </c>
    </row>
    <row r="8" spans="1:6" x14ac:dyDescent="0.25">
      <c r="A8" s="99" t="s">
        <v>258</v>
      </c>
      <c r="B8">
        <f>719902000/1000000</f>
        <v>719.90200000000004</v>
      </c>
      <c r="C8">
        <f>468800000/1000000</f>
        <v>468.8</v>
      </c>
      <c r="D8">
        <f>907000000/1000000</f>
        <v>907</v>
      </c>
      <c r="E8">
        <f>1065900000/1000000</f>
        <v>1065.9000000000001</v>
      </c>
      <c r="F8">
        <v>1113200000</v>
      </c>
    </row>
    <row r="9" spans="1:6" x14ac:dyDescent="0.25">
      <c r="A9" s="99" t="s">
        <v>259</v>
      </c>
      <c r="B9">
        <v>485389000</v>
      </c>
      <c r="C9">
        <v>208100000</v>
      </c>
      <c r="D9">
        <v>669900000</v>
      </c>
      <c r="E9">
        <v>833100000</v>
      </c>
      <c r="F9">
        <v>863400000</v>
      </c>
    </row>
    <row r="10" spans="1:6" x14ac:dyDescent="0.25">
      <c r="A10" s="99" t="s">
        <v>260</v>
      </c>
      <c r="B10">
        <f>393930000/1000000</f>
        <v>393.93</v>
      </c>
      <c r="C10">
        <f>359200000/1000000</f>
        <v>359.2</v>
      </c>
      <c r="D10">
        <f>366000000/1000000</f>
        <v>366</v>
      </c>
      <c r="E10">
        <f>355900000/1000000</f>
        <v>355.9</v>
      </c>
      <c r="F10">
        <v>383100000</v>
      </c>
    </row>
    <row r="11" spans="1:6" x14ac:dyDescent="0.25">
      <c r="A11" s="99" t="s">
        <v>261</v>
      </c>
      <c r="B11">
        <f>1648782000/1000000</f>
        <v>1648.7819999999999</v>
      </c>
      <c r="C11">
        <f>1710200000/1000000</f>
        <v>1710.2</v>
      </c>
      <c r="D11">
        <f>1942700000/1000000</f>
        <v>1942.7</v>
      </c>
      <c r="E11">
        <f>1959500000/1000000</f>
        <v>1959.5</v>
      </c>
      <c r="F11">
        <v>2056000000</v>
      </c>
    </row>
    <row r="12" spans="1:6" x14ac:dyDescent="0.25">
      <c r="A12" s="99" t="s">
        <v>262</v>
      </c>
      <c r="B12">
        <v>77589000</v>
      </c>
      <c r="C12">
        <v>66700000</v>
      </c>
      <c r="D12">
        <v>44200000</v>
      </c>
      <c r="E12">
        <v>71700000</v>
      </c>
      <c r="F12">
        <v>117100000</v>
      </c>
    </row>
    <row r="13" spans="1:6" x14ac:dyDescent="0.25">
      <c r="A13" s="99" t="s">
        <v>263</v>
      </c>
      <c r="B13">
        <v>77589000</v>
      </c>
      <c r="C13">
        <v>66700000</v>
      </c>
      <c r="D13">
        <v>44200000</v>
      </c>
      <c r="E13">
        <v>71700000</v>
      </c>
      <c r="F13">
        <v>117100000</v>
      </c>
    </row>
    <row r="14" spans="1:6" x14ac:dyDescent="0.25">
      <c r="A14" s="99" t="s">
        <v>264</v>
      </c>
      <c r="B14">
        <v>76000</v>
      </c>
      <c r="C14">
        <v>-100000</v>
      </c>
      <c r="D14">
        <v>-400000</v>
      </c>
      <c r="E14">
        <v>-500000</v>
      </c>
      <c r="F14">
        <v>0</v>
      </c>
    </row>
    <row r="15" spans="1:6" x14ac:dyDescent="0.25">
      <c r="A15" s="99" t="s">
        <v>118</v>
      </c>
      <c r="B15">
        <v>323960000</v>
      </c>
      <c r="C15">
        <v>124800000</v>
      </c>
      <c r="D15">
        <v>493900000</v>
      </c>
      <c r="E15">
        <v>447100000</v>
      </c>
      <c r="F15">
        <v>594900000</v>
      </c>
    </row>
    <row r="16" spans="1:6" x14ac:dyDescent="0.25">
      <c r="A16" s="99" t="s">
        <v>265</v>
      </c>
      <c r="B16">
        <v>323960000</v>
      </c>
      <c r="C16">
        <v>124800000</v>
      </c>
      <c r="D16">
        <v>493900000</v>
      </c>
      <c r="E16">
        <v>447100000</v>
      </c>
      <c r="F16">
        <v>594900000</v>
      </c>
    </row>
    <row r="17" spans="1:6" x14ac:dyDescent="0.25">
      <c r="A17" s="99" t="s">
        <v>266</v>
      </c>
      <c r="B17">
        <v>323884000</v>
      </c>
      <c r="C17">
        <v>124900000</v>
      </c>
      <c r="D17">
        <v>494300000</v>
      </c>
      <c r="E17">
        <v>603400000</v>
      </c>
      <c r="F17">
        <v>596000000</v>
      </c>
    </row>
    <row r="18" spans="1:6" x14ac:dyDescent="0.25">
      <c r="A18" s="99" t="s">
        <v>267</v>
      </c>
      <c r="E18">
        <v>-155800000</v>
      </c>
      <c r="F18">
        <v>-1100000</v>
      </c>
    </row>
    <row r="19" spans="1:6" x14ac:dyDescent="0.25">
      <c r="A19" s="99" t="s">
        <v>268</v>
      </c>
      <c r="B19">
        <v>323960000</v>
      </c>
      <c r="C19">
        <v>124800000</v>
      </c>
      <c r="D19">
        <v>493900000</v>
      </c>
      <c r="E19">
        <v>447100000</v>
      </c>
      <c r="F19">
        <v>594900000</v>
      </c>
    </row>
    <row r="20" spans="1:6" x14ac:dyDescent="0.25">
      <c r="A20" s="99" t="s">
        <v>269</v>
      </c>
      <c r="B20">
        <v>323960000</v>
      </c>
      <c r="C20">
        <v>124800000</v>
      </c>
      <c r="D20">
        <v>493900000</v>
      </c>
      <c r="E20">
        <v>602900000</v>
      </c>
      <c r="F20">
        <v>596000000</v>
      </c>
    </row>
    <row r="21" spans="1:6" x14ac:dyDescent="0.25">
      <c r="A21" s="99" t="s">
        <v>270</v>
      </c>
      <c r="B21">
        <v>323884000</v>
      </c>
      <c r="C21">
        <v>124900000</v>
      </c>
      <c r="D21">
        <v>494300000</v>
      </c>
      <c r="E21">
        <v>447600000</v>
      </c>
      <c r="F21">
        <v>594900000</v>
      </c>
    </row>
    <row r="22" spans="1:6" x14ac:dyDescent="0.25">
      <c r="A22" s="99" t="s">
        <v>271</v>
      </c>
      <c r="B22">
        <v>-77589000</v>
      </c>
      <c r="C22">
        <v>-66700000</v>
      </c>
      <c r="D22">
        <v>-44200000</v>
      </c>
      <c r="E22">
        <v>-71700000</v>
      </c>
      <c r="F22">
        <v>-117100000</v>
      </c>
    </row>
    <row r="23" spans="1:6" x14ac:dyDescent="0.25">
      <c r="A23" s="99" t="s">
        <v>272</v>
      </c>
      <c r="B23">
        <v>-77589000</v>
      </c>
      <c r="C23">
        <v>-66700000</v>
      </c>
      <c r="D23">
        <v>-44200000</v>
      </c>
      <c r="E23">
        <v>-71700000</v>
      </c>
      <c r="F23">
        <v>-117100000</v>
      </c>
    </row>
    <row r="24" spans="1:6" x14ac:dyDescent="0.25">
      <c r="A24" s="99" t="s">
        <v>273</v>
      </c>
      <c r="B24">
        <v>719902000</v>
      </c>
      <c r="C24">
        <v>848000000</v>
      </c>
      <c r="D24">
        <v>943800000</v>
      </c>
      <c r="E24">
        <v>1065900000</v>
      </c>
      <c r="F24">
        <v>1113200000</v>
      </c>
    </row>
    <row r="25" spans="1:6" x14ac:dyDescent="0.25">
      <c r="A25" s="99" t="s">
        <v>274</v>
      </c>
      <c r="B25">
        <v>323960000</v>
      </c>
      <c r="C25">
        <v>459751060.82036799</v>
      </c>
      <c r="D25">
        <v>522971823.55761498</v>
      </c>
      <c r="E25">
        <v>602900000</v>
      </c>
      <c r="F25">
        <v>596000000</v>
      </c>
    </row>
    <row r="26" spans="1:6" x14ac:dyDescent="0.25">
      <c r="A26" s="99" t="s">
        <v>275</v>
      </c>
      <c r="B26">
        <v>1165111000</v>
      </c>
      <c r="C26">
        <v>1118700000</v>
      </c>
      <c r="D26">
        <v>1233700000</v>
      </c>
      <c r="E26">
        <v>1155000000</v>
      </c>
      <c r="F26">
        <v>1240900000</v>
      </c>
    </row>
    <row r="27" spans="1:6" x14ac:dyDescent="0.25">
      <c r="A27" s="99" t="s">
        <v>276</v>
      </c>
      <c r="B27">
        <v>483671000</v>
      </c>
      <c r="C27">
        <v>591500000</v>
      </c>
      <c r="D27">
        <v>709000000</v>
      </c>
      <c r="E27">
        <v>804500000</v>
      </c>
      <c r="F27">
        <v>815100000</v>
      </c>
    </row>
    <row r="28" spans="1:6" x14ac:dyDescent="0.25">
      <c r="A28" s="99" t="s">
        <v>277</v>
      </c>
      <c r="B28">
        <v>6782518000</v>
      </c>
      <c r="C28">
        <v>7027900000</v>
      </c>
      <c r="D28">
        <v>8198200000</v>
      </c>
      <c r="E28">
        <v>8589000000</v>
      </c>
      <c r="F28">
        <v>9049300000</v>
      </c>
    </row>
    <row r="29" spans="1:6" x14ac:dyDescent="0.25">
      <c r="A29" s="99" t="s">
        <v>278</v>
      </c>
      <c r="B29">
        <v>393930000</v>
      </c>
      <c r="C29">
        <v>359200000</v>
      </c>
      <c r="D29">
        <v>366000000</v>
      </c>
      <c r="E29">
        <v>355900000</v>
      </c>
      <c r="F29">
        <v>383100000</v>
      </c>
    </row>
    <row r="30" spans="1:6" x14ac:dyDescent="0.25">
      <c r="A30" s="99" t="s">
        <v>279</v>
      </c>
      <c r="B30">
        <v>1718000</v>
      </c>
      <c r="C30">
        <v>-383400000</v>
      </c>
      <c r="D30">
        <v>-39100000</v>
      </c>
      <c r="E30">
        <v>28600000</v>
      </c>
      <c r="F30">
        <v>48300000</v>
      </c>
    </row>
    <row r="31" spans="1:6" x14ac:dyDescent="0.25">
      <c r="A31" s="99" t="s">
        <v>280</v>
      </c>
      <c r="B31">
        <v>6851000</v>
      </c>
      <c r="C31">
        <v>-4200000</v>
      </c>
      <c r="D31">
        <v>-2300000</v>
      </c>
      <c r="E31">
        <v>28600000</v>
      </c>
      <c r="F31">
        <v>48300000</v>
      </c>
    </row>
    <row r="32" spans="1:6" x14ac:dyDescent="0.25">
      <c r="A32" s="99" t="s">
        <v>281</v>
      </c>
      <c r="B32">
        <v>-80861000</v>
      </c>
      <c r="C32">
        <v>-80400000</v>
      </c>
      <c r="D32">
        <v>-53800000</v>
      </c>
      <c r="E32">
        <v>-48400000</v>
      </c>
      <c r="F32">
        <v>-72600000</v>
      </c>
    </row>
    <row r="33" spans="1:6" x14ac:dyDescent="0.25">
      <c r="A33" s="99" t="s">
        <v>282</v>
      </c>
      <c r="B33">
        <v>407800000</v>
      </c>
      <c r="C33">
        <v>141400000</v>
      </c>
      <c r="D33">
        <v>625700000</v>
      </c>
      <c r="E33">
        <v>761400000</v>
      </c>
      <c r="F33">
        <v>746300000</v>
      </c>
    </row>
    <row r="34" spans="1:6" x14ac:dyDescent="0.25">
      <c r="A34" s="99" t="s">
        <v>283</v>
      </c>
      <c r="B34">
        <v>5133736000</v>
      </c>
      <c r="C34">
        <v>5317700000</v>
      </c>
      <c r="D34">
        <v>6255500000</v>
      </c>
      <c r="E34">
        <v>6629500000</v>
      </c>
      <c r="F34">
        <v>6993300000</v>
      </c>
    </row>
    <row r="35" spans="1:6" x14ac:dyDescent="0.25">
      <c r="A35" s="105" t="s">
        <v>284</v>
      </c>
      <c r="B35">
        <v>234513000</v>
      </c>
      <c r="C35">
        <v>260700000</v>
      </c>
      <c r="D35">
        <v>237100000</v>
      </c>
      <c r="E35">
        <v>232800000</v>
      </c>
      <c r="F35">
        <v>249800000</v>
      </c>
    </row>
    <row r="36" spans="1:6" x14ac:dyDescent="0.25">
      <c r="A36" s="99" t="s">
        <v>285</v>
      </c>
      <c r="B36">
        <v>292935000</v>
      </c>
      <c r="C36">
        <v>295600000</v>
      </c>
      <c r="D36">
        <v>336700000</v>
      </c>
      <c r="E36">
        <v>366700000</v>
      </c>
      <c r="F36">
        <v>382100000</v>
      </c>
    </row>
    <row r="37" spans="1:6" x14ac:dyDescent="0.25">
      <c r="A37" s="99" t="s">
        <v>286</v>
      </c>
      <c r="B37">
        <v>559107000</v>
      </c>
      <c r="C37">
        <v>544300000</v>
      </c>
      <c r="D37">
        <v>584800000</v>
      </c>
      <c r="E37">
        <v>480800000</v>
      </c>
      <c r="F37">
        <v>548300000</v>
      </c>
    </row>
    <row r="38" spans="1:6" x14ac:dyDescent="0.25">
      <c r="A38" s="99" t="s">
        <v>287</v>
      </c>
      <c r="B38">
        <v>953037000</v>
      </c>
      <c r="C38">
        <v>903500000</v>
      </c>
      <c r="D38">
        <v>950800000</v>
      </c>
      <c r="E38">
        <v>836700000</v>
      </c>
      <c r="F38">
        <v>931400000</v>
      </c>
    </row>
    <row r="39" spans="1:6" x14ac:dyDescent="0.25">
      <c r="A39" s="99" t="s">
        <v>288</v>
      </c>
      <c r="B39">
        <v>0</v>
      </c>
      <c r="C39">
        <v>-44248939.179632001</v>
      </c>
      <c r="D39">
        <v>-7728176.4423850002</v>
      </c>
      <c r="E39">
        <v>0</v>
      </c>
      <c r="F39">
        <v>0</v>
      </c>
    </row>
    <row r="40" spans="1:6" x14ac:dyDescent="0.25">
      <c r="A40" s="99" t="s">
        <v>289</v>
      </c>
      <c r="B40">
        <v>83916000</v>
      </c>
      <c r="C40">
        <v>16500000</v>
      </c>
      <c r="D40">
        <v>131400000</v>
      </c>
      <c r="E40">
        <v>158000000</v>
      </c>
      <c r="F40">
        <v>150300000</v>
      </c>
    </row>
    <row r="41" spans="1:6" x14ac:dyDescent="0.25">
      <c r="A41" s="99" t="s">
        <v>290</v>
      </c>
      <c r="B41">
        <v>0.20577699999999999</v>
      </c>
      <c r="C41">
        <v>0.11669</v>
      </c>
      <c r="D41">
        <v>0.210005</v>
      </c>
      <c r="E41">
        <v>0.207512</v>
      </c>
      <c r="F41">
        <v>0.20139399999999999</v>
      </c>
    </row>
    <row r="42" spans="1:6" x14ac:dyDescent="0.25">
      <c r="A42" s="99" t="s">
        <v>291</v>
      </c>
      <c r="B42">
        <v>6298847000</v>
      </c>
      <c r="C42">
        <v>6436400000</v>
      </c>
      <c r="D42">
        <v>7489200000</v>
      </c>
      <c r="E42">
        <v>7784500000</v>
      </c>
      <c r="F42">
        <v>8234200000</v>
      </c>
    </row>
    <row r="43" spans="1:6" x14ac:dyDescent="0.25">
      <c r="A43" s="99" t="s">
        <v>292</v>
      </c>
      <c r="B43">
        <v>483671000</v>
      </c>
      <c r="C43">
        <v>212300000</v>
      </c>
      <c r="D43">
        <v>709000000</v>
      </c>
      <c r="E43">
        <v>804500000</v>
      </c>
      <c r="F43">
        <v>815100000</v>
      </c>
    </row>
    <row r="44" spans="1:6" x14ac:dyDescent="0.25">
      <c r="A44" s="99" t="s">
        <v>293</v>
      </c>
      <c r="B44">
        <f>6782518000/100000</f>
        <v>67825.179999999993</v>
      </c>
      <c r="C44">
        <f>7027900000/100000</f>
        <v>70279</v>
      </c>
      <c r="D44">
        <f>8198200000/100000</f>
        <v>81982</v>
      </c>
      <c r="E44">
        <f>8589000000/100000</f>
        <v>85890</v>
      </c>
      <c r="F44">
        <v>9049300000</v>
      </c>
    </row>
    <row r="45" spans="1:6" x14ac:dyDescent="0.25">
      <c r="A45" s="99" t="s">
        <v>294</v>
      </c>
      <c r="C45">
        <v>-379200000</v>
      </c>
      <c r="D45">
        <v>-36800000</v>
      </c>
      <c r="E45">
        <v>0</v>
      </c>
      <c r="F45">
        <v>0</v>
      </c>
    </row>
    <row r="46" spans="1:6" x14ac:dyDescent="0.25">
      <c r="A46" s="99" t="s">
        <v>295</v>
      </c>
      <c r="C46">
        <v>-379200000</v>
      </c>
      <c r="D46">
        <v>-36800000</v>
      </c>
      <c r="E46">
        <v>0</v>
      </c>
      <c r="F46">
        <v>0</v>
      </c>
    </row>
    <row r="47" spans="1:6" x14ac:dyDescent="0.25">
      <c r="A47" s="99" t="s">
        <v>296</v>
      </c>
      <c r="B47">
        <v>-5133000</v>
      </c>
      <c r="C47">
        <v>0</v>
      </c>
      <c r="D47">
        <v>0</v>
      </c>
    </row>
    <row r="48" spans="1:6" x14ac:dyDescent="0.25">
      <c r="A48" s="99" t="s">
        <v>297</v>
      </c>
      <c r="C48">
        <v>379200000</v>
      </c>
      <c r="D48">
        <v>0</v>
      </c>
      <c r="E48">
        <v>0</v>
      </c>
    </row>
    <row r="49" spans="1:5" x14ac:dyDescent="0.25">
      <c r="A49" s="99" t="s">
        <v>298</v>
      </c>
      <c r="C49">
        <v>-379200000</v>
      </c>
      <c r="D49">
        <v>-36800000</v>
      </c>
      <c r="E49">
        <v>0</v>
      </c>
    </row>
    <row r="50" spans="1:5" x14ac:dyDescent="0.25">
      <c r="A50" s="99" t="s">
        <v>299</v>
      </c>
      <c r="D50">
        <v>-36800000</v>
      </c>
      <c r="E5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E70" sqref="E70"/>
    </sheetView>
  </sheetViews>
  <sheetFormatPr defaultRowHeight="15" x14ac:dyDescent="0.25"/>
  <cols>
    <col min="1" max="1" width="43.7109375" style="59" customWidth="1"/>
    <col min="2" max="2" width="19.42578125" style="59" customWidth="1"/>
    <col min="3" max="3" width="17.42578125" style="59" customWidth="1"/>
    <col min="4" max="4" width="17.140625" style="59" customWidth="1"/>
    <col min="5" max="5" width="19.7109375" style="59" customWidth="1"/>
  </cols>
  <sheetData>
    <row r="1" spans="1:12" x14ac:dyDescent="0.25">
      <c r="B1" s="58" t="s">
        <v>0</v>
      </c>
      <c r="C1" s="58" t="s">
        <v>1</v>
      </c>
      <c r="D1" s="58" t="s">
        <v>2</v>
      </c>
      <c r="E1" s="58" t="s">
        <v>3</v>
      </c>
    </row>
    <row r="2" spans="1:12" x14ac:dyDescent="0.25">
      <c r="A2" s="58" t="s">
        <v>4</v>
      </c>
      <c r="B2">
        <f>450228000/L3</f>
        <v>450.22800000000001</v>
      </c>
      <c r="C2">
        <f>782200000/L3</f>
        <v>782.2</v>
      </c>
      <c r="D2">
        <f>797400000/L3</f>
        <v>797.4</v>
      </c>
      <c r="E2">
        <f>847600000/L3</f>
        <v>847.6</v>
      </c>
    </row>
    <row r="3" spans="1:12" x14ac:dyDescent="0.25">
      <c r="A3" s="58" t="s">
        <v>5</v>
      </c>
      <c r="B3">
        <f>190430000/L3</f>
        <v>190.43</v>
      </c>
      <c r="C3">
        <f>257200000/L3</f>
        <v>257.2</v>
      </c>
      <c r="D3">
        <f>240500000/L3</f>
        <v>240.5</v>
      </c>
      <c r="E3">
        <f>343000000/L3</f>
        <v>343</v>
      </c>
      <c r="I3" s="119" t="s">
        <v>304</v>
      </c>
      <c r="J3" s="119"/>
      <c r="K3" s="119"/>
      <c r="L3" s="59">
        <v>1000000</v>
      </c>
    </row>
    <row r="4" spans="1:12" x14ac:dyDescent="0.25">
      <c r="A4" s="58" t="s">
        <v>6</v>
      </c>
      <c r="B4">
        <v>-993585000</v>
      </c>
      <c r="C4">
        <v>-1127900000</v>
      </c>
      <c r="D4">
        <v>-1229000000</v>
      </c>
      <c r="E4">
        <v>-1165700000</v>
      </c>
    </row>
    <row r="5" spans="1:12" x14ac:dyDescent="0.25">
      <c r="A5" s="58" t="s">
        <v>7</v>
      </c>
      <c r="B5">
        <v>892849000</v>
      </c>
      <c r="C5">
        <v>983900000</v>
      </c>
      <c r="D5">
        <v>1143800000</v>
      </c>
      <c r="E5">
        <v>1152100000</v>
      </c>
    </row>
    <row r="6" spans="1:12" x14ac:dyDescent="0.25">
      <c r="A6" s="58" t="s">
        <v>8</v>
      </c>
      <c r="B6">
        <v>-9451000</v>
      </c>
      <c r="C6">
        <v>-5300000</v>
      </c>
      <c r="D6">
        <v>-9300000</v>
      </c>
      <c r="E6">
        <v>-8700000</v>
      </c>
    </row>
    <row r="7" spans="1:12" x14ac:dyDescent="0.25">
      <c r="A7" s="58" t="s">
        <v>9</v>
      </c>
      <c r="B7">
        <v>127644000</v>
      </c>
      <c r="C7">
        <v>141700000</v>
      </c>
      <c r="D7">
        <v>179900000</v>
      </c>
      <c r="E7">
        <v>121000000</v>
      </c>
    </row>
    <row r="8" spans="1:12" x14ac:dyDescent="0.25">
      <c r="A8" s="58" t="s">
        <v>10</v>
      </c>
      <c r="B8">
        <v>614000</v>
      </c>
      <c r="C8">
        <v>600000</v>
      </c>
      <c r="D8">
        <v>600000</v>
      </c>
      <c r="E8">
        <v>600000</v>
      </c>
    </row>
    <row r="9" spans="1:12" x14ac:dyDescent="0.25">
      <c r="A9" s="58" t="s">
        <v>11</v>
      </c>
      <c r="B9">
        <v>157064000</v>
      </c>
      <c r="C9">
        <v>634700000</v>
      </c>
      <c r="D9">
        <v>509200000</v>
      </c>
      <c r="E9">
        <v>324500000</v>
      </c>
    </row>
    <row r="10" spans="1:12" x14ac:dyDescent="0.25">
      <c r="A10" s="58" t="s">
        <v>12</v>
      </c>
      <c r="B10">
        <v>157064000</v>
      </c>
      <c r="C10">
        <v>634700000</v>
      </c>
      <c r="D10">
        <v>509200000</v>
      </c>
      <c r="E10">
        <v>324500000</v>
      </c>
    </row>
    <row r="11" spans="1:12" x14ac:dyDescent="0.25">
      <c r="A11" s="58" t="s">
        <v>13</v>
      </c>
      <c r="B11">
        <v>614000</v>
      </c>
      <c r="C11">
        <v>600000</v>
      </c>
      <c r="D11">
        <v>600000</v>
      </c>
      <c r="E11">
        <v>600000</v>
      </c>
    </row>
    <row r="12" spans="1:12" x14ac:dyDescent="0.25">
      <c r="A12" s="58" t="s">
        <v>14</v>
      </c>
      <c r="B12">
        <v>1107999000</v>
      </c>
      <c r="C12">
        <v>1144500000</v>
      </c>
      <c r="D12">
        <v>1224300000</v>
      </c>
      <c r="E12">
        <v>1099000000</v>
      </c>
    </row>
    <row r="13" spans="1:12" x14ac:dyDescent="0.25">
      <c r="A13" s="58" t="s">
        <v>15</v>
      </c>
      <c r="B13">
        <f>549598000/L3</f>
        <v>549.59799999999996</v>
      </c>
      <c r="C13">
        <f>552200000/L3</f>
        <v>552.20000000000005</v>
      </c>
      <c r="D13">
        <f>463900000/L3</f>
        <v>463.9</v>
      </c>
      <c r="E13">
        <f>896800000/L3</f>
        <v>896.8</v>
      </c>
    </row>
    <row r="14" spans="1:12" x14ac:dyDescent="0.25">
      <c r="A14" s="58" t="s">
        <v>16</v>
      </c>
      <c r="B14">
        <v>1626960000</v>
      </c>
      <c r="C14">
        <v>2207500000</v>
      </c>
      <c r="D14">
        <v>2559000000</v>
      </c>
      <c r="E14">
        <v>2767600000</v>
      </c>
    </row>
    <row r="15" spans="1:12" x14ac:dyDescent="0.25">
      <c r="A15" s="58" t="s">
        <v>17</v>
      </c>
      <c r="B15">
        <f>34904000/L3</f>
        <v>34.904000000000003</v>
      </c>
      <c r="C15">
        <f>34700000/L3</f>
        <v>34.700000000000003</v>
      </c>
      <c r="D15">
        <f>39300000/L3</f>
        <v>39.299999999999997</v>
      </c>
      <c r="E15">
        <f>24100000/L3</f>
        <v>24.1</v>
      </c>
    </row>
    <row r="16" spans="1:12" x14ac:dyDescent="0.25">
      <c r="A16" s="58" t="s">
        <v>18</v>
      </c>
      <c r="B16">
        <f>166695000/L3</f>
        <v>166.69499999999999</v>
      </c>
      <c r="C16">
        <f>142100000/L3</f>
        <v>142.1</v>
      </c>
      <c r="D16">
        <f>553300000/L3</f>
        <v>553.29999999999995</v>
      </c>
      <c r="E16">
        <f>553600000/L3</f>
        <v>553.6</v>
      </c>
    </row>
    <row r="17" spans="1:5" x14ac:dyDescent="0.25">
      <c r="A17" s="58" t="s">
        <v>19</v>
      </c>
      <c r="B17">
        <v>201599000</v>
      </c>
      <c r="C17">
        <v>176800000</v>
      </c>
      <c r="D17">
        <v>592600000</v>
      </c>
      <c r="E17">
        <v>577700000</v>
      </c>
    </row>
    <row r="18" spans="1:5" x14ac:dyDescent="0.25">
      <c r="A18" s="58" t="s">
        <v>20</v>
      </c>
      <c r="B18">
        <f>1527990000/L3</f>
        <v>1527.99</v>
      </c>
      <c r="C18">
        <v>1889400000</v>
      </c>
      <c r="D18">
        <v>2230100000</v>
      </c>
      <c r="E18">
        <v>2328600000</v>
      </c>
    </row>
    <row r="19" spans="1:5" x14ac:dyDescent="0.25">
      <c r="A19" s="58" t="s">
        <v>21</v>
      </c>
      <c r="B19">
        <f>136184000/L3</f>
        <v>136.184</v>
      </c>
      <c r="C19">
        <f>140800000/L3</f>
        <v>140.80000000000001</v>
      </c>
      <c r="D19">
        <f>135100000/L3</f>
        <v>135.1</v>
      </c>
    </row>
    <row r="20" spans="1:5" x14ac:dyDescent="0.25">
      <c r="A20" s="58" t="s">
        <v>22</v>
      </c>
      <c r="B20">
        <v>476169000</v>
      </c>
      <c r="C20">
        <v>381300000</v>
      </c>
      <c r="D20">
        <v>588200000</v>
      </c>
      <c r="E20">
        <v>768200000</v>
      </c>
    </row>
    <row r="21" spans="1:5" x14ac:dyDescent="0.25">
      <c r="A21" s="58" t="s">
        <v>23</v>
      </c>
      <c r="B21">
        <v>-72720000</v>
      </c>
      <c r="C21">
        <v>-58400000</v>
      </c>
      <c r="D21">
        <v>-77400000</v>
      </c>
      <c r="E21">
        <v>-87500000</v>
      </c>
    </row>
    <row r="22" spans="1:5" x14ac:dyDescent="0.25">
      <c r="A22" s="58" t="s">
        <v>24</v>
      </c>
      <c r="B22">
        <v>659937000</v>
      </c>
      <c r="C22">
        <v>397300000</v>
      </c>
      <c r="D22">
        <v>391300000</v>
      </c>
      <c r="E22">
        <v>386200000</v>
      </c>
    </row>
    <row r="23" spans="1:5" x14ac:dyDescent="0.25">
      <c r="A23" s="58" t="s">
        <v>25</v>
      </c>
      <c r="B23">
        <v>1490235000</v>
      </c>
      <c r="C23">
        <v>1083700000</v>
      </c>
      <c r="D23">
        <v>1037500000</v>
      </c>
      <c r="E23">
        <v>910600000</v>
      </c>
    </row>
    <row r="24" spans="1:5" x14ac:dyDescent="0.25">
      <c r="A24" s="58" t="s">
        <v>26</v>
      </c>
      <c r="B24">
        <v>199881000</v>
      </c>
      <c r="C24">
        <v>262500000</v>
      </c>
      <c r="D24">
        <v>249800000</v>
      </c>
      <c r="E24">
        <v>351700000</v>
      </c>
    </row>
    <row r="25" spans="1:5" x14ac:dyDescent="0.25">
      <c r="A25" s="58" t="s">
        <v>27</v>
      </c>
      <c r="B25">
        <v>1009962000</v>
      </c>
      <c r="C25">
        <v>1014200000</v>
      </c>
      <c r="D25">
        <v>1140600000</v>
      </c>
      <c r="E25">
        <v>1129400000</v>
      </c>
    </row>
    <row r="26" spans="1:5" x14ac:dyDescent="0.25">
      <c r="A26" s="58" t="s">
        <v>28</v>
      </c>
      <c r="B26">
        <f>5867000/L3</f>
        <v>5.867</v>
      </c>
      <c r="C26">
        <f>22000000/L3</f>
        <v>22</v>
      </c>
      <c r="D26">
        <f>17200000/L3</f>
        <v>17.2</v>
      </c>
      <c r="E26">
        <f>6500000/L3</f>
        <v>6.5</v>
      </c>
    </row>
    <row r="27" spans="1:5" x14ac:dyDescent="0.25">
      <c r="A27" s="58" t="s">
        <v>29</v>
      </c>
      <c r="B27">
        <v>-56660000</v>
      </c>
      <c r="C27">
        <v>-67700000</v>
      </c>
      <c r="D27">
        <v>-81300000</v>
      </c>
      <c r="E27">
        <v>-86700000</v>
      </c>
    </row>
    <row r="28" spans="1:5" x14ac:dyDescent="0.25">
      <c r="A28" s="58" t="s">
        <v>30</v>
      </c>
      <c r="B28">
        <f>1121111000/L3</f>
        <v>1121.1110000000001</v>
      </c>
      <c r="C28">
        <f>1177600000/L3</f>
        <v>1177.5999999999999</v>
      </c>
      <c r="D28">
        <f>1644800000/L3</f>
        <v>1644.8</v>
      </c>
      <c r="E28">
        <f>1896100000/L3</f>
        <v>1896.1</v>
      </c>
    </row>
    <row r="29" spans="1:5" x14ac:dyDescent="0.25">
      <c r="A29" s="58" t="s">
        <v>31</v>
      </c>
      <c r="B29">
        <v>2786694000</v>
      </c>
      <c r="C29">
        <v>2580500000</v>
      </c>
      <c r="D29">
        <v>3012900000</v>
      </c>
      <c r="E29">
        <v>3146900000</v>
      </c>
    </row>
    <row r="30" spans="1:5" x14ac:dyDescent="0.25">
      <c r="A30" s="58" t="s">
        <v>32</v>
      </c>
      <c r="B30">
        <v>110641000</v>
      </c>
      <c r="C30">
        <v>59400000</v>
      </c>
      <c r="D30">
        <v>49300000</v>
      </c>
      <c r="E30">
        <v>93100000</v>
      </c>
    </row>
    <row r="31" spans="1:5" x14ac:dyDescent="0.25">
      <c r="A31" s="58" t="s">
        <v>33</v>
      </c>
      <c r="B31">
        <v>110641000</v>
      </c>
      <c r="C31">
        <v>59400000</v>
      </c>
      <c r="D31">
        <v>49300000</v>
      </c>
      <c r="E31">
        <v>93100000</v>
      </c>
    </row>
    <row r="32" spans="1:5" x14ac:dyDescent="0.25">
      <c r="A32" s="58" t="s">
        <v>34</v>
      </c>
      <c r="B32">
        <v>92740000</v>
      </c>
      <c r="C32">
        <v>107000000</v>
      </c>
      <c r="D32">
        <v>140600000</v>
      </c>
      <c r="E32">
        <v>96900000</v>
      </c>
    </row>
    <row r="33" spans="1:5" x14ac:dyDescent="0.25">
      <c r="A33" s="58" t="s">
        <v>35</v>
      </c>
      <c r="B33">
        <v>1512000000</v>
      </c>
      <c r="C33">
        <v>1293900000</v>
      </c>
      <c r="D33">
        <v>1235300000</v>
      </c>
      <c r="E33">
        <v>1494300000</v>
      </c>
    </row>
    <row r="34" spans="1:5" x14ac:dyDescent="0.25">
      <c r="A34" s="58" t="s">
        <v>36</v>
      </c>
      <c r="B34">
        <v>1604740000</v>
      </c>
      <c r="C34">
        <v>1400900000</v>
      </c>
      <c r="D34">
        <v>1375900000</v>
      </c>
      <c r="E34">
        <v>1591200000</v>
      </c>
    </row>
    <row r="35" spans="1:5" x14ac:dyDescent="0.25">
      <c r="A35" s="58" t="s">
        <v>37</v>
      </c>
      <c r="B35">
        <v>110641000</v>
      </c>
      <c r="C35">
        <v>59400000</v>
      </c>
      <c r="D35">
        <v>49300000</v>
      </c>
      <c r="E35">
        <v>93100000</v>
      </c>
    </row>
    <row r="36" spans="1:5" x14ac:dyDescent="0.25">
      <c r="A36" s="58" t="s">
        <v>38</v>
      </c>
      <c r="B36">
        <v>1390541000</v>
      </c>
      <c r="C36">
        <v>1499500000</v>
      </c>
    </row>
    <row r="37" spans="1:5" x14ac:dyDescent="0.25">
      <c r="A37" s="58" t="s">
        <v>39</v>
      </c>
      <c r="B37">
        <v>203000</v>
      </c>
      <c r="C37">
        <v>300000</v>
      </c>
      <c r="D37">
        <v>2000000</v>
      </c>
      <c r="E37">
        <v>2500000</v>
      </c>
    </row>
    <row r="38" spans="1:5" x14ac:dyDescent="0.25">
      <c r="A38" s="58" t="s">
        <v>40</v>
      </c>
      <c r="B38">
        <v>1521631000</v>
      </c>
      <c r="C38">
        <v>801300000</v>
      </c>
      <c r="D38">
        <v>1279400000</v>
      </c>
      <c r="E38">
        <v>1723400000</v>
      </c>
    </row>
    <row r="39" spans="1:5" x14ac:dyDescent="0.25">
      <c r="A39" s="58" t="s">
        <v>41</v>
      </c>
      <c r="B39">
        <v>1009962000</v>
      </c>
      <c r="C39">
        <v>1014200000</v>
      </c>
      <c r="D39">
        <v>1140600000</v>
      </c>
      <c r="E39">
        <v>1129400000</v>
      </c>
    </row>
    <row r="40" spans="1:5" x14ac:dyDescent="0.25">
      <c r="A40" s="58" t="s">
        <v>42</v>
      </c>
      <c r="B40">
        <v>-382236000</v>
      </c>
      <c r="C40">
        <v>60800000</v>
      </c>
      <c r="D40">
        <v>186800000</v>
      </c>
      <c r="E40">
        <v>188400000</v>
      </c>
    </row>
    <row r="41" spans="1:5" x14ac:dyDescent="0.25">
      <c r="A41" s="58" t="s">
        <v>43</v>
      </c>
      <c r="B41">
        <v>93282000</v>
      </c>
      <c r="C41">
        <v>177700000</v>
      </c>
      <c r="D41">
        <v>163600000</v>
      </c>
      <c r="E41">
        <v>210500000</v>
      </c>
    </row>
    <row r="42" spans="1:5" x14ac:dyDescent="0.25">
      <c r="A42" s="58" t="s">
        <v>44</v>
      </c>
      <c r="B42">
        <v>17550000</v>
      </c>
      <c r="C42">
        <v>16700000</v>
      </c>
      <c r="D42">
        <v>16700000</v>
      </c>
      <c r="E42">
        <v>17200000</v>
      </c>
    </row>
    <row r="43" spans="1:5" x14ac:dyDescent="0.25">
      <c r="A43" s="58" t="s">
        <v>45</v>
      </c>
      <c r="B43">
        <v>93282000</v>
      </c>
      <c r="C43">
        <v>177700000</v>
      </c>
      <c r="D43">
        <v>163600000</v>
      </c>
      <c r="E43">
        <v>210500000</v>
      </c>
    </row>
    <row r="44" spans="1:5" x14ac:dyDescent="0.25">
      <c r="A44" s="58" t="s">
        <v>46</v>
      </c>
      <c r="B44">
        <v>3952000</v>
      </c>
      <c r="C44">
        <v>4400000</v>
      </c>
      <c r="D44">
        <v>5500000</v>
      </c>
      <c r="E44">
        <v>4600000</v>
      </c>
    </row>
    <row r="45" spans="1:5" x14ac:dyDescent="0.25">
      <c r="A45" s="58" t="s">
        <v>47</v>
      </c>
      <c r="B45">
        <v>61412000</v>
      </c>
      <c r="C45">
        <v>61900000</v>
      </c>
      <c r="D45">
        <v>60400000</v>
      </c>
      <c r="E45">
        <v>57000000</v>
      </c>
    </row>
    <row r="46" spans="1:5" x14ac:dyDescent="0.25">
      <c r="A46" s="58" t="s">
        <v>48</v>
      </c>
      <c r="B46">
        <v>125908000</v>
      </c>
      <c r="C46">
        <v>134100000</v>
      </c>
      <c r="D46">
        <v>160500000</v>
      </c>
      <c r="E46">
        <v>183700000</v>
      </c>
    </row>
    <row r="47" spans="1:5" x14ac:dyDescent="0.25">
      <c r="A47" s="58" t="s">
        <v>49</v>
      </c>
      <c r="B47">
        <v>166695000</v>
      </c>
      <c r="C47">
        <v>142100000</v>
      </c>
      <c r="D47">
        <v>553300000</v>
      </c>
      <c r="E47">
        <v>553600000</v>
      </c>
    </row>
    <row r="48" spans="1:5" x14ac:dyDescent="0.25">
      <c r="A48" s="58" t="s">
        <v>50</v>
      </c>
      <c r="B48">
        <v>-72720000</v>
      </c>
      <c r="C48">
        <v>-58400000</v>
      </c>
      <c r="D48">
        <v>-77400000</v>
      </c>
      <c r="E48">
        <v>-87500000</v>
      </c>
    </row>
    <row r="49" spans="1:5" x14ac:dyDescent="0.25">
      <c r="A49" s="58" t="s">
        <v>51</v>
      </c>
      <c r="B49">
        <v>830298000</v>
      </c>
      <c r="C49">
        <v>686400000</v>
      </c>
      <c r="D49">
        <v>646200000</v>
      </c>
      <c r="E49">
        <v>524400000</v>
      </c>
    </row>
    <row r="50" spans="1:5" x14ac:dyDescent="0.25">
      <c r="A50" s="58" t="s">
        <v>52</v>
      </c>
      <c r="B50">
        <v>99449000</v>
      </c>
      <c r="C50">
        <v>90200000</v>
      </c>
      <c r="D50">
        <v>97800000</v>
      </c>
      <c r="E50">
        <v>106700000</v>
      </c>
    </row>
    <row r="51" spans="1:5" x14ac:dyDescent="0.25">
      <c r="A51" s="58" t="s">
        <v>53</v>
      </c>
      <c r="B51">
        <v>143955000</v>
      </c>
      <c r="C51">
        <v>166500000</v>
      </c>
      <c r="D51">
        <v>185500000</v>
      </c>
      <c r="E51">
        <v>167700000</v>
      </c>
    </row>
    <row r="52" spans="1:5" x14ac:dyDescent="0.25">
      <c r="A52" s="58" t="s">
        <v>54</v>
      </c>
      <c r="B52">
        <v>1009962000</v>
      </c>
      <c r="C52">
        <v>1014200000</v>
      </c>
      <c r="D52">
        <v>1140600000</v>
      </c>
      <c r="E52">
        <v>1129400000</v>
      </c>
    </row>
    <row r="53" spans="1:5" x14ac:dyDescent="0.25">
      <c r="A53" s="58" t="s">
        <v>55</v>
      </c>
      <c r="B53">
        <v>456095000</v>
      </c>
      <c r="C53">
        <v>804200000</v>
      </c>
      <c r="D53">
        <v>814600000</v>
      </c>
      <c r="E53">
        <v>854100000</v>
      </c>
    </row>
    <row r="54" spans="1:5" x14ac:dyDescent="0.25">
      <c r="A54" s="58" t="s">
        <v>56</v>
      </c>
      <c r="B54">
        <v>1005693000</v>
      </c>
      <c r="C54">
        <v>1356400000</v>
      </c>
      <c r="D54">
        <v>1278500000</v>
      </c>
      <c r="E54">
        <v>1750900000</v>
      </c>
    </row>
    <row r="55" spans="1:5" x14ac:dyDescent="0.25">
      <c r="A55" s="58" t="s">
        <v>57</v>
      </c>
      <c r="B55">
        <f>184514000/L3</f>
        <v>184.51400000000001</v>
      </c>
      <c r="C55">
        <f>215400000/L3</f>
        <v>215.4</v>
      </c>
      <c r="D55">
        <f>223900000/L3</f>
        <v>223.9</v>
      </c>
    </row>
    <row r="56" spans="1:5" x14ac:dyDescent="0.25">
      <c r="A56" s="58" t="s">
        <v>58</v>
      </c>
      <c r="B56">
        <v>0</v>
      </c>
      <c r="C56">
        <v>0</v>
      </c>
      <c r="D56">
        <v>0</v>
      </c>
      <c r="E56">
        <v>0</v>
      </c>
    </row>
    <row r="57" spans="1:5" x14ac:dyDescent="0.25">
      <c r="A57" s="58" t="s">
        <v>59</v>
      </c>
      <c r="B57">
        <f>125908000/L3</f>
        <v>125.908</v>
      </c>
      <c r="C57">
        <f>134100000/L3</f>
        <v>134.1</v>
      </c>
      <c r="D57">
        <f>160500000/L3</f>
        <v>160.5</v>
      </c>
      <c r="E57">
        <f>183700000/L3</f>
        <v>183.7</v>
      </c>
    </row>
    <row r="58" spans="1:5" x14ac:dyDescent="0.25">
      <c r="A58" s="58" t="s">
        <v>60</v>
      </c>
      <c r="B58">
        <v>502853000</v>
      </c>
      <c r="C58">
        <v>517200000</v>
      </c>
      <c r="D58">
        <v>532200000</v>
      </c>
      <c r="E58">
        <v>539100000</v>
      </c>
    </row>
    <row r="59" spans="1:5" x14ac:dyDescent="0.25">
      <c r="A59" s="58" t="s">
        <v>61</v>
      </c>
      <c r="B59">
        <v>701602000</v>
      </c>
      <c r="C59">
        <v>864000000</v>
      </c>
      <c r="D59">
        <v>1137900000</v>
      </c>
      <c r="E59">
        <v>1214600000</v>
      </c>
    </row>
    <row r="60" spans="1:5" x14ac:dyDescent="0.25">
      <c r="A60" s="58" t="s">
        <v>62</v>
      </c>
      <c r="B60">
        <v>222877000</v>
      </c>
      <c r="C60">
        <v>261100000</v>
      </c>
      <c r="D60">
        <v>244500000</v>
      </c>
      <c r="E60">
        <v>363300000</v>
      </c>
    </row>
    <row r="61" spans="1:5" x14ac:dyDescent="0.25">
      <c r="A61" s="58" t="s">
        <v>63</v>
      </c>
      <c r="B61">
        <v>287256000</v>
      </c>
      <c r="C61">
        <v>218400000</v>
      </c>
      <c r="D61">
        <v>157300000</v>
      </c>
      <c r="E61">
        <v>33800000</v>
      </c>
    </row>
    <row r="62" spans="1:5" x14ac:dyDescent="0.25">
      <c r="A62" s="58" t="s">
        <v>64</v>
      </c>
      <c r="B62">
        <v>61412000</v>
      </c>
      <c r="C62">
        <v>61900000</v>
      </c>
      <c r="D62">
        <v>60400000</v>
      </c>
      <c r="E62">
        <v>57000000</v>
      </c>
    </row>
    <row r="63" spans="1:5" x14ac:dyDescent="0.25">
      <c r="A63" s="58" t="s">
        <v>65</v>
      </c>
      <c r="B63">
        <v>1107999000</v>
      </c>
      <c r="C63">
        <v>1144500000</v>
      </c>
      <c r="D63">
        <v>1224300000</v>
      </c>
      <c r="E63">
        <v>1099000000</v>
      </c>
    </row>
    <row r="64" spans="1:5" x14ac:dyDescent="0.25">
      <c r="A64" s="58" t="s">
        <v>66</v>
      </c>
      <c r="B64">
        <v>-382236000</v>
      </c>
      <c r="C64">
        <v>60800000</v>
      </c>
      <c r="D64">
        <v>186800000</v>
      </c>
      <c r="E64">
        <v>188400000</v>
      </c>
    </row>
    <row r="65" spans="1:5" x14ac:dyDescent="0.25">
      <c r="A65" s="58" t="s">
        <v>67</v>
      </c>
      <c r="B65">
        <v>32447000</v>
      </c>
      <c r="C65">
        <v>3900000</v>
      </c>
      <c r="D65">
        <v>4000000</v>
      </c>
      <c r="E65">
        <v>20300000</v>
      </c>
    </row>
    <row r="66" spans="1:5" x14ac:dyDescent="0.25">
      <c r="A66" s="58" t="s">
        <v>68</v>
      </c>
      <c r="B66">
        <f>4430529000/L3</f>
        <v>4430.5290000000005</v>
      </c>
      <c r="C66">
        <f>4632700000/L3</f>
        <v>4632.7</v>
      </c>
      <c r="D66">
        <f>5047800000/L3</f>
        <v>5047.8</v>
      </c>
      <c r="E66">
        <f>5217900000/L3</f>
        <v>5217.8999999999996</v>
      </c>
    </row>
    <row r="67" spans="1:5" x14ac:dyDescent="0.25">
      <c r="A67" s="58" t="s">
        <v>69</v>
      </c>
      <c r="B67">
        <v>2619999000</v>
      </c>
      <c r="C67">
        <v>2438400000</v>
      </c>
      <c r="D67">
        <v>2459600000</v>
      </c>
      <c r="E67">
        <v>2593300000</v>
      </c>
    </row>
    <row r="68" spans="1:5" x14ac:dyDescent="0.25">
      <c r="A68" s="58" t="s">
        <v>70</v>
      </c>
      <c r="B68">
        <v>1806339000</v>
      </c>
      <c r="C68">
        <v>1577700000</v>
      </c>
      <c r="D68">
        <v>1968500000</v>
      </c>
      <c r="E68">
        <v>2168900000</v>
      </c>
    </row>
    <row r="69" spans="1:5" x14ac:dyDescent="0.25">
      <c r="A69" s="58" t="s">
        <v>71</v>
      </c>
      <c r="B69">
        <v>1108202000</v>
      </c>
      <c r="C69">
        <v>1144800000</v>
      </c>
      <c r="D69">
        <v>1226300000</v>
      </c>
      <c r="E69">
        <v>1101500000</v>
      </c>
    </row>
    <row r="70" spans="1:5" x14ac:dyDescent="0.25">
      <c r="A70" s="58" t="s">
        <v>72</v>
      </c>
      <c r="B70">
        <f>3322327000/L3</f>
        <v>3322.3270000000002</v>
      </c>
      <c r="C70">
        <f>3487900000/L3</f>
        <v>3487.9</v>
      </c>
      <c r="D70">
        <f>3821500000/L3</f>
        <v>3821.5</v>
      </c>
      <c r="E70">
        <f>4116400000/L3</f>
        <v>4116.3999999999996</v>
      </c>
    </row>
    <row r="71" spans="1:5" x14ac:dyDescent="0.25">
      <c r="A71" s="114" t="s">
        <v>73</v>
      </c>
      <c r="B71">
        <f>2803569000/L3</f>
        <v>2803.569</v>
      </c>
      <c r="C71">
        <f>2425200000/L3</f>
        <v>2425.1999999999998</v>
      </c>
      <c r="D71">
        <f>2488800000/L3</f>
        <v>2488.8000000000002</v>
      </c>
      <c r="E71">
        <f>2450300000/L3</f>
        <v>2450.3000000000002</v>
      </c>
    </row>
    <row r="72" spans="1:5" x14ac:dyDescent="0.25">
      <c r="A72" s="58" t="s">
        <v>74</v>
      </c>
      <c r="B72">
        <v>1794337000</v>
      </c>
      <c r="C72">
        <v>1598500000</v>
      </c>
      <c r="D72">
        <v>1591400000</v>
      </c>
      <c r="E72">
        <v>1787800000</v>
      </c>
    </row>
    <row r="73" spans="1:5" x14ac:dyDescent="0.25">
      <c r="A73" s="58" t="s">
        <v>75</v>
      </c>
      <c r="B73">
        <v>5867000</v>
      </c>
      <c r="C73">
        <v>22000000</v>
      </c>
      <c r="D73">
        <v>17200000</v>
      </c>
      <c r="E73">
        <v>6500000</v>
      </c>
    </row>
    <row r="74" spans="1:5" x14ac:dyDescent="0.25">
      <c r="A74" s="58" t="s">
        <v>76</v>
      </c>
      <c r="B74">
        <v>28092000</v>
      </c>
      <c r="C74">
        <v>14400000</v>
      </c>
      <c r="D74">
        <v>13300000</v>
      </c>
      <c r="E74">
        <v>11700000</v>
      </c>
    </row>
    <row r="75" spans="1:5" x14ac:dyDescent="0.25">
      <c r="A75" s="58" t="s">
        <v>77</v>
      </c>
      <c r="B75">
        <v>98970000</v>
      </c>
      <c r="C75">
        <v>318100000</v>
      </c>
      <c r="D75">
        <v>328900000</v>
      </c>
      <c r="E75">
        <v>439000000</v>
      </c>
    </row>
    <row r="76" spans="1:5" x14ac:dyDescent="0.25">
      <c r="A76" s="58" t="s">
        <v>78</v>
      </c>
      <c r="E76">
        <v>0</v>
      </c>
    </row>
    <row r="77" spans="1:5" x14ac:dyDescent="0.25">
      <c r="A77" s="58" t="s">
        <v>79</v>
      </c>
      <c r="E77">
        <v>0</v>
      </c>
    </row>
  </sheetData>
  <mergeCells count="1">
    <mergeCell ref="I3:K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/>
  </sheetViews>
  <sheetFormatPr defaultRowHeight="15" x14ac:dyDescent="0.25"/>
  <cols>
    <col min="1" max="1" width="36.5703125" style="59" customWidth="1"/>
    <col min="2" max="2" width="20.42578125" style="59" customWidth="1"/>
    <col min="3" max="3" width="23.5703125" style="59" customWidth="1"/>
    <col min="4" max="4" width="21.140625" style="59" customWidth="1"/>
    <col min="5" max="5" width="26.28515625" style="59" customWidth="1"/>
  </cols>
  <sheetData>
    <row r="1" spans="1:11" x14ac:dyDescent="0.25">
      <c r="B1" s="58" t="s">
        <v>0</v>
      </c>
      <c r="C1" s="58" t="s">
        <v>1</v>
      </c>
      <c r="D1" s="58" t="s">
        <v>2</v>
      </c>
      <c r="E1" s="58" t="s">
        <v>3</v>
      </c>
    </row>
    <row r="2" spans="1:11" x14ac:dyDescent="0.25">
      <c r="A2" s="58" t="s">
        <v>80</v>
      </c>
      <c r="B2">
        <v>3558000</v>
      </c>
      <c r="C2">
        <v>379200000</v>
      </c>
      <c r="D2">
        <v>0</v>
      </c>
      <c r="E2">
        <v>0</v>
      </c>
    </row>
    <row r="3" spans="1:11" x14ac:dyDescent="0.25">
      <c r="A3" s="58" t="s">
        <v>81</v>
      </c>
      <c r="B3">
        <v>193126000</v>
      </c>
      <c r="C3">
        <v>196300000</v>
      </c>
      <c r="D3">
        <v>657500000</v>
      </c>
      <c r="E3">
        <v>529100000</v>
      </c>
    </row>
    <row r="4" spans="1:11" x14ac:dyDescent="0.25">
      <c r="A4" s="58" t="s">
        <v>82</v>
      </c>
      <c r="B4">
        <f>-251374000/K4</f>
        <v>-251.374</v>
      </c>
      <c r="C4">
        <f>-213900000/K4</f>
        <v>-213.9</v>
      </c>
      <c r="D4" s="59">
        <f>-251374000/K4</f>
        <v>-251.374</v>
      </c>
      <c r="E4">
        <f>-306600000/K4</f>
        <v>-306.60000000000002</v>
      </c>
      <c r="H4" s="119" t="s">
        <v>304</v>
      </c>
      <c r="I4" s="119"/>
      <c r="J4" s="119"/>
      <c r="K4">
        <v>1000000</v>
      </c>
    </row>
    <row r="5" spans="1:11" x14ac:dyDescent="0.25">
      <c r="A5" s="58" t="s">
        <v>83</v>
      </c>
      <c r="B5">
        <v>-149101000</v>
      </c>
      <c r="C5">
        <v>-152500000</v>
      </c>
      <c r="D5">
        <v>-153400000</v>
      </c>
      <c r="E5">
        <v>-150000000</v>
      </c>
    </row>
    <row r="6" spans="1:11" x14ac:dyDescent="0.25">
      <c r="A6" s="58" t="s">
        <v>84</v>
      </c>
      <c r="B6">
        <v>-411830000</v>
      </c>
      <c r="C6">
        <v>-415400000</v>
      </c>
      <c r="D6">
        <v>-107600000</v>
      </c>
      <c r="E6">
        <v>-363200000</v>
      </c>
    </row>
    <row r="7" spans="1:11" x14ac:dyDescent="0.25">
      <c r="A7" s="58" t="s">
        <v>85</v>
      </c>
      <c r="B7">
        <v>-239287000</v>
      </c>
      <c r="C7">
        <v>-150700000</v>
      </c>
      <c r="D7">
        <v>-303900000</v>
      </c>
      <c r="E7">
        <v>-319300000</v>
      </c>
    </row>
    <row r="8" spans="1:11" x14ac:dyDescent="0.25">
      <c r="A8" s="58" t="s">
        <v>86</v>
      </c>
      <c r="B8">
        <v>655036000</v>
      </c>
      <c r="C8">
        <v>1018600000</v>
      </c>
      <c r="D8">
        <v>293700000</v>
      </c>
      <c r="E8">
        <v>534500000</v>
      </c>
    </row>
    <row r="9" spans="1:11" x14ac:dyDescent="0.25">
      <c r="A9" s="58" t="s">
        <v>87</v>
      </c>
      <c r="B9">
        <v>103766000</v>
      </c>
      <c r="C9">
        <v>326600000</v>
      </c>
      <c r="D9">
        <v>27100000</v>
      </c>
      <c r="E9">
        <v>71700000</v>
      </c>
    </row>
    <row r="10" spans="1:11" x14ac:dyDescent="0.25">
      <c r="A10" s="58" t="s">
        <v>88</v>
      </c>
      <c r="B10">
        <v>98965000</v>
      </c>
      <c r="C10">
        <v>54000000</v>
      </c>
      <c r="D10">
        <v>-55800000</v>
      </c>
      <c r="E10">
        <v>131100000</v>
      </c>
    </row>
    <row r="11" spans="1:11" x14ac:dyDescent="0.25">
      <c r="A11" s="58" t="s">
        <v>89</v>
      </c>
      <c r="B11">
        <v>3160000</v>
      </c>
      <c r="C11">
        <v>461200000</v>
      </c>
      <c r="D11">
        <v>-128400000</v>
      </c>
      <c r="E11">
        <v>-189400000</v>
      </c>
    </row>
    <row r="12" spans="1:11" x14ac:dyDescent="0.25">
      <c r="A12" s="58" t="s">
        <v>90</v>
      </c>
      <c r="B12">
        <v>-149872000</v>
      </c>
      <c r="C12">
        <v>-44900000</v>
      </c>
      <c r="D12">
        <v>-503100000</v>
      </c>
      <c r="E12">
        <v>-391100000</v>
      </c>
    </row>
    <row r="13" spans="1:11" x14ac:dyDescent="0.25">
      <c r="A13" s="58" t="s">
        <v>91</v>
      </c>
      <c r="B13">
        <v>4860000</v>
      </c>
      <c r="C13">
        <v>30500000</v>
      </c>
      <c r="D13">
        <v>-4800000</v>
      </c>
      <c r="E13">
        <v>18400000</v>
      </c>
    </row>
    <row r="14" spans="1:11" x14ac:dyDescent="0.25">
      <c r="A14" s="58" t="s">
        <v>92</v>
      </c>
      <c r="B14">
        <v>103766000</v>
      </c>
      <c r="C14">
        <v>326600000</v>
      </c>
      <c r="D14">
        <v>27100000</v>
      </c>
      <c r="E14">
        <v>71700000</v>
      </c>
    </row>
    <row r="15" spans="1:11" x14ac:dyDescent="0.25">
      <c r="A15" s="58" t="s">
        <v>93</v>
      </c>
      <c r="B15">
        <v>202731000</v>
      </c>
      <c r="C15">
        <v>380600000</v>
      </c>
      <c r="D15">
        <v>-28700000</v>
      </c>
      <c r="E15">
        <v>202800000</v>
      </c>
    </row>
    <row r="16" spans="1:11" x14ac:dyDescent="0.25">
      <c r="A16" s="58" t="s">
        <v>94</v>
      </c>
      <c r="B16">
        <v>-6034000</v>
      </c>
      <c r="C16">
        <v>-21200000</v>
      </c>
      <c r="D16">
        <v>-10900000</v>
      </c>
      <c r="E16">
        <v>-7600000</v>
      </c>
    </row>
    <row r="17" spans="1:5" x14ac:dyDescent="0.25">
      <c r="A17" s="58" t="s">
        <v>95</v>
      </c>
      <c r="B17">
        <v>6812000</v>
      </c>
      <c r="C17">
        <v>-56200000</v>
      </c>
      <c r="D17">
        <v>-200000</v>
      </c>
      <c r="E17">
        <v>-122600000</v>
      </c>
    </row>
    <row r="18" spans="1:5" x14ac:dyDescent="0.25">
      <c r="A18" s="58" t="s">
        <v>96</v>
      </c>
      <c r="B18">
        <v>58497000</v>
      </c>
      <c r="C18">
        <v>288800000</v>
      </c>
      <c r="D18">
        <v>-547700000</v>
      </c>
      <c r="E18">
        <v>-300100000</v>
      </c>
    </row>
    <row r="19" spans="1:5" x14ac:dyDescent="0.25">
      <c r="A19" s="58" t="s">
        <v>97</v>
      </c>
      <c r="B19">
        <v>6812000</v>
      </c>
      <c r="C19">
        <v>-56200000</v>
      </c>
      <c r="D19">
        <v>-200000</v>
      </c>
      <c r="E19">
        <v>-122600000</v>
      </c>
    </row>
    <row r="20" spans="1:5" x14ac:dyDescent="0.25">
      <c r="A20" s="58" t="s">
        <v>98</v>
      </c>
      <c r="B20">
        <v>3919000</v>
      </c>
      <c r="C20">
        <v>452500000</v>
      </c>
      <c r="D20">
        <v>-117800000</v>
      </c>
      <c r="E20">
        <v>-179200000</v>
      </c>
    </row>
    <row r="21" spans="1:5" x14ac:dyDescent="0.25">
      <c r="A21" s="58" t="s">
        <v>99</v>
      </c>
      <c r="B21">
        <v>-149101000</v>
      </c>
      <c r="C21">
        <v>-152500000</v>
      </c>
      <c r="E21">
        <v>-150000000</v>
      </c>
    </row>
    <row r="22" spans="1:5" x14ac:dyDescent="0.25">
      <c r="A22" s="58" t="s">
        <v>100</v>
      </c>
      <c r="B22">
        <v>-8378000</v>
      </c>
      <c r="C22">
        <v>-50300000</v>
      </c>
      <c r="D22">
        <v>-461600000</v>
      </c>
      <c r="E22">
        <v>-505000000</v>
      </c>
    </row>
    <row r="23" spans="1:5" x14ac:dyDescent="0.25">
      <c r="A23" s="58" t="s">
        <v>101</v>
      </c>
      <c r="B23">
        <v>-9484000</v>
      </c>
      <c r="C23">
        <v>-83700000</v>
      </c>
      <c r="D23">
        <v>15200000</v>
      </c>
      <c r="E23">
        <v>-48900000</v>
      </c>
    </row>
    <row r="24" spans="1:5" x14ac:dyDescent="0.25">
      <c r="A24" s="58" t="s">
        <v>102</v>
      </c>
      <c r="B24">
        <v>-9484000</v>
      </c>
      <c r="C24">
        <v>-83700000</v>
      </c>
      <c r="D24">
        <v>15200000</v>
      </c>
      <c r="E24">
        <v>-48900000</v>
      </c>
    </row>
    <row r="25" spans="1:5" x14ac:dyDescent="0.25">
      <c r="A25" s="58" t="s">
        <v>103</v>
      </c>
      <c r="B25">
        <v>234513000</v>
      </c>
      <c r="C25">
        <v>260700000</v>
      </c>
      <c r="D25">
        <v>237100000</v>
      </c>
      <c r="E25">
        <v>232800000</v>
      </c>
    </row>
    <row r="26" spans="1:5" x14ac:dyDescent="0.25">
      <c r="A26" s="58" t="s">
        <v>104</v>
      </c>
      <c r="B26">
        <f>234513000/1000000</f>
        <v>234.51300000000001</v>
      </c>
      <c r="C26">
        <f>260700000/1000000</f>
        <v>260.7</v>
      </c>
      <c r="D26">
        <f>237100000/1000000</f>
        <v>237.1</v>
      </c>
      <c r="E26">
        <f>232800000/1000000</f>
        <v>232.8</v>
      </c>
    </row>
    <row r="27" spans="1:5" x14ac:dyDescent="0.25">
      <c r="A27" s="58" t="s">
        <v>105</v>
      </c>
      <c r="B27">
        <v>30840000</v>
      </c>
      <c r="C27">
        <v>100400000</v>
      </c>
      <c r="D27">
        <v>60000000</v>
      </c>
      <c r="E27">
        <v>30600000</v>
      </c>
    </row>
    <row r="28" spans="1:5" x14ac:dyDescent="0.25">
      <c r="A28" s="58" t="s">
        <v>106</v>
      </c>
      <c r="B28">
        <v>-759000</v>
      </c>
      <c r="C28">
        <v>8700000</v>
      </c>
      <c r="D28">
        <v>-10600000</v>
      </c>
      <c r="E28">
        <v>-10200000</v>
      </c>
    </row>
    <row r="29" spans="1:5" x14ac:dyDescent="0.25">
      <c r="A29" s="58" t="s">
        <v>107</v>
      </c>
      <c r="B29">
        <v>196286000</v>
      </c>
      <c r="C29">
        <v>657500000</v>
      </c>
      <c r="D29">
        <v>529100000</v>
      </c>
      <c r="E29">
        <v>339700000</v>
      </c>
    </row>
    <row r="30" spans="1:5" x14ac:dyDescent="0.25">
      <c r="A30" s="58" t="s">
        <v>108</v>
      </c>
      <c r="B30">
        <v>-411830000</v>
      </c>
      <c r="C30">
        <v>-415400000</v>
      </c>
      <c r="D30">
        <v>-107600000</v>
      </c>
      <c r="E30">
        <v>-363200000</v>
      </c>
    </row>
    <row r="31" spans="1:5" x14ac:dyDescent="0.25">
      <c r="A31" s="58" t="s">
        <v>109</v>
      </c>
      <c r="B31">
        <f>403662000/K4</f>
        <v>403.66199999999998</v>
      </c>
      <c r="C31">
        <f>804700000/K4</f>
        <v>804.7</v>
      </c>
      <c r="D31">
        <f>-4600000/K4</f>
        <v>-4.5999999999999996</v>
      </c>
      <c r="E31">
        <f>202000000/K4</f>
        <v>202</v>
      </c>
    </row>
    <row r="32" spans="1:5" x14ac:dyDescent="0.25">
      <c r="A32" s="58" t="s">
        <v>110</v>
      </c>
      <c r="B32">
        <v>87844000</v>
      </c>
      <c r="C32">
        <v>65500000</v>
      </c>
      <c r="D32">
        <v>124400000</v>
      </c>
      <c r="E32">
        <v>194400000</v>
      </c>
    </row>
    <row r="33" spans="1:5" x14ac:dyDescent="0.25">
      <c r="A33" s="58" t="s">
        <v>111</v>
      </c>
      <c r="B33">
        <v>76959000</v>
      </c>
      <c r="C33">
        <v>67000000</v>
      </c>
      <c r="D33">
        <v>44800000</v>
      </c>
      <c r="E33">
        <v>71200000</v>
      </c>
    </row>
    <row r="34" spans="1:5" x14ac:dyDescent="0.25">
      <c r="A34" s="58" t="s">
        <v>112</v>
      </c>
      <c r="B34">
        <v>-239287000</v>
      </c>
      <c r="C34">
        <v>-150700000</v>
      </c>
      <c r="D34">
        <v>-303900000</v>
      </c>
      <c r="E34">
        <v>-324600000</v>
      </c>
    </row>
    <row r="35" spans="1:5" x14ac:dyDescent="0.25">
      <c r="A35" s="58" t="s">
        <v>113</v>
      </c>
      <c r="B35">
        <v>3368853000</v>
      </c>
      <c r="C35">
        <v>1365500000</v>
      </c>
      <c r="D35">
        <v>2424300000</v>
      </c>
      <c r="E35">
        <v>2987500000</v>
      </c>
    </row>
    <row r="36" spans="1:5" x14ac:dyDescent="0.25">
      <c r="A36" s="58" t="s">
        <v>114</v>
      </c>
      <c r="B36">
        <v>3368853000</v>
      </c>
      <c r="C36">
        <v>1365500000</v>
      </c>
      <c r="D36">
        <v>2424300000</v>
      </c>
      <c r="E36">
        <v>2987500000</v>
      </c>
    </row>
    <row r="37" spans="1:5" x14ac:dyDescent="0.25">
      <c r="A37" s="58" t="s">
        <v>115</v>
      </c>
      <c r="B37">
        <v>-3638864000</v>
      </c>
      <c r="C37">
        <v>-1611700000</v>
      </c>
      <c r="D37">
        <v>-2073000000</v>
      </c>
      <c r="E37">
        <v>-2729800000</v>
      </c>
    </row>
    <row r="38" spans="1:5" x14ac:dyDescent="0.25">
      <c r="A38" s="58" t="s">
        <v>116</v>
      </c>
      <c r="B38">
        <v>12087000</v>
      </c>
      <c r="C38">
        <v>63200000</v>
      </c>
      <c r="D38">
        <v>-5600000</v>
      </c>
      <c r="E38">
        <v>-12700000</v>
      </c>
    </row>
    <row r="39" spans="1:5" x14ac:dyDescent="0.25">
      <c r="A39" s="58" t="s">
        <v>117</v>
      </c>
      <c r="B39">
        <v>-8378000</v>
      </c>
      <c r="C39">
        <v>-50300000</v>
      </c>
      <c r="D39">
        <v>-461600000</v>
      </c>
      <c r="E39">
        <v>-505000000</v>
      </c>
    </row>
    <row r="40" spans="1:5" x14ac:dyDescent="0.25">
      <c r="A40" s="58" t="s">
        <v>118</v>
      </c>
      <c r="B40">
        <v>323960000</v>
      </c>
      <c r="C40">
        <v>124800000</v>
      </c>
      <c r="D40">
        <v>493900000</v>
      </c>
      <c r="E40">
        <v>447100000</v>
      </c>
    </row>
    <row r="41" spans="1:5" x14ac:dyDescent="0.25">
      <c r="A41" s="58" t="s">
        <v>119</v>
      </c>
      <c r="B41">
        <v>323884000</v>
      </c>
      <c r="C41">
        <v>124900000</v>
      </c>
      <c r="D41">
        <v>494300000</v>
      </c>
      <c r="E41">
        <v>603400000</v>
      </c>
    </row>
    <row r="42" spans="1:5" x14ac:dyDescent="0.25">
      <c r="A42" s="58" t="s">
        <v>120</v>
      </c>
      <c r="B42">
        <v>-270011000</v>
      </c>
      <c r="C42">
        <v>-246200000</v>
      </c>
      <c r="D42">
        <v>351300000</v>
      </c>
      <c r="E42">
        <v>257700000</v>
      </c>
    </row>
    <row r="43" spans="1:5" x14ac:dyDescent="0.25">
      <c r="A43" s="58" t="s">
        <v>121</v>
      </c>
      <c r="B43">
        <v>-270011000</v>
      </c>
      <c r="C43">
        <v>-246200000</v>
      </c>
      <c r="D43">
        <v>351300000</v>
      </c>
      <c r="E43">
        <v>257700000</v>
      </c>
    </row>
    <row r="44" spans="1:5" x14ac:dyDescent="0.25">
      <c r="A44" s="58" t="s">
        <v>122</v>
      </c>
      <c r="B44">
        <v>-251374000</v>
      </c>
      <c r="C44">
        <v>-213900000</v>
      </c>
      <c r="D44">
        <v>-298300000</v>
      </c>
      <c r="E44">
        <v>-306600000</v>
      </c>
    </row>
    <row r="45" spans="1:5" x14ac:dyDescent="0.25">
      <c r="A45" s="58" t="s">
        <v>123</v>
      </c>
      <c r="B45">
        <v>655036000</v>
      </c>
      <c r="C45">
        <v>1018600000</v>
      </c>
      <c r="D45">
        <v>293700000</v>
      </c>
      <c r="E45">
        <v>508600000</v>
      </c>
    </row>
    <row r="46" spans="1:5" x14ac:dyDescent="0.25">
      <c r="A46" s="58" t="s">
        <v>124</v>
      </c>
      <c r="B46">
        <v>-30894000</v>
      </c>
      <c r="C46">
        <v>-16600000</v>
      </c>
      <c r="D46">
        <v>-600000</v>
      </c>
      <c r="E46">
        <v>-15600000</v>
      </c>
    </row>
    <row r="47" spans="1:5" x14ac:dyDescent="0.25">
      <c r="A47" s="58" t="s">
        <v>125</v>
      </c>
      <c r="B47">
        <v>15660000</v>
      </c>
      <c r="C47">
        <v>33600000</v>
      </c>
      <c r="D47">
        <v>156100000</v>
      </c>
      <c r="E47">
        <v>34100000</v>
      </c>
    </row>
    <row r="48" spans="1:5" x14ac:dyDescent="0.25">
      <c r="A48" s="58" t="s">
        <v>126</v>
      </c>
      <c r="B48">
        <v>-1800000</v>
      </c>
      <c r="C48">
        <v>-6600000</v>
      </c>
      <c r="D48">
        <v>-23400000</v>
      </c>
      <c r="E48">
        <v>-54900000</v>
      </c>
    </row>
    <row r="49" spans="1:5" x14ac:dyDescent="0.25">
      <c r="A49" s="58" t="s">
        <v>127</v>
      </c>
      <c r="B49">
        <v>-251374000</v>
      </c>
      <c r="C49">
        <v>-213900000</v>
      </c>
      <c r="D49">
        <v>-298300000</v>
      </c>
      <c r="E49">
        <v>-306600000</v>
      </c>
    </row>
    <row r="50" spans="1:5" x14ac:dyDescent="0.25">
      <c r="A50" s="58" t="s">
        <v>128</v>
      </c>
      <c r="B50">
        <v>-3638864000</v>
      </c>
      <c r="C50">
        <v>-1611700000</v>
      </c>
      <c r="D50">
        <v>-2073000000</v>
      </c>
      <c r="E50">
        <v>-2729800000</v>
      </c>
    </row>
    <row r="51" spans="1:5" x14ac:dyDescent="0.25">
      <c r="A51" s="58" t="s">
        <v>129</v>
      </c>
      <c r="B51">
        <v>-8378000</v>
      </c>
      <c r="C51">
        <v>-50300000</v>
      </c>
      <c r="D51">
        <v>-461600000</v>
      </c>
      <c r="E51">
        <v>-505000000</v>
      </c>
    </row>
    <row r="52" spans="1:5" x14ac:dyDescent="0.25">
      <c r="A52" s="58" t="s">
        <v>130</v>
      </c>
      <c r="B52">
        <v>13887000</v>
      </c>
      <c r="C52">
        <v>69800000</v>
      </c>
      <c r="D52">
        <v>17800000</v>
      </c>
      <c r="E52">
        <v>42200000</v>
      </c>
    </row>
    <row r="53" spans="1:5" x14ac:dyDescent="0.25">
      <c r="A53" s="58" t="s">
        <v>131</v>
      </c>
      <c r="B53">
        <v>74962000</v>
      </c>
      <c r="C53">
        <v>65300000</v>
      </c>
      <c r="D53">
        <v>60600000</v>
      </c>
      <c r="E53">
        <v>62900000</v>
      </c>
    </row>
    <row r="54" spans="1:5" x14ac:dyDescent="0.25">
      <c r="A54" s="58" t="s">
        <v>132</v>
      </c>
      <c r="D54">
        <v>34800000</v>
      </c>
      <c r="E54">
        <v>0</v>
      </c>
    </row>
    <row r="55" spans="1:5" x14ac:dyDescent="0.25">
      <c r="A55" s="58" t="s">
        <v>133</v>
      </c>
      <c r="D55">
        <v>34800000</v>
      </c>
    </row>
    <row r="56" spans="1:5" x14ac:dyDescent="0.25">
      <c r="A56" s="58" t="s">
        <v>134</v>
      </c>
      <c r="E56">
        <v>-5300000</v>
      </c>
    </row>
    <row r="57" spans="1:5" x14ac:dyDescent="0.25">
      <c r="A57" s="58" t="s">
        <v>135</v>
      </c>
      <c r="E57">
        <v>-25900000</v>
      </c>
    </row>
  </sheetData>
  <mergeCells count="1">
    <mergeCell ref="H4:J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P7" sqref="P7"/>
    </sheetView>
  </sheetViews>
  <sheetFormatPr defaultRowHeight="15" x14ac:dyDescent="0.25"/>
  <cols>
    <col min="3" max="3" width="14.42578125" style="59" customWidth="1"/>
    <col min="4" max="6" width="10.28515625" style="59" bestFit="1" customWidth="1"/>
    <col min="7" max="7" width="10.140625" style="59" customWidth="1"/>
    <col min="8" max="12" width="10.28515625" style="59" bestFit="1" customWidth="1"/>
  </cols>
  <sheetData>
    <row r="1" spans="1:17" s="122" customFormat="1" ht="26.25" customHeight="1" x14ac:dyDescent="0.4">
      <c r="A1" s="121" t="s">
        <v>136</v>
      </c>
    </row>
    <row r="2" spans="1:17" s="122" customFormat="1" ht="18.75" customHeight="1" x14ac:dyDescent="0.3">
      <c r="A2" s="123" t="s">
        <v>137</v>
      </c>
    </row>
    <row r="3" spans="1:17" s="68" customFormat="1" x14ac:dyDescent="0.25">
      <c r="A3" s="1" t="s">
        <v>138</v>
      </c>
      <c r="J3" s="68" t="s">
        <v>139</v>
      </c>
      <c r="M3" s="3" t="s">
        <v>140</v>
      </c>
    </row>
    <row r="4" spans="1:17" x14ac:dyDescent="0.25">
      <c r="A4" s="124" t="s">
        <v>141</v>
      </c>
      <c r="B4" s="120"/>
      <c r="C4" s="120"/>
    </row>
    <row r="5" spans="1:17" x14ac:dyDescent="0.25">
      <c r="A5" s="124"/>
      <c r="B5" s="120"/>
      <c r="C5" s="120"/>
      <c r="D5" s="125" t="s">
        <v>142</v>
      </c>
      <c r="E5" s="120"/>
      <c r="F5" s="120"/>
      <c r="H5" s="125" t="s">
        <v>143</v>
      </c>
      <c r="I5" s="120"/>
      <c r="J5" s="120"/>
      <c r="K5" s="120"/>
      <c r="L5" s="120"/>
      <c r="M5" s="63" t="s">
        <v>144</v>
      </c>
    </row>
    <row r="6" spans="1:17" s="64" customFormat="1" ht="15.75" customHeight="1" thickBot="1" x14ac:dyDescent="0.3">
      <c r="A6" s="130"/>
      <c r="B6" s="127"/>
      <c r="C6" s="127"/>
      <c r="D6" s="13" t="str">
        <f>DCF!E6</f>
        <v>2019-12-31</v>
      </c>
      <c r="E6" s="13" t="str">
        <f>DCF!F6</f>
        <v>2020-12-31</v>
      </c>
      <c r="F6" s="13" t="str">
        <f>DCF!G6</f>
        <v>2021-12-31</v>
      </c>
      <c r="G6" s="15" t="str">
        <f>DCF!I6</f>
        <v>LTM(2022)</v>
      </c>
      <c r="H6" s="13">
        <f>DCF!J6</f>
        <v>2023</v>
      </c>
      <c r="I6" s="13">
        <f>DCF!K6</f>
        <v>2024</v>
      </c>
      <c r="J6" s="13">
        <f>DCF!L6</f>
        <v>2025</v>
      </c>
      <c r="K6" s="13">
        <f>DCF!M6</f>
        <v>2026</v>
      </c>
      <c r="L6" s="13">
        <f>DCF!N6</f>
        <v>2027</v>
      </c>
    </row>
    <row r="7" spans="1:17" ht="15.75" customHeight="1" thickTop="1" x14ac:dyDescent="0.25">
      <c r="A7" s="124" t="s">
        <v>210</v>
      </c>
      <c r="B7" s="120"/>
      <c r="C7" s="120"/>
      <c r="D7" s="101">
        <f>DCF!E7</f>
        <v>6782.5</v>
      </c>
      <c r="E7" s="101">
        <f>DCF!F7</f>
        <v>7027.9</v>
      </c>
      <c r="F7" s="101">
        <f>DCF!G7</f>
        <v>8198.2000000000007</v>
      </c>
      <c r="G7" s="101">
        <f>DCF!I7</f>
        <v>8589</v>
      </c>
      <c r="H7" s="5">
        <f>ROUND(G7*(1+H8),1)</f>
        <v>8955.5</v>
      </c>
      <c r="I7" s="5">
        <f>ROUND(H7*(1+I8),1)</f>
        <v>9224.2000000000007</v>
      </c>
      <c r="J7" s="5">
        <f>ROUND(I7*(1+J8),1)</f>
        <v>9408.7000000000007</v>
      </c>
      <c r="K7" s="5">
        <f>ROUND(J7*(1+K8),1)</f>
        <v>9502.7999999999993</v>
      </c>
      <c r="L7" s="5">
        <f>ROUND(K7*(1+L8),1)</f>
        <v>9502.7999999999993</v>
      </c>
      <c r="M7" s="17">
        <f>(L7/G7)^(1/5)-1</f>
        <v>2.0426661524923118E-2</v>
      </c>
    </row>
    <row r="8" spans="1:17" x14ac:dyDescent="0.25">
      <c r="A8" s="131"/>
      <c r="B8" s="120"/>
      <c r="C8" s="120"/>
      <c r="D8" s="61" t="s">
        <v>145</v>
      </c>
      <c r="E8" s="9">
        <f>(E7-D7)/D7</f>
        <v>3.6181349060081039E-2</v>
      </c>
      <c r="F8" s="9">
        <f>(F7-E7)/E7</f>
        <v>0.16652200515089874</v>
      </c>
      <c r="G8" s="9">
        <f>(G7-F7)/F7</f>
        <v>4.7669000512307484E-2</v>
      </c>
      <c r="H8" s="6">
        <f>G8-0.005</f>
        <v>4.2669000512307487E-2</v>
      </c>
      <c r="I8" s="7">
        <f>ROUNDDOWN(H8-0.01,2)</f>
        <v>0.03</v>
      </c>
      <c r="J8" s="7">
        <f>ROUNDDOWN(I8-0.01,2)</f>
        <v>0.02</v>
      </c>
      <c r="K8" s="7">
        <f>ROUNDDOWN(J8-0.01,2)</f>
        <v>0.01</v>
      </c>
      <c r="L8" s="7">
        <f>ROUNDDOWN(K8-0.01,2)</f>
        <v>0</v>
      </c>
      <c r="M8" s="17"/>
      <c r="N8" s="120" t="s">
        <v>306</v>
      </c>
      <c r="O8" s="120"/>
      <c r="P8" s="120"/>
      <c r="Q8">
        <v>365</v>
      </c>
    </row>
    <row r="9" spans="1:17" x14ac:dyDescent="0.25">
      <c r="A9" s="124" t="s">
        <v>146</v>
      </c>
      <c r="B9" s="120"/>
      <c r="C9" s="120"/>
      <c r="D9" s="72">
        <f>DCF!E9</f>
        <v>5133.7</v>
      </c>
      <c r="E9" s="72">
        <f>DCF!F9</f>
        <v>5317.7</v>
      </c>
      <c r="F9" s="72">
        <f>DCF!G9</f>
        <v>6255.5</v>
      </c>
      <c r="G9" s="103">
        <f>DCF!I9</f>
        <v>6629.5</v>
      </c>
      <c r="H9">
        <f>ROUND(G9*(1+H8),1)</f>
        <v>6912.4</v>
      </c>
      <c r="I9">
        <f>ROUND(H9*(1+I8),1)</f>
        <v>7119.8</v>
      </c>
      <c r="J9">
        <f>ROUND(I9*(1+J8),1)</f>
        <v>7262.2</v>
      </c>
      <c r="K9">
        <f>ROUND(J9*(1+K8),1)</f>
        <v>7334.8</v>
      </c>
      <c r="L9">
        <f>ROUND(K9*(1+L8),1)</f>
        <v>7334.8</v>
      </c>
      <c r="M9" s="17"/>
    </row>
    <row r="10" spans="1:17" x14ac:dyDescent="0.25">
      <c r="A10" s="131"/>
      <c r="B10" s="120"/>
      <c r="C10" s="120"/>
      <c r="D10" s="8"/>
      <c r="E10" s="8"/>
      <c r="F10" s="8"/>
      <c r="G10" s="8"/>
      <c r="H10" s="8"/>
      <c r="I10" s="8"/>
      <c r="J10" s="8"/>
      <c r="K10" s="8"/>
      <c r="L10" s="8"/>
      <c r="M10" s="17"/>
    </row>
    <row r="11" spans="1:17" s="60" customFormat="1" x14ac:dyDescent="0.25">
      <c r="A11" s="126" t="s">
        <v>147</v>
      </c>
      <c r="B11" s="127"/>
      <c r="C11" s="127"/>
      <c r="D11" s="25"/>
      <c r="E11" s="25"/>
      <c r="F11" s="25"/>
      <c r="G11" s="25"/>
      <c r="H11" s="73"/>
      <c r="I11" s="73"/>
      <c r="J11" s="73"/>
      <c r="K11" s="73"/>
      <c r="L11" s="73"/>
      <c r="M11" s="24"/>
    </row>
    <row r="12" spans="1:17" x14ac:dyDescent="0.25">
      <c r="A12" s="128" t="s">
        <v>148</v>
      </c>
      <c r="B12" s="120"/>
      <c r="C12" s="120"/>
      <c r="D12" s="74">
        <f>Balance_sheet!B3</f>
        <v>190.43</v>
      </c>
      <c r="E12" s="74">
        <f>Balance_sheet!C3</f>
        <v>257.2</v>
      </c>
      <c r="F12" s="74">
        <f>Balance_sheet!D3</f>
        <v>240.5</v>
      </c>
      <c r="G12" s="75">
        <f>Balance_sheet!E3</f>
        <v>343</v>
      </c>
      <c r="H12" s="76">
        <f>(H7/Q8)*G29</f>
        <v>357.63610431947836</v>
      </c>
      <c r="I12" s="76">
        <f>(I7/Q8)*G29</f>
        <v>368.36658516707416</v>
      </c>
      <c r="J12" s="76">
        <f>(J7/Q8)*G29</f>
        <v>375.73455582722085</v>
      </c>
      <c r="K12" s="76">
        <f>(K7/Q8)*G29</f>
        <v>379.4924205378972</v>
      </c>
      <c r="L12" s="76">
        <f>(L7/Q8)*G29</f>
        <v>379.4924205378972</v>
      </c>
      <c r="M12" s="17"/>
    </row>
    <row r="13" spans="1:17" x14ac:dyDescent="0.25">
      <c r="A13" s="128" t="s">
        <v>149</v>
      </c>
      <c r="B13" s="120"/>
      <c r="C13" s="120"/>
      <c r="D13" s="77">
        <f>Balance_sheet!B28</f>
        <v>1121.1110000000001</v>
      </c>
      <c r="E13" s="77">
        <f>Balance_sheet!C28</f>
        <v>1177.5999999999999</v>
      </c>
      <c r="F13" s="77">
        <f>Balance_sheet!D28</f>
        <v>1644.8</v>
      </c>
      <c r="G13" s="78">
        <f>Balance_sheet!E28</f>
        <v>1896.1</v>
      </c>
      <c r="H13" s="79">
        <f>H9/Q8*G30</f>
        <v>1977.0120883927898</v>
      </c>
      <c r="I13" s="79">
        <f>I9/Q8*G30</f>
        <v>2036.3304593106568</v>
      </c>
      <c r="J13" s="79">
        <f>J9/Q8*G30</f>
        <v>2077.0582125348819</v>
      </c>
      <c r="K13" s="79">
        <f>K9/Q8*G30</f>
        <v>2097.8225024511653</v>
      </c>
      <c r="L13" s="79">
        <f>L9/Q8*G30</f>
        <v>2097.8225024511653</v>
      </c>
    </row>
    <row r="14" spans="1:17" x14ac:dyDescent="0.25">
      <c r="A14" s="128" t="s">
        <v>150</v>
      </c>
      <c r="B14" s="120"/>
      <c r="C14" s="120"/>
      <c r="D14" s="77">
        <f>Balance_sheet!B57</f>
        <v>125.908</v>
      </c>
      <c r="E14" s="77">
        <f>Balance_sheet!C57</f>
        <v>134.1</v>
      </c>
      <c r="F14" s="77">
        <f>Balance_sheet!D57</f>
        <v>160.5</v>
      </c>
      <c r="G14" s="78">
        <f>Balance_sheet!E57</f>
        <v>183.7</v>
      </c>
      <c r="H14" s="79">
        <f>H7*G31</f>
        <v>191.53863662824543</v>
      </c>
      <c r="I14" s="79">
        <f>I7*G31</f>
        <v>197.28554430084992</v>
      </c>
      <c r="J14" s="79">
        <f>J7*G31</f>
        <v>201.23159739201304</v>
      </c>
      <c r="K14" s="79">
        <f>K7*G31</f>
        <v>203.24419140761438</v>
      </c>
      <c r="L14" s="79">
        <f>L7*G31</f>
        <v>203.24419140761438</v>
      </c>
    </row>
    <row r="15" spans="1:17" s="62" customFormat="1" x14ac:dyDescent="0.25">
      <c r="A15" s="119" t="s">
        <v>151</v>
      </c>
      <c r="B15" s="129"/>
      <c r="C15" s="129"/>
      <c r="D15" s="80">
        <f>SUM(D12:D14)</f>
        <v>1437.4490000000001</v>
      </c>
      <c r="E15" s="80">
        <f t="shared" ref="E15:L15" si="0">SUM(E12:E14)</f>
        <v>1568.8999999999999</v>
      </c>
      <c r="F15" s="80">
        <f t="shared" si="0"/>
        <v>2045.8</v>
      </c>
      <c r="G15" s="80">
        <f t="shared" si="0"/>
        <v>2422.7999999999997</v>
      </c>
      <c r="H15" s="80">
        <f t="shared" si="0"/>
        <v>2526.1868293405137</v>
      </c>
      <c r="I15" s="80">
        <f t="shared" si="0"/>
        <v>2601.9825887785805</v>
      </c>
      <c r="J15" s="80">
        <f t="shared" si="0"/>
        <v>2654.0243657541159</v>
      </c>
      <c r="K15" s="80">
        <f t="shared" si="0"/>
        <v>2680.5591143966767</v>
      </c>
      <c r="L15" s="80">
        <f t="shared" si="0"/>
        <v>2680.5591143966767</v>
      </c>
    </row>
    <row r="16" spans="1:17" x14ac:dyDescent="0.25">
      <c r="D16" s="81"/>
      <c r="E16" s="81"/>
      <c r="F16" s="81"/>
    </row>
    <row r="17" spans="1:13" s="60" customFormat="1" x14ac:dyDescent="0.25">
      <c r="A17" s="126" t="s">
        <v>152</v>
      </c>
      <c r="B17" s="127"/>
      <c r="C17" s="127"/>
      <c r="D17" s="25"/>
      <c r="E17" s="25"/>
      <c r="F17" s="25"/>
      <c r="G17" s="25"/>
      <c r="H17" s="73"/>
      <c r="I17" s="73"/>
      <c r="J17" s="73"/>
      <c r="K17" s="73"/>
      <c r="L17" s="73"/>
      <c r="M17" s="24"/>
    </row>
    <row r="18" spans="1:13" x14ac:dyDescent="0.25">
      <c r="A18" s="133" t="s">
        <v>153</v>
      </c>
      <c r="B18" s="134"/>
      <c r="C18" s="134"/>
      <c r="D18" s="82">
        <f>Balance_sheet!B2</f>
        <v>450.22800000000001</v>
      </c>
      <c r="E18" s="82">
        <f>Balance_sheet!C2</f>
        <v>782.2</v>
      </c>
      <c r="F18" s="82">
        <f>Balance_sheet!D2</f>
        <v>797.4</v>
      </c>
      <c r="G18" s="79">
        <f>Balance_sheet!E2</f>
        <v>847.6</v>
      </c>
      <c r="H18" s="79">
        <f>H9/Q8*G34</f>
        <v>883.7695512482087</v>
      </c>
      <c r="I18" s="79">
        <f>I9/Q8*H34</f>
        <v>910.28621766347385</v>
      </c>
      <c r="J18" s="79">
        <f>J9/Q8*I34</f>
        <v>928.49245342786014</v>
      </c>
      <c r="K18" s="79">
        <f>K9/Q8*J34</f>
        <v>937.77456520099543</v>
      </c>
      <c r="L18" s="79">
        <f>L9/Q8*K34</f>
        <v>937.77456520099543</v>
      </c>
    </row>
    <row r="19" spans="1:13" x14ac:dyDescent="0.25">
      <c r="A19" s="135" t="s">
        <v>154</v>
      </c>
      <c r="B19" s="120"/>
      <c r="C19" s="120"/>
      <c r="D19" s="82">
        <f>Balance_sheet!B13</f>
        <v>549.59799999999996</v>
      </c>
      <c r="E19" s="82">
        <f>Balance_sheet!C13</f>
        <v>552.20000000000005</v>
      </c>
      <c r="F19" s="82">
        <f>Balance_sheet!D13</f>
        <v>463.9</v>
      </c>
      <c r="G19" s="79">
        <f>Balance_sheet!E13</f>
        <v>896.8</v>
      </c>
      <c r="H19" s="79">
        <f>H7*G35</f>
        <v>935.0672255210153</v>
      </c>
      <c r="I19" s="79">
        <f>I7*H35</f>
        <v>963.12289672837358</v>
      </c>
      <c r="J19" s="79">
        <f>J7*I35</f>
        <v>982.38702526487373</v>
      </c>
      <c r="K19" s="79">
        <f>K7*J35</f>
        <v>992.21225288159269</v>
      </c>
      <c r="L19" s="79">
        <f>L7*K35</f>
        <v>992.21225288159269</v>
      </c>
    </row>
    <row r="20" spans="1:13" x14ac:dyDescent="0.25">
      <c r="A20" s="135" t="s">
        <v>155</v>
      </c>
      <c r="B20" s="120"/>
      <c r="C20" s="120"/>
      <c r="D20" s="82">
        <f>Balance_sheet!B19+Balance_sheet!B55+Balance_sheet!B16+Balance_sheet!B15+Balance_sheet!B26</f>
        <v>528.16399999999999</v>
      </c>
      <c r="E20" s="82">
        <f>Balance_sheet!C19+Balance_sheet!C55+Balance_sheet!C16+Balance_sheet!C15+Balance_sheet!C26</f>
        <v>555.00000000000011</v>
      </c>
      <c r="F20" s="82">
        <f>Balance_sheet!D19+Balance_sheet!D55+Balance_sheet!D16+Balance_sheet!D15+Balance_sheet!D26</f>
        <v>968.8</v>
      </c>
      <c r="G20" s="59">
        <f>Balance_sheet!E19+Balance_sheet!E55+Balance_sheet!E16+Balance_sheet!E15+Balance_sheet!E26</f>
        <v>584.20000000000005</v>
      </c>
      <c r="H20" s="79">
        <f>H7*G36</f>
        <v>609.12831528699496</v>
      </c>
      <c r="I20" s="79">
        <f>I7*G36</f>
        <v>627.40454534870184</v>
      </c>
      <c r="J20" s="79">
        <f>J7*G36</f>
        <v>639.95372453137736</v>
      </c>
      <c r="K20" s="79">
        <f>K7*G36</f>
        <v>646.35414600069851</v>
      </c>
      <c r="L20" s="79">
        <f>L7*H36</f>
        <v>646.35414600069851</v>
      </c>
    </row>
    <row r="21" spans="1:13" s="62" customFormat="1" x14ac:dyDescent="0.25">
      <c r="A21" s="136" t="s">
        <v>156</v>
      </c>
      <c r="B21" s="129"/>
      <c r="C21" s="129"/>
      <c r="D21" s="27">
        <f>SUM(D18:D20)</f>
        <v>1527.99</v>
      </c>
      <c r="E21" s="27">
        <f t="shared" ref="E21:F21" si="1">SUM(E18:E20)</f>
        <v>1889.4</v>
      </c>
      <c r="F21" s="27">
        <f t="shared" si="1"/>
        <v>2230.1</v>
      </c>
      <c r="G21" s="27">
        <f t="shared" ref="G21:L21" si="2">SUM(G18:G20)</f>
        <v>2328.6000000000004</v>
      </c>
      <c r="H21" s="27">
        <f t="shared" si="2"/>
        <v>2427.965092056219</v>
      </c>
      <c r="I21" s="27">
        <f t="shared" si="2"/>
        <v>2500.8136597405492</v>
      </c>
      <c r="J21" s="27">
        <f t="shared" si="2"/>
        <v>2550.833203224111</v>
      </c>
      <c r="K21" s="27">
        <f t="shared" si="2"/>
        <v>2576.3409640832865</v>
      </c>
      <c r="L21" s="27">
        <f t="shared" si="2"/>
        <v>2576.3409640832865</v>
      </c>
    </row>
    <row r="23" spans="1:13" s="62" customFormat="1" x14ac:dyDescent="0.25">
      <c r="A23" s="132" t="s">
        <v>157</v>
      </c>
      <c r="B23" s="129"/>
      <c r="C23" s="129"/>
      <c r="D23" s="80">
        <f t="shared" ref="D23:L23" si="3">D15-D21</f>
        <v>-90.54099999999994</v>
      </c>
      <c r="E23" s="80">
        <f t="shared" si="3"/>
        <v>-320.50000000000023</v>
      </c>
      <c r="F23" s="80">
        <f t="shared" si="3"/>
        <v>-184.29999999999995</v>
      </c>
      <c r="G23" s="80">
        <f t="shared" si="3"/>
        <v>94.199999999999363</v>
      </c>
      <c r="H23" s="26">
        <f t="shared" si="3"/>
        <v>98.221737284294704</v>
      </c>
      <c r="I23" s="26">
        <f t="shared" si="3"/>
        <v>101.16892903803137</v>
      </c>
      <c r="J23" s="26">
        <f t="shared" si="3"/>
        <v>103.19116253000493</v>
      </c>
      <c r="K23" s="26">
        <f t="shared" si="3"/>
        <v>104.2181503133902</v>
      </c>
      <c r="L23" s="26">
        <f t="shared" si="3"/>
        <v>104.2181503133902</v>
      </c>
    </row>
    <row r="24" spans="1:13" x14ac:dyDescent="0.25">
      <c r="A24" s="132" t="s">
        <v>158</v>
      </c>
      <c r="B24" s="120"/>
      <c r="C24" s="120"/>
      <c r="D24" s="38">
        <f t="shared" ref="D24:L24" si="4">D23/D7</f>
        <v>-1.3349207519351263E-2</v>
      </c>
      <c r="E24" s="38">
        <f t="shared" si="4"/>
        <v>-4.560394997083058E-2</v>
      </c>
      <c r="F24" s="38">
        <f t="shared" si="4"/>
        <v>-2.2480544509770429E-2</v>
      </c>
      <c r="G24" s="38">
        <f t="shared" si="4"/>
        <v>1.0967516590988399E-2</v>
      </c>
      <c r="H24" s="38">
        <f t="shared" si="4"/>
        <v>1.0967755824274993E-2</v>
      </c>
      <c r="I24" s="38">
        <f t="shared" si="4"/>
        <v>1.0967772710699177E-2</v>
      </c>
      <c r="J24" s="38">
        <f t="shared" si="4"/>
        <v>1.0967632354098327E-2</v>
      </c>
      <c r="K24" s="38">
        <f t="shared" si="4"/>
        <v>1.0967099203749444E-2</v>
      </c>
      <c r="L24" s="38">
        <f t="shared" si="4"/>
        <v>1.0967099203749444E-2</v>
      </c>
    </row>
    <row r="25" spans="1:13" x14ac:dyDescent="0.25">
      <c r="A25" s="65"/>
      <c r="B25" s="65"/>
      <c r="C25" s="65"/>
      <c r="D25" s="38"/>
      <c r="E25" s="38"/>
      <c r="F25" s="38"/>
      <c r="G25" s="38"/>
    </row>
    <row r="26" spans="1:13" x14ac:dyDescent="0.25">
      <c r="A26" s="119" t="s">
        <v>159</v>
      </c>
      <c r="B26" s="120"/>
      <c r="C26" s="120"/>
      <c r="D26" s="38"/>
      <c r="E26" s="31">
        <f>D23-E23</f>
        <v>229.95900000000029</v>
      </c>
      <c r="F26" s="31">
        <f>E23-F23</f>
        <v>-136.20000000000027</v>
      </c>
      <c r="G26" s="31">
        <f t="shared" ref="G26:K26" si="5">F23-G23</f>
        <v>-278.49999999999932</v>
      </c>
      <c r="H26" s="31">
        <f t="shared" si="5"/>
        <v>-4.0217372842953409</v>
      </c>
      <c r="I26" s="31">
        <f t="shared" si="5"/>
        <v>-2.9471917537366608</v>
      </c>
      <c r="J26" s="31">
        <f t="shared" si="5"/>
        <v>-2.0222334919735658</v>
      </c>
      <c r="K26" s="31">
        <f t="shared" si="5"/>
        <v>-1.0269877833852661</v>
      </c>
      <c r="L26" s="31">
        <f>K23-L23</f>
        <v>0</v>
      </c>
    </row>
    <row r="28" spans="1:13" x14ac:dyDescent="0.25">
      <c r="A28" s="23" t="s">
        <v>160</v>
      </c>
      <c r="B28" s="23"/>
      <c r="C28" s="20"/>
      <c r="D28" s="18"/>
      <c r="E28" s="18"/>
      <c r="F28" s="18"/>
      <c r="G28" s="18"/>
      <c r="H28" s="18"/>
      <c r="I28" s="18"/>
      <c r="J28" s="18"/>
      <c r="K28" s="18"/>
      <c r="L28" s="18"/>
    </row>
    <row r="29" spans="1:13" x14ac:dyDescent="0.25">
      <c r="A29" s="18" t="s">
        <v>161</v>
      </c>
      <c r="B29" s="18"/>
      <c r="C29" s="18"/>
      <c r="D29" s="83">
        <f t="shared" ref="D29:L29" si="6">(D12/D7)*365</f>
        <v>10.247983781791374</v>
      </c>
      <c r="E29" s="83">
        <f t="shared" si="6"/>
        <v>13.357902076011326</v>
      </c>
      <c r="F29" s="83">
        <f t="shared" si="6"/>
        <v>10.707533360981678</v>
      </c>
      <c r="G29" s="84">
        <f t="shared" si="6"/>
        <v>14.576202118989404</v>
      </c>
      <c r="H29" s="84">
        <f t="shared" si="6"/>
        <v>14.576202118989404</v>
      </c>
      <c r="I29" s="84">
        <f t="shared" si="6"/>
        <v>14.576202118989404</v>
      </c>
      <c r="J29" s="84">
        <f t="shared" si="6"/>
        <v>14.576202118989404</v>
      </c>
      <c r="K29" s="84">
        <f t="shared" si="6"/>
        <v>14.576202118989402</v>
      </c>
      <c r="L29" s="84">
        <f t="shared" si="6"/>
        <v>14.576202118989402</v>
      </c>
    </row>
    <row r="30" spans="1:13" x14ac:dyDescent="0.25">
      <c r="A30" s="18" t="s">
        <v>162</v>
      </c>
      <c r="B30" s="18"/>
      <c r="C30" s="18"/>
      <c r="D30" s="83">
        <f t="shared" ref="D30:L30" si="7">(D13/D9)*365</f>
        <v>79.709666517326696</v>
      </c>
      <c r="E30" s="83">
        <f t="shared" si="7"/>
        <v>80.828929800477653</v>
      </c>
      <c r="F30" s="83">
        <f t="shared" si="7"/>
        <v>95.97186475901205</v>
      </c>
      <c r="G30" s="84">
        <f t="shared" si="7"/>
        <v>104.39346858737461</v>
      </c>
      <c r="H30" s="84">
        <f t="shared" si="7"/>
        <v>104.39346858737461</v>
      </c>
      <c r="I30" s="84">
        <f t="shared" si="7"/>
        <v>104.3934685873746</v>
      </c>
      <c r="J30" s="84">
        <f t="shared" si="7"/>
        <v>104.39346858737461</v>
      </c>
      <c r="K30" s="84">
        <f t="shared" si="7"/>
        <v>104.39346858737461</v>
      </c>
      <c r="L30" s="84">
        <f t="shared" si="7"/>
        <v>104.39346858737461</v>
      </c>
    </row>
    <row r="31" spans="1:13" x14ac:dyDescent="0.25">
      <c r="A31" s="18" t="s">
        <v>163</v>
      </c>
      <c r="B31" s="18"/>
      <c r="C31" s="18"/>
      <c r="D31" s="29">
        <f t="shared" ref="D31:L31" si="8">(D14/D7)</f>
        <v>1.8563656468853669E-2</v>
      </c>
      <c r="E31" s="29">
        <f t="shared" si="8"/>
        <v>1.9081091079838929E-2</v>
      </c>
      <c r="F31" s="29">
        <f t="shared" si="8"/>
        <v>1.9577468224732258E-2</v>
      </c>
      <c r="G31" s="30">
        <f t="shared" si="8"/>
        <v>2.1387821632320409E-2</v>
      </c>
      <c r="H31" s="30">
        <f t="shared" si="8"/>
        <v>2.1387821632320409E-2</v>
      </c>
      <c r="I31" s="30">
        <f t="shared" si="8"/>
        <v>2.1387821632320409E-2</v>
      </c>
      <c r="J31" s="30">
        <f t="shared" si="8"/>
        <v>2.1387821632320409E-2</v>
      </c>
      <c r="K31" s="30">
        <f t="shared" si="8"/>
        <v>2.1387821632320409E-2</v>
      </c>
      <c r="L31" s="30">
        <f t="shared" si="8"/>
        <v>2.1387821632320409E-2</v>
      </c>
    </row>
    <row r="32" spans="1:13" x14ac:dyDescent="0.25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8"/>
      <c r="L32" s="18"/>
    </row>
    <row r="33" spans="1:12" x14ac:dyDescent="0.25">
      <c r="A33" s="21" t="s">
        <v>152</v>
      </c>
      <c r="B33" s="22"/>
      <c r="C33" s="22"/>
      <c r="D33" s="18"/>
      <c r="E33" s="18"/>
      <c r="F33" s="18"/>
      <c r="G33" s="19"/>
      <c r="H33" s="18"/>
      <c r="I33" s="18"/>
      <c r="J33" s="18"/>
      <c r="K33" s="18"/>
      <c r="L33" s="18"/>
    </row>
    <row r="34" spans="1:12" x14ac:dyDescent="0.25">
      <c r="A34" s="18" t="s">
        <v>164</v>
      </c>
      <c r="B34" s="18"/>
      <c r="C34" s="18"/>
      <c r="D34" s="83">
        <f t="shared" ref="D34:L34" si="9">(D18/D9)*365</f>
        <v>32.010678458032224</v>
      </c>
      <c r="E34" s="83">
        <f t="shared" si="9"/>
        <v>53.689188935065914</v>
      </c>
      <c r="F34" s="83">
        <f t="shared" si="9"/>
        <v>46.52721604987611</v>
      </c>
      <c r="G34" s="84">
        <f t="shared" si="9"/>
        <v>46.666264424164716</v>
      </c>
      <c r="H34" s="84">
        <f t="shared" si="9"/>
        <v>46.666264424164716</v>
      </c>
      <c r="I34" s="84">
        <f t="shared" si="9"/>
        <v>46.666264424164716</v>
      </c>
      <c r="J34" s="84">
        <f t="shared" si="9"/>
        <v>46.666264424164709</v>
      </c>
      <c r="K34" s="84">
        <f t="shared" si="9"/>
        <v>46.666264424164709</v>
      </c>
      <c r="L34" s="84">
        <f t="shared" si="9"/>
        <v>46.666264424164709</v>
      </c>
    </row>
    <row r="35" spans="1:12" x14ac:dyDescent="0.25">
      <c r="A35" s="18" t="s">
        <v>165</v>
      </c>
      <c r="B35" s="18"/>
      <c r="C35" s="18"/>
      <c r="D35" s="29">
        <f t="shared" ref="D35:L35" si="10">(D19/D7)</f>
        <v>8.1031772945079239E-2</v>
      </c>
      <c r="E35" s="29">
        <f t="shared" si="10"/>
        <v>7.8572546564407583E-2</v>
      </c>
      <c r="F35" s="29">
        <f t="shared" si="10"/>
        <v>5.6585591959210549E-2</v>
      </c>
      <c r="G35" s="30">
        <f t="shared" si="10"/>
        <v>0.10441262079403889</v>
      </c>
      <c r="H35" s="30">
        <f t="shared" si="10"/>
        <v>0.10441262079403889</v>
      </c>
      <c r="I35" s="30">
        <f t="shared" si="10"/>
        <v>0.10441262079403889</v>
      </c>
      <c r="J35" s="30">
        <f t="shared" si="10"/>
        <v>0.10441262079403889</v>
      </c>
      <c r="K35" s="30">
        <f t="shared" si="10"/>
        <v>0.10441262079403889</v>
      </c>
      <c r="L35" s="30">
        <f t="shared" si="10"/>
        <v>0.10441262079403889</v>
      </c>
    </row>
    <row r="36" spans="1:12" x14ac:dyDescent="0.25">
      <c r="A36" s="18" t="s">
        <v>166</v>
      </c>
      <c r="B36" s="18"/>
      <c r="C36" s="18"/>
      <c r="D36" s="29">
        <f t="shared" ref="D36:L36" si="11">(D20/D7)</f>
        <v>7.7871581275340954E-2</v>
      </c>
      <c r="E36" s="29">
        <f t="shared" si="11"/>
        <v>7.8970958607834513E-2</v>
      </c>
      <c r="F36" s="29">
        <f t="shared" si="11"/>
        <v>0.11817228172037762</v>
      </c>
      <c r="G36" s="30">
        <f t="shared" si="11"/>
        <v>6.8017231342414719E-2</v>
      </c>
      <c r="H36" s="30">
        <f t="shared" si="11"/>
        <v>6.8017231342414719E-2</v>
      </c>
      <c r="I36" s="30">
        <f t="shared" si="11"/>
        <v>6.8017231342414719E-2</v>
      </c>
      <c r="J36" s="30">
        <f t="shared" si="11"/>
        <v>6.8017231342414719E-2</v>
      </c>
      <c r="K36" s="30">
        <f t="shared" si="11"/>
        <v>6.8017231342414719E-2</v>
      </c>
      <c r="L36" s="30">
        <f t="shared" si="11"/>
        <v>6.8017231342414719E-2</v>
      </c>
    </row>
    <row r="37" spans="1:1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1:1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</sheetData>
  <mergeCells count="25">
    <mergeCell ref="A23:C23"/>
    <mergeCell ref="A24:C24"/>
    <mergeCell ref="A26:C26"/>
    <mergeCell ref="A17:C17"/>
    <mergeCell ref="A18:C18"/>
    <mergeCell ref="A19:C19"/>
    <mergeCell ref="A20:C20"/>
    <mergeCell ref="A21:C21"/>
    <mergeCell ref="A11:C11"/>
    <mergeCell ref="A12:C12"/>
    <mergeCell ref="A14:C14"/>
    <mergeCell ref="A15:C15"/>
    <mergeCell ref="A6:C6"/>
    <mergeCell ref="A7:C7"/>
    <mergeCell ref="A8:C8"/>
    <mergeCell ref="A9:C9"/>
    <mergeCell ref="A10:C10"/>
    <mergeCell ref="A13:C13"/>
    <mergeCell ref="N8:P8"/>
    <mergeCell ref="A1:XFD1"/>
    <mergeCell ref="A2:XFD2"/>
    <mergeCell ref="A4:C4"/>
    <mergeCell ref="A5:C5"/>
    <mergeCell ref="D5:F5"/>
    <mergeCell ref="H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D24" sqref="D24"/>
    </sheetView>
  </sheetViews>
  <sheetFormatPr defaultRowHeight="15" x14ac:dyDescent="0.25"/>
  <cols>
    <col min="4" max="4" width="9.140625" style="59" customWidth="1"/>
    <col min="27" max="27" width="13.42578125" style="59" bestFit="1" customWidth="1"/>
  </cols>
  <sheetData>
    <row r="1" spans="1:31" s="122" customFormat="1" ht="26.25" customHeight="1" x14ac:dyDescent="0.4">
      <c r="A1" s="121" t="s">
        <v>136</v>
      </c>
    </row>
    <row r="2" spans="1:31" s="122" customFormat="1" ht="18.75" customHeight="1" x14ac:dyDescent="0.3">
      <c r="A2" s="123" t="s">
        <v>167</v>
      </c>
    </row>
    <row r="3" spans="1:31" s="68" customFormat="1" x14ac:dyDescent="0.25">
      <c r="A3" s="1" t="s">
        <v>138</v>
      </c>
      <c r="O3" s="3"/>
    </row>
    <row r="5" spans="1:31" x14ac:dyDescent="0.25">
      <c r="I5" s="111"/>
      <c r="J5" s="111"/>
      <c r="K5" s="111"/>
      <c r="L5" s="111"/>
      <c r="M5" s="111"/>
      <c r="P5" s="59"/>
      <c r="Q5" s="111"/>
      <c r="R5" s="111"/>
      <c r="X5" s="67"/>
      <c r="Y5" s="67"/>
      <c r="Z5" s="153" t="s">
        <v>168</v>
      </c>
      <c r="AA5" s="120"/>
      <c r="AB5" s="153" t="s">
        <v>169</v>
      </c>
      <c r="AC5" s="120"/>
      <c r="AD5" s="153" t="s">
        <v>170</v>
      </c>
      <c r="AE5" s="120"/>
    </row>
    <row r="6" spans="1:31" s="64" customFormat="1" x14ac:dyDescent="0.25">
      <c r="A6" s="146" t="s">
        <v>171</v>
      </c>
      <c r="B6" s="127"/>
      <c r="C6" s="127"/>
      <c r="D6" s="127"/>
      <c r="E6" s="100"/>
      <c r="F6" s="148" t="s">
        <v>172</v>
      </c>
      <c r="G6" s="127"/>
      <c r="H6" s="127"/>
      <c r="I6" s="127"/>
      <c r="J6" s="127"/>
      <c r="K6" s="127"/>
      <c r="L6" s="127"/>
      <c r="M6" s="127"/>
      <c r="N6" s="127"/>
      <c r="O6" s="127"/>
      <c r="P6" s="68"/>
      <c r="Q6" s="68"/>
      <c r="R6" s="68"/>
      <c r="S6" s="68"/>
      <c r="X6" s="146" t="s">
        <v>173</v>
      </c>
      <c r="Y6" s="127"/>
      <c r="Z6" s="127"/>
      <c r="AA6" s="127"/>
      <c r="AB6" s="127"/>
      <c r="AC6" s="127"/>
      <c r="AD6" s="127"/>
      <c r="AE6" s="127"/>
    </row>
    <row r="7" spans="1:31" ht="15" customHeight="1" x14ac:dyDescent="0.25">
      <c r="A7" s="147" t="s">
        <v>174</v>
      </c>
      <c r="B7" s="120"/>
      <c r="C7" s="120"/>
      <c r="D7" s="120"/>
      <c r="H7" s="149" t="s">
        <v>337</v>
      </c>
      <c r="I7" s="120"/>
      <c r="J7" s="149" t="s">
        <v>175</v>
      </c>
      <c r="K7" s="120"/>
      <c r="L7" s="149" t="s">
        <v>176</v>
      </c>
      <c r="M7" s="120"/>
      <c r="N7" s="149" t="s">
        <v>177</v>
      </c>
      <c r="O7" s="120"/>
      <c r="P7" s="149" t="s">
        <v>178</v>
      </c>
      <c r="Q7" s="120"/>
      <c r="R7" s="149" t="s">
        <v>179</v>
      </c>
      <c r="S7" s="120"/>
      <c r="U7" s="135" t="s">
        <v>309</v>
      </c>
      <c r="V7" s="120"/>
      <c r="W7" s="120"/>
      <c r="X7" s="151">
        <f>Cash_flow_data!E31</f>
        <v>202</v>
      </c>
      <c r="Y7" s="120"/>
      <c r="AA7" s="40">
        <f>X7/X18</f>
        <v>7.7347220094960936E-2</v>
      </c>
      <c r="AB7" s="140"/>
      <c r="AC7" s="140"/>
      <c r="AD7" s="141"/>
      <c r="AE7" s="133"/>
    </row>
    <row r="8" spans="1:31" x14ac:dyDescent="0.25">
      <c r="A8" t="s">
        <v>180</v>
      </c>
      <c r="D8" s="33">
        <f>X15/X18</f>
        <v>0.57822790626435905</v>
      </c>
      <c r="F8" s="34" t="s">
        <v>181</v>
      </c>
      <c r="G8" s="60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U8" s="135" t="s">
        <v>312</v>
      </c>
      <c r="V8" s="120"/>
      <c r="W8" s="120"/>
      <c r="X8" s="154">
        <v>312.89999999999998</v>
      </c>
      <c r="Y8" s="120"/>
      <c r="AA8" s="112">
        <f>X8/X18</f>
        <v>0.11981160974115482</v>
      </c>
      <c r="AB8" s="140">
        <v>46174</v>
      </c>
      <c r="AC8" s="140"/>
      <c r="AD8" s="142">
        <v>5.0999999999999997E-2</v>
      </c>
      <c r="AE8" s="142"/>
    </row>
    <row r="9" spans="1:31" x14ac:dyDescent="0.25">
      <c r="A9" t="s">
        <v>182</v>
      </c>
      <c r="D9" s="32">
        <f>1-D8</f>
        <v>0.42177209373564095</v>
      </c>
      <c r="F9" s="133" t="s">
        <v>326</v>
      </c>
      <c r="G9" s="134"/>
      <c r="H9" s="157">
        <v>1.78</v>
      </c>
      <c r="I9" s="134"/>
      <c r="J9" s="157">
        <v>200</v>
      </c>
      <c r="K9" s="134"/>
      <c r="L9" s="157">
        <v>1121.386</v>
      </c>
      <c r="M9" s="134"/>
      <c r="N9" s="172">
        <f>J9/L9</f>
        <v>0.17835071955597806</v>
      </c>
      <c r="O9" s="120"/>
      <c r="P9" s="172">
        <f>DCF!S5</f>
        <v>0.21</v>
      </c>
      <c r="Q9" s="120"/>
      <c r="R9" s="157">
        <f>H9/(1+N9*(1-P9))</f>
        <v>1.5601758030805404</v>
      </c>
      <c r="S9" s="134"/>
      <c r="U9" s="155" t="s">
        <v>311</v>
      </c>
      <c r="V9" s="120"/>
      <c r="W9" s="120"/>
      <c r="X9" s="151">
        <v>500</v>
      </c>
      <c r="Y9" s="120"/>
      <c r="AA9" s="38">
        <f>X9/X18</f>
        <v>0.19145351508653696</v>
      </c>
      <c r="AB9" s="140">
        <v>45047</v>
      </c>
      <c r="AC9" s="135"/>
      <c r="AD9" s="142">
        <v>5.67E-2</v>
      </c>
      <c r="AE9" s="135"/>
    </row>
    <row r="10" spans="1:31" x14ac:dyDescent="0.25">
      <c r="F10" s="133" t="s">
        <v>322</v>
      </c>
      <c r="G10" s="134"/>
      <c r="H10" s="158">
        <v>1.47</v>
      </c>
      <c r="I10" s="120"/>
      <c r="J10" s="156">
        <v>114699</v>
      </c>
      <c r="K10" s="120"/>
      <c r="L10" s="156">
        <v>67792</v>
      </c>
      <c r="M10" s="120"/>
      <c r="N10" s="172">
        <f>J10/L10</f>
        <v>1.6919253009204627</v>
      </c>
      <c r="O10" s="120"/>
      <c r="P10" s="172">
        <f>P9</f>
        <v>0.21</v>
      </c>
      <c r="Q10" s="172"/>
      <c r="R10" s="157">
        <f>H10/(1+N10*(1-P10))</f>
        <v>0.62911358227158221</v>
      </c>
      <c r="S10" s="134"/>
      <c r="U10" s="120" t="s">
        <v>315</v>
      </c>
      <c r="V10" s="120"/>
      <c r="W10" s="120"/>
      <c r="X10" s="120">
        <v>61.4</v>
      </c>
      <c r="Y10" s="120"/>
      <c r="Z10" s="59"/>
      <c r="AA10" s="38">
        <f>X10/X18</f>
        <v>2.3510491652626739E-2</v>
      </c>
      <c r="AB10" s="135" t="s">
        <v>318</v>
      </c>
      <c r="AC10" s="135"/>
      <c r="AD10" s="142">
        <v>4.2500000000000003E-2</v>
      </c>
      <c r="AE10" s="135"/>
    </row>
    <row r="11" spans="1:31" x14ac:dyDescent="0.25">
      <c r="A11" s="119" t="s">
        <v>183</v>
      </c>
      <c r="B11" s="120"/>
      <c r="F11" s="133" t="s">
        <v>323</v>
      </c>
      <c r="G11" s="134"/>
      <c r="H11" s="158">
        <v>1.1000000000000001</v>
      </c>
      <c r="I11" s="120"/>
      <c r="J11" s="156">
        <v>2083.7620000000002</v>
      </c>
      <c r="K11" s="120"/>
      <c r="L11" s="156">
        <v>4349.701</v>
      </c>
      <c r="M11" s="120"/>
      <c r="N11" s="172">
        <f>J11/L11</f>
        <v>0.47905867552735237</v>
      </c>
      <c r="O11" s="120"/>
      <c r="P11" s="172">
        <f>P10</f>
        <v>0.21</v>
      </c>
      <c r="Q11" s="172"/>
      <c r="R11" s="157">
        <f>H11/(1+N11*(1-P11))</f>
        <v>0.79799407291646807</v>
      </c>
      <c r="S11" s="134"/>
      <c r="U11" s="135" t="s">
        <v>310</v>
      </c>
      <c r="V11" s="135"/>
      <c r="W11" s="135"/>
      <c r="X11" s="151">
        <f>828</f>
        <v>828</v>
      </c>
      <c r="Y11" s="151"/>
      <c r="Z11" s="59"/>
      <c r="AA11" s="70">
        <f>X11/X18</f>
        <v>0.31704702098330523</v>
      </c>
      <c r="AB11" s="135" t="s">
        <v>313</v>
      </c>
      <c r="AC11" s="135"/>
      <c r="AD11" s="142">
        <v>5.67E-2</v>
      </c>
      <c r="AE11" s="135"/>
    </row>
    <row r="12" spans="1:31" x14ac:dyDescent="0.25">
      <c r="A12" s="119" t="s">
        <v>321</v>
      </c>
      <c r="B12" s="120"/>
      <c r="D12" s="137">
        <f>71.7</f>
        <v>71.7</v>
      </c>
      <c r="E12" s="138"/>
      <c r="F12" s="133" t="s">
        <v>324</v>
      </c>
      <c r="G12" s="134"/>
      <c r="H12" s="158">
        <v>0.95</v>
      </c>
      <c r="I12" s="120"/>
      <c r="J12" s="156">
        <v>695.79100000000005</v>
      </c>
      <c r="K12" s="120"/>
      <c r="L12" s="156">
        <v>480.505</v>
      </c>
      <c r="M12" s="120"/>
      <c r="N12" s="172">
        <f>J12/L12</f>
        <v>1.4480411234014214</v>
      </c>
      <c r="O12" s="120"/>
      <c r="P12" s="172">
        <f>P11</f>
        <v>0.21</v>
      </c>
      <c r="Q12" s="172"/>
      <c r="R12" s="157">
        <f>H12/(1+N12*(1-P12))</f>
        <v>0.44310683447722893</v>
      </c>
      <c r="S12" s="134"/>
      <c r="U12" s="135" t="s">
        <v>307</v>
      </c>
      <c r="V12" s="120"/>
      <c r="W12" s="120"/>
      <c r="X12" s="151">
        <v>350</v>
      </c>
      <c r="Y12" s="120"/>
      <c r="Z12" s="59"/>
      <c r="AA12" s="38">
        <f>X12/X18</f>
        <v>0.13401746056057587</v>
      </c>
      <c r="AB12" s="135" t="s">
        <v>314</v>
      </c>
      <c r="AC12" s="120"/>
      <c r="AD12" s="152">
        <v>4.2299999999999997E-2</v>
      </c>
      <c r="AE12" s="120"/>
    </row>
    <row r="13" spans="1:31" x14ac:dyDescent="0.25">
      <c r="A13" s="155" t="s">
        <v>184</v>
      </c>
      <c r="B13" s="120"/>
      <c r="D13" s="167">
        <f>D12/X15</f>
        <v>4.7480299317925953E-2</v>
      </c>
      <c r="E13" s="120"/>
      <c r="F13" s="133" t="s">
        <v>325</v>
      </c>
      <c r="G13" s="134"/>
      <c r="H13" s="158">
        <v>1.39</v>
      </c>
      <c r="I13" s="120"/>
      <c r="J13" s="156">
        <v>6912.3019999999997</v>
      </c>
      <c r="K13" s="120"/>
      <c r="L13" s="156">
        <v>2906.808</v>
      </c>
      <c r="M13" s="120"/>
      <c r="N13" s="172">
        <f>J13/L13</f>
        <v>2.3779699243981716</v>
      </c>
      <c r="O13" s="120"/>
      <c r="P13" s="172">
        <f>P12</f>
        <v>0.21</v>
      </c>
      <c r="Q13" s="172"/>
      <c r="R13" s="157">
        <f>H13/(1+N13*(1-P13))</f>
        <v>0.48287424980011229</v>
      </c>
      <c r="S13" s="134"/>
      <c r="U13" s="144" t="s">
        <v>317</v>
      </c>
      <c r="V13" s="135"/>
      <c r="W13" s="135"/>
      <c r="X13" s="145">
        <v>-553.6</v>
      </c>
      <c r="Y13" s="145"/>
      <c r="Z13" s="59"/>
      <c r="AA13" s="38"/>
    </row>
    <row r="14" spans="1:31" ht="15.75" customHeight="1" thickBot="1" x14ac:dyDescent="0.3">
      <c r="A14" s="155" t="s">
        <v>185</v>
      </c>
      <c r="B14" s="120"/>
      <c r="D14" s="168">
        <f>P22</f>
        <v>0.21</v>
      </c>
      <c r="E14" s="120"/>
      <c r="F14" s="66"/>
      <c r="G14" s="66"/>
      <c r="U14" s="135" t="s">
        <v>316</v>
      </c>
      <c r="V14" s="135"/>
      <c r="W14" s="135"/>
      <c r="X14" s="143">
        <v>11.4</v>
      </c>
      <c r="Y14" s="143"/>
      <c r="Z14" s="59"/>
      <c r="AA14" s="39">
        <f>X15/X18</f>
        <v>0.57822790626435905</v>
      </c>
      <c r="AB14" s="135" t="s">
        <v>319</v>
      </c>
      <c r="AC14" s="135"/>
    </row>
    <row r="15" spans="1:31" x14ac:dyDescent="0.25">
      <c r="A15" s="119" t="s">
        <v>186</v>
      </c>
      <c r="B15" s="120"/>
      <c r="C15" s="120"/>
      <c r="D15" s="165">
        <f>D13*(1-D14)</f>
        <v>3.7509436461161505E-2</v>
      </c>
      <c r="E15" s="166"/>
      <c r="F15" s="163" t="s">
        <v>187</v>
      </c>
      <c r="G15" s="160"/>
      <c r="H15" s="159">
        <f>AVERAGE(H9:I13)</f>
        <v>1.3379999999999999</v>
      </c>
      <c r="I15" s="160"/>
      <c r="J15" s="35"/>
      <c r="K15" s="35"/>
      <c r="L15" s="35"/>
      <c r="M15" s="35"/>
      <c r="N15" s="171">
        <f>AVERAGE(N9:O13)</f>
        <v>1.2350691487606773</v>
      </c>
      <c r="O15" s="160"/>
      <c r="P15" s="35"/>
      <c r="Q15" s="35"/>
      <c r="R15" s="178">
        <f>AVERAGE(R9:S13)</f>
        <v>0.78265290850918645</v>
      </c>
      <c r="S15" s="179"/>
      <c r="U15" s="119" t="s">
        <v>320</v>
      </c>
      <c r="V15" s="120"/>
      <c r="W15" s="120"/>
      <c r="X15" s="174">
        <f>X10+X12+X8+X11+X9+X14+X13</f>
        <v>1510.1000000000004</v>
      </c>
      <c r="Y15" s="134"/>
      <c r="Z15" s="59"/>
    </row>
    <row r="16" spans="1:31" ht="15.75" customHeight="1" thickBot="1" x14ac:dyDescent="0.3">
      <c r="C16" s="111"/>
      <c r="D16" s="111"/>
      <c r="F16" s="164" t="s">
        <v>188</v>
      </c>
      <c r="G16" s="162"/>
      <c r="H16" s="161">
        <f>MEDIAN(H9:I13)</f>
        <v>1.39</v>
      </c>
      <c r="I16" s="162"/>
      <c r="J16" s="36"/>
      <c r="K16" s="36"/>
      <c r="L16" s="36"/>
      <c r="M16" s="36"/>
      <c r="N16" s="187">
        <f>MEDIAN(N9:O13)</f>
        <v>1.4480411234014214</v>
      </c>
      <c r="O16" s="162"/>
      <c r="P16" s="36"/>
      <c r="Q16" s="36"/>
      <c r="R16" s="180">
        <f>MEDIAN(R9:S13)</f>
        <v>0.62911358227158221</v>
      </c>
      <c r="S16" s="181"/>
      <c r="Z16" s="59"/>
      <c r="AA16" s="40">
        <v>0.7</v>
      </c>
    </row>
    <row r="17" spans="1:27" x14ac:dyDescent="0.25">
      <c r="B17" s="111"/>
      <c r="C17" s="111"/>
      <c r="D17" s="111"/>
      <c r="U17" s="135" t="s">
        <v>308</v>
      </c>
      <c r="V17" s="120"/>
      <c r="W17" s="120"/>
      <c r="X17" s="175">
        <f>Balance_sheet!E66-Balance_sheet!E70</f>
        <v>1101.5</v>
      </c>
      <c r="Y17" s="120"/>
      <c r="AA17" s="41">
        <f>AA14+AA16</f>
        <v>1.2782279062643589</v>
      </c>
    </row>
    <row r="18" spans="1:27" x14ac:dyDescent="0.25">
      <c r="A18" s="150" t="s">
        <v>191</v>
      </c>
      <c r="B18" s="120"/>
      <c r="C18" s="120"/>
      <c r="D18" s="68"/>
      <c r="F18" s="183" t="s">
        <v>192</v>
      </c>
      <c r="G18" s="120"/>
      <c r="H18" s="120"/>
      <c r="I18" s="120"/>
      <c r="J18" s="120"/>
      <c r="K18" s="120"/>
      <c r="L18" s="68"/>
      <c r="M18" s="68"/>
      <c r="N18" s="68"/>
      <c r="O18" s="68"/>
      <c r="P18" s="68"/>
      <c r="Q18" s="68"/>
      <c r="R18" s="68"/>
      <c r="S18" s="68"/>
      <c r="U18" s="119" t="s">
        <v>189</v>
      </c>
      <c r="V18" s="120"/>
      <c r="W18" s="120"/>
      <c r="X18" s="176">
        <f>X15+X17</f>
        <v>2611.6000000000004</v>
      </c>
      <c r="Y18" s="177"/>
      <c r="AA18" s="38"/>
    </row>
    <row r="19" spans="1:27" ht="15" customHeight="1" x14ac:dyDescent="0.25">
      <c r="A19" s="155" t="s">
        <v>327</v>
      </c>
      <c r="B19" s="120"/>
      <c r="C19" s="120"/>
      <c r="D19" s="43">
        <v>4.4999999999999998E-2</v>
      </c>
      <c r="L19" s="182" t="s">
        <v>193</v>
      </c>
      <c r="M19" s="120"/>
      <c r="N19" s="149" t="s">
        <v>194</v>
      </c>
      <c r="O19" s="120"/>
      <c r="P19" s="149" t="s">
        <v>195</v>
      </c>
      <c r="Q19" s="120"/>
      <c r="R19" s="195" t="s">
        <v>196</v>
      </c>
      <c r="S19" s="120"/>
      <c r="U19" s="135" t="s">
        <v>190</v>
      </c>
      <c r="V19" s="120"/>
      <c r="W19" s="120"/>
      <c r="X19" s="169">
        <f>X15-X7</f>
        <v>1308.1000000000004</v>
      </c>
      <c r="Y19" s="134"/>
    </row>
    <row r="20" spans="1:27" x14ac:dyDescent="0.25">
      <c r="A20" s="155" t="s">
        <v>328</v>
      </c>
      <c r="B20" s="120"/>
      <c r="C20" s="120"/>
      <c r="D20" s="43">
        <v>5.7000000000000002E-2</v>
      </c>
      <c r="L20" s="120"/>
      <c r="M20" s="120"/>
      <c r="N20" s="120"/>
      <c r="O20" s="120"/>
      <c r="P20" s="120"/>
      <c r="Q20" s="120"/>
      <c r="R20" s="120"/>
      <c r="S20" s="120"/>
    </row>
    <row r="21" spans="1:27" x14ac:dyDescent="0.25">
      <c r="A21" s="155" t="s">
        <v>199</v>
      </c>
      <c r="B21" s="120"/>
      <c r="C21" s="120"/>
      <c r="D21" s="42">
        <f>R22</f>
        <v>1.6303047325131634</v>
      </c>
      <c r="L21" s="120"/>
      <c r="M21" s="120"/>
      <c r="N21" s="127"/>
      <c r="O21" s="127"/>
      <c r="P21" s="127"/>
      <c r="Q21" s="127"/>
      <c r="R21" s="127"/>
      <c r="S21" s="127"/>
      <c r="U21" s="135" t="s">
        <v>197</v>
      </c>
      <c r="V21" s="120"/>
      <c r="W21" s="120"/>
      <c r="X21" s="170">
        <f>X15/X17</f>
        <v>1.3709487063095782</v>
      </c>
      <c r="Y21" s="120"/>
    </row>
    <row r="22" spans="1:27" x14ac:dyDescent="0.25">
      <c r="A22" s="155" t="s">
        <v>329</v>
      </c>
      <c r="B22" s="120"/>
      <c r="C22" s="120"/>
      <c r="D22" s="43">
        <v>1.0999999999999999E-2</v>
      </c>
      <c r="F22" s="119" t="s">
        <v>200</v>
      </c>
      <c r="G22" s="120"/>
      <c r="L22" s="157">
        <f>AVERAGE(R9:S13)</f>
        <v>0.78265290850918645</v>
      </c>
      <c r="M22" s="134"/>
      <c r="N22" s="184">
        <f>D8/D9</f>
        <v>1.370948706309578</v>
      </c>
      <c r="O22" s="134"/>
      <c r="P22" s="141">
        <f>P9</f>
        <v>0.21</v>
      </c>
      <c r="Q22" s="134"/>
      <c r="R22" s="157">
        <f>L22*(1+(N22)*(1-P22))</f>
        <v>1.6303047325131634</v>
      </c>
      <c r="S22" s="134"/>
      <c r="U22" s="135" t="s">
        <v>198</v>
      </c>
      <c r="V22" s="120"/>
      <c r="W22" s="120"/>
      <c r="X22" s="170">
        <f>X15/X18</f>
        <v>0.57822790626435905</v>
      </c>
      <c r="Y22" s="120"/>
    </row>
    <row r="23" spans="1:27" x14ac:dyDescent="0.25">
      <c r="A23" s="132" t="s">
        <v>201</v>
      </c>
      <c r="B23" s="120"/>
      <c r="C23" s="120"/>
      <c r="D23" s="53">
        <f>D19+(D21*D20)+D22</f>
        <v>0.14892736975325033</v>
      </c>
    </row>
    <row r="24" spans="1:27" x14ac:dyDescent="0.25">
      <c r="F24" s="183" t="s">
        <v>202</v>
      </c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V24" s="111"/>
      <c r="W24" s="111"/>
      <c r="X24" s="111"/>
    </row>
    <row r="25" spans="1:27" x14ac:dyDescent="0.25">
      <c r="A25" s="132" t="s">
        <v>203</v>
      </c>
      <c r="B25" s="120"/>
      <c r="C25" s="173">
        <f>(D15*D8)+(D23*D9)</f>
        <v>8.4502411465463792E-2</v>
      </c>
      <c r="D25" s="172"/>
      <c r="M25" s="119" t="s">
        <v>204</v>
      </c>
      <c r="N25" s="120"/>
      <c r="O25" s="120"/>
    </row>
    <row r="26" spans="1:27" x14ac:dyDescent="0.25">
      <c r="F26" s="196" t="s">
        <v>205</v>
      </c>
      <c r="G26" s="186"/>
      <c r="H26" s="120"/>
      <c r="I26" s="185">
        <f>K26-0.005</f>
        <v>3.7480299317925958E-2</v>
      </c>
      <c r="J26" s="177"/>
      <c r="K26" s="185">
        <f>M26-0.005</f>
        <v>4.2480299317925956E-2</v>
      </c>
      <c r="L26" s="177"/>
      <c r="M26" s="185">
        <f>D13</f>
        <v>4.7480299317925953E-2</v>
      </c>
      <c r="N26" s="177"/>
      <c r="O26" s="177"/>
      <c r="P26" s="185">
        <f>M26+0.005</f>
        <v>5.2480299317925951E-2</v>
      </c>
      <c r="Q26" s="177"/>
      <c r="R26" s="185">
        <f>P26+0.005</f>
        <v>5.7480299317925948E-2</v>
      </c>
      <c r="S26" s="177"/>
      <c r="V26" s="59"/>
      <c r="W26" s="59"/>
    </row>
    <row r="27" spans="1:27" x14ac:dyDescent="0.25">
      <c r="F27" s="120"/>
      <c r="G27" s="191">
        <v>0.1</v>
      </c>
      <c r="H27" s="192"/>
      <c r="I27" s="194">
        <f>(D23*(1-G27)+G27*(I26*(1-D14)))</f>
        <v>0.13699557642404145</v>
      </c>
      <c r="J27" s="134"/>
      <c r="K27" s="194">
        <f>(D23*(1-G27)+G27*(K26*(1-D14)))</f>
        <v>0.13739057642404146</v>
      </c>
      <c r="L27" s="134"/>
      <c r="M27" s="193">
        <f>(D23*(1-G27)+G27*(M26*(1-D14)))</f>
        <v>0.13778557642404143</v>
      </c>
      <c r="N27" s="134"/>
      <c r="O27" s="134"/>
      <c r="P27" s="193">
        <f>(D23*(1-G27)+G27*(P26*(1-D14)))</f>
        <v>0.13818057642404144</v>
      </c>
      <c r="Q27" s="134"/>
      <c r="R27" s="193">
        <f>(D23*(1-G27)+G27*(R26*(1-D14)))</f>
        <v>0.13857557642404145</v>
      </c>
      <c r="S27" s="134"/>
      <c r="V27" s="139" t="s">
        <v>331</v>
      </c>
      <c r="W27" s="139"/>
      <c r="X27" s="139"/>
    </row>
    <row r="28" spans="1:27" x14ac:dyDescent="0.25">
      <c r="F28" s="120"/>
      <c r="G28" s="191">
        <v>0.2</v>
      </c>
      <c r="H28" s="192"/>
      <c r="I28" s="188">
        <f>(D23*(1-G28)+G28*(I26*(1-D14)))</f>
        <v>0.12506378309483257</v>
      </c>
      <c r="J28" s="120"/>
      <c r="K28" s="189">
        <f>(D23*(1-G28)+G28*(K26*(1-D14)))</f>
        <v>0.12585378309483256</v>
      </c>
      <c r="L28" s="120"/>
      <c r="M28" s="189">
        <f>(D23*(1-G28)+G28*(M26*(1-D14)))</f>
        <v>0.12664378309483257</v>
      </c>
      <c r="N28" s="120"/>
      <c r="O28" s="120"/>
      <c r="P28" s="189">
        <f>(D23*(1-G28)+G28*(P26*(1-D14)))</f>
        <v>0.12743378309483255</v>
      </c>
      <c r="Q28" s="120"/>
      <c r="R28" s="170">
        <f>(D23*(1-G28)+G28*(R26*(1-D14)))</f>
        <v>0.12822378309483257</v>
      </c>
      <c r="S28" s="120"/>
      <c r="V28" s="135" t="s">
        <v>332</v>
      </c>
      <c r="W28" s="135"/>
      <c r="X28" s="102"/>
    </row>
    <row r="29" spans="1:27" x14ac:dyDescent="0.25">
      <c r="F29" s="120"/>
      <c r="G29" s="191">
        <v>0.3</v>
      </c>
      <c r="H29" s="192"/>
      <c r="I29" s="188">
        <f>(D23*(1-G29)+G29*(I26*(1-D14)))</f>
        <v>0.11313198976562368</v>
      </c>
      <c r="J29" s="120"/>
      <c r="K29" s="189">
        <f>(D23*(1-G29)+G29*(K26*(1-D14)))</f>
        <v>0.11431698976562368</v>
      </c>
      <c r="L29" s="120"/>
      <c r="M29" s="190">
        <f>C25</f>
        <v>8.4502411465463792E-2</v>
      </c>
      <c r="N29" s="120"/>
      <c r="O29" s="120"/>
      <c r="P29" s="189">
        <f>(D23*(1-G29)+G29*(P26*(1-D14)))</f>
        <v>0.11668698976562368</v>
      </c>
      <c r="Q29" s="120"/>
      <c r="R29" s="170">
        <f>(D23*(1-G29)+G29*(R26*(1-D14)))</f>
        <v>0.11787198976562369</v>
      </c>
      <c r="S29" s="120"/>
      <c r="V29" s="135" t="s">
        <v>336</v>
      </c>
      <c r="W29" s="135"/>
      <c r="X29">
        <f>5230</f>
        <v>5230</v>
      </c>
    </row>
    <row r="30" spans="1:27" x14ac:dyDescent="0.25">
      <c r="F30" s="120"/>
      <c r="G30" s="191">
        <v>0.4</v>
      </c>
      <c r="H30" s="192"/>
      <c r="I30" s="188">
        <f>(D23*(1-G30)+G30*(I26*(1-D14)))</f>
        <v>0.1012001964364148</v>
      </c>
      <c r="J30" s="120"/>
      <c r="K30" s="189">
        <f>(D23*(1-G30)+G30*(K26*(1-D14)))</f>
        <v>0.1027801964364148</v>
      </c>
      <c r="L30" s="120"/>
      <c r="M30" s="189">
        <f>(D23*(1-G30)+G30*(M26*(1-D14)))</f>
        <v>0.1043601964364148</v>
      </c>
      <c r="N30" s="120"/>
      <c r="O30" s="120"/>
      <c r="P30" s="189">
        <f>(D23*(1-G30)+G30*(P26*(1-D14)))</f>
        <v>0.10594019643641479</v>
      </c>
      <c r="Q30" s="120"/>
      <c r="R30" s="170">
        <f>(D23*(1-G30)+G30*(R26*(1-D14)))</f>
        <v>0.10752019643641481</v>
      </c>
      <c r="S30" s="120"/>
      <c r="V30" s="135" t="s">
        <v>330</v>
      </c>
      <c r="W30" s="135"/>
      <c r="X30" s="79">
        <f>X29+X31-X7</f>
        <v>9131.7999999999993</v>
      </c>
    </row>
    <row r="31" spans="1:27" x14ac:dyDescent="0.25">
      <c r="F31" s="120"/>
      <c r="G31" s="191">
        <v>0.5</v>
      </c>
      <c r="H31" s="192"/>
      <c r="I31" s="188">
        <f>(D23*(1-G31)+G31*(I26*(1-D14)))</f>
        <v>8.9268403107205921E-2</v>
      </c>
      <c r="J31" s="120"/>
      <c r="K31" s="170">
        <f>(D23*(1-G31)+G31*(K26*(1-D14)))</f>
        <v>9.1243403107205912E-2</v>
      </c>
      <c r="L31" s="120"/>
      <c r="M31" s="170">
        <f>(D23*(1-G31)+G31*(M26*(1-D14)))</f>
        <v>9.3218403107205916E-2</v>
      </c>
      <c r="N31" s="120"/>
      <c r="O31" s="120"/>
      <c r="P31" s="170">
        <f>(D23*(1-G31)+G31*(P26*(1-D14)))</f>
        <v>9.5193403107205921E-2</v>
      </c>
      <c r="Q31" s="120"/>
      <c r="R31" s="170">
        <f>(D23*(1-G31)+G31*(R26*(1-D14)))</f>
        <v>9.7168403107205911E-2</v>
      </c>
      <c r="S31" s="120"/>
      <c r="V31" s="135" t="s">
        <v>333</v>
      </c>
      <c r="W31" s="135"/>
      <c r="X31" s="102">
        <v>4103.8</v>
      </c>
    </row>
  </sheetData>
  <mergeCells count="170">
    <mergeCell ref="G30:H30"/>
    <mergeCell ref="G31:H31"/>
    <mergeCell ref="R27:S27"/>
    <mergeCell ref="R28:S28"/>
    <mergeCell ref="R29:S29"/>
    <mergeCell ref="R30:S30"/>
    <mergeCell ref="R31:S31"/>
    <mergeCell ref="F26:F31"/>
    <mergeCell ref="M30:O30"/>
    <mergeCell ref="M31:O31"/>
    <mergeCell ref="P27:Q27"/>
    <mergeCell ref="P28:Q28"/>
    <mergeCell ref="P29:Q29"/>
    <mergeCell ref="P30:Q30"/>
    <mergeCell ref="P31:Q31"/>
    <mergeCell ref="I30:J30"/>
    <mergeCell ref="I31:J31"/>
    <mergeCell ref="K27:L27"/>
    <mergeCell ref="K28:L28"/>
    <mergeCell ref="K29:L29"/>
    <mergeCell ref="K30:L30"/>
    <mergeCell ref="K31:L31"/>
    <mergeCell ref="P26:Q26"/>
    <mergeCell ref="R26:S26"/>
    <mergeCell ref="M26:O26"/>
    <mergeCell ref="K26:L26"/>
    <mergeCell ref="I26:J26"/>
    <mergeCell ref="G26:H26"/>
    <mergeCell ref="N16:O16"/>
    <mergeCell ref="I28:J28"/>
    <mergeCell ref="I29:J29"/>
    <mergeCell ref="M28:O28"/>
    <mergeCell ref="M29:O29"/>
    <mergeCell ref="G27:H27"/>
    <mergeCell ref="G28:H28"/>
    <mergeCell ref="G29:H29"/>
    <mergeCell ref="M27:O27"/>
    <mergeCell ref="I27:J27"/>
    <mergeCell ref="F22:G22"/>
    <mergeCell ref="L22:M22"/>
    <mergeCell ref="N19:O21"/>
    <mergeCell ref="P19:Q21"/>
    <mergeCell ref="R19:S21"/>
    <mergeCell ref="F18:K18"/>
    <mergeCell ref="R13:S13"/>
    <mergeCell ref="N13:O13"/>
    <mergeCell ref="C25:D25"/>
    <mergeCell ref="M25:O25"/>
    <mergeCell ref="U22:W22"/>
    <mergeCell ref="X22:Y22"/>
    <mergeCell ref="U15:W15"/>
    <mergeCell ref="X15:Y15"/>
    <mergeCell ref="U17:W17"/>
    <mergeCell ref="X17:Y17"/>
    <mergeCell ref="U18:W18"/>
    <mergeCell ref="X18:Y18"/>
    <mergeCell ref="A19:C19"/>
    <mergeCell ref="A20:C20"/>
    <mergeCell ref="A15:C15"/>
    <mergeCell ref="R15:S15"/>
    <mergeCell ref="R16:S16"/>
    <mergeCell ref="L19:M21"/>
    <mergeCell ref="A25:B25"/>
    <mergeCell ref="F24:S24"/>
    <mergeCell ref="N22:O22"/>
    <mergeCell ref="P22:Q22"/>
    <mergeCell ref="R22:S22"/>
    <mergeCell ref="N15:O15"/>
    <mergeCell ref="P11:Q11"/>
    <mergeCell ref="R11:S11"/>
    <mergeCell ref="L12:M12"/>
    <mergeCell ref="N12:O12"/>
    <mergeCell ref="P12:Q12"/>
    <mergeCell ref="R12:S12"/>
    <mergeCell ref="P9:Q9"/>
    <mergeCell ref="R9:S9"/>
    <mergeCell ref="L10:M10"/>
    <mergeCell ref="N10:O10"/>
    <mergeCell ref="P10:Q10"/>
    <mergeCell ref="R10:S10"/>
    <mergeCell ref="J10:K10"/>
    <mergeCell ref="N7:O8"/>
    <mergeCell ref="P7:Q8"/>
    <mergeCell ref="R7:S8"/>
    <mergeCell ref="L9:M9"/>
    <mergeCell ref="N9:O9"/>
    <mergeCell ref="L11:M11"/>
    <mergeCell ref="N11:O11"/>
    <mergeCell ref="L13:M13"/>
    <mergeCell ref="P13:Q13"/>
    <mergeCell ref="U7:W7"/>
    <mergeCell ref="U8:W8"/>
    <mergeCell ref="U9:W9"/>
    <mergeCell ref="U10:W10"/>
    <mergeCell ref="Z5:AA6"/>
    <mergeCell ref="U19:W19"/>
    <mergeCell ref="X19:Y19"/>
    <mergeCell ref="U21:W21"/>
    <mergeCell ref="X21:Y21"/>
    <mergeCell ref="U11:W11"/>
    <mergeCell ref="X11:Y11"/>
    <mergeCell ref="H16:I16"/>
    <mergeCell ref="F15:G15"/>
    <mergeCell ref="F16:G16"/>
    <mergeCell ref="H12:I12"/>
    <mergeCell ref="H13:I13"/>
    <mergeCell ref="D15:E15"/>
    <mergeCell ref="F12:G12"/>
    <mergeCell ref="F13:G13"/>
    <mergeCell ref="A13:B13"/>
    <mergeCell ref="A14:B14"/>
    <mergeCell ref="D13:E13"/>
    <mergeCell ref="D14:E14"/>
    <mergeCell ref="F11:G11"/>
    <mergeCell ref="H9:I9"/>
    <mergeCell ref="H10:I10"/>
    <mergeCell ref="H11:I11"/>
    <mergeCell ref="J9:K9"/>
    <mergeCell ref="J11:K11"/>
    <mergeCell ref="J13:K13"/>
    <mergeCell ref="A12:B12"/>
    <mergeCell ref="H15:I15"/>
    <mergeCell ref="A1:XFD1"/>
    <mergeCell ref="A2:XFD2"/>
    <mergeCell ref="A6:D6"/>
    <mergeCell ref="A7:D7"/>
    <mergeCell ref="F6:O6"/>
    <mergeCell ref="H7:I8"/>
    <mergeCell ref="J7:K8"/>
    <mergeCell ref="L7:M8"/>
    <mergeCell ref="A18:C18"/>
    <mergeCell ref="AD9:AE9"/>
    <mergeCell ref="U12:W12"/>
    <mergeCell ref="X12:Y12"/>
    <mergeCell ref="AB12:AC12"/>
    <mergeCell ref="AD12:AE12"/>
    <mergeCell ref="AB5:AC6"/>
    <mergeCell ref="AD5:AE6"/>
    <mergeCell ref="X7:Y7"/>
    <mergeCell ref="X8:Y8"/>
    <mergeCell ref="X9:Y9"/>
    <mergeCell ref="X10:Y10"/>
    <mergeCell ref="X6:Y6"/>
    <mergeCell ref="AB8:AC8"/>
    <mergeCell ref="AB9:AC9"/>
    <mergeCell ref="AD8:AE8"/>
    <mergeCell ref="V31:W31"/>
    <mergeCell ref="A11:B11"/>
    <mergeCell ref="D12:E12"/>
    <mergeCell ref="V27:X27"/>
    <mergeCell ref="V28:W28"/>
    <mergeCell ref="V29:W29"/>
    <mergeCell ref="V30:W30"/>
    <mergeCell ref="AB7:AC7"/>
    <mergeCell ref="AD7:AE7"/>
    <mergeCell ref="AD11:AE11"/>
    <mergeCell ref="AB11:AC11"/>
    <mergeCell ref="U14:W14"/>
    <mergeCell ref="X14:Y14"/>
    <mergeCell ref="U13:W13"/>
    <mergeCell ref="X13:Y13"/>
    <mergeCell ref="AB10:AC10"/>
    <mergeCell ref="AB14:AC14"/>
    <mergeCell ref="AD10:AE10"/>
    <mergeCell ref="A21:C21"/>
    <mergeCell ref="A22:C22"/>
    <mergeCell ref="A23:C23"/>
    <mergeCell ref="J12:K12"/>
    <mergeCell ref="F9:G9"/>
    <mergeCell ref="F10:G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D42" sqref="D42:E42"/>
    </sheetView>
  </sheetViews>
  <sheetFormatPr defaultRowHeight="15" x14ac:dyDescent="0.25"/>
  <cols>
    <col min="3" max="3" width="14.42578125" style="59" customWidth="1"/>
    <col min="4" max="4" width="10.28515625" style="59" bestFit="1" customWidth="1"/>
    <col min="5" max="5" width="10.5703125" style="59" customWidth="1"/>
    <col min="6" max="6" width="9.42578125" style="59" customWidth="1"/>
    <col min="7" max="7" width="10.28515625" style="59" bestFit="1" customWidth="1"/>
    <col min="8" max="8" width="10.5703125" style="59" bestFit="1" customWidth="1"/>
    <col min="9" max="9" width="10.140625" style="59" customWidth="1"/>
    <col min="10" max="10" width="9.140625" style="59" customWidth="1"/>
    <col min="11" max="14" width="9.42578125" style="59" bestFit="1" customWidth="1"/>
    <col min="15" max="15" width="10.28515625" style="59" bestFit="1" customWidth="1"/>
    <col min="16" max="16" width="10.140625" style="59" bestFit="1" customWidth="1"/>
  </cols>
  <sheetData>
    <row r="1" spans="1:19" s="122" customFormat="1" ht="26.25" customHeight="1" x14ac:dyDescent="0.4">
      <c r="A1" s="121" t="s">
        <v>136</v>
      </c>
    </row>
    <row r="2" spans="1:19" s="122" customFormat="1" ht="18.75" customHeight="1" x14ac:dyDescent="0.3">
      <c r="A2" s="123" t="s">
        <v>206</v>
      </c>
    </row>
    <row r="3" spans="1:19" s="68" customFormat="1" x14ac:dyDescent="0.25">
      <c r="A3" s="1" t="s">
        <v>138</v>
      </c>
      <c r="L3" s="68" t="s">
        <v>139</v>
      </c>
      <c r="O3" s="3" t="s">
        <v>140</v>
      </c>
    </row>
    <row r="4" spans="1:19" x14ac:dyDescent="0.25">
      <c r="A4" s="124" t="s">
        <v>141</v>
      </c>
      <c r="B4" s="120"/>
      <c r="C4" s="120"/>
      <c r="D4" s="2">
        <v>1</v>
      </c>
    </row>
    <row r="5" spans="1:19" x14ac:dyDescent="0.25">
      <c r="A5" s="124" t="s">
        <v>207</v>
      </c>
      <c r="B5" s="120"/>
      <c r="C5" s="120"/>
      <c r="D5" s="2" t="s">
        <v>208</v>
      </c>
      <c r="E5" s="125" t="s">
        <v>142</v>
      </c>
      <c r="F5" s="120"/>
      <c r="G5" s="120"/>
      <c r="H5" s="63" t="s">
        <v>144</v>
      </c>
      <c r="J5" s="125" t="s">
        <v>143</v>
      </c>
      <c r="K5" s="120"/>
      <c r="L5" s="120"/>
      <c r="M5" s="120"/>
      <c r="N5" s="120"/>
      <c r="O5" s="63" t="s">
        <v>144</v>
      </c>
      <c r="Q5" s="120" t="s">
        <v>209</v>
      </c>
      <c r="R5" s="120"/>
      <c r="S5" s="108">
        <v>0.21</v>
      </c>
    </row>
    <row r="6" spans="1:19" s="64" customFormat="1" ht="15.75" customHeight="1" thickBot="1" x14ac:dyDescent="0.3">
      <c r="A6" s="130"/>
      <c r="B6" s="127"/>
      <c r="C6" s="127"/>
      <c r="E6" s="13" t="str">
        <f>income_statement_data!B1</f>
        <v>2019-12-31</v>
      </c>
      <c r="F6" s="13" t="str">
        <f>income_statement_data!C1</f>
        <v>2020-12-31</v>
      </c>
      <c r="G6" s="13" t="str">
        <f>income_statement_data!D1</f>
        <v>2021-12-31</v>
      </c>
      <c r="H6" s="14" t="s">
        <v>300</v>
      </c>
      <c r="I6" s="15" t="s">
        <v>301</v>
      </c>
      <c r="J6" s="13">
        <v>2023</v>
      </c>
      <c r="K6" s="13">
        <f>J6+1</f>
        <v>2024</v>
      </c>
      <c r="L6" s="13">
        <f t="shared" ref="L6:N6" si="0">K6+1</f>
        <v>2025</v>
      </c>
      <c r="M6" s="13">
        <f t="shared" si="0"/>
        <v>2026</v>
      </c>
      <c r="N6" s="13">
        <f t="shared" si="0"/>
        <v>2027</v>
      </c>
      <c r="S6" s="109"/>
    </row>
    <row r="7" spans="1:19" ht="15.75" customHeight="1" thickTop="1" x14ac:dyDescent="0.25">
      <c r="A7" s="124" t="s">
        <v>210</v>
      </c>
      <c r="B7" s="120"/>
      <c r="C7" s="120"/>
      <c r="E7" s="101">
        <v>6782.5</v>
      </c>
      <c r="F7" s="101">
        <v>7027.9</v>
      </c>
      <c r="G7" s="101">
        <v>8198.2000000000007</v>
      </c>
      <c r="H7" s="17">
        <f>(G7/E7)^(S8)-1</f>
        <v>9.9421823053157832E-2</v>
      </c>
      <c r="I7" s="101">
        <v>8589</v>
      </c>
      <c r="J7" s="5">
        <f>ROUND(I7*(1+J8),1)</f>
        <v>9233.2000000000007</v>
      </c>
      <c r="K7" s="5">
        <f>ROUND(J7*(1+K8),1)</f>
        <v>9787.2000000000007</v>
      </c>
      <c r="L7" s="5">
        <f>ROUND(K7*(1+L8),1)</f>
        <v>10276.6</v>
      </c>
      <c r="M7" s="5">
        <f>ROUND(L7*(1+M8),1)</f>
        <v>10687.7</v>
      </c>
      <c r="N7" s="5">
        <f>ROUND(M7*(1+N8),1)</f>
        <v>11008.3</v>
      </c>
      <c r="O7" s="17">
        <f>(N7/I7)^(S9)-1</f>
        <v>5.0885817043262005E-2</v>
      </c>
      <c r="S7" s="62"/>
    </row>
    <row r="8" spans="1:19" x14ac:dyDescent="0.25">
      <c r="A8" s="131" t="s">
        <v>211</v>
      </c>
      <c r="B8" s="120"/>
      <c r="C8" s="120"/>
      <c r="E8" s="61" t="s">
        <v>212</v>
      </c>
      <c r="F8" s="9">
        <f>ROUNDDOWN((F7-E7)/E7,3)</f>
        <v>3.5999999999999997E-2</v>
      </c>
      <c r="G8" s="9">
        <f>ROUNDDOWN((G7-F7)/F7,3)</f>
        <v>0.16600000000000001</v>
      </c>
      <c r="H8" s="17"/>
      <c r="I8" s="4">
        <f>ROUND((I7-G7)/G7*100,1)</f>
        <v>4.8</v>
      </c>
      <c r="J8" s="6">
        <v>7.4999999999999997E-2</v>
      </c>
      <c r="K8" s="45">
        <v>0.06</v>
      </c>
      <c r="L8" s="45">
        <v>0.05</v>
      </c>
      <c r="M8" s="45">
        <v>0.04</v>
      </c>
      <c r="N8" s="45">
        <v>0.03</v>
      </c>
      <c r="O8" s="17"/>
      <c r="Q8" s="120" t="s">
        <v>302</v>
      </c>
      <c r="R8" s="120"/>
      <c r="S8" s="110">
        <v>0.5</v>
      </c>
    </row>
    <row r="9" spans="1:19" x14ac:dyDescent="0.25">
      <c r="A9" s="124" t="s">
        <v>146</v>
      </c>
      <c r="B9" s="120"/>
      <c r="C9" s="120"/>
      <c r="E9" s="72">
        <v>5133.7</v>
      </c>
      <c r="F9" s="72">
        <v>5317.7</v>
      </c>
      <c r="G9" s="72">
        <v>6255.5</v>
      </c>
      <c r="H9" s="17"/>
      <c r="I9" s="103">
        <v>6629.5</v>
      </c>
      <c r="J9">
        <f>ROUND(I9*(1+J8),1)</f>
        <v>7126.7</v>
      </c>
      <c r="K9">
        <f>ROUND(J9*(1+K8),1)</f>
        <v>7554.3</v>
      </c>
      <c r="L9">
        <f>ROUND(K9*(1+L8),1)</f>
        <v>7932</v>
      </c>
      <c r="M9">
        <f>ROUND(L9*(1+M8),1)</f>
        <v>8249.2999999999993</v>
      </c>
      <c r="N9">
        <f>ROUND(M9*(1+N8),1)</f>
        <v>8496.7999999999993</v>
      </c>
      <c r="O9" s="17"/>
      <c r="Q9" s="120" t="s">
        <v>303</v>
      </c>
      <c r="R9" s="120"/>
      <c r="S9" s="110">
        <v>0.2</v>
      </c>
    </row>
    <row r="10" spans="1:19" x14ac:dyDescent="0.25">
      <c r="A10" s="201" t="s">
        <v>213</v>
      </c>
      <c r="B10" s="120"/>
      <c r="C10" s="120"/>
      <c r="E10" s="38">
        <f>E9/E7</f>
        <v>0.7569037965352009</v>
      </c>
      <c r="F10" s="38">
        <f>F9/F7</f>
        <v>0.75665561547546212</v>
      </c>
      <c r="G10" s="38">
        <f>G9/G7</f>
        <v>0.76303334878387929</v>
      </c>
      <c r="H10" s="17"/>
      <c r="I10" s="38">
        <f t="shared" ref="I10:N10" si="1">I9/I7</f>
        <v>0.77185935498893932</v>
      </c>
      <c r="J10" s="38">
        <f t="shared" si="1"/>
        <v>0.77185591127669706</v>
      </c>
      <c r="K10" s="38">
        <f t="shared" si="1"/>
        <v>0.77185507601765568</v>
      </c>
      <c r="L10" s="38">
        <f t="shared" si="1"/>
        <v>0.77185061207013994</v>
      </c>
      <c r="M10" s="38">
        <f t="shared" si="1"/>
        <v>0.77184988351095174</v>
      </c>
      <c r="N10" s="38">
        <f t="shared" si="1"/>
        <v>0.77185396473569945</v>
      </c>
      <c r="O10" s="17"/>
    </row>
    <row r="11" spans="1:19" x14ac:dyDescent="0.25">
      <c r="A11" s="124" t="s">
        <v>214</v>
      </c>
      <c r="B11" s="120"/>
      <c r="C11" s="120"/>
      <c r="E11" s="85">
        <f>income_statement_data!B11</f>
        <v>1648.7819999999999</v>
      </c>
      <c r="F11" s="85">
        <f>income_statement_data!C11</f>
        <v>1710.2</v>
      </c>
      <c r="G11" s="85">
        <f>income_statement_data!D11</f>
        <v>1942.7</v>
      </c>
      <c r="H11" s="17">
        <f>(G11/E11)^(S8)-1</f>
        <v>8.5478563695912335E-2</v>
      </c>
      <c r="I11" s="104">
        <f>ROUND(I7-I9,2)</f>
        <v>1959.5</v>
      </c>
      <c r="J11" s="5">
        <f t="shared" ref="J11:M11" si="2">ROUND(J7-J9,2)</f>
        <v>2106.5</v>
      </c>
      <c r="K11" s="5">
        <f t="shared" si="2"/>
        <v>2232.9</v>
      </c>
      <c r="L11" s="5">
        <f t="shared" si="2"/>
        <v>2344.6</v>
      </c>
      <c r="M11" s="5">
        <f t="shared" si="2"/>
        <v>2438.4</v>
      </c>
      <c r="N11" s="5">
        <f>ROUND(N7-N9,2)</f>
        <v>2511.5</v>
      </c>
      <c r="O11" s="17">
        <f>(N11/I11)^(S9)-1</f>
        <v>5.0890782828421965E-2</v>
      </c>
    </row>
    <row r="12" spans="1:19" x14ac:dyDescent="0.25">
      <c r="A12" s="131" t="s">
        <v>215</v>
      </c>
      <c r="B12" s="120"/>
      <c r="C12" s="120"/>
      <c r="E12" s="8">
        <f>ROUND(E11/E7,2)</f>
        <v>0.24</v>
      </c>
      <c r="F12" s="8">
        <f>ROUND(F11/F7,2)</f>
        <v>0.24</v>
      </c>
      <c r="G12" s="8">
        <f>ROUND(G11/G7,2)</f>
        <v>0.24</v>
      </c>
      <c r="H12" s="17"/>
      <c r="I12" s="8">
        <f t="shared" ref="I12:N12" si="3">ROUND(I11/I7,2)</f>
        <v>0.23</v>
      </c>
      <c r="J12" s="8">
        <f t="shared" si="3"/>
        <v>0.23</v>
      </c>
      <c r="K12" s="8">
        <f t="shared" si="3"/>
        <v>0.23</v>
      </c>
      <c r="L12" s="8">
        <f t="shared" si="3"/>
        <v>0.23</v>
      </c>
      <c r="M12" s="8">
        <f t="shared" si="3"/>
        <v>0.23</v>
      </c>
      <c r="N12" s="8">
        <f t="shared" si="3"/>
        <v>0.23</v>
      </c>
      <c r="O12" s="17"/>
    </row>
    <row r="13" spans="1:19" ht="15.75" customHeight="1" thickBot="1" x14ac:dyDescent="0.3">
      <c r="A13" s="155" t="s">
        <v>216</v>
      </c>
      <c r="B13" s="120"/>
      <c r="C13" s="120"/>
      <c r="E13" s="12">
        <f>income_statement_data!B10</f>
        <v>393.93</v>
      </c>
      <c r="F13" s="12">
        <f>income_statement_data!C10</f>
        <v>359.2</v>
      </c>
      <c r="G13" s="12">
        <f>income_statement_data!D10</f>
        <v>366</v>
      </c>
      <c r="H13" s="17"/>
      <c r="I13" s="12">
        <f>income_statement_data!E10</f>
        <v>355.9</v>
      </c>
      <c r="J13" s="86">
        <f>(I13/I7)*J7</f>
        <v>382.59353591803472</v>
      </c>
      <c r="K13" s="86">
        <f>(J13/J7)*K7</f>
        <v>405.5494795668879</v>
      </c>
      <c r="L13" s="86">
        <f>(K13/K7)*L7</f>
        <v>425.82861101408781</v>
      </c>
      <c r="M13" s="86">
        <f>(L13/L7)*M7</f>
        <v>442.86324717662126</v>
      </c>
      <c r="N13" s="86">
        <f>(M13/M7)*N7</f>
        <v>456.14786005355683</v>
      </c>
      <c r="O13" s="17"/>
    </row>
    <row r="14" spans="1:19" ht="15.75" customHeight="1" thickTop="1" x14ac:dyDescent="0.25">
      <c r="A14" s="124" t="s">
        <v>217</v>
      </c>
      <c r="B14" s="120"/>
      <c r="C14" s="120"/>
      <c r="E14" s="11">
        <f>income_statement_data!B8</f>
        <v>719.90200000000004</v>
      </c>
      <c r="F14" s="11">
        <f>income_statement_data!C8</f>
        <v>468.8</v>
      </c>
      <c r="G14" s="11">
        <f>income_statement_data!D8</f>
        <v>907</v>
      </c>
      <c r="H14" s="17">
        <f>(G14/E14)^(S8)-1</f>
        <v>0.12244986870446306</v>
      </c>
      <c r="I14" s="11">
        <f>income_statement_data!E8</f>
        <v>1065.9000000000001</v>
      </c>
      <c r="J14" s="85">
        <f>J7*I15</f>
        <v>1145.8456025148448</v>
      </c>
      <c r="K14" s="85">
        <f>K7*J15</f>
        <v>1214.5973314704859</v>
      </c>
      <c r="L14" s="85">
        <f>L7*K15</f>
        <v>1275.3321620677614</v>
      </c>
      <c r="M14" s="85">
        <f>M7*L15</f>
        <v>1326.349916171848</v>
      </c>
      <c r="N14" s="85">
        <f>N7*M15</f>
        <v>1366.1365665385961</v>
      </c>
      <c r="O14" s="17">
        <f>(N14/I14)^(S9)-1</f>
        <v>5.0885817043262005E-2</v>
      </c>
    </row>
    <row r="15" spans="1:19" x14ac:dyDescent="0.25">
      <c r="A15" s="131" t="s">
        <v>215</v>
      </c>
      <c r="B15" s="120"/>
      <c r="C15" s="120"/>
      <c r="E15" s="9">
        <f>E14/E7</f>
        <v>0.10614109841503871</v>
      </c>
      <c r="F15" s="9">
        <f>F14/F7</f>
        <v>6.6705559270905962E-2</v>
      </c>
      <c r="G15" s="9">
        <f>G14/G7</f>
        <v>0.11063404161889194</v>
      </c>
      <c r="H15" s="17"/>
      <c r="I15" s="10">
        <f>I14/I7</f>
        <v>0.12410059378274538</v>
      </c>
      <c r="J15" s="10">
        <f t="shared" ref="J15:N15" si="4">J14/J7</f>
        <v>0.12410059378274539</v>
      </c>
      <c r="K15" s="10">
        <f t="shared" si="4"/>
        <v>0.12410059378274541</v>
      </c>
      <c r="L15" s="10">
        <f t="shared" si="4"/>
        <v>0.12410059378274539</v>
      </c>
      <c r="M15" s="10">
        <f t="shared" si="4"/>
        <v>0.12410059378274539</v>
      </c>
      <c r="N15" s="10">
        <f t="shared" si="4"/>
        <v>0.12410059378274539</v>
      </c>
      <c r="O15" s="17"/>
    </row>
    <row r="16" spans="1:19" ht="15.75" customHeight="1" thickBot="1" x14ac:dyDescent="0.3">
      <c r="A16" s="155" t="s">
        <v>218</v>
      </c>
      <c r="B16" s="120"/>
      <c r="C16" s="120"/>
      <c r="E16" s="106">
        <f>Cash_flow_data!B26</f>
        <v>234.51300000000001</v>
      </c>
      <c r="F16" s="12">
        <f>Cash_flow_data!C26</f>
        <v>260.7</v>
      </c>
      <c r="G16" s="12">
        <f>Cash_flow_data!D26</f>
        <v>237.1</v>
      </c>
      <c r="H16" s="17"/>
      <c r="I16" s="16">
        <f>Cash_flow_data!E26</f>
        <v>232.8</v>
      </c>
      <c r="J16" s="87">
        <f>J14-J17</f>
        <v>250.26067761089769</v>
      </c>
      <c r="K16" s="87">
        <f>K14-K17</f>
        <v>265.2765351030389</v>
      </c>
      <c r="L16" s="87">
        <f>L14-L17</f>
        <v>278.54144603562702</v>
      </c>
      <c r="M16" s="87">
        <f>M14-M17</f>
        <v>289.68407963674485</v>
      </c>
      <c r="N16" s="87">
        <f>N14-N17</f>
        <v>298.37376178833415</v>
      </c>
      <c r="O16" s="17"/>
    </row>
    <row r="17" spans="1:15" ht="15.75" customHeight="1" thickTop="1" x14ac:dyDescent="0.25">
      <c r="A17" s="124" t="s">
        <v>219</v>
      </c>
      <c r="B17" s="120"/>
      <c r="C17" s="120"/>
      <c r="E17" s="88">
        <f>E14-E16</f>
        <v>485.38900000000001</v>
      </c>
      <c r="F17" s="88">
        <f t="shared" ref="F17:G17" si="5">F14-F16</f>
        <v>208.10000000000002</v>
      </c>
      <c r="G17" s="88">
        <f t="shared" si="5"/>
        <v>669.9</v>
      </c>
      <c r="H17" s="17">
        <f>(G17/E17)^(S8)-1</f>
        <v>0.17478941246588731</v>
      </c>
      <c r="I17" s="89">
        <f>I14-I16</f>
        <v>833.10000000000014</v>
      </c>
      <c r="J17" s="85">
        <f>I18*J7</f>
        <v>895.58492490394713</v>
      </c>
      <c r="K17" s="85">
        <f>J18*K7</f>
        <v>949.32079636744697</v>
      </c>
      <c r="L17" s="85">
        <f>K18*L7</f>
        <v>996.79071603213436</v>
      </c>
      <c r="M17" s="85">
        <f>L18*M7</f>
        <v>1036.6658365351032</v>
      </c>
      <c r="N17" s="85">
        <f>M18*N7</f>
        <v>1067.7628047502619</v>
      </c>
      <c r="O17" s="17">
        <f>(N17/I17)^(S9)-1</f>
        <v>5.0885817043262005E-2</v>
      </c>
    </row>
    <row r="18" spans="1:15" x14ac:dyDescent="0.25">
      <c r="A18" s="131" t="s">
        <v>215</v>
      </c>
      <c r="B18" s="120"/>
      <c r="C18" s="120"/>
      <c r="E18" s="10">
        <f>E17/E7</f>
        <v>7.1564909694065607E-2</v>
      </c>
      <c r="F18" s="10">
        <f>F17/F7</f>
        <v>2.9610552227550199E-2</v>
      </c>
      <c r="G18" s="10">
        <f>G17/G7</f>
        <v>8.1713058964162852E-2</v>
      </c>
      <c r="H18" s="17"/>
      <c r="I18" s="10">
        <f t="shared" ref="I18:N18" si="6">I17/I7</f>
        <v>9.6996157876353489E-2</v>
      </c>
      <c r="J18" s="10">
        <f t="shared" si="6"/>
        <v>9.6996157876353489E-2</v>
      </c>
      <c r="K18" s="10">
        <f t="shared" si="6"/>
        <v>9.6996157876353489E-2</v>
      </c>
      <c r="L18" s="10">
        <f t="shared" si="6"/>
        <v>9.6996157876353489E-2</v>
      </c>
      <c r="M18" s="10">
        <f t="shared" si="6"/>
        <v>9.6996157876353475E-2</v>
      </c>
      <c r="N18" s="10">
        <f t="shared" si="6"/>
        <v>9.6996157876353475E-2</v>
      </c>
      <c r="O18" s="17"/>
    </row>
    <row r="19" spans="1:15" ht="15.75" customHeight="1" thickBot="1" x14ac:dyDescent="0.3">
      <c r="A19" s="155" t="s">
        <v>220</v>
      </c>
      <c r="B19" s="120"/>
      <c r="C19" s="120"/>
      <c r="E19" s="90">
        <f>S5*E17</f>
        <v>101.93169</v>
      </c>
      <c r="F19" s="90">
        <f>S5*F17</f>
        <v>43.701000000000001</v>
      </c>
      <c r="G19" s="90">
        <f>S5*G17</f>
        <v>140.679</v>
      </c>
      <c r="H19" s="17"/>
      <c r="I19" s="91">
        <f>S5*I17</f>
        <v>174.95100000000002</v>
      </c>
      <c r="J19" s="91">
        <f>S5*J17</f>
        <v>188.07283422982889</v>
      </c>
      <c r="K19" s="91">
        <f>S5*K17</f>
        <v>199.35736723716386</v>
      </c>
      <c r="L19" s="91">
        <f>S5*L17</f>
        <v>209.32605036674821</v>
      </c>
      <c r="M19" s="91">
        <f>S5*M17</f>
        <v>217.69982567237165</v>
      </c>
      <c r="N19" s="91">
        <f>S5*N17</f>
        <v>224.23018899755499</v>
      </c>
      <c r="O19" s="17"/>
    </row>
    <row r="20" spans="1:15" ht="15.75" customHeight="1" thickTop="1" x14ac:dyDescent="0.25">
      <c r="A20" s="124" t="s">
        <v>221</v>
      </c>
      <c r="B20" s="120"/>
      <c r="C20" s="120"/>
      <c r="E20" s="85">
        <f>E17*(1-S5)</f>
        <v>383.45731000000001</v>
      </c>
      <c r="F20" s="85">
        <f>F17*(1-S5)</f>
        <v>164.39900000000003</v>
      </c>
      <c r="G20" s="85">
        <f>G17*(1-S5)</f>
        <v>529.221</v>
      </c>
      <c r="H20" s="17">
        <f>(G20/E20)^(S8)-1</f>
        <v>0.17478941246588753</v>
      </c>
      <c r="I20" s="107">
        <f>I17*(1-S5)</f>
        <v>658.14900000000011</v>
      </c>
      <c r="J20" s="85">
        <f>J17*(1-S5)</f>
        <v>707.51209067411821</v>
      </c>
      <c r="K20" s="85">
        <f>K17*(1-S5)</f>
        <v>749.96342913028309</v>
      </c>
      <c r="L20" s="85">
        <f>L17*(1-S5)</f>
        <v>787.46466566538618</v>
      </c>
      <c r="M20" s="85">
        <f>M17*(1-S5)</f>
        <v>818.96601086273154</v>
      </c>
      <c r="N20" s="85">
        <f>N17*(1-S5)</f>
        <v>843.53261575270699</v>
      </c>
      <c r="O20" s="17">
        <f>(N20/I20)^(S9)-1</f>
        <v>5.0885817043262005E-2</v>
      </c>
    </row>
    <row r="21" spans="1:15" x14ac:dyDescent="0.25">
      <c r="A21" s="199" t="s">
        <v>222</v>
      </c>
      <c r="B21" s="120"/>
      <c r="C21" s="120"/>
      <c r="J21" s="79">
        <f>J16</f>
        <v>250.26067761089769</v>
      </c>
      <c r="K21" s="79">
        <f>K16</f>
        <v>265.2765351030389</v>
      </c>
      <c r="L21" s="79">
        <f>L16</f>
        <v>278.54144603562702</v>
      </c>
      <c r="M21" s="79">
        <f>M16</f>
        <v>289.68407963674485</v>
      </c>
      <c r="N21" s="79">
        <f>N16</f>
        <v>298.37376178833415</v>
      </c>
      <c r="O21" s="17"/>
    </row>
    <row r="22" spans="1:15" x14ac:dyDescent="0.25">
      <c r="A22" s="199" t="s">
        <v>223</v>
      </c>
      <c r="B22" s="120"/>
      <c r="C22" s="120"/>
      <c r="E22" s="92">
        <f>Cash_flow_data!B4</f>
        <v>-251.374</v>
      </c>
      <c r="F22" s="92">
        <f>Cash_flow_data!C4</f>
        <v>-213.9</v>
      </c>
      <c r="G22" s="92">
        <f>Cash_flow_data!D4</f>
        <v>-251.374</v>
      </c>
      <c r="I22" s="46">
        <f>Cash_flow_data!E4</f>
        <v>-306.60000000000002</v>
      </c>
      <c r="J22" s="92">
        <f>J7*J23</f>
        <v>415.49400000000003</v>
      </c>
      <c r="K22" s="92">
        <f>K7*K23</f>
        <v>440.42400000000004</v>
      </c>
      <c r="L22" s="92">
        <f>L7*L23</f>
        <v>462.447</v>
      </c>
      <c r="M22" s="92">
        <f t="shared" ref="M22:N22" si="7">M7*M23</f>
        <v>480.94650000000001</v>
      </c>
      <c r="N22" s="92">
        <f t="shared" si="7"/>
        <v>495.37349999999992</v>
      </c>
      <c r="O22" s="17"/>
    </row>
    <row r="23" spans="1:15" s="59" customFormat="1" x14ac:dyDescent="0.25">
      <c r="A23" s="197" t="s">
        <v>305</v>
      </c>
      <c r="B23" s="197"/>
      <c r="C23" s="197"/>
      <c r="E23" s="92"/>
      <c r="F23" s="92"/>
      <c r="G23" s="92"/>
      <c r="I23" s="46"/>
      <c r="J23" s="38">
        <v>4.4999999999999998E-2</v>
      </c>
      <c r="K23" s="38">
        <v>4.4999999999999998E-2</v>
      </c>
      <c r="L23" s="38">
        <v>4.4999999999999998E-2</v>
      </c>
      <c r="M23" s="38">
        <v>4.4999999999999998E-2</v>
      </c>
      <c r="N23" s="38">
        <v>4.4999999999999998E-2</v>
      </c>
      <c r="O23" s="17"/>
    </row>
    <row r="24" spans="1:15" x14ac:dyDescent="0.25">
      <c r="A24" s="199" t="s">
        <v>224</v>
      </c>
      <c r="B24" s="120"/>
      <c r="C24" s="120"/>
      <c r="E24" s="79"/>
      <c r="F24" s="79"/>
      <c r="G24" s="79"/>
      <c r="H24" s="79"/>
      <c r="I24" s="79">
        <f>Work_Capital!G15</f>
        <v>2422.7999999999997</v>
      </c>
      <c r="J24" s="79">
        <f>Work_Capital!H15</f>
        <v>2526.1868293405137</v>
      </c>
      <c r="K24" s="79">
        <f>Work_Capital!I15</f>
        <v>2601.9825887785805</v>
      </c>
      <c r="L24" s="79">
        <f>Work_Capital!J15</f>
        <v>2654.0243657541159</v>
      </c>
      <c r="M24" s="79">
        <f>Work_Capital!K15</f>
        <v>2680.5591143966767</v>
      </c>
      <c r="N24" s="79">
        <f>Work_Capital!L15</f>
        <v>2680.5591143966767</v>
      </c>
      <c r="O24" s="79"/>
    </row>
    <row r="25" spans="1:15" x14ac:dyDescent="0.25">
      <c r="A25" s="199" t="s">
        <v>225</v>
      </c>
      <c r="B25" s="120"/>
      <c r="C25" s="120"/>
      <c r="E25" s="79"/>
      <c r="F25" s="79"/>
      <c r="G25" s="79"/>
      <c r="H25" s="79"/>
      <c r="I25" s="79">
        <f>Work_Capital!G21</f>
        <v>2328.6000000000004</v>
      </c>
      <c r="J25" s="79">
        <f>Work_Capital!H21</f>
        <v>2427.965092056219</v>
      </c>
      <c r="K25" s="79">
        <f>Work_Capital!I21</f>
        <v>2500.8136597405492</v>
      </c>
      <c r="L25" s="79">
        <f>Work_Capital!J21</f>
        <v>2550.833203224111</v>
      </c>
      <c r="M25" s="79">
        <f>Work_Capital!K21</f>
        <v>2576.3409640832865</v>
      </c>
      <c r="N25" s="79">
        <f>Work_Capital!L21</f>
        <v>2576.3409640832865</v>
      </c>
      <c r="O25" s="79"/>
    </row>
    <row r="26" spans="1:15" x14ac:dyDescent="0.25">
      <c r="A26" s="200" t="s">
        <v>157</v>
      </c>
      <c r="B26" s="120"/>
      <c r="C26" s="120"/>
      <c r="E26" s="62">
        <f>Work_Capital!D23</f>
        <v>-90.54099999999994</v>
      </c>
      <c r="F26" s="62">
        <f>Work_Capital!E23</f>
        <v>-320.50000000000023</v>
      </c>
      <c r="G26" s="62">
        <f>Work_Capital!F23</f>
        <v>-184.29999999999995</v>
      </c>
      <c r="H26" s="62"/>
      <c r="I26" s="93">
        <f t="shared" ref="I26:N26" si="8">I24-I25</f>
        <v>94.199999999999363</v>
      </c>
      <c r="J26" s="93">
        <f t="shared" si="8"/>
        <v>98.221737284294704</v>
      </c>
      <c r="K26" s="93">
        <f>K24-K25</f>
        <v>101.16892903803137</v>
      </c>
      <c r="L26" s="93">
        <f t="shared" si="8"/>
        <v>103.19116253000493</v>
      </c>
      <c r="M26" s="93">
        <f t="shared" si="8"/>
        <v>104.2181503133902</v>
      </c>
      <c r="N26" s="93">
        <f t="shared" si="8"/>
        <v>104.2181503133902</v>
      </c>
    </row>
    <row r="27" spans="1:15" x14ac:dyDescent="0.25">
      <c r="A27" s="199" t="s">
        <v>226</v>
      </c>
      <c r="B27" s="120"/>
      <c r="C27" s="120"/>
      <c r="I27" s="79"/>
      <c r="J27" s="47">
        <f>I26-J26</f>
        <v>-4.0217372842953409</v>
      </c>
      <c r="K27" s="92">
        <f>J26-K26</f>
        <v>-2.9471917537366608</v>
      </c>
      <c r="L27" s="92">
        <f>K26-L26</f>
        <v>-2.0222334919735658</v>
      </c>
      <c r="M27" s="92">
        <f>L26-M26</f>
        <v>-1.0269877833852661</v>
      </c>
      <c r="N27" s="92">
        <f>M26-N26</f>
        <v>0</v>
      </c>
    </row>
    <row r="28" spans="1:15" x14ac:dyDescent="0.25">
      <c r="A28" s="203" t="s">
        <v>227</v>
      </c>
      <c r="B28" s="120"/>
      <c r="C28" s="120"/>
      <c r="D28" s="44"/>
      <c r="E28" s="44"/>
      <c r="F28" s="44"/>
      <c r="G28" s="44"/>
      <c r="H28" s="44"/>
      <c r="I28" s="44"/>
      <c r="J28" s="94">
        <f>J20+J21-J22+J27</f>
        <v>538.25703100072053</v>
      </c>
      <c r="K28" s="94">
        <f>K20+K21-K22+K27</f>
        <v>571.86877247958523</v>
      </c>
      <c r="L28" s="94">
        <f>L20+L21-L22+L27</f>
        <v>601.53687820903963</v>
      </c>
      <c r="M28" s="94">
        <f>M20+M21-M22+M27</f>
        <v>626.67660271609111</v>
      </c>
      <c r="N28" s="94">
        <f>N20+N21-N22+N27</f>
        <v>646.53287754104122</v>
      </c>
    </row>
    <row r="29" spans="1:15" x14ac:dyDescent="0.25">
      <c r="A29" s="204" t="s">
        <v>228</v>
      </c>
      <c r="B29" s="120"/>
      <c r="C29" s="120"/>
      <c r="E29" s="48">
        <f>WACC!C25</f>
        <v>8.4502411465463792E-2</v>
      </c>
    </row>
    <row r="30" spans="1:15" x14ac:dyDescent="0.25">
      <c r="A30" s="135" t="s">
        <v>229</v>
      </c>
      <c r="B30" s="120"/>
      <c r="C30" s="120"/>
      <c r="J30">
        <f>0.5</f>
        <v>0.5</v>
      </c>
      <c r="K30">
        <f>J30+1</f>
        <v>1.5</v>
      </c>
      <c r="L30">
        <f>K30+1</f>
        <v>2.5</v>
      </c>
      <c r="M30">
        <f>L30+1</f>
        <v>3.5</v>
      </c>
      <c r="N30">
        <f>M30+1</f>
        <v>4.5</v>
      </c>
    </row>
    <row r="31" spans="1:15" x14ac:dyDescent="0.25">
      <c r="A31" s="135" t="s">
        <v>230</v>
      </c>
      <c r="B31" s="120"/>
      <c r="C31" s="120"/>
      <c r="J31" s="42">
        <f>1/(1+E29)^0.5</f>
        <v>0.96025093559912089</v>
      </c>
      <c r="K31" s="42">
        <f>1/(1+E29)^1.5</f>
        <v>0.88542996811003438</v>
      </c>
      <c r="L31" s="42">
        <f>1/(1+E29)^2.5</f>
        <v>0.8164389112916518</v>
      </c>
      <c r="M31" s="42">
        <f>1/(1+E29)^3.5</f>
        <v>0.75282350934417597</v>
      </c>
      <c r="N31" s="42">
        <f>1/(1+E29)^4.5</f>
        <v>0.69416490123512253</v>
      </c>
    </row>
    <row r="32" spans="1:15" x14ac:dyDescent="0.25">
      <c r="A32" s="202" t="s">
        <v>231</v>
      </c>
      <c r="B32" s="120"/>
      <c r="C32" s="120"/>
      <c r="D32" s="49"/>
      <c r="E32" s="49"/>
      <c r="F32" s="49"/>
      <c r="G32" s="49"/>
      <c r="H32" s="49"/>
      <c r="I32" s="49"/>
      <c r="J32" s="95">
        <f>J28*J31</f>
        <v>516.86181761124692</v>
      </c>
      <c r="K32" s="95">
        <f>ROUNDDOWN(K28*K31,1)</f>
        <v>506.3</v>
      </c>
      <c r="L32" s="95">
        <f>ROUNDDOWN(L28*L31,1)</f>
        <v>491.1</v>
      </c>
      <c r="M32" s="95">
        <f>ROUNDDOWN(M28*M31,1)</f>
        <v>471.7</v>
      </c>
      <c r="N32" s="95">
        <f>ROUNDDOWN(N28*N31,1)</f>
        <v>448.8</v>
      </c>
      <c r="O32" s="49"/>
    </row>
    <row r="34" spans="1:17" x14ac:dyDescent="0.25">
      <c r="A34" s="139" t="s">
        <v>232</v>
      </c>
      <c r="B34" s="120"/>
      <c r="C34" s="120"/>
      <c r="D34" s="120"/>
      <c r="E34" s="120"/>
      <c r="G34" s="139" t="s">
        <v>233</v>
      </c>
      <c r="H34" s="120"/>
      <c r="I34" s="120"/>
      <c r="J34" s="120"/>
      <c r="L34" s="139" t="s">
        <v>234</v>
      </c>
      <c r="M34" s="120"/>
      <c r="N34" s="120"/>
      <c r="O34" s="120"/>
      <c r="P34" s="120"/>
    </row>
    <row r="35" spans="1:17" x14ac:dyDescent="0.25">
      <c r="A35" s="119" t="s">
        <v>235</v>
      </c>
      <c r="B35" s="120"/>
      <c r="C35" s="120"/>
      <c r="D35" s="206">
        <f>ROUNDDOWN(SUM(J32:N32),1)</f>
        <v>2434.6999999999998</v>
      </c>
      <c r="E35" s="120"/>
      <c r="G35" s="155" t="s">
        <v>232</v>
      </c>
      <c r="H35" s="120"/>
      <c r="I35" s="120"/>
      <c r="J35" s="42">
        <f>D45</f>
        <v>8521.7999999999993</v>
      </c>
      <c r="L35" s="155" t="s">
        <v>236</v>
      </c>
      <c r="M35" s="120"/>
      <c r="N35" s="120"/>
      <c r="O35" s="120"/>
      <c r="P35" s="96">
        <f>N28</f>
        <v>646.53287754104122</v>
      </c>
    </row>
    <row r="36" spans="1:17" x14ac:dyDescent="0.25">
      <c r="G36" s="155" t="s">
        <v>237</v>
      </c>
      <c r="H36" s="120"/>
      <c r="I36" s="120"/>
      <c r="J36" s="102">
        <f>WACC!X31</f>
        <v>4103.8</v>
      </c>
      <c r="L36" s="155" t="s">
        <v>238</v>
      </c>
      <c r="M36" s="120"/>
      <c r="N36" s="120"/>
      <c r="O36" s="120"/>
      <c r="P36" s="38">
        <f>E29</f>
        <v>8.4502411465463792E-2</v>
      </c>
    </row>
    <row r="37" spans="1:17" ht="15.75" customHeight="1" thickBot="1" x14ac:dyDescent="0.3">
      <c r="A37" s="209" t="s">
        <v>239</v>
      </c>
      <c r="B37" s="162"/>
      <c r="C37" s="162"/>
      <c r="D37" s="198"/>
      <c r="E37" s="198"/>
      <c r="G37" s="155" t="s">
        <v>334</v>
      </c>
      <c r="H37" s="120"/>
      <c r="I37" s="120"/>
      <c r="J37" s="117">
        <v>-0.6</v>
      </c>
      <c r="L37" s="155" t="s">
        <v>239</v>
      </c>
      <c r="M37" s="120"/>
      <c r="N37" s="120"/>
      <c r="O37" s="120"/>
      <c r="P37" s="79">
        <f>D40</f>
        <v>9131.7999999999993</v>
      </c>
    </row>
    <row r="38" spans="1:17" x14ac:dyDescent="0.25">
      <c r="A38" s="210" t="s">
        <v>240</v>
      </c>
      <c r="B38" s="160"/>
      <c r="C38" s="160"/>
      <c r="D38" s="151">
        <f>N14</f>
        <v>1366.1365665385961</v>
      </c>
      <c r="E38" s="120"/>
      <c r="G38" s="155" t="s">
        <v>335</v>
      </c>
      <c r="H38" s="120"/>
      <c r="I38" s="120"/>
      <c r="J38" s="117">
        <v>-0.5</v>
      </c>
    </row>
    <row r="39" spans="1:17" ht="15.75" customHeight="1" thickBot="1" x14ac:dyDescent="0.3">
      <c r="A39" s="155" t="s">
        <v>241</v>
      </c>
      <c r="B39" s="120"/>
      <c r="C39" s="120"/>
      <c r="D39" s="211">
        <f>WACC!X30/N14</f>
        <v>6.6843976097773297</v>
      </c>
      <c r="E39" s="212"/>
      <c r="G39" s="135" t="s">
        <v>242</v>
      </c>
      <c r="H39" s="120"/>
      <c r="I39" s="120"/>
      <c r="J39" s="79">
        <v>250</v>
      </c>
      <c r="L39" s="119" t="s">
        <v>234</v>
      </c>
      <c r="M39" s="120"/>
      <c r="N39" s="120"/>
      <c r="O39" s="120"/>
      <c r="P39" s="53">
        <f>((P37*P36)-P35*(1+P36)^0.5)/(P37+P35*(1+P36)^0.5)</f>
        <v>1.0031861969476964E-2</v>
      </c>
    </row>
    <row r="40" spans="1:17" ht="15.75" customHeight="1" thickBot="1" x14ac:dyDescent="0.3">
      <c r="A40" s="119" t="s">
        <v>239</v>
      </c>
      <c r="B40" s="120"/>
      <c r="C40" s="120"/>
      <c r="D40" s="205">
        <f>ROUNDDOWN(D38*D39,1)</f>
        <v>9131.7999999999993</v>
      </c>
      <c r="E40" s="120"/>
      <c r="G40" s="119" t="s">
        <v>243</v>
      </c>
      <c r="H40" s="120"/>
      <c r="I40" s="120"/>
      <c r="J40" s="97">
        <f>J35-J36+J39-J37+J38</f>
        <v>4668.0999999999995</v>
      </c>
    </row>
    <row r="41" spans="1:17" x14ac:dyDescent="0.25">
      <c r="A41" s="155" t="s">
        <v>230</v>
      </c>
      <c r="B41" s="120"/>
      <c r="C41" s="120"/>
      <c r="D41" s="205">
        <f>1/((1+E29)^5)</f>
        <v>0.6665724958710979</v>
      </c>
      <c r="E41" s="120"/>
    </row>
    <row r="42" spans="1:17" x14ac:dyDescent="0.25">
      <c r="A42" s="207" t="s">
        <v>244</v>
      </c>
      <c r="B42" s="120"/>
      <c r="C42" s="120"/>
      <c r="D42" s="208">
        <f>ROUNDUP(D40*D41,1)</f>
        <v>6087.1</v>
      </c>
      <c r="E42" s="134"/>
      <c r="G42" s="118"/>
      <c r="H42" s="111"/>
      <c r="I42" s="111"/>
      <c r="J42" s="42"/>
      <c r="L42" s="139" t="s">
        <v>245</v>
      </c>
      <c r="M42" s="120"/>
      <c r="N42" s="120"/>
      <c r="O42" s="120"/>
      <c r="P42" s="120"/>
    </row>
    <row r="43" spans="1:17" x14ac:dyDescent="0.25">
      <c r="A43" s="135" t="s">
        <v>246</v>
      </c>
      <c r="B43" s="120"/>
      <c r="C43" s="120"/>
      <c r="D43" s="216">
        <f>D42/D45</f>
        <v>0.71429744889577329</v>
      </c>
      <c r="E43" s="120"/>
      <c r="L43" s="69" t="s">
        <v>232</v>
      </c>
      <c r="M43" s="69"/>
      <c r="N43" s="69"/>
      <c r="O43" s="215">
        <f>D45</f>
        <v>8521.7999999999993</v>
      </c>
      <c r="P43" s="120"/>
    </row>
    <row r="44" spans="1:17" ht="15.75" customHeight="1" thickBot="1" x14ac:dyDescent="0.3">
      <c r="D44" s="135"/>
      <c r="E44" s="120"/>
      <c r="L44" s="69" t="s">
        <v>247</v>
      </c>
      <c r="M44" s="69"/>
      <c r="N44" s="69"/>
      <c r="O44" s="63"/>
      <c r="P44" s="71">
        <f>I14</f>
        <v>1065.9000000000001</v>
      </c>
    </row>
    <row r="45" spans="1:17" ht="15.75" customHeight="1" thickBot="1" x14ac:dyDescent="0.3">
      <c r="A45" s="119" t="s">
        <v>232</v>
      </c>
      <c r="B45" s="120"/>
      <c r="C45" s="120"/>
      <c r="D45" s="213">
        <f>D35+D42</f>
        <v>8521.7999999999993</v>
      </c>
      <c r="E45" s="214"/>
      <c r="G45" s="119" t="s">
        <v>248</v>
      </c>
      <c r="H45" s="120"/>
      <c r="I45" s="120"/>
      <c r="J45" s="50">
        <f>J40-J42</f>
        <v>4668.0999999999995</v>
      </c>
      <c r="L45" s="132" t="s">
        <v>245</v>
      </c>
      <c r="M45" s="120"/>
      <c r="N45" s="120"/>
      <c r="O45" s="213">
        <f>O43/I14</f>
        <v>7.9949338587109473</v>
      </c>
      <c r="P45" s="214"/>
    </row>
    <row r="47" spans="1:17" x14ac:dyDescent="0.25">
      <c r="C47" s="139" t="s">
        <v>232</v>
      </c>
      <c r="D47" s="120"/>
      <c r="E47" s="120"/>
      <c r="F47" s="120"/>
      <c r="G47" s="120"/>
      <c r="H47" s="120"/>
      <c r="I47" s="120"/>
      <c r="M47" s="139" t="s">
        <v>234</v>
      </c>
      <c r="N47" s="120"/>
      <c r="O47" s="120"/>
      <c r="P47" s="120"/>
      <c r="Q47" s="120"/>
    </row>
    <row r="48" spans="1:17" x14ac:dyDescent="0.25">
      <c r="C48" s="217"/>
      <c r="D48" s="120"/>
      <c r="F48" s="119" t="s">
        <v>249</v>
      </c>
      <c r="G48" s="120"/>
      <c r="M48" s="60"/>
      <c r="N48" s="119" t="s">
        <v>250</v>
      </c>
      <c r="O48" s="129"/>
    </row>
    <row r="49" spans="2:17" x14ac:dyDescent="0.25">
      <c r="B49" s="218" t="s">
        <v>238</v>
      </c>
      <c r="C49" s="57">
        <f>D45</f>
        <v>8521.7999999999993</v>
      </c>
      <c r="D49" s="115">
        <f>E49-0.5</f>
        <v>5.6843976097773297</v>
      </c>
      <c r="E49" s="115">
        <f>F49-0.5</f>
        <v>6.1843976097773297</v>
      </c>
      <c r="F49" s="219">
        <f>D39</f>
        <v>6.6843976097773297</v>
      </c>
      <c r="G49" s="176"/>
      <c r="H49" s="115">
        <f>F49+0.5</f>
        <v>7.1843976097773297</v>
      </c>
      <c r="I49" s="115">
        <f>H49+0.5</f>
        <v>7.6843976097773297</v>
      </c>
      <c r="K49" s="218" t="s">
        <v>238</v>
      </c>
      <c r="L49" s="37"/>
      <c r="M49" s="116">
        <f>N49-0.5</f>
        <v>5.6843976097773297</v>
      </c>
      <c r="N49" s="116">
        <f>O49-0.5</f>
        <v>6.1843976097773297</v>
      </c>
      <c r="O49" s="116">
        <f>D39</f>
        <v>6.6843976097773297</v>
      </c>
      <c r="P49" s="116">
        <f>O49+0.5</f>
        <v>7.1843976097773297</v>
      </c>
      <c r="Q49" s="116">
        <f>P49+0.5</f>
        <v>7.6843976097773297</v>
      </c>
    </row>
    <row r="50" spans="2:17" ht="15" customHeight="1" x14ac:dyDescent="0.25">
      <c r="B50" s="120"/>
      <c r="C50" s="51">
        <f>0.1</f>
        <v>0.1</v>
      </c>
      <c r="D50" s="28">
        <f>((D38*D49)*(1/((1+C50)^5)))+D35</f>
        <v>7256.5660135369544</v>
      </c>
      <c r="E50" s="28">
        <f>((D38*E49)*(1/((1+C50)^5)))+D35</f>
        <v>7680.6976757242719</v>
      </c>
      <c r="F50" s="220">
        <f>((D38*F49)*(1/((1+C50)^5)))+D35</f>
        <v>8104.8293379115903</v>
      </c>
      <c r="G50" s="134"/>
      <c r="H50" s="28">
        <f>((D38*H49)*(1/((1+C50)^5)))+D35</f>
        <v>8528.9610000989087</v>
      </c>
      <c r="I50" s="42">
        <f>((D38*I49)*(1/((1+C50)^5)))+D35</f>
        <v>8953.092662286228</v>
      </c>
      <c r="K50" s="120"/>
      <c r="L50" s="52">
        <f>C50</f>
        <v>0.1</v>
      </c>
      <c r="M50" s="70">
        <f>(((D38*M49)*L50)-P35*(1+L50)^0.5)/((D38*M49)+P35*(1+L50)^0.5)</f>
        <v>1.1662698169898804E-2</v>
      </c>
      <c r="N50" s="70">
        <f>(((D38*N49)*L50)-P35*(1+L50)^0.5)/((D38*N49)+P35*(1+L50)^0.5)</f>
        <v>1.8274026289603142E-2</v>
      </c>
      <c r="O50" s="70">
        <f>(((D38*O49)*L50)-P35*(1+L50)^0.5)/((D38*O49)+P35*(1+L50)^0.5)</f>
        <v>2.3964653193723855E-2</v>
      </c>
      <c r="P50" s="70">
        <f>(((D38*P49)*L50)-P35*(1+L50)^0.5)/((D38*P49)+P35*(1+L50)^0.5)</f>
        <v>2.8914385706292935E-2</v>
      </c>
      <c r="Q50" s="70">
        <f>(((D38*Q49)*L50)-P35*(1+L50)^0.5)/((D38*Q49)+P35*(1+L50)^0.5)</f>
        <v>3.3259072149831814E-2</v>
      </c>
    </row>
    <row r="51" spans="2:17" x14ac:dyDescent="0.25">
      <c r="B51" s="120"/>
      <c r="C51" s="52">
        <f>C50+0.005</f>
        <v>0.10500000000000001</v>
      </c>
      <c r="D51" s="28">
        <f>((D38*D49)*(1/((1+C51)^5)))+D35</f>
        <v>7148.4568229875549</v>
      </c>
      <c r="E51" s="98">
        <f>((D38*E49)*(1/((1+C51)^5)))+D35</f>
        <v>7563.0791934283343</v>
      </c>
      <c r="F51" s="221">
        <f>((D38*F49)*(1/((1+C51)^5)))+D35</f>
        <v>7977.7015638691137</v>
      </c>
      <c r="G51" s="120"/>
      <c r="H51" s="98">
        <f>((D38*H49)*(1/((1+C51)^5)))+D35</f>
        <v>8392.323934309894</v>
      </c>
      <c r="I51" s="28">
        <f>((D38*I49)*(1/((1+C51)^5)))+D35</f>
        <v>8806.9463047506724</v>
      </c>
      <c r="K51" s="120"/>
      <c r="L51" s="52">
        <f>C51</f>
        <v>0.10500000000000001</v>
      </c>
      <c r="M51" s="70">
        <f>(((D38*M49)*L51)-P35*(1+L51)^0.5)/((D38*M49)+P35*(1+L51)^0.5)</f>
        <v>1.6075926054420708E-2</v>
      </c>
      <c r="N51" s="55">
        <f>(((D38*N49)*L51)-P35*(1+L51)^0.5)/((D38*N49)+P35*(1+L51)^0.5)</f>
        <v>2.2730046981799444E-2</v>
      </c>
      <c r="O51" s="54">
        <f>(((D38*O49)*L51)-P35*(1+L51)^0.5)/((D38*O49)+P35*(1+L51)^0.5)</f>
        <v>2.8457652706102156E-2</v>
      </c>
      <c r="P51" s="54">
        <f>(((D38*P49)*L51)-P35*(1+L51)^0.5)/((D38*P49)+P35*(1+L51)^0.5)</f>
        <v>3.3439658943285912E-2</v>
      </c>
      <c r="Q51" s="70">
        <f>(((D38*Q49)*L51)-P35*(1+L51)^0.5)/((D38*Q49)+P35*(1+L51)^0.5)</f>
        <v>3.7812757901300009E-2</v>
      </c>
    </row>
    <row r="52" spans="2:17" x14ac:dyDescent="0.25">
      <c r="B52" s="120"/>
      <c r="C52" s="52">
        <f>C51+0.005</f>
        <v>0.11000000000000001</v>
      </c>
      <c r="D52" s="28">
        <f>((D38*D49)*(1/((1+C52)^5)))+D35</f>
        <v>7043.2432778434559</v>
      </c>
      <c r="E52" s="98">
        <f>((D38*E49)*(1/((1+C52)^5)))+D35</f>
        <v>7448.6110577043</v>
      </c>
      <c r="F52" s="222">
        <f>D45</f>
        <v>8521.7999999999993</v>
      </c>
      <c r="G52" s="120"/>
      <c r="H52" s="98">
        <f>((D38*H49)*(1/((1+C52)^5)))+D35</f>
        <v>8259.3466174259884</v>
      </c>
      <c r="I52" s="28">
        <f>((D38*I49)*(1/((1+C52)^5)))+D35</f>
        <v>8664.7143972868344</v>
      </c>
      <c r="K52" s="120"/>
      <c r="L52" s="52">
        <f>C52</f>
        <v>0.11000000000000001</v>
      </c>
      <c r="M52" s="70">
        <f>(((D38*M49)*L52)-P35*(1+L52)^0.5)/((D38*M49)+P35*(1+L52)^0.5)</f>
        <v>2.0487965675748815E-2</v>
      </c>
      <c r="N52" s="55">
        <f>(((D38*N49)*L52)-P35*(1+L52)^0.5)/((D38*N49)+P35*(1+L52)^0.5)</f>
        <v>2.7184956434091575E-2</v>
      </c>
      <c r="O52" s="56">
        <f>P39</f>
        <v>1.0031861969476964E-2</v>
      </c>
      <c r="P52" s="54">
        <f>(((D38*P49)*L52)-P35*(1+L52)^0.5)/((D38*P49)+P35*(1+L52)^0.5)</f>
        <v>3.7963948835661447E-2</v>
      </c>
      <c r="Q52" s="70">
        <f>(((D38*Q49)*L52)-P35*(1+L52)^0.5)/((D38*Q49)+P35*(1+L52)^0.5)</f>
        <v>4.2365513937601393E-2</v>
      </c>
    </row>
    <row r="53" spans="2:17" x14ac:dyDescent="0.25">
      <c r="B53" s="120"/>
      <c r="C53" s="52">
        <f>C52+0.005</f>
        <v>0.11500000000000002</v>
      </c>
      <c r="D53" s="28">
        <f>((D38*D49)*(1/((1+C53)^5)))+D35</f>
        <v>6940.8352961788269</v>
      </c>
      <c r="E53" s="98">
        <f>((D38*E49)*(1/((1+C53)^5)))+D35</f>
        <v>7337.1952630140231</v>
      </c>
      <c r="F53" s="221">
        <f>((D38*F49)*(1/((1+C53)^5)))+D35</f>
        <v>7733.5552298492203</v>
      </c>
      <c r="G53" s="120"/>
      <c r="H53" s="98">
        <f>((D38*H49)*(1/((1+C53)^5)))+D35</f>
        <v>8129.9151966844165</v>
      </c>
      <c r="I53" s="28">
        <f>((D38*I49)*(1/((1+C53)^5)))+D35</f>
        <v>8526.2751635196146</v>
      </c>
      <c r="K53" s="120"/>
      <c r="L53" s="52">
        <f>C53</f>
        <v>0.11500000000000002</v>
      </c>
      <c r="M53" s="70">
        <f>(((D38*M49)*L53)-P35*(1+L53)^0.5)/((D38*M49)+P35*(1+L53)^0.5)</f>
        <v>2.4898820283890278E-2</v>
      </c>
      <c r="N53" s="55">
        <f>(((D38*N49)*L53)-P35*(1+L53)^0.5)/((D38*N49)+P35*(1+L53)^0.5)</f>
        <v>3.1638757646173805E-2</v>
      </c>
      <c r="O53" s="54">
        <f>(((D38*O49)*L53)-P35*(1+L53)^0.5)/((D38*O49)+P35*(1+L53)^0.5)</f>
        <v>3.744052417734782E-2</v>
      </c>
      <c r="P53" s="54">
        <f>(((D38*P49)*L53)-P35*(1+L53)^0.5)/((D38*P49)+P35*(1+L53)^0.5)</f>
        <v>4.248725798131394E-2</v>
      </c>
      <c r="Q53" s="70">
        <f>(((D38*Q49)*L53)-P35*(1+L53)^0.5)/((D38*Q49)+P35*(1+L53)^0.5)</f>
        <v>4.691734269308187E-2</v>
      </c>
    </row>
    <row r="54" spans="2:17" x14ac:dyDescent="0.25">
      <c r="B54" s="120"/>
      <c r="C54" s="52">
        <f>C53+0.005</f>
        <v>0.12000000000000002</v>
      </c>
      <c r="D54" s="28">
        <f>((D38*D49)*(1/((1+C54)^5)))+D35</f>
        <v>6841.145984617905</v>
      </c>
      <c r="E54" s="28">
        <f>((D38*E49)*(1/((1+C54)^5)))+D35</f>
        <v>7228.7372728345044</v>
      </c>
      <c r="F54" s="217">
        <f>((D38*F49)*(1/((1+C54)^5)))+D35</f>
        <v>7616.3285610511039</v>
      </c>
      <c r="G54" s="120"/>
      <c r="H54" s="28">
        <f>((D38*H49)*(1/((1+C54)^5)))+D35</f>
        <v>8003.9198492677024</v>
      </c>
      <c r="I54" s="28">
        <f>((D38*I49)*(1/((1+C54)^5)))+D35</f>
        <v>8391.5111374843018</v>
      </c>
      <c r="K54" s="120"/>
      <c r="L54" s="52">
        <f>C54</f>
        <v>0.12000000000000002</v>
      </c>
      <c r="M54" s="70">
        <f>(((D38*M49)*L54)-P35*(1+L54)^0.5)/((D38*M49)+P35*(1+L54)^0.5)</f>
        <v>2.9308493106581211E-2</v>
      </c>
      <c r="N54" s="70">
        <f>(((D38*N49)*L54)-P35*(1+L54)^0.5)/((D38*N49)+P35*(1+L54)^0.5)</f>
        <v>3.609145359723151E-2</v>
      </c>
      <c r="O54" s="70">
        <f>(((D38*O49)*L54)-P35*(1+L54)^0.5)/((D38*O49)+P35*(1+L54)^0.5)</f>
        <v>4.1930401686430259E-2</v>
      </c>
      <c r="P54" s="70">
        <f>(((D38*P49)*L54)-P35*(1+L54)^0.5)/((D38*P49)+P35*(1+L54)^0.5)</f>
        <v>4.7009588960436367E-2</v>
      </c>
      <c r="Q54" s="70">
        <f>(((D38*Q49)*L54)-P35*(1+L54)^0.5)/((D38*Q49)+P35*(1+L54)^0.5)</f>
        <v>5.146824658552164E-2</v>
      </c>
    </row>
    <row r="66" spans="9:9" x14ac:dyDescent="0.25">
      <c r="I66" s="46"/>
    </row>
  </sheetData>
  <mergeCells count="86">
    <mergeCell ref="F48:G48"/>
    <mergeCell ref="C48:D48"/>
    <mergeCell ref="B49:B54"/>
    <mergeCell ref="F49:G49"/>
    <mergeCell ref="M47:Q47"/>
    <mergeCell ref="N48:O48"/>
    <mergeCell ref="K49:K54"/>
    <mergeCell ref="F50:G50"/>
    <mergeCell ref="F51:G51"/>
    <mergeCell ref="F52:G52"/>
    <mergeCell ref="F53:G53"/>
    <mergeCell ref="F54:G54"/>
    <mergeCell ref="C47:I47"/>
    <mergeCell ref="A43:C43"/>
    <mergeCell ref="A45:C45"/>
    <mergeCell ref="D45:E45"/>
    <mergeCell ref="D43:E43"/>
    <mergeCell ref="D44:E44"/>
    <mergeCell ref="G45:I45"/>
    <mergeCell ref="L39:O39"/>
    <mergeCell ref="L42:P42"/>
    <mergeCell ref="L35:O35"/>
    <mergeCell ref="L45:N45"/>
    <mergeCell ref="O45:P45"/>
    <mergeCell ref="O43:P43"/>
    <mergeCell ref="L34:P34"/>
    <mergeCell ref="L36:O36"/>
    <mergeCell ref="L37:O37"/>
    <mergeCell ref="A41:C41"/>
    <mergeCell ref="A42:C42"/>
    <mergeCell ref="D41:E41"/>
    <mergeCell ref="D42:E42"/>
    <mergeCell ref="G38:I38"/>
    <mergeCell ref="G39:I39"/>
    <mergeCell ref="G40:I40"/>
    <mergeCell ref="A37:C37"/>
    <mergeCell ref="A38:C38"/>
    <mergeCell ref="A39:C39"/>
    <mergeCell ref="A40:C40"/>
    <mergeCell ref="D38:E38"/>
    <mergeCell ref="D39:E39"/>
    <mergeCell ref="D40:E40"/>
    <mergeCell ref="A35:C35"/>
    <mergeCell ref="D35:E35"/>
    <mergeCell ref="G35:I35"/>
    <mergeCell ref="G36:I36"/>
    <mergeCell ref="G37:I37"/>
    <mergeCell ref="A31:C31"/>
    <mergeCell ref="A32:C32"/>
    <mergeCell ref="A34:E34"/>
    <mergeCell ref="G34:J34"/>
    <mergeCell ref="Q5:R5"/>
    <mergeCell ref="A28:C28"/>
    <mergeCell ref="A29:C29"/>
    <mergeCell ref="A30:C30"/>
    <mergeCell ref="A15:C15"/>
    <mergeCell ref="A6:C6"/>
    <mergeCell ref="A7:C7"/>
    <mergeCell ref="A8:C8"/>
    <mergeCell ref="A11:C11"/>
    <mergeCell ref="A12:C12"/>
    <mergeCell ref="A13:C13"/>
    <mergeCell ref="A14:C14"/>
    <mergeCell ref="A10:C10"/>
    <mergeCell ref="A1:XFD1"/>
    <mergeCell ref="A2:XFD2"/>
    <mergeCell ref="A4:C4"/>
    <mergeCell ref="A5:C5"/>
    <mergeCell ref="E5:G5"/>
    <mergeCell ref="J5:N5"/>
    <mergeCell ref="Q8:R8"/>
    <mergeCell ref="Q9:R9"/>
    <mergeCell ref="A23:C23"/>
    <mergeCell ref="D37:E37"/>
    <mergeCell ref="A9:C9"/>
    <mergeCell ref="A27:C27"/>
    <mergeCell ref="A21:C21"/>
    <mergeCell ref="A22:C22"/>
    <mergeCell ref="A16:C16"/>
    <mergeCell ref="A17:C17"/>
    <mergeCell ref="A18:C18"/>
    <mergeCell ref="A19:C19"/>
    <mergeCell ref="A20:C20"/>
    <mergeCell ref="A24:C24"/>
    <mergeCell ref="A25:C25"/>
    <mergeCell ref="A26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income_statement_data</vt:lpstr>
      <vt:lpstr>Balance_sheet</vt:lpstr>
      <vt:lpstr>Cash_flow_data</vt:lpstr>
      <vt:lpstr>Work_Capital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Ruller</dc:creator>
  <cp:lastModifiedBy>ruller</cp:lastModifiedBy>
  <dcterms:created xsi:type="dcterms:W3CDTF">2023-06-28T19:00:06Z</dcterms:created>
  <dcterms:modified xsi:type="dcterms:W3CDTF">2023-11-06T20:22:20Z</dcterms:modified>
</cp:coreProperties>
</file>