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O:\Curso Data Science UBA\TPs\Intercambiador de calor\"/>
    </mc:Choice>
  </mc:AlternateContent>
  <xr:revisionPtr revIDLastSave="0" documentId="8_{AAEE5A6D-A112-48DF-9827-A23195F88A5A}" xr6:coauthVersionLast="31" xr6:coauthVersionMax="31" xr10:uidLastSave="{00000000-0000-0000-0000-000000000000}"/>
  <bookViews>
    <workbookView xWindow="0" yWindow="0" windowWidth="21570" windowHeight="8145" xr2:uid="{00000000-000D-0000-FFFF-FFFF00000000}"/>
  </bookViews>
  <sheets>
    <sheet name="Sheet1" sheetId="1" r:id="rId1"/>
    <sheet name="Sheet2" sheetId="2" r:id="rId2"/>
    <sheet name="Hoja1" sheetId="3" r:id="rId3"/>
  </sheets>
  <definedNames>
    <definedName name="solver_adj" localSheetId="0" hidden="1">Sheet1!$I$5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Sheet1!$N$5</definedName>
    <definedName name="solver_lhs2" localSheetId="0" hidden="1">Sheet1!$N$5</definedName>
    <definedName name="solver_lhs3" localSheetId="0" hidden="1">Sheet1!$N$5</definedName>
    <definedName name="solver_lhs4" localSheetId="0" hidden="1">Sheet1!$N$6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Sheet1!$O$32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Q26" i="1"/>
  <c r="AP6" i="1" l="1"/>
  <c r="AQ6" i="1"/>
  <c r="AR6" i="1"/>
  <c r="AS6" i="1"/>
  <c r="AT6" i="1"/>
  <c r="AU6" i="1"/>
  <c r="AP7" i="1"/>
  <c r="AQ7" i="1"/>
  <c r="AR7" i="1"/>
  <c r="AS7" i="1"/>
  <c r="AT7" i="1"/>
  <c r="AU7" i="1"/>
  <c r="AP8" i="1"/>
  <c r="AQ8" i="1"/>
  <c r="AR8" i="1"/>
  <c r="AS8" i="1"/>
  <c r="AT8" i="1"/>
  <c r="AU8" i="1"/>
  <c r="AP9" i="1"/>
  <c r="AQ9" i="1"/>
  <c r="AR9" i="1"/>
  <c r="AS9" i="1"/>
  <c r="AT9" i="1"/>
  <c r="AU9" i="1"/>
  <c r="AP10" i="1"/>
  <c r="AQ10" i="1"/>
  <c r="AR10" i="1"/>
  <c r="AS10" i="1"/>
  <c r="AT10" i="1"/>
  <c r="AU10" i="1"/>
  <c r="AP11" i="1"/>
  <c r="AQ11" i="1"/>
  <c r="AR11" i="1"/>
  <c r="AS11" i="1"/>
  <c r="AT11" i="1"/>
  <c r="AU11" i="1"/>
  <c r="AP12" i="1"/>
  <c r="AQ12" i="1"/>
  <c r="AR12" i="1"/>
  <c r="AS12" i="1"/>
  <c r="AT12" i="1"/>
  <c r="AU12" i="1"/>
  <c r="AP13" i="1"/>
  <c r="AQ13" i="1"/>
  <c r="AR13" i="1"/>
  <c r="AS13" i="1"/>
  <c r="AT13" i="1"/>
  <c r="AU13" i="1"/>
  <c r="AU5" i="1"/>
  <c r="AT5" i="1"/>
  <c r="AS5" i="1"/>
  <c r="AA5" i="1"/>
  <c r="AR5" i="1"/>
  <c r="AQ5" i="1"/>
  <c r="Y5" i="1"/>
  <c r="AP5" i="1"/>
  <c r="X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AC5" i="1"/>
  <c r="AB5" i="1"/>
  <c r="Z5" i="1"/>
  <c r="AH5" i="1"/>
  <c r="L10" i="1"/>
  <c r="L11" i="1"/>
  <c r="L12" i="1"/>
  <c r="L13" i="1"/>
  <c r="L9" i="1"/>
  <c r="L8" i="1"/>
  <c r="L7" i="1"/>
  <c r="L6" i="1"/>
  <c r="L5" i="1"/>
  <c r="AL14" i="1"/>
  <c r="AL6" i="1"/>
  <c r="AL7" i="1"/>
  <c r="AL8" i="1"/>
  <c r="AL9" i="1"/>
  <c r="AL10" i="1"/>
  <c r="AL11" i="1"/>
  <c r="AL12" i="1"/>
  <c r="AL13" i="1"/>
  <c r="AL5" i="1"/>
  <c r="G13" i="3"/>
  <c r="G12" i="3"/>
  <c r="G11" i="3"/>
  <c r="G10" i="3"/>
  <c r="G9" i="3"/>
  <c r="G8" i="3"/>
  <c r="G7" i="3"/>
  <c r="G6" i="3"/>
  <c r="G5" i="3"/>
  <c r="C13" i="3"/>
  <c r="C12" i="3"/>
  <c r="C11" i="3"/>
  <c r="C10" i="3"/>
  <c r="C9" i="3"/>
  <c r="C8" i="3"/>
  <c r="C7" i="3"/>
  <c r="C6" i="3"/>
  <c r="C5" i="3"/>
  <c r="N5" i="1" l="1"/>
  <c r="AN5" i="1"/>
  <c r="O17" i="1"/>
  <c r="K17" i="1"/>
  <c r="M8" i="1"/>
  <c r="M20" i="1" s="1"/>
  <c r="AI6" i="1"/>
  <c r="I18" i="1" s="1"/>
  <c r="AI7" i="1"/>
  <c r="I19" i="1" s="1"/>
  <c r="B21" i="1"/>
  <c r="AG5" i="1"/>
  <c r="O5" i="1" s="1"/>
  <c r="AG7" i="1"/>
  <c r="AG8" i="1"/>
  <c r="AG9" i="1"/>
  <c r="AG10" i="1"/>
  <c r="AG11" i="1"/>
  <c r="AG12" i="1"/>
  <c r="AG13" i="1"/>
  <c r="AH6" i="1"/>
  <c r="N6" i="1" s="1"/>
  <c r="AI13" i="1"/>
  <c r="I25" i="1" s="1"/>
  <c r="AI5" i="1"/>
  <c r="I17" i="1" s="1"/>
  <c r="J17" i="1" s="1"/>
  <c r="O6" i="1" l="1"/>
  <c r="L33" i="1" s="1"/>
  <c r="L32" i="1"/>
  <c r="AH11" i="1"/>
  <c r="N11" i="1" s="1"/>
  <c r="AH9" i="1"/>
  <c r="N9" i="1" s="1"/>
  <c r="AD6" i="1"/>
  <c r="AH8" i="1"/>
  <c r="N8" i="1" s="1"/>
  <c r="AH7" i="1"/>
  <c r="N7" i="1" s="1"/>
  <c r="AH12" i="1"/>
  <c r="N12" i="1" s="1"/>
  <c r="AI10" i="1"/>
  <c r="I22" i="1" s="1"/>
  <c r="J22" i="1" s="1"/>
  <c r="AI12" i="1"/>
  <c r="I24" i="1" s="1"/>
  <c r="J24" i="1" s="1"/>
  <c r="J18" i="1"/>
  <c r="AH13" i="1"/>
  <c r="N13" i="1" s="1"/>
  <c r="AI8" i="1"/>
  <c r="I20" i="1" s="1"/>
  <c r="J20" i="1" s="1"/>
  <c r="M7" i="1"/>
  <c r="M19" i="1" s="1"/>
  <c r="N19" i="1" s="1"/>
  <c r="P19" i="1" s="1"/>
  <c r="I34" i="1" s="1"/>
  <c r="M6" i="1"/>
  <c r="M18" i="1" s="1"/>
  <c r="N18" i="1" s="1"/>
  <c r="P18" i="1" s="1"/>
  <c r="I33" i="1" s="1"/>
  <c r="M5" i="1"/>
  <c r="M17" i="1" s="1"/>
  <c r="N17" i="1" s="1"/>
  <c r="P17" i="1" s="1"/>
  <c r="I32" i="1" s="1"/>
  <c r="M10" i="1"/>
  <c r="M22" i="1" s="1"/>
  <c r="N22" i="1" s="1"/>
  <c r="P22" i="1" s="1"/>
  <c r="I37" i="1" s="1"/>
  <c r="M13" i="1"/>
  <c r="M25" i="1" s="1"/>
  <c r="N25" i="1" s="1"/>
  <c r="P25" i="1" s="1"/>
  <c r="I40" i="1" s="1"/>
  <c r="M11" i="1"/>
  <c r="M23" i="1" s="1"/>
  <c r="N23" i="1" s="1"/>
  <c r="P23" i="1" s="1"/>
  <c r="I38" i="1" s="1"/>
  <c r="M12" i="1"/>
  <c r="M24" i="1" s="1"/>
  <c r="N24" i="1" s="1"/>
  <c r="P24" i="1" s="1"/>
  <c r="I39" i="1" s="1"/>
  <c r="M9" i="1"/>
  <c r="M21" i="1" s="1"/>
  <c r="N21" i="1" s="1"/>
  <c r="P21" i="1" s="1"/>
  <c r="I36" i="1" s="1"/>
  <c r="AI11" i="1"/>
  <c r="I23" i="1" s="1"/>
  <c r="J23" i="1" s="1"/>
  <c r="AH10" i="1"/>
  <c r="N10" i="1" s="1"/>
  <c r="N20" i="1"/>
  <c r="P20" i="1" s="1"/>
  <c r="I35" i="1" s="1"/>
  <c r="J25" i="1"/>
  <c r="AI9" i="1"/>
  <c r="I21" i="1" s="1"/>
  <c r="J21" i="1" s="1"/>
  <c r="J19" i="1"/>
  <c r="AD5" i="1" l="1"/>
  <c r="O32" i="1"/>
  <c r="AD10" i="1"/>
  <c r="O10" i="1"/>
  <c r="L37" i="1" s="1"/>
  <c r="AD7" i="1"/>
  <c r="O7" i="1"/>
  <c r="L34" i="1" s="1"/>
  <c r="K34" i="1"/>
  <c r="AD9" i="1"/>
  <c r="O9" i="1"/>
  <c r="L36" i="1" s="1"/>
  <c r="L20" i="1"/>
  <c r="J35" i="1" s="1"/>
  <c r="K35" i="1" s="1"/>
  <c r="Q20" i="1"/>
  <c r="AD13" i="1"/>
  <c r="O13" i="1"/>
  <c r="L40" i="1" s="1"/>
  <c r="L22" i="1"/>
  <c r="J37" i="1" s="1"/>
  <c r="Q22" i="1"/>
  <c r="AD11" i="1"/>
  <c r="O11" i="1"/>
  <c r="L38" i="1" s="1"/>
  <c r="K37" i="1"/>
  <c r="L19" i="1"/>
  <c r="J34" i="1" s="1"/>
  <c r="Q19" i="1"/>
  <c r="L24" i="1"/>
  <c r="J39" i="1" s="1"/>
  <c r="Q24" i="1"/>
  <c r="L21" i="1"/>
  <c r="J36" i="1" s="1"/>
  <c r="Q21" i="1"/>
  <c r="L23" i="1"/>
  <c r="J38" i="1" s="1"/>
  <c r="Q23" i="1"/>
  <c r="AD8" i="1"/>
  <c r="O8" i="1"/>
  <c r="L35" i="1" s="1"/>
  <c r="L25" i="1"/>
  <c r="J40" i="1" s="1"/>
  <c r="Q25" i="1"/>
  <c r="AD12" i="1"/>
  <c r="O12" i="1"/>
  <c r="L39" i="1" s="1"/>
  <c r="L17" i="1"/>
  <c r="J32" i="1" s="1"/>
  <c r="Q17" i="1"/>
  <c r="L18" i="1"/>
  <c r="J33" i="1" s="1"/>
  <c r="Q18" i="1"/>
  <c r="K36" i="1" l="1"/>
  <c r="K40" i="1"/>
  <c r="M40" i="1" s="1"/>
  <c r="AE13" i="1" s="1"/>
  <c r="AN13" i="1" s="1"/>
  <c r="M37" i="1"/>
  <c r="AE10" i="1" s="1"/>
  <c r="AN10" i="1" s="1"/>
  <c r="M35" i="1"/>
  <c r="AE8" i="1" s="1"/>
  <c r="AN8" i="1" s="1"/>
  <c r="M34" i="1"/>
  <c r="AE7" i="1" s="1"/>
  <c r="AN7" i="1" s="1"/>
  <c r="K39" i="1"/>
  <c r="M39" i="1" s="1"/>
  <c r="AE12" i="1" s="1"/>
  <c r="AN12" i="1" s="1"/>
  <c r="K38" i="1"/>
  <c r="M38" i="1" s="1"/>
  <c r="AE11" i="1" s="1"/>
  <c r="AN11" i="1" s="1"/>
  <c r="K32" i="1"/>
  <c r="M32" i="1" s="1"/>
  <c r="AE5" i="1" s="1"/>
  <c r="M36" i="1"/>
  <c r="AE9" i="1" s="1"/>
  <c r="AN9" i="1" s="1"/>
  <c r="K33" i="1"/>
  <c r="M33" i="1" s="1"/>
  <c r="AE6" i="1" s="1"/>
  <c r="AN6" i="1" s="1"/>
</calcChain>
</file>

<file path=xl/sharedStrings.xml><?xml version="1.0" encoding="utf-8"?>
<sst xmlns="http://schemas.openxmlformats.org/spreadsheetml/2006/main" count="141" uniqueCount="44">
  <si>
    <t>Condición</t>
  </si>
  <si>
    <r>
      <t>T </t>
    </r>
    <r>
      <rPr>
        <vertAlign val="subscript"/>
        <sz val="11"/>
        <color rgb="FF222222"/>
        <rFont val="Calibri"/>
        <family val="2"/>
      </rPr>
      <t>entrada</t>
    </r>
  </si>
  <si>
    <r>
      <t>T </t>
    </r>
    <r>
      <rPr>
        <vertAlign val="subscript"/>
        <sz val="11"/>
        <color rgb="FF222222"/>
        <rFont val="Calibri"/>
        <family val="2"/>
      </rPr>
      <t>salida</t>
    </r>
  </si>
  <si>
    <t>(L/h)</t>
  </si>
  <si>
    <t>(°C)</t>
  </si>
  <si>
    <t>kg/h</t>
  </si>
  <si>
    <t>Q_frio</t>
  </si>
  <si>
    <t>Q_caliente</t>
  </si>
  <si>
    <t>(Kcal/h)</t>
  </si>
  <si>
    <t>ΔTml</t>
  </si>
  <si>
    <t>Q_disipado</t>
  </si>
  <si>
    <t>a/m2</t>
  </si>
  <si>
    <t>Caudal m</t>
  </si>
  <si>
    <t>Caudal V</t>
  </si>
  <si>
    <t>U</t>
  </si>
  <si>
    <t>Kcal/m2°C</t>
  </si>
  <si>
    <t>Flujo m frio</t>
  </si>
  <si>
    <t>Flujo masico caliente</t>
  </si>
  <si>
    <t>b/m</t>
  </si>
  <si>
    <t>ancho/m</t>
  </si>
  <si>
    <t>17cm</t>
  </si>
  <si>
    <t>visc caliente</t>
  </si>
  <si>
    <t>visc frio</t>
  </si>
  <si>
    <t>kg/m/h</t>
  </si>
  <si>
    <t>k</t>
  </si>
  <si>
    <t>Kcal/hm°C</t>
  </si>
  <si>
    <t>Re</t>
  </si>
  <si>
    <t>Pr</t>
  </si>
  <si>
    <t xml:space="preserve">Nu </t>
  </si>
  <si>
    <t>kg/h/m2</t>
  </si>
  <si>
    <t>Gm  (Kg/h.m2)</t>
  </si>
  <si>
    <t>Diff relativa</t>
  </si>
  <si>
    <t xml:space="preserve">  U medido (Kcal/m2°C)</t>
  </si>
  <si>
    <t>hcaliente (Kcal/m2°C)</t>
  </si>
  <si>
    <t>hfrio (Kcal/m2°C)</t>
  </si>
  <si>
    <t>U correlacion (Kcal/m2°C)</t>
  </si>
  <si>
    <t>T entrada</t>
  </si>
  <si>
    <t>T salida</t>
  </si>
  <si>
    <t>Medido original</t>
  </si>
  <si>
    <t>Error^2</t>
  </si>
  <si>
    <t>error</t>
  </si>
  <si>
    <t>F</t>
  </si>
  <si>
    <t>Disipado</t>
  </si>
  <si>
    <t>Delta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</si>
</sst>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E+00"/>
    <numFmt numFmtId="166" formatCode="0.0000"/>
    <numFmt numFmtId="169" formatCode="0.0_)"/>
  </numFmts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vertAlign val="subscript"/>
      <sz val="11"/>
      <color rgb="FF222222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1" fillId="0" borderId="2" xfId="0" applyFont="1" applyFill="1" applyBorder="1" applyAlignment="1">
      <alignment horizontal="center" vertical="center" wrapText="1"/>
    </xf>
    <xf numFmtId="164" fontId="0" fillId="0" borderId="2" xfId="0" applyNumberFormat="1" applyBorder="1"/>
    <xf numFmtId="1" fontId="0" fillId="0" borderId="0" xfId="0" applyNumberFormat="1"/>
    <xf numFmtId="0" fontId="0" fillId="5" borderId="0" xfId="0" applyFill="1"/>
    <xf numFmtId="0" fontId="3" fillId="6" borderId="0" xfId="0" applyFont="1" applyFill="1"/>
    <xf numFmtId="165" fontId="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Hoja1!$B$5:$B$13</c:f>
              <c:numCache>
                <c:formatCode>General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xVal>
          <c:yVal>
            <c:numRef>
              <c:f>Hoja1!$J$5:$J$13</c:f>
              <c:numCache>
                <c:formatCode>General</c:formatCode>
                <c:ptCount val="9"/>
                <c:pt idx="0">
                  <c:v>3518.9999999999982</c:v>
                </c:pt>
                <c:pt idx="1">
                  <c:v>4075.4999999999982</c:v>
                </c:pt>
                <c:pt idx="2">
                  <c:v>4746</c:v>
                </c:pt>
                <c:pt idx="3">
                  <c:v>4992</c:v>
                </c:pt>
                <c:pt idx="4">
                  <c:v>4378.4999999999982</c:v>
                </c:pt>
                <c:pt idx="5">
                  <c:v>4480.5</c:v>
                </c:pt>
                <c:pt idx="6">
                  <c:v>4242</c:v>
                </c:pt>
                <c:pt idx="7">
                  <c:v>3482.9999999999982</c:v>
                </c:pt>
                <c:pt idx="8">
                  <c:v>5825.9999999999964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7-4F46-A3DC-133F4AD2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84216"/>
        <c:axId val="1127787496"/>
      </c:scatterChart>
      <c:valAx>
        <c:axId val="112778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7787496"/>
        <c:crosses val="autoZero"/>
        <c:crossBetween val="midCat"/>
      </c:valAx>
      <c:valAx>
        <c:axId val="11277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778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Hoja1!$F$5:$F$13</c:f>
              <c:numCache>
                <c:formatCode>General</c:formatCode>
                <c:ptCount val="9"/>
                <c:pt idx="0">
                  <c:v>600</c:v>
                </c:pt>
                <c:pt idx="1">
                  <c:v>900</c:v>
                </c:pt>
                <c:pt idx="2">
                  <c:v>1200</c:v>
                </c:pt>
                <c:pt idx="3">
                  <c:v>1200</c:v>
                </c:pt>
                <c:pt idx="4">
                  <c:v>900</c:v>
                </c:pt>
                <c:pt idx="5">
                  <c:v>600</c:v>
                </c:pt>
                <c:pt idx="6">
                  <c:v>600</c:v>
                </c:pt>
                <c:pt idx="7">
                  <c:v>900</c:v>
                </c:pt>
                <c:pt idx="8">
                  <c:v>1200</c:v>
                </c:pt>
              </c:numCache>
            </c:numRef>
          </c:xVal>
          <c:yVal>
            <c:numRef>
              <c:f>Hoja1!$J$5:$J$13</c:f>
              <c:numCache>
                <c:formatCode>General</c:formatCode>
                <c:ptCount val="9"/>
                <c:pt idx="0">
                  <c:v>3518.9999999999982</c:v>
                </c:pt>
                <c:pt idx="1">
                  <c:v>4075.4999999999982</c:v>
                </c:pt>
                <c:pt idx="2">
                  <c:v>4746</c:v>
                </c:pt>
                <c:pt idx="3">
                  <c:v>4992</c:v>
                </c:pt>
                <c:pt idx="4">
                  <c:v>4378.4999999999982</c:v>
                </c:pt>
                <c:pt idx="5">
                  <c:v>4480.5</c:v>
                </c:pt>
                <c:pt idx="6">
                  <c:v>4242</c:v>
                </c:pt>
                <c:pt idx="7">
                  <c:v>3482.9999999999982</c:v>
                </c:pt>
                <c:pt idx="8">
                  <c:v>5825.9999999999964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D-4626-811C-C37FE97C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84216"/>
        <c:axId val="1127787496"/>
      </c:scatterChart>
      <c:valAx>
        <c:axId val="112778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7787496"/>
        <c:crosses val="autoZero"/>
        <c:crossBetween val="midCat"/>
      </c:valAx>
      <c:valAx>
        <c:axId val="11277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778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10</xdr:row>
          <xdr:rowOff>76200</xdr:rowOff>
        </xdr:from>
        <xdr:to>
          <xdr:col>2</xdr:col>
          <xdr:colOff>361950</xdr:colOff>
          <xdr:row>14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28</xdr:row>
      <xdr:rowOff>0</xdr:rowOff>
    </xdr:from>
    <xdr:to>
      <xdr:col>6</xdr:col>
      <xdr:colOff>209550</xdr:colOff>
      <xdr:row>29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24550"/>
          <a:ext cx="142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29</xdr:row>
      <xdr:rowOff>180975</xdr:rowOff>
    </xdr:from>
    <xdr:to>
      <xdr:col>5</xdr:col>
      <xdr:colOff>219075</xdr:colOff>
      <xdr:row>31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296025"/>
          <a:ext cx="23431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52387</xdr:rowOff>
    </xdr:from>
    <xdr:to>
      <xdr:col>16</xdr:col>
      <xdr:colOff>57150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6</xdr:row>
      <xdr:rowOff>57150</xdr:rowOff>
    </xdr:from>
    <xdr:to>
      <xdr:col>16</xdr:col>
      <xdr:colOff>95250</xdr:colOff>
      <xdr:row>20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0"/>
  <sheetViews>
    <sheetView tabSelected="1" workbookViewId="0">
      <selection activeCell="AG7" sqref="AG7"/>
    </sheetView>
  </sheetViews>
  <sheetFormatPr baseColWidth="10" defaultColWidth="9.140625" defaultRowHeight="15" x14ac:dyDescent="0.25"/>
  <cols>
    <col min="3" max="3" width="11.42578125" bestFit="1" customWidth="1"/>
    <col min="4" max="4" width="13.28515625" customWidth="1"/>
    <col min="9" max="9" width="13.5703125" customWidth="1"/>
    <col min="11" max="11" width="11.5703125" bestFit="1" customWidth="1"/>
    <col min="14" max="14" width="12" bestFit="1" customWidth="1"/>
    <col min="15" max="15" width="13.5703125" bestFit="1" customWidth="1"/>
    <col min="16" max="17" width="11.5703125" customWidth="1"/>
    <col min="31" max="31" width="12" bestFit="1" customWidth="1"/>
    <col min="33" max="33" width="11.85546875" bestFit="1" customWidth="1"/>
    <col min="35" max="35" width="11.85546875" bestFit="1" customWidth="1"/>
    <col min="40" max="40" width="12" bestFit="1" customWidth="1"/>
  </cols>
  <sheetData>
    <row r="1" spans="1:47" ht="60" x14ac:dyDescent="0.25">
      <c r="A1" t="s">
        <v>35</v>
      </c>
      <c r="B1" s="8" t="s">
        <v>32</v>
      </c>
      <c r="C1" t="s">
        <v>31</v>
      </c>
      <c r="E1" s="2"/>
      <c r="F1" s="2"/>
      <c r="G1" s="2"/>
      <c r="H1" s="2"/>
      <c r="I1" s="1"/>
      <c r="J1" s="1"/>
      <c r="K1" s="1"/>
      <c r="L1" s="1"/>
      <c r="M1" s="1"/>
      <c r="N1" s="7"/>
      <c r="Q1" s="25" t="s">
        <v>38</v>
      </c>
      <c r="R1" s="25"/>
      <c r="S1" s="2"/>
      <c r="T1" s="1"/>
      <c r="U1" s="1"/>
      <c r="V1" s="1"/>
      <c r="X1" s="25" t="s">
        <v>39</v>
      </c>
      <c r="Y1" s="2"/>
      <c r="Z1" s="2"/>
      <c r="AA1" s="1"/>
      <c r="AB1" s="1"/>
      <c r="AC1" s="1"/>
      <c r="AD1" s="1"/>
      <c r="AE1" s="1"/>
      <c r="AG1" s="7"/>
      <c r="AH1" s="2"/>
      <c r="AI1" s="2"/>
      <c r="AJ1" s="1"/>
      <c r="AP1" s="25" t="s">
        <v>40</v>
      </c>
      <c r="AQ1" s="2"/>
      <c r="AR1" s="2"/>
      <c r="AS1" s="1"/>
      <c r="AT1" s="1"/>
      <c r="AU1" s="1"/>
    </row>
    <row r="2" spans="1:47" x14ac:dyDescent="0.25">
      <c r="E2" s="2"/>
      <c r="F2" s="2"/>
      <c r="G2" s="2"/>
      <c r="H2" s="2"/>
      <c r="I2" s="1"/>
      <c r="J2" s="1"/>
      <c r="K2" s="1"/>
      <c r="L2" s="1"/>
      <c r="M2" s="1"/>
      <c r="N2" s="7"/>
      <c r="Q2" s="2"/>
      <c r="R2" s="2"/>
      <c r="S2" s="2"/>
      <c r="T2" s="1"/>
      <c r="U2" s="1"/>
      <c r="V2" s="1"/>
      <c r="X2" s="2"/>
      <c r="Y2" s="2"/>
      <c r="Z2" s="2"/>
      <c r="AA2" s="1"/>
      <c r="AB2" s="1"/>
      <c r="AC2" s="1"/>
      <c r="AD2" s="1"/>
      <c r="AE2" s="1"/>
      <c r="AG2" s="7"/>
      <c r="AH2" s="2"/>
      <c r="AI2" s="2"/>
      <c r="AJ2" s="1"/>
      <c r="AP2" s="2"/>
      <c r="AQ2" s="2"/>
      <c r="AR2" s="2"/>
      <c r="AS2" s="1"/>
      <c r="AT2" s="1"/>
      <c r="AU2" s="1"/>
    </row>
    <row r="3" spans="1:47" ht="45" x14ac:dyDescent="0.25">
      <c r="A3">
        <v>3664.9035961153795</v>
      </c>
      <c r="B3" s="9">
        <v>1720.0724769833369</v>
      </c>
      <c r="C3" s="3">
        <v>1944.8311191320427</v>
      </c>
      <c r="D3" s="3" t="s">
        <v>0</v>
      </c>
      <c r="E3" s="3" t="s">
        <v>13</v>
      </c>
      <c r="F3" s="3" t="s">
        <v>12</v>
      </c>
      <c r="G3" s="3" t="s">
        <v>1</v>
      </c>
      <c r="H3" s="3" t="s">
        <v>2</v>
      </c>
      <c r="I3" s="3" t="s">
        <v>12</v>
      </c>
      <c r="J3" s="3" t="s">
        <v>1</v>
      </c>
      <c r="K3" s="3" t="s">
        <v>2</v>
      </c>
      <c r="L3" s="3" t="s">
        <v>7</v>
      </c>
      <c r="M3" s="3" t="s">
        <v>17</v>
      </c>
      <c r="N3" s="8" t="s">
        <v>10</v>
      </c>
      <c r="O3" s="8" t="s">
        <v>14</v>
      </c>
      <c r="Q3" t="s">
        <v>12</v>
      </c>
      <c r="R3" t="s">
        <v>36</v>
      </c>
      <c r="S3" t="s">
        <v>37</v>
      </c>
      <c r="T3" t="s">
        <v>12</v>
      </c>
      <c r="U3" t="s">
        <v>36</v>
      </c>
      <c r="V3" t="s">
        <v>37</v>
      </c>
      <c r="X3" t="s">
        <v>12</v>
      </c>
      <c r="Y3" t="s">
        <v>36</v>
      </c>
      <c r="Z3" t="s">
        <v>37</v>
      </c>
      <c r="AA3" t="s">
        <v>12</v>
      </c>
      <c r="AB3" t="s">
        <v>36</v>
      </c>
      <c r="AC3" t="s">
        <v>37</v>
      </c>
      <c r="AD3" t="s">
        <v>42</v>
      </c>
      <c r="AE3" t="s">
        <v>43</v>
      </c>
      <c r="AG3" s="3" t="s">
        <v>9</v>
      </c>
      <c r="AH3" s="3" t="s">
        <v>6</v>
      </c>
      <c r="AI3" s="3" t="s">
        <v>16</v>
      </c>
      <c r="AJ3" s="3" t="s">
        <v>13</v>
      </c>
      <c r="AP3" t="s">
        <v>12</v>
      </c>
      <c r="AQ3" t="s">
        <v>36</v>
      </c>
      <c r="AR3" t="s">
        <v>37</v>
      </c>
      <c r="AS3" t="s">
        <v>12</v>
      </c>
      <c r="AT3" t="s">
        <v>36</v>
      </c>
      <c r="AU3" t="s">
        <v>37</v>
      </c>
    </row>
    <row r="4" spans="1:47" x14ac:dyDescent="0.25">
      <c r="D4" s="3"/>
      <c r="E4" s="3" t="s">
        <v>3</v>
      </c>
      <c r="F4" s="3" t="s">
        <v>5</v>
      </c>
      <c r="G4" s="3" t="s">
        <v>4</v>
      </c>
      <c r="H4" s="3" t="s">
        <v>4</v>
      </c>
      <c r="I4" s="3" t="s">
        <v>5</v>
      </c>
      <c r="J4" s="3" t="s">
        <v>4</v>
      </c>
      <c r="K4" s="3" t="s">
        <v>4</v>
      </c>
      <c r="L4" s="3" t="s">
        <v>8</v>
      </c>
      <c r="M4" s="3" t="s">
        <v>29</v>
      </c>
      <c r="N4" s="3" t="s">
        <v>8</v>
      </c>
      <c r="O4" s="8" t="s">
        <v>15</v>
      </c>
      <c r="Q4" t="s">
        <v>5</v>
      </c>
      <c r="R4" t="s">
        <v>4</v>
      </c>
      <c r="S4" t="s">
        <v>4</v>
      </c>
      <c r="T4" t="s">
        <v>5</v>
      </c>
      <c r="U4" t="s">
        <v>4</v>
      </c>
      <c r="V4" t="s">
        <v>4</v>
      </c>
      <c r="X4" t="s">
        <v>5</v>
      </c>
      <c r="Y4" t="s">
        <v>4</v>
      </c>
      <c r="Z4" t="s">
        <v>4</v>
      </c>
      <c r="AA4" t="s">
        <v>5</v>
      </c>
      <c r="AB4" t="s">
        <v>4</v>
      </c>
      <c r="AC4" t="s">
        <v>4</v>
      </c>
      <c r="AG4" s="3" t="s">
        <v>4</v>
      </c>
      <c r="AH4" s="3" t="s">
        <v>8</v>
      </c>
      <c r="AI4" s="3" t="s">
        <v>29</v>
      </c>
      <c r="AJ4" s="3" t="s">
        <v>3</v>
      </c>
      <c r="AP4" t="s">
        <v>5</v>
      </c>
      <c r="AQ4" t="s">
        <v>4</v>
      </c>
      <c r="AR4" t="s">
        <v>4</v>
      </c>
      <c r="AS4" t="s">
        <v>5</v>
      </c>
      <c r="AT4" t="s">
        <v>4</v>
      </c>
      <c r="AU4" t="s">
        <v>4</v>
      </c>
    </row>
    <row r="5" spans="1:47" x14ac:dyDescent="0.25">
      <c r="D5" s="3">
        <v>1</v>
      </c>
      <c r="E5" s="28">
        <v>400</v>
      </c>
      <c r="F5" s="28">
        <v>400</v>
      </c>
      <c r="G5" s="28">
        <v>24</v>
      </c>
      <c r="H5" s="28">
        <v>38</v>
      </c>
      <c r="I5" s="28">
        <v>180</v>
      </c>
      <c r="J5" s="28">
        <v>66</v>
      </c>
      <c r="K5" s="28">
        <v>40</v>
      </c>
      <c r="L5" s="3">
        <f>+I5*1*(J5-K5)</f>
        <v>4680</v>
      </c>
      <c r="M5" s="13">
        <f>+I5/0.0025/0.17</f>
        <v>423529.41176470584</v>
      </c>
      <c r="N5" s="9">
        <f>+(L5+AH5)/(L5-AH5)*2*100</f>
        <v>-17.898832684824903</v>
      </c>
      <c r="O5" s="9">
        <f>+(L5-AH5)/2/$B$19/AG5</f>
        <v>1003.1311108909227</v>
      </c>
      <c r="Q5">
        <v>597</v>
      </c>
      <c r="R5">
        <v>23</v>
      </c>
      <c r="S5">
        <v>36</v>
      </c>
      <c r="T5">
        <v>585.6</v>
      </c>
      <c r="U5">
        <v>61</v>
      </c>
      <c r="V5">
        <v>42.2</v>
      </c>
      <c r="X5">
        <f>+(Q5-F5)^2/(Q5*0.03)^2</f>
        <v>120.98771667132735</v>
      </c>
      <c r="Y5">
        <f>+(R5-G5)^2/0.25</f>
        <v>4</v>
      </c>
      <c r="Z5">
        <f>+(S5-H5)^2/0.25</f>
        <v>16</v>
      </c>
      <c r="AA5">
        <f>+(I5-T5)^2/(T5*0.03)^2</f>
        <v>533.02950222461106</v>
      </c>
      <c r="AB5">
        <f>+(J5-U5)^2/0.25</f>
        <v>100</v>
      </c>
      <c r="AC5">
        <f>+(K5-V5)^2/0.25</f>
        <v>19.360000000000049</v>
      </c>
      <c r="AD5">
        <f>+N5^2</f>
        <v>320.36821147935626</v>
      </c>
      <c r="AE5">
        <f>+M32^2</f>
        <v>713358.38426777697</v>
      </c>
      <c r="AG5" s="4">
        <f>+((J5-G5)-(K5-H5))/LN((J5-G5)/(K5-H5))</f>
        <v>13.138349550122042</v>
      </c>
      <c r="AH5" s="3">
        <f t="shared" ref="AH5:AH13" si="0">1*F5*(G5-H5)</f>
        <v>-5600</v>
      </c>
      <c r="AI5" s="13">
        <f t="shared" ref="AI5:AI13" si="1">+F5/0.0025/0.17</f>
        <v>941176.47058823518</v>
      </c>
      <c r="AJ5" s="3">
        <v>600</v>
      </c>
      <c r="AL5">
        <f>+(J5-G5)/(K5-H5)</f>
        <v>21</v>
      </c>
      <c r="AN5">
        <f>+SUM(X5:AC5)</f>
        <v>793.37721889593843</v>
      </c>
      <c r="AP5">
        <f>+(Q5-F5)/(Q5*0.03)</f>
        <v>10.999441652707985</v>
      </c>
      <c r="AQ5">
        <f>+(R5-G5)/0.5</f>
        <v>-2</v>
      </c>
      <c r="AR5">
        <f>+(S5-H5)/0.5</f>
        <v>-4</v>
      </c>
      <c r="AS5">
        <f>+(I5-T5)/(T5*0.03)</f>
        <v>-23.087431693989071</v>
      </c>
      <c r="AT5">
        <f>+(J5-U5)/0.5</f>
        <v>10</v>
      </c>
      <c r="AU5">
        <f>+(K5-V5)/0.5</f>
        <v>-4.4000000000000057</v>
      </c>
    </row>
    <row r="6" spans="1:47" x14ac:dyDescent="0.25">
      <c r="D6" s="3">
        <v>2</v>
      </c>
      <c r="E6" s="28">
        <v>300</v>
      </c>
      <c r="F6" s="28">
        <v>300</v>
      </c>
      <c r="G6" s="28">
        <v>25</v>
      </c>
      <c r="H6" s="28">
        <v>42</v>
      </c>
      <c r="I6" s="28">
        <v>180</v>
      </c>
      <c r="J6" s="28">
        <v>67</v>
      </c>
      <c r="K6" s="28">
        <v>43</v>
      </c>
      <c r="L6" s="3">
        <f>+I6*1*(J6-K6)</f>
        <v>4320</v>
      </c>
      <c r="M6" s="13">
        <f t="shared" ref="M6:M13" si="2">+I6/0.0025/0.17</f>
        <v>423529.41176470584</v>
      </c>
      <c r="N6" s="9">
        <f t="shared" ref="N6:N13" si="3">+(L6+AH6)/(L6-AH6)*2*100</f>
        <v>-16.560509554140125</v>
      </c>
      <c r="O6" s="9">
        <f>+(L6-AH6)/2/$B$19/AG6</f>
        <v>1100.9645967551385</v>
      </c>
      <c r="Q6">
        <v>597</v>
      </c>
      <c r="R6">
        <v>23</v>
      </c>
      <c r="S6">
        <v>41.5</v>
      </c>
      <c r="T6">
        <v>878.4</v>
      </c>
      <c r="U6">
        <v>65</v>
      </c>
      <c r="V6">
        <v>48.2</v>
      </c>
      <c r="X6">
        <f t="shared" ref="X6:X13" si="4">+(Q6-F6)^2/(Q6*0.03)^2</f>
        <v>274.9930557309159</v>
      </c>
      <c r="Y6">
        <f t="shared" ref="Y6:Y13" si="5">+(R6-G6)^2/0.25</f>
        <v>16</v>
      </c>
      <c r="Z6">
        <f t="shared" ref="Z6:Z13" si="6">+(S6-H6)^2/0.25</f>
        <v>1</v>
      </c>
      <c r="AA6">
        <f t="shared" ref="AA6:AA13" si="7">+(I6-T6)^2/(T6*0.03)^2</f>
        <v>702.39481620830736</v>
      </c>
      <c r="AB6">
        <f>+(J6-U6)^2/0.25</f>
        <v>16</v>
      </c>
      <c r="AC6">
        <f>+(K6-V6)^2/0.25</f>
        <v>108.16000000000012</v>
      </c>
      <c r="AD6">
        <f t="shared" ref="AD6:AD13" si="8">+N6^2</f>
        <v>274.25047669276637</v>
      </c>
      <c r="AE6">
        <f t="shared" ref="AE6:AE13" si="9">+M33^2</f>
        <v>319100.26542471006</v>
      </c>
      <c r="AG6" s="4">
        <f>+((J6-G6)-(K6-H6))/LN((J6-G6)/(K6-H6))</f>
        <v>10.969401843181213</v>
      </c>
      <c r="AH6" s="3">
        <f t="shared" si="0"/>
        <v>-5100</v>
      </c>
      <c r="AI6" s="13">
        <f t="shared" si="1"/>
        <v>705882.35294117639</v>
      </c>
      <c r="AJ6" s="3">
        <v>900</v>
      </c>
      <c r="AL6">
        <f>+(J6-G6)/(K6-H6)</f>
        <v>42</v>
      </c>
      <c r="AN6">
        <f>+SUM(X6:AE6)</f>
        <v>320493.06377334206</v>
      </c>
      <c r="AP6">
        <f t="shared" ref="AP6:AP13" si="10">+(Q6-F6)/(Q6*0.03)</f>
        <v>16.582914572864322</v>
      </c>
      <c r="AQ6">
        <f t="shared" ref="AQ6:AQ13" si="11">+(R6-G6)/0.5</f>
        <v>-4</v>
      </c>
      <c r="AR6">
        <f t="shared" ref="AR6:AR13" si="12">+(S6-H6)/0.5</f>
        <v>-1</v>
      </c>
      <c r="AS6">
        <f t="shared" ref="AS6:AS13" si="13">+(I6-T6)/(T6*0.03)</f>
        <v>-26.502732240437162</v>
      </c>
      <c r="AT6">
        <f>+(J6-U6)/0.5</f>
        <v>4</v>
      </c>
      <c r="AU6">
        <f>+(K6-V6)/0.5</f>
        <v>-10.400000000000006</v>
      </c>
    </row>
    <row r="7" spans="1:47" x14ac:dyDescent="0.25">
      <c r="D7" s="3">
        <v>3</v>
      </c>
      <c r="E7" s="28">
        <v>200</v>
      </c>
      <c r="F7" s="28">
        <v>200</v>
      </c>
      <c r="G7" s="28">
        <v>25</v>
      </c>
      <c r="H7" s="28">
        <v>46</v>
      </c>
      <c r="I7" s="28">
        <v>180</v>
      </c>
      <c r="J7" s="28">
        <v>67.5</v>
      </c>
      <c r="K7" s="28">
        <v>45</v>
      </c>
      <c r="L7" s="3">
        <f>+I7*1*(J7-K7)</f>
        <v>4050</v>
      </c>
      <c r="M7" s="13">
        <f t="shared" si="2"/>
        <v>423529.41176470584</v>
      </c>
      <c r="N7" s="9">
        <f t="shared" si="3"/>
        <v>-3.6363636363636362</v>
      </c>
      <c r="O7" s="9" t="e">
        <f t="shared" ref="O7:O13" si="14">+(L7-AH7)/2/$B$19/AG7</f>
        <v>#NUM!</v>
      </c>
      <c r="Q7">
        <v>597</v>
      </c>
      <c r="R7">
        <v>23</v>
      </c>
      <c r="S7">
        <v>45</v>
      </c>
      <c r="T7">
        <v>1171.2</v>
      </c>
      <c r="U7">
        <v>67</v>
      </c>
      <c r="V7">
        <v>52.1</v>
      </c>
      <c r="X7">
        <f t="shared" si="4"/>
        <v>491.34873449074269</v>
      </c>
      <c r="Y7">
        <f t="shared" si="5"/>
        <v>16</v>
      </c>
      <c r="Z7">
        <f t="shared" si="6"/>
        <v>4</v>
      </c>
      <c r="AA7">
        <f t="shared" si="7"/>
        <v>795.82568156708169</v>
      </c>
      <c r="AB7">
        <f>+(J7-U7)^2/0.25</f>
        <v>1</v>
      </c>
      <c r="AC7">
        <f>+(K7-V7)^2/0.25</f>
        <v>201.64000000000007</v>
      </c>
      <c r="AD7">
        <f t="shared" si="8"/>
        <v>13.223140495867767</v>
      </c>
      <c r="AE7" t="e">
        <f t="shared" si="9"/>
        <v>#NUM!</v>
      </c>
      <c r="AG7" s="4" t="e">
        <f>+((J7-G7)-(K7-H7))/LN((J7-G7)/(K7-H7))</f>
        <v>#NUM!</v>
      </c>
      <c r="AH7" s="3">
        <f t="shared" si="0"/>
        <v>-4200</v>
      </c>
      <c r="AI7" s="13">
        <f t="shared" si="1"/>
        <v>470588.23529411759</v>
      </c>
      <c r="AJ7" s="3">
        <v>1200</v>
      </c>
      <c r="AL7">
        <f>+(J7-G7)/(K7-H7)</f>
        <v>-42.5</v>
      </c>
      <c r="AN7" t="e">
        <f t="shared" ref="AN7:AN13" si="15">+SUM(X7:AE7)</f>
        <v>#NUM!</v>
      </c>
      <c r="AP7">
        <f t="shared" si="10"/>
        <v>22.166387493020657</v>
      </c>
      <c r="AQ7">
        <f t="shared" si="11"/>
        <v>-4</v>
      </c>
      <c r="AR7">
        <f t="shared" si="12"/>
        <v>-2</v>
      </c>
      <c r="AS7">
        <f t="shared" si="13"/>
        <v>-28.210382513661202</v>
      </c>
      <c r="AT7">
        <f>+(J7-U7)/0.5</f>
        <v>1</v>
      </c>
      <c r="AU7">
        <f>+(K7-V7)/0.5</f>
        <v>-14.200000000000003</v>
      </c>
    </row>
    <row r="8" spans="1:47" x14ac:dyDescent="0.25">
      <c r="D8" s="3">
        <v>4</v>
      </c>
      <c r="E8" s="28">
        <v>200</v>
      </c>
      <c r="F8" s="28">
        <v>200</v>
      </c>
      <c r="G8" s="28">
        <v>25.5</v>
      </c>
      <c r="H8" s="28">
        <v>50.5</v>
      </c>
      <c r="I8" s="28">
        <v>280</v>
      </c>
      <c r="J8" s="28">
        <v>68.5</v>
      </c>
      <c r="K8" s="28">
        <v>49.5</v>
      </c>
      <c r="L8" s="3">
        <f>+I8*1*(J8-K8)</f>
        <v>5320</v>
      </c>
      <c r="M8" s="13">
        <f t="shared" si="2"/>
        <v>658823.5294117647</v>
      </c>
      <c r="N8" s="9">
        <f t="shared" si="3"/>
        <v>6.2015503875968996</v>
      </c>
      <c r="O8" s="9" t="e">
        <f t="shared" si="14"/>
        <v>#NUM!</v>
      </c>
      <c r="Q8">
        <v>895.5</v>
      </c>
      <c r="R8">
        <v>23</v>
      </c>
      <c r="S8">
        <v>39</v>
      </c>
      <c r="T8">
        <v>1171.2</v>
      </c>
      <c r="U8">
        <v>65</v>
      </c>
      <c r="V8">
        <v>48.9</v>
      </c>
      <c r="X8">
        <f t="shared" si="4"/>
        <v>670.22493127520409</v>
      </c>
      <c r="Y8">
        <f t="shared" si="5"/>
        <v>25</v>
      </c>
      <c r="Z8">
        <f t="shared" si="6"/>
        <v>529</v>
      </c>
      <c r="AA8">
        <f t="shared" si="7"/>
        <v>643.3476498087266</v>
      </c>
      <c r="AB8">
        <f>+(J8-U8)^2/0.25</f>
        <v>49</v>
      </c>
      <c r="AC8">
        <f>+(K8-V8)^2/0.25</f>
        <v>1.4400000000000068</v>
      </c>
      <c r="AD8">
        <f t="shared" si="8"/>
        <v>38.459227209903254</v>
      </c>
      <c r="AE8" t="e">
        <f t="shared" si="9"/>
        <v>#NUM!</v>
      </c>
      <c r="AG8" s="4" t="e">
        <f>+((J8-G8)-(K8-H8))/LN((J8-G8)/(K8-H8))</f>
        <v>#NUM!</v>
      </c>
      <c r="AH8" s="3">
        <f t="shared" si="0"/>
        <v>-5000</v>
      </c>
      <c r="AI8" s="13">
        <f t="shared" si="1"/>
        <v>470588.23529411759</v>
      </c>
      <c r="AJ8" s="3">
        <v>1200</v>
      </c>
      <c r="AL8">
        <f>+(J8-G8)/(K8-H8)</f>
        <v>-43</v>
      </c>
      <c r="AN8" t="e">
        <f t="shared" si="15"/>
        <v>#NUM!</v>
      </c>
      <c r="AP8">
        <f t="shared" si="10"/>
        <v>25.888702773124884</v>
      </c>
      <c r="AQ8">
        <f t="shared" si="11"/>
        <v>-5</v>
      </c>
      <c r="AR8">
        <f t="shared" si="12"/>
        <v>-23</v>
      </c>
      <c r="AS8">
        <f t="shared" si="13"/>
        <v>-25.364298724954462</v>
      </c>
      <c r="AT8">
        <f>+(J8-U8)/0.5</f>
        <v>7</v>
      </c>
      <c r="AU8">
        <f>+(K8-V8)/0.5</f>
        <v>1.2000000000000028</v>
      </c>
    </row>
    <row r="9" spans="1:47" x14ac:dyDescent="0.25">
      <c r="D9" s="3">
        <v>5</v>
      </c>
      <c r="E9" s="28">
        <v>300</v>
      </c>
      <c r="F9" s="28">
        <v>300</v>
      </c>
      <c r="G9" s="28">
        <v>26</v>
      </c>
      <c r="H9" s="28">
        <v>42</v>
      </c>
      <c r="I9" s="28">
        <v>280</v>
      </c>
      <c r="J9" s="28">
        <v>68.5</v>
      </c>
      <c r="K9" s="28">
        <v>47</v>
      </c>
      <c r="L9" s="3">
        <f>+I9*1*(J9-K9)</f>
        <v>6020</v>
      </c>
      <c r="M9" s="13">
        <f t="shared" si="2"/>
        <v>658823.5294117647</v>
      </c>
      <c r="N9" s="9">
        <f t="shared" si="3"/>
        <v>22.55083179297597</v>
      </c>
      <c r="O9" s="9">
        <f t="shared" si="14"/>
        <v>791.64156885571447</v>
      </c>
      <c r="Q9">
        <v>895.5</v>
      </c>
      <c r="R9">
        <v>23</v>
      </c>
      <c r="S9">
        <v>36</v>
      </c>
      <c r="T9">
        <v>878.4</v>
      </c>
      <c r="U9">
        <v>63</v>
      </c>
      <c r="V9">
        <v>45.2</v>
      </c>
      <c r="X9">
        <f t="shared" si="4"/>
        <v>491.34873449074274</v>
      </c>
      <c r="Y9">
        <f t="shared" si="5"/>
        <v>36</v>
      </c>
      <c r="Z9">
        <f t="shared" si="6"/>
        <v>144</v>
      </c>
      <c r="AA9">
        <f t="shared" si="7"/>
        <v>515.65116830328304</v>
      </c>
      <c r="AB9">
        <f>+(J9-U9)^2/0.25</f>
        <v>121</v>
      </c>
      <c r="AC9">
        <f>+(K9-V9)^2/0.25</f>
        <v>12.959999999999958</v>
      </c>
      <c r="AD9">
        <f t="shared" si="8"/>
        <v>508.54001455509581</v>
      </c>
      <c r="AE9">
        <f t="shared" si="9"/>
        <v>1296102.1765827513</v>
      </c>
      <c r="AG9" s="4">
        <f>+((J9-G9)-(K9-H9))/LN((J9-G9)/(K9-H9))</f>
        <v>17.522822723730872</v>
      </c>
      <c r="AH9" s="3">
        <f t="shared" si="0"/>
        <v>-4800</v>
      </c>
      <c r="AI9" s="13">
        <f t="shared" si="1"/>
        <v>705882.35294117639</v>
      </c>
      <c r="AJ9" s="3">
        <v>900</v>
      </c>
      <c r="AL9">
        <f>+(J9-G9)/(K9-H9)</f>
        <v>8.5</v>
      </c>
      <c r="AN9">
        <f t="shared" si="15"/>
        <v>1297931.6765001004</v>
      </c>
      <c r="AP9">
        <f t="shared" si="10"/>
        <v>22.166387493020661</v>
      </c>
      <c r="AQ9">
        <f t="shared" si="11"/>
        <v>-6</v>
      </c>
      <c r="AR9">
        <f t="shared" si="12"/>
        <v>-12</v>
      </c>
      <c r="AS9">
        <f t="shared" si="13"/>
        <v>-22.707953855494843</v>
      </c>
      <c r="AT9">
        <f>+(J9-U9)/0.5</f>
        <v>11</v>
      </c>
      <c r="AU9">
        <f>+(K9-V9)/0.5</f>
        <v>3.5999999999999943</v>
      </c>
    </row>
    <row r="10" spans="1:47" x14ac:dyDescent="0.25">
      <c r="D10" s="3">
        <v>6</v>
      </c>
      <c r="E10" s="28">
        <v>400</v>
      </c>
      <c r="F10" s="28">
        <v>400</v>
      </c>
      <c r="G10" s="28">
        <v>26</v>
      </c>
      <c r="H10" s="28">
        <v>43</v>
      </c>
      <c r="I10" s="28">
        <v>280</v>
      </c>
      <c r="J10" s="28">
        <v>66.5</v>
      </c>
      <c r="K10" s="28">
        <v>44</v>
      </c>
      <c r="L10" s="3">
        <f>+I10*1*(J10-K10)</f>
        <v>6300</v>
      </c>
      <c r="M10" s="13">
        <f t="shared" si="2"/>
        <v>658823.5294117647</v>
      </c>
      <c r="N10" s="9">
        <f t="shared" si="3"/>
        <v>-7.6335877862595423</v>
      </c>
      <c r="O10" s="9">
        <f t="shared" si="14"/>
        <v>1573.7441045398787</v>
      </c>
      <c r="Q10">
        <v>895.5</v>
      </c>
      <c r="R10">
        <v>23</v>
      </c>
      <c r="S10">
        <v>32</v>
      </c>
      <c r="T10">
        <v>585.6</v>
      </c>
      <c r="U10">
        <v>61</v>
      </c>
      <c r="V10">
        <v>40.1</v>
      </c>
      <c r="X10">
        <f t="shared" si="4"/>
        <v>340.18379979527617</v>
      </c>
      <c r="Y10">
        <f t="shared" si="5"/>
        <v>36</v>
      </c>
      <c r="Z10">
        <f t="shared" si="6"/>
        <v>484</v>
      </c>
      <c r="AA10">
        <f t="shared" si="7"/>
        <v>302.59521368542244</v>
      </c>
      <c r="AB10">
        <f>+(J10-U10)^2/0.25</f>
        <v>121</v>
      </c>
      <c r="AC10">
        <f>+(K10-V10)^2/0.25</f>
        <v>60.839999999999954</v>
      </c>
      <c r="AD10">
        <f t="shared" si="8"/>
        <v>58.271662490530858</v>
      </c>
      <c r="AE10">
        <f t="shared" si="9"/>
        <v>350915.95493747975</v>
      </c>
      <c r="AG10" s="4">
        <f>+((J10-G10)-(K10-H10))/LN((J10-G10)/(K10-H10))</f>
        <v>10.671920388087599</v>
      </c>
      <c r="AH10" s="3">
        <f t="shared" si="0"/>
        <v>-6800</v>
      </c>
      <c r="AI10" s="13">
        <f t="shared" si="1"/>
        <v>941176.47058823518</v>
      </c>
      <c r="AJ10" s="3">
        <v>600</v>
      </c>
      <c r="AL10">
        <f>+(J10-G10)/(K10-H10)</f>
        <v>40.5</v>
      </c>
      <c r="AN10">
        <f t="shared" si="15"/>
        <v>352318.84561345098</v>
      </c>
      <c r="AP10">
        <f t="shared" si="10"/>
        <v>18.444072212916435</v>
      </c>
      <c r="AQ10">
        <f t="shared" si="11"/>
        <v>-6</v>
      </c>
      <c r="AR10">
        <f t="shared" si="12"/>
        <v>-22</v>
      </c>
      <c r="AS10">
        <f t="shared" si="13"/>
        <v>-17.395264116575593</v>
      </c>
      <c r="AT10">
        <f>+(J10-U10)/0.5</f>
        <v>11</v>
      </c>
      <c r="AU10">
        <f>+(K10-V10)/0.5</f>
        <v>7.7999999999999972</v>
      </c>
    </row>
    <row r="11" spans="1:47" x14ac:dyDescent="0.25">
      <c r="D11" s="3">
        <v>7</v>
      </c>
      <c r="E11" s="28">
        <v>400</v>
      </c>
      <c r="F11" s="28">
        <v>400</v>
      </c>
      <c r="G11" s="28">
        <v>25.5</v>
      </c>
      <c r="H11" s="28">
        <v>45</v>
      </c>
      <c r="I11" s="28">
        <v>380</v>
      </c>
      <c r="J11" s="28">
        <v>66.5</v>
      </c>
      <c r="K11" s="28">
        <v>46.5</v>
      </c>
      <c r="L11" s="3">
        <f t="shared" ref="L11:L13" si="16">+I11*1*(J11-K11)</f>
        <v>7600</v>
      </c>
      <c r="M11" s="13">
        <f t="shared" si="2"/>
        <v>894117.6470588235</v>
      </c>
      <c r="N11" s="9">
        <f t="shared" si="3"/>
        <v>-2.5974025974025974</v>
      </c>
      <c r="O11" s="9">
        <f t="shared" si="14"/>
        <v>1653.5166232515614</v>
      </c>
      <c r="Q11">
        <v>1194</v>
      </c>
      <c r="R11">
        <v>23</v>
      </c>
      <c r="S11">
        <v>30</v>
      </c>
      <c r="T11">
        <v>585.6</v>
      </c>
      <c r="U11">
        <v>60</v>
      </c>
      <c r="V11">
        <v>39</v>
      </c>
      <c r="X11">
        <f t="shared" si="4"/>
        <v>491.34873449074269</v>
      </c>
      <c r="Y11">
        <f t="shared" si="5"/>
        <v>25</v>
      </c>
      <c r="Z11">
        <f t="shared" si="6"/>
        <v>900</v>
      </c>
      <c r="AA11">
        <f t="shared" si="7"/>
        <v>136.96246860494824</v>
      </c>
      <c r="AB11">
        <f t="shared" ref="AB11:AB13" si="17">+(J11-U11)^2/0.25</f>
        <v>169</v>
      </c>
      <c r="AC11">
        <f t="shared" ref="AC11:AC13" si="18">+(K11-V11)^2/0.25</f>
        <v>225</v>
      </c>
      <c r="AD11">
        <f t="shared" si="8"/>
        <v>6.7465002529937594</v>
      </c>
      <c r="AE11">
        <f t="shared" si="9"/>
        <v>544685.73909641348</v>
      </c>
      <c r="AG11" s="4">
        <f t="shared" ref="AG11:AG13" si="19">+((J11-G11)-(K11-H11))/LN((J11-G11)/(K11-H11))</f>
        <v>11.940363626199849</v>
      </c>
      <c r="AH11" s="3">
        <f t="shared" si="0"/>
        <v>-7800</v>
      </c>
      <c r="AI11" s="13">
        <f t="shared" si="1"/>
        <v>941176.47058823518</v>
      </c>
      <c r="AJ11" s="3">
        <v>600</v>
      </c>
      <c r="AL11">
        <f t="shared" ref="AL11:AL14" si="20">+(J11-G11)/(K11-H11)</f>
        <v>27.333333333333332</v>
      </c>
      <c r="AN11">
        <f t="shared" si="15"/>
        <v>546639.79679976217</v>
      </c>
      <c r="AP11">
        <f t="shared" si="10"/>
        <v>22.166387493020657</v>
      </c>
      <c r="AQ11">
        <f t="shared" si="11"/>
        <v>-5</v>
      </c>
      <c r="AR11">
        <f t="shared" si="12"/>
        <v>-30</v>
      </c>
      <c r="AS11">
        <f t="shared" si="13"/>
        <v>-11.703096539162113</v>
      </c>
      <c r="AT11">
        <f t="shared" ref="AT11:AT13" si="21">+(J11-U11)/0.5</f>
        <v>13</v>
      </c>
      <c r="AU11">
        <f t="shared" ref="AU11:AU13" si="22">+(K11-V11)/0.5</f>
        <v>15</v>
      </c>
    </row>
    <row r="12" spans="1:47" x14ac:dyDescent="0.25">
      <c r="D12" s="3">
        <v>8</v>
      </c>
      <c r="E12" s="28">
        <v>300</v>
      </c>
      <c r="F12" s="28">
        <v>300</v>
      </c>
      <c r="G12" s="28">
        <v>25.5</v>
      </c>
      <c r="H12" s="28">
        <v>48.5</v>
      </c>
      <c r="I12" s="28">
        <v>380</v>
      </c>
      <c r="J12" s="28">
        <v>66.3</v>
      </c>
      <c r="K12" s="28">
        <v>49</v>
      </c>
      <c r="L12" s="3">
        <f t="shared" si="16"/>
        <v>6573.9999999999991</v>
      </c>
      <c r="M12" s="13">
        <f t="shared" si="2"/>
        <v>894117.6470588235</v>
      </c>
      <c r="N12" s="9">
        <f t="shared" si="3"/>
        <v>-4.8389490871307839</v>
      </c>
      <c r="O12" s="9">
        <f t="shared" si="14"/>
        <v>1886.8183328811031</v>
      </c>
      <c r="Q12">
        <v>1194</v>
      </c>
      <c r="R12">
        <v>23</v>
      </c>
      <c r="S12">
        <v>33.5</v>
      </c>
      <c r="T12">
        <v>878.4</v>
      </c>
      <c r="U12">
        <v>61</v>
      </c>
      <c r="V12">
        <v>43.2</v>
      </c>
      <c r="X12">
        <f t="shared" si="4"/>
        <v>622.90795125824548</v>
      </c>
      <c r="Y12">
        <f t="shared" si="5"/>
        <v>25</v>
      </c>
      <c r="Z12">
        <f t="shared" si="6"/>
        <v>900</v>
      </c>
      <c r="AA12">
        <f t="shared" si="7"/>
        <v>357.7082063799096</v>
      </c>
      <c r="AB12">
        <f t="shared" si="17"/>
        <v>112.35999999999989</v>
      </c>
      <c r="AC12">
        <f t="shared" si="18"/>
        <v>134.55999999999986</v>
      </c>
      <c r="AD12">
        <f t="shared" si="8"/>
        <v>23.415428267843847</v>
      </c>
      <c r="AE12">
        <f t="shared" si="9"/>
        <v>50418.444306886086</v>
      </c>
      <c r="AG12" s="4">
        <f t="shared" si="19"/>
        <v>9.1552846786164377</v>
      </c>
      <c r="AH12" s="3">
        <f t="shared" si="0"/>
        <v>-6900</v>
      </c>
      <c r="AI12" s="13">
        <f t="shared" si="1"/>
        <v>705882.35294117639</v>
      </c>
      <c r="AJ12" s="3">
        <v>900</v>
      </c>
      <c r="AL12">
        <f t="shared" si="20"/>
        <v>81.599999999999994</v>
      </c>
      <c r="AN12">
        <f t="shared" si="15"/>
        <v>52594.395892792083</v>
      </c>
      <c r="AP12">
        <f t="shared" si="10"/>
        <v>24.958123953098827</v>
      </c>
      <c r="AQ12">
        <f t="shared" si="11"/>
        <v>-5</v>
      </c>
      <c r="AR12">
        <f t="shared" si="12"/>
        <v>-30</v>
      </c>
      <c r="AS12">
        <f t="shared" si="13"/>
        <v>-18.91317547055252</v>
      </c>
      <c r="AT12">
        <f t="shared" si="21"/>
        <v>10.599999999999994</v>
      </c>
      <c r="AU12">
        <f t="shared" si="22"/>
        <v>11.599999999999994</v>
      </c>
    </row>
    <row r="13" spans="1:47" x14ac:dyDescent="0.25">
      <c r="D13" s="3">
        <v>9</v>
      </c>
      <c r="E13" s="28">
        <v>200</v>
      </c>
      <c r="F13" s="28">
        <v>200</v>
      </c>
      <c r="G13" s="28">
        <v>25</v>
      </c>
      <c r="H13" s="28">
        <v>52.5</v>
      </c>
      <c r="I13" s="28">
        <v>380</v>
      </c>
      <c r="J13" s="28">
        <v>66</v>
      </c>
      <c r="K13" s="28">
        <v>51</v>
      </c>
      <c r="L13" s="3">
        <f t="shared" si="16"/>
        <v>5700</v>
      </c>
      <c r="M13" s="13">
        <f t="shared" si="2"/>
        <v>894117.6470588235</v>
      </c>
      <c r="N13" s="9">
        <f t="shared" si="3"/>
        <v>3.5714285714285712</v>
      </c>
      <c r="O13" s="9" t="e">
        <f t="shared" si="14"/>
        <v>#NUM!</v>
      </c>
      <c r="Q13">
        <v>1194</v>
      </c>
      <c r="R13">
        <v>23</v>
      </c>
      <c r="S13">
        <v>34</v>
      </c>
      <c r="T13">
        <v>1171.2</v>
      </c>
      <c r="U13">
        <v>61</v>
      </c>
      <c r="V13">
        <v>45.2</v>
      </c>
      <c r="X13">
        <f t="shared" si="4"/>
        <v>770.05475295080771</v>
      </c>
      <c r="Y13">
        <f t="shared" si="5"/>
        <v>16</v>
      </c>
      <c r="Z13">
        <f t="shared" si="6"/>
        <v>1369</v>
      </c>
      <c r="AA13">
        <f t="shared" si="7"/>
        <v>507.07000391505005</v>
      </c>
      <c r="AB13">
        <f t="shared" si="17"/>
        <v>100</v>
      </c>
      <c r="AC13">
        <f t="shared" si="18"/>
        <v>134.55999999999986</v>
      </c>
      <c r="AD13">
        <f t="shared" si="8"/>
        <v>12.755102040816325</v>
      </c>
      <c r="AE13" t="e">
        <f t="shared" si="9"/>
        <v>#NUM!</v>
      </c>
      <c r="AG13" s="4" t="e">
        <f t="shared" si="19"/>
        <v>#NUM!</v>
      </c>
      <c r="AH13" s="3">
        <f t="shared" si="0"/>
        <v>-5500</v>
      </c>
      <c r="AI13" s="13">
        <f t="shared" si="1"/>
        <v>470588.23529411759</v>
      </c>
      <c r="AJ13" s="3">
        <v>1200</v>
      </c>
      <c r="AL13">
        <f t="shared" si="20"/>
        <v>-27.333333333333332</v>
      </c>
      <c r="AN13" t="e">
        <f t="shared" si="15"/>
        <v>#NUM!</v>
      </c>
      <c r="AP13">
        <f t="shared" si="10"/>
        <v>27.749860413176997</v>
      </c>
      <c r="AQ13">
        <f t="shared" si="11"/>
        <v>-4</v>
      </c>
      <c r="AR13">
        <f t="shared" si="12"/>
        <v>-37</v>
      </c>
      <c r="AS13">
        <f t="shared" si="13"/>
        <v>-22.518214936247723</v>
      </c>
      <c r="AT13">
        <f t="shared" si="21"/>
        <v>10</v>
      </c>
      <c r="AU13">
        <f t="shared" si="22"/>
        <v>11.599999999999994</v>
      </c>
    </row>
    <row r="14" spans="1:47" x14ac:dyDescent="0.25">
      <c r="F14">
        <v>597.07691782456527</v>
      </c>
      <c r="G14">
        <v>20.542415565876333</v>
      </c>
      <c r="H14">
        <v>41.617254848154246</v>
      </c>
      <c r="J14">
        <v>61.444173151458202</v>
      </c>
      <c r="K14">
        <v>40.472257416531157</v>
      </c>
      <c r="AL14">
        <f t="shared" si="20"/>
        <v>-35.722139155894567</v>
      </c>
    </row>
    <row r="15" spans="1:47" x14ac:dyDescent="0.25">
      <c r="I15" s="2"/>
      <c r="J15" s="2"/>
      <c r="K15" s="2"/>
      <c r="L15" s="2"/>
      <c r="M15" s="1"/>
      <c r="N15" s="1"/>
      <c r="O15" s="1"/>
      <c r="P15" s="1"/>
      <c r="Q15" t="s">
        <v>41</v>
      </c>
      <c r="AI15" s="26"/>
    </row>
    <row r="16" spans="1:47" ht="15.75" thickBot="1" x14ac:dyDescent="0.3">
      <c r="H16" t="s">
        <v>0</v>
      </c>
      <c r="I16" t="s">
        <v>30</v>
      </c>
      <c r="J16" t="s">
        <v>26</v>
      </c>
      <c r="K16" t="s">
        <v>27</v>
      </c>
      <c r="L16" t="s">
        <v>28</v>
      </c>
      <c r="M16" t="s">
        <v>30</v>
      </c>
      <c r="N16" t="s">
        <v>26</v>
      </c>
      <c r="O16" t="s">
        <v>27</v>
      </c>
      <c r="P16" t="s">
        <v>28</v>
      </c>
    </row>
    <row r="17" spans="1:17" x14ac:dyDescent="0.25">
      <c r="D17" s="15" t="s">
        <v>24</v>
      </c>
      <c r="E17" s="16">
        <v>0.53</v>
      </c>
      <c r="F17" s="17" t="s">
        <v>25</v>
      </c>
      <c r="H17" s="3">
        <v>1</v>
      </c>
      <c r="I17" s="24">
        <f>+AI5</f>
        <v>941176.47058823518</v>
      </c>
      <c r="J17">
        <f>+I17*2*$B$21/$E$18</f>
        <v>1680.6722689075627</v>
      </c>
      <c r="K17" s="5">
        <f>+$E$18*1/E17</f>
        <v>5.283018867924528</v>
      </c>
      <c r="L17">
        <f>0.26*J17^0.65*K17^0.4</f>
        <v>63.196086511702561</v>
      </c>
      <c r="M17" s="24">
        <f>+M5</f>
        <v>423529.41176470584</v>
      </c>
      <c r="N17">
        <f>+M17*2*$B$21/$E$19</f>
        <v>1323.5294117647056</v>
      </c>
      <c r="O17" s="5">
        <f>+E19*1/E17</f>
        <v>3.0188679245283021</v>
      </c>
      <c r="P17" s="5">
        <f>0.26*N17^0.65*O17^0.4</f>
        <v>43.255150863422536</v>
      </c>
      <c r="Q17">
        <f t="shared" ref="Q17:Q25" si="23">0.62+J17*0.000035</f>
        <v>0.67882352941176471</v>
      </c>
    </row>
    <row r="18" spans="1:17" x14ac:dyDescent="0.25">
      <c r="A18" s="7"/>
      <c r="B18" s="7" t="s">
        <v>11</v>
      </c>
      <c r="D18" s="18" t="s">
        <v>22</v>
      </c>
      <c r="E18" s="19">
        <v>2.8</v>
      </c>
      <c r="F18" s="20" t="s">
        <v>23</v>
      </c>
      <c r="H18" s="3">
        <v>2</v>
      </c>
      <c r="I18" s="24">
        <f t="shared" ref="I18:I25" si="24">+AI6</f>
        <v>705882.35294117639</v>
      </c>
      <c r="J18">
        <f t="shared" ref="J18:J25" si="25">+I18*2*$B$21/$E$18</f>
        <v>1260.5042016806722</v>
      </c>
      <c r="K18">
        <v>5.28</v>
      </c>
      <c r="L18">
        <f t="shared" ref="L18:L25" si="26">0.26*J18^0.65*K18^0.4</f>
        <v>52.405963552184275</v>
      </c>
      <c r="M18" s="24">
        <f t="shared" ref="M18:M25" si="27">+M6</f>
        <v>423529.41176470584</v>
      </c>
      <c r="N18">
        <f t="shared" ref="N18:N25" si="28">+M18*2*$B$21/$E$19</f>
        <v>1323.5294117647056</v>
      </c>
      <c r="O18">
        <v>3</v>
      </c>
      <c r="P18" s="5">
        <f t="shared" ref="P18:P25" si="29">0.26*N18^0.65*O18^0.4</f>
        <v>43.146809549124477</v>
      </c>
      <c r="Q18">
        <f t="shared" si="23"/>
        <v>0.66411764705882348</v>
      </c>
    </row>
    <row r="19" spans="1:17" ht="15.75" thickBot="1" x14ac:dyDescent="0.3">
      <c r="A19" s="7"/>
      <c r="B19" s="7">
        <v>0.39</v>
      </c>
      <c r="C19" s="7">
        <v>0.39</v>
      </c>
      <c r="D19" s="21" t="s">
        <v>21</v>
      </c>
      <c r="E19" s="22">
        <v>1.6</v>
      </c>
      <c r="F19" s="23" t="s">
        <v>23</v>
      </c>
      <c r="H19" s="3">
        <v>3</v>
      </c>
      <c r="I19" s="24">
        <f t="shared" si="24"/>
        <v>470588.23529411759</v>
      </c>
      <c r="J19">
        <f t="shared" si="25"/>
        <v>840.33613445378137</v>
      </c>
      <c r="K19">
        <v>5.28</v>
      </c>
      <c r="L19">
        <f t="shared" si="26"/>
        <v>40.264414856413048</v>
      </c>
      <c r="M19" s="24">
        <f t="shared" si="27"/>
        <v>423529.41176470584</v>
      </c>
      <c r="N19">
        <f t="shared" si="28"/>
        <v>1323.5294117647056</v>
      </c>
      <c r="O19">
        <v>3</v>
      </c>
      <c r="P19" s="5">
        <f t="shared" si="29"/>
        <v>43.146809549124477</v>
      </c>
      <c r="Q19">
        <f t="shared" si="23"/>
        <v>0.64941176470588236</v>
      </c>
    </row>
    <row r="20" spans="1:17" x14ac:dyDescent="0.25">
      <c r="A20" s="11"/>
      <c r="B20" s="11" t="s">
        <v>18</v>
      </c>
      <c r="H20" s="3">
        <v>4</v>
      </c>
      <c r="I20" s="24">
        <f t="shared" si="24"/>
        <v>470588.23529411759</v>
      </c>
      <c r="J20">
        <f t="shared" si="25"/>
        <v>840.33613445378137</v>
      </c>
      <c r="K20">
        <v>5.28</v>
      </c>
      <c r="L20">
        <f t="shared" si="26"/>
        <v>40.264414856413048</v>
      </c>
      <c r="M20" s="24">
        <f t="shared" si="27"/>
        <v>658823.5294117647</v>
      </c>
      <c r="N20">
        <f t="shared" si="28"/>
        <v>2058.8235294117644</v>
      </c>
      <c r="O20">
        <v>3</v>
      </c>
      <c r="P20" s="5">
        <f t="shared" si="29"/>
        <v>57.500852004931829</v>
      </c>
      <c r="Q20">
        <f t="shared" si="23"/>
        <v>0.64941176470588236</v>
      </c>
    </row>
    <row r="21" spans="1:17" x14ac:dyDescent="0.25">
      <c r="A21" s="11"/>
      <c r="B21" s="11">
        <f>0.25/100</f>
        <v>2.5000000000000001E-3</v>
      </c>
      <c r="H21" s="3">
        <v>5</v>
      </c>
      <c r="I21" s="24">
        <f t="shared" si="24"/>
        <v>705882.35294117639</v>
      </c>
      <c r="J21">
        <f t="shared" si="25"/>
        <v>1260.5042016806722</v>
      </c>
      <c r="K21">
        <v>5.28</v>
      </c>
      <c r="L21">
        <f t="shared" si="26"/>
        <v>52.405963552184275</v>
      </c>
      <c r="M21" s="24">
        <f t="shared" si="27"/>
        <v>658823.5294117647</v>
      </c>
      <c r="N21">
        <f t="shared" si="28"/>
        <v>2058.8235294117644</v>
      </c>
      <c r="O21">
        <v>3</v>
      </c>
      <c r="P21" s="5">
        <f t="shared" si="29"/>
        <v>57.500852004931829</v>
      </c>
      <c r="Q21">
        <f t="shared" si="23"/>
        <v>0.66411764705882348</v>
      </c>
    </row>
    <row r="22" spans="1:17" x14ac:dyDescent="0.25">
      <c r="A22" s="12"/>
      <c r="B22" s="12" t="s">
        <v>19</v>
      </c>
      <c r="H22" s="3">
        <v>6</v>
      </c>
      <c r="I22" s="24">
        <f t="shared" si="24"/>
        <v>941176.47058823518</v>
      </c>
      <c r="J22">
        <f t="shared" si="25"/>
        <v>1680.6722689075627</v>
      </c>
      <c r="K22">
        <v>5.28</v>
      </c>
      <c r="L22">
        <f t="shared" si="26"/>
        <v>63.181639214918697</v>
      </c>
      <c r="M22" s="24">
        <f t="shared" si="27"/>
        <v>658823.5294117647</v>
      </c>
      <c r="N22">
        <f t="shared" si="28"/>
        <v>2058.8235294117644</v>
      </c>
      <c r="O22">
        <v>3</v>
      </c>
      <c r="P22" s="5">
        <f t="shared" si="29"/>
        <v>57.500852004931829</v>
      </c>
      <c r="Q22">
        <f t="shared" si="23"/>
        <v>0.67882352941176471</v>
      </c>
    </row>
    <row r="23" spans="1:17" x14ac:dyDescent="0.25">
      <c r="A23" s="12"/>
      <c r="B23" s="12" t="s">
        <v>20</v>
      </c>
      <c r="H23" s="3">
        <v>7</v>
      </c>
      <c r="I23" s="24">
        <f t="shared" si="24"/>
        <v>941176.47058823518</v>
      </c>
      <c r="J23">
        <f t="shared" si="25"/>
        <v>1680.6722689075627</v>
      </c>
      <c r="K23">
        <v>5.28</v>
      </c>
      <c r="L23">
        <f t="shared" si="26"/>
        <v>63.181639214918697</v>
      </c>
      <c r="M23" s="24">
        <f t="shared" si="27"/>
        <v>894117.6470588235</v>
      </c>
      <c r="N23">
        <f t="shared" si="28"/>
        <v>2794.1176470588234</v>
      </c>
      <c r="O23">
        <v>3</v>
      </c>
      <c r="P23" s="5">
        <f t="shared" si="29"/>
        <v>70.12629546867862</v>
      </c>
      <c r="Q23">
        <f t="shared" si="23"/>
        <v>0.67882352941176471</v>
      </c>
    </row>
    <row r="24" spans="1:17" x14ac:dyDescent="0.25">
      <c r="H24" s="3">
        <v>8</v>
      </c>
      <c r="I24" s="24">
        <f t="shared" si="24"/>
        <v>705882.35294117639</v>
      </c>
      <c r="J24">
        <f t="shared" si="25"/>
        <v>1260.5042016806722</v>
      </c>
      <c r="K24">
        <v>5.28</v>
      </c>
      <c r="L24">
        <f t="shared" si="26"/>
        <v>52.405963552184275</v>
      </c>
      <c r="M24" s="24">
        <f t="shared" si="27"/>
        <v>894117.6470588235</v>
      </c>
      <c r="N24">
        <f t="shared" si="28"/>
        <v>2794.1176470588234</v>
      </c>
      <c r="O24">
        <v>3</v>
      </c>
      <c r="P24" s="5">
        <f t="shared" si="29"/>
        <v>70.12629546867862</v>
      </c>
      <c r="Q24">
        <f t="shared" si="23"/>
        <v>0.66411764705882348</v>
      </c>
    </row>
    <row r="25" spans="1:17" x14ac:dyDescent="0.25">
      <c r="H25" s="3">
        <v>9</v>
      </c>
      <c r="I25" s="24">
        <f t="shared" si="24"/>
        <v>470588.23529411759</v>
      </c>
      <c r="J25">
        <f t="shared" si="25"/>
        <v>840.33613445378137</v>
      </c>
      <c r="K25">
        <v>5.28</v>
      </c>
      <c r="L25">
        <f t="shared" si="26"/>
        <v>40.264414856413048</v>
      </c>
      <c r="M25" s="24">
        <f t="shared" si="27"/>
        <v>894117.6470588235</v>
      </c>
      <c r="N25">
        <f t="shared" si="28"/>
        <v>2794.1176470588234</v>
      </c>
      <c r="O25">
        <v>3</v>
      </c>
      <c r="P25" s="5">
        <f t="shared" si="29"/>
        <v>70.12629546867862</v>
      </c>
      <c r="Q25">
        <f t="shared" si="23"/>
        <v>0.64941176470588236</v>
      </c>
    </row>
    <row r="26" spans="1:17" x14ac:dyDescent="0.25">
      <c r="J26">
        <v>4000</v>
      </c>
      <c r="Q26">
        <f>0.62+J26*0.000035</f>
        <v>0.76</v>
      </c>
    </row>
    <row r="29" spans="1:17" x14ac:dyDescent="0.25">
      <c r="A29" s="14"/>
    </row>
    <row r="30" spans="1:17" x14ac:dyDescent="0.25">
      <c r="L30" s="8"/>
    </row>
    <row r="31" spans="1:17" ht="60" x14ac:dyDescent="0.25">
      <c r="H31" t="s">
        <v>0</v>
      </c>
      <c r="I31" t="s">
        <v>33</v>
      </c>
      <c r="J31" t="s">
        <v>34</v>
      </c>
      <c r="K31" t="s">
        <v>35</v>
      </c>
      <c r="L31" s="8" t="s">
        <v>32</v>
      </c>
      <c r="M31" t="s">
        <v>31</v>
      </c>
      <c r="O31" t="s">
        <v>41</v>
      </c>
    </row>
    <row r="32" spans="1:17" x14ac:dyDescent="0.25">
      <c r="H32" s="3">
        <v>1</v>
      </c>
      <c r="I32">
        <f>+P17/2/0.0025*0.53</f>
        <v>4585.0459915227884</v>
      </c>
      <c r="J32">
        <f>+L17/2/0.0025*0.53</f>
        <v>6698.7851702404714</v>
      </c>
      <c r="K32">
        <f>1/(1/I32+1/J32)*Q17</f>
        <v>1847.736571604845</v>
      </c>
      <c r="L32" s="9">
        <f>+O5</f>
        <v>1003.1311108909227</v>
      </c>
      <c r="M32" s="3">
        <f>+K32-L32</f>
        <v>844.6054607139223</v>
      </c>
      <c r="O32" s="27">
        <f>+M322+N5^2</f>
        <v>320.36821147935626</v>
      </c>
    </row>
    <row r="33" spans="8:13" x14ac:dyDescent="0.25">
      <c r="H33" s="3">
        <v>2</v>
      </c>
      <c r="I33">
        <f t="shared" ref="I33:I40" si="30">+P18/2/0.0025*0.53</f>
        <v>4573.5618122071946</v>
      </c>
      <c r="J33">
        <f t="shared" ref="J33:J40" si="31">+L18/2/0.0025*0.53</f>
        <v>5555.0321365315331</v>
      </c>
      <c r="K33">
        <f>1/(1/I33+1/J33)*Q18</f>
        <v>1665.8542013901592</v>
      </c>
      <c r="L33" s="9">
        <f>+O6</f>
        <v>1100.9645967551385</v>
      </c>
      <c r="M33" s="3">
        <f>+K33-L33</f>
        <v>564.88960463502076</v>
      </c>
    </row>
    <row r="34" spans="8:13" x14ac:dyDescent="0.25">
      <c r="H34" s="3">
        <v>3</v>
      </c>
      <c r="I34">
        <f t="shared" si="30"/>
        <v>4573.5618122071946</v>
      </c>
      <c r="J34">
        <f t="shared" si="31"/>
        <v>4268.0279747797831</v>
      </c>
      <c r="K34">
        <f t="shared" ref="K34:K40" si="32">1/(1/I34+1/J34)*Q19</f>
        <v>1433.7439581501462</v>
      </c>
      <c r="L34" s="9" t="e">
        <f t="shared" ref="L34:L40" si="33">+O7</f>
        <v>#NUM!</v>
      </c>
      <c r="M34" s="3" t="e">
        <f t="shared" ref="M34:M40" si="34">+K34-L34</f>
        <v>#NUM!</v>
      </c>
    </row>
    <row r="35" spans="8:13" x14ac:dyDescent="0.25">
      <c r="H35" s="3">
        <v>4</v>
      </c>
      <c r="I35">
        <f t="shared" si="30"/>
        <v>6095.0903125227742</v>
      </c>
      <c r="J35">
        <f t="shared" si="31"/>
        <v>4268.0279747797831</v>
      </c>
      <c r="K35">
        <f t="shared" si="32"/>
        <v>1630.1857746905107</v>
      </c>
      <c r="L35" s="9" t="e">
        <f t="shared" si="33"/>
        <v>#NUM!</v>
      </c>
      <c r="M35" s="3" t="e">
        <f t="shared" si="34"/>
        <v>#NUM!</v>
      </c>
    </row>
    <row r="36" spans="8:13" x14ac:dyDescent="0.25">
      <c r="H36" s="3">
        <v>5</v>
      </c>
      <c r="I36">
        <f t="shared" si="30"/>
        <v>6095.0903125227742</v>
      </c>
      <c r="J36">
        <f t="shared" si="31"/>
        <v>5555.0321365315331</v>
      </c>
      <c r="K36">
        <f t="shared" si="32"/>
        <v>1930.1064021214379</v>
      </c>
      <c r="L36" s="9">
        <f t="shared" si="33"/>
        <v>791.64156885571447</v>
      </c>
      <c r="M36" s="3">
        <f t="shared" si="34"/>
        <v>1138.4648332657234</v>
      </c>
    </row>
    <row r="37" spans="8:13" x14ac:dyDescent="0.25">
      <c r="H37" s="3">
        <v>6</v>
      </c>
      <c r="I37">
        <f t="shared" si="30"/>
        <v>6095.0903125227742</v>
      </c>
      <c r="J37">
        <f t="shared" si="31"/>
        <v>6697.2537567813824</v>
      </c>
      <c r="K37">
        <f t="shared" si="32"/>
        <v>2166.1257002511902</v>
      </c>
      <c r="L37" s="9">
        <f t="shared" si="33"/>
        <v>1573.7441045398787</v>
      </c>
      <c r="M37" s="3">
        <f t="shared" si="34"/>
        <v>592.38159571131155</v>
      </c>
    </row>
    <row r="38" spans="8:13" x14ac:dyDescent="0.25">
      <c r="H38" s="3">
        <v>7</v>
      </c>
      <c r="I38">
        <f t="shared" si="30"/>
        <v>7433.3873196799341</v>
      </c>
      <c r="J38">
        <f t="shared" si="31"/>
        <v>6697.2537567813824</v>
      </c>
      <c r="K38">
        <f t="shared" si="32"/>
        <v>2391.5449012304025</v>
      </c>
      <c r="L38" s="9">
        <f t="shared" si="33"/>
        <v>1653.5166232515614</v>
      </c>
      <c r="M38" s="3">
        <f t="shared" si="34"/>
        <v>738.02827797884106</v>
      </c>
    </row>
    <row r="39" spans="8:13" x14ac:dyDescent="0.25">
      <c r="H39" s="3">
        <v>8</v>
      </c>
      <c r="I39">
        <f t="shared" si="30"/>
        <v>7433.3873196799341</v>
      </c>
      <c r="J39">
        <f t="shared" si="31"/>
        <v>5555.0321365315331</v>
      </c>
      <c r="K39">
        <f t="shared" si="32"/>
        <v>2111.3588510663208</v>
      </c>
      <c r="L39" s="9">
        <f t="shared" si="33"/>
        <v>1886.8183328811031</v>
      </c>
      <c r="M39" s="3">
        <f t="shared" si="34"/>
        <v>224.54051818521771</v>
      </c>
    </row>
    <row r="40" spans="8:13" x14ac:dyDescent="0.25">
      <c r="H40" s="3">
        <v>9</v>
      </c>
      <c r="I40">
        <f t="shared" si="30"/>
        <v>7433.3873196799341</v>
      </c>
      <c r="J40">
        <f t="shared" si="31"/>
        <v>4268.0279747797831</v>
      </c>
      <c r="K40">
        <f t="shared" si="32"/>
        <v>1760.7422224154866</v>
      </c>
      <c r="L40" s="9" t="e">
        <f t="shared" si="33"/>
        <v>#NUM!</v>
      </c>
      <c r="M40" s="3" t="e">
        <f t="shared" si="34"/>
        <v>#NUM!</v>
      </c>
    </row>
  </sheetData>
  <pageMargins left="0.7" right="0.7" top="0.75" bottom="0.75" header="0.3" footer="0.3"/>
  <pageSetup orientation="portrait" horizontalDpi="360" verticalDpi="360" r:id="rId1"/>
  <headerFooter>
    <oddHeader>&amp;R&amp;"Calibri"&amp;10&amp;K000000Uso Personal&amp;1#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57150</xdr:colOff>
                <xdr:row>10</xdr:row>
                <xdr:rowOff>76200</xdr:rowOff>
              </from>
              <to>
                <xdr:col>2</xdr:col>
                <xdr:colOff>361950</xdr:colOff>
                <xdr:row>14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J29"/>
  <sheetViews>
    <sheetView workbookViewId="0">
      <selection activeCell="E16" sqref="E16"/>
    </sheetView>
  </sheetViews>
  <sheetFormatPr baseColWidth="10" defaultColWidth="9.140625" defaultRowHeight="15" x14ac:dyDescent="0.25"/>
  <cols>
    <col min="2" max="2" width="9.85546875" bestFit="1" customWidth="1"/>
    <col min="3" max="3" width="13.85546875" bestFit="1" customWidth="1"/>
    <col min="4" max="4" width="8" bestFit="1" customWidth="1"/>
    <col min="5" max="5" width="10.5703125" bestFit="1" customWidth="1"/>
    <col min="6" max="6" width="11" bestFit="1" customWidth="1"/>
    <col min="7" max="7" width="13.85546875" bestFit="1" customWidth="1"/>
    <col min="8" max="8" width="6.5703125" bestFit="1" customWidth="1"/>
    <col min="9" max="9" width="3.5703125" bestFit="1" customWidth="1"/>
    <col min="10" max="10" width="5.5703125" bestFit="1" customWidth="1"/>
  </cols>
  <sheetData>
    <row r="5" spans="2:7" x14ac:dyDescent="0.25">
      <c r="B5" t="s">
        <v>0</v>
      </c>
      <c r="C5" t="s">
        <v>9</v>
      </c>
      <c r="D5" t="s">
        <v>6</v>
      </c>
      <c r="E5" t="s">
        <v>7</v>
      </c>
      <c r="F5" t="s">
        <v>10</v>
      </c>
      <c r="G5" t="s">
        <v>14</v>
      </c>
    </row>
    <row r="6" spans="2:7" x14ac:dyDescent="0.25">
      <c r="C6" t="s">
        <v>4</v>
      </c>
      <c r="D6" t="s">
        <v>8</v>
      </c>
      <c r="E6" t="s">
        <v>8</v>
      </c>
      <c r="F6" t="s">
        <v>8</v>
      </c>
      <c r="G6" t="s">
        <v>15</v>
      </c>
    </row>
    <row r="7" spans="2:7" x14ac:dyDescent="0.25">
      <c r="B7">
        <v>1</v>
      </c>
      <c r="C7" s="6">
        <v>17.539632297038555</v>
      </c>
      <c r="D7" s="10">
        <v>-7761</v>
      </c>
      <c r="E7">
        <v>11279.999999999998</v>
      </c>
      <c r="F7" s="10">
        <v>3518.9999999999982</v>
      </c>
      <c r="G7" s="6">
        <v>1649.0127291870526</v>
      </c>
    </row>
    <row r="8" spans="2:7" x14ac:dyDescent="0.25">
      <c r="B8">
        <v>2</v>
      </c>
      <c r="C8" s="6">
        <v>19.231166385508327</v>
      </c>
      <c r="D8" s="10">
        <v>-11044.5</v>
      </c>
      <c r="E8">
        <v>15119.999999999998</v>
      </c>
      <c r="F8" s="10">
        <v>4075.4999999999982</v>
      </c>
      <c r="G8" s="6">
        <v>2015.9583663342112</v>
      </c>
    </row>
    <row r="9" spans="2:7" x14ac:dyDescent="0.25">
      <c r="B9">
        <v>3</v>
      </c>
      <c r="C9" s="6">
        <v>20.229211218161019</v>
      </c>
      <c r="D9" s="10">
        <v>-13134</v>
      </c>
      <c r="E9">
        <v>17880</v>
      </c>
      <c r="F9" s="10">
        <v>4746</v>
      </c>
      <c r="G9" s="6">
        <v>2266.3342308174083</v>
      </c>
    </row>
    <row r="10" spans="2:7" x14ac:dyDescent="0.25">
      <c r="B10">
        <v>4</v>
      </c>
      <c r="C10" s="6">
        <v>22.212459793970414</v>
      </c>
      <c r="D10" s="10">
        <v>-14328</v>
      </c>
      <c r="E10">
        <v>19320</v>
      </c>
      <c r="F10" s="10">
        <v>4992</v>
      </c>
      <c r="G10" s="6">
        <v>2230.2105213898367</v>
      </c>
    </row>
    <row r="11" spans="2:7" x14ac:dyDescent="0.25">
      <c r="B11">
        <v>5</v>
      </c>
      <c r="C11" s="6">
        <v>20.957000473216393</v>
      </c>
      <c r="D11" s="10">
        <v>-11641.5</v>
      </c>
      <c r="E11">
        <v>16019.999999999998</v>
      </c>
      <c r="F11" s="10">
        <v>4378.4999999999982</v>
      </c>
      <c r="G11" s="6">
        <v>1960.0573626660207</v>
      </c>
    </row>
    <row r="12" spans="2:7" x14ac:dyDescent="0.25">
      <c r="B12">
        <v>6</v>
      </c>
      <c r="C12" s="6">
        <v>19.343709996615214</v>
      </c>
      <c r="D12" s="10">
        <v>-8059.5</v>
      </c>
      <c r="E12">
        <v>12540</v>
      </c>
      <c r="F12" s="10">
        <v>4480.5</v>
      </c>
      <c r="G12" s="6">
        <v>1662.2378106098815</v>
      </c>
    </row>
    <row r="13" spans="2:7" x14ac:dyDescent="0.25">
      <c r="B13">
        <v>7</v>
      </c>
      <c r="C13" s="6">
        <v>19.806275732282185</v>
      </c>
      <c r="D13" s="10">
        <v>-8358</v>
      </c>
      <c r="E13">
        <v>12600</v>
      </c>
      <c r="F13" s="10">
        <v>4242</v>
      </c>
      <c r="G13" s="6">
        <v>1631.1846176630825</v>
      </c>
    </row>
    <row r="14" spans="2:7" x14ac:dyDescent="0.25">
      <c r="B14">
        <v>8</v>
      </c>
      <c r="C14" s="6">
        <v>20.725612113634835</v>
      </c>
      <c r="D14" s="10">
        <v>-12537</v>
      </c>
      <c r="E14">
        <v>16019.999999999998</v>
      </c>
      <c r="F14" s="10">
        <v>3482.9999999999982</v>
      </c>
      <c r="G14" s="6">
        <v>1981.9401642617659</v>
      </c>
    </row>
    <row r="15" spans="2:7" x14ac:dyDescent="0.25">
      <c r="B15">
        <v>9</v>
      </c>
      <c r="C15" s="6">
        <v>21.937141583517</v>
      </c>
      <c r="D15" s="10">
        <v>-13134</v>
      </c>
      <c r="E15">
        <v>18959.999999999996</v>
      </c>
      <c r="F15" s="10">
        <v>5825.9999999999964</v>
      </c>
      <c r="G15" s="6">
        <v>2216.1221155591638</v>
      </c>
    </row>
    <row r="20" spans="2:10" x14ac:dyDescent="0.25">
      <c r="B20" t="s">
        <v>0</v>
      </c>
      <c r="C20" t="s">
        <v>30</v>
      </c>
      <c r="D20" t="s">
        <v>26</v>
      </c>
      <c r="E20" t="s">
        <v>27</v>
      </c>
      <c r="F20" t="s">
        <v>28</v>
      </c>
      <c r="G20" t="s">
        <v>30</v>
      </c>
      <c r="H20" t="s">
        <v>26</v>
      </c>
      <c r="I20" t="s">
        <v>27</v>
      </c>
      <c r="J20" t="s">
        <v>28</v>
      </c>
    </row>
    <row r="21" spans="2:10" x14ac:dyDescent="0.25">
      <c r="B21" s="3">
        <v>1</v>
      </c>
      <c r="C21" s="10">
        <v>1404705.882352941</v>
      </c>
      <c r="D21" s="6">
        <v>2508.4033613445376</v>
      </c>
      <c r="E21" s="6">
        <v>5.283018867924528</v>
      </c>
      <c r="F21" s="6">
        <v>81.985019785895943</v>
      </c>
      <c r="G21" s="10">
        <v>1377882.3529411764</v>
      </c>
      <c r="H21" s="6">
        <v>4305.8823529411757</v>
      </c>
      <c r="I21" s="6">
        <v>3.0188679245283021</v>
      </c>
      <c r="J21" s="6">
        <v>93.121807481725099</v>
      </c>
    </row>
    <row r="22" spans="2:10" x14ac:dyDescent="0.25">
      <c r="B22" s="3">
        <v>2</v>
      </c>
      <c r="C22" s="10">
        <v>1404705.882352941</v>
      </c>
      <c r="D22" s="6">
        <v>2508.4033613445376</v>
      </c>
      <c r="E22" s="6">
        <v>5.28</v>
      </c>
      <c r="F22" s="6">
        <v>81.966277139348392</v>
      </c>
      <c r="G22" s="10">
        <v>2066823.5294117646</v>
      </c>
      <c r="H22" s="6">
        <v>6458.823529411764</v>
      </c>
      <c r="I22" s="6">
        <v>3</v>
      </c>
      <c r="J22" s="6">
        <v>120.89868358519148</v>
      </c>
    </row>
    <row r="23" spans="2:10" x14ac:dyDescent="0.25">
      <c r="B23" s="3">
        <v>3</v>
      </c>
      <c r="C23" s="10">
        <v>1404705.882352941</v>
      </c>
      <c r="D23" s="6">
        <v>2508.4033613445376</v>
      </c>
      <c r="E23" s="6">
        <v>5.28</v>
      </c>
      <c r="F23" s="6">
        <v>81.966277139348392</v>
      </c>
      <c r="G23" s="10">
        <v>2755764.7058823528</v>
      </c>
      <c r="H23" s="6">
        <v>8611.7647058823513</v>
      </c>
      <c r="I23" s="6">
        <v>3</v>
      </c>
      <c r="J23" s="6">
        <v>145.75778194082673</v>
      </c>
    </row>
    <row r="24" spans="2:10" x14ac:dyDescent="0.25">
      <c r="B24" s="3">
        <v>4</v>
      </c>
      <c r="C24" s="10">
        <v>2107058.8235294116</v>
      </c>
      <c r="D24" s="6">
        <v>3762.6050420168067</v>
      </c>
      <c r="E24" s="6">
        <v>5.28</v>
      </c>
      <c r="F24" s="6">
        <v>106.68283017625347</v>
      </c>
      <c r="G24" s="10">
        <v>2755764.7058823528</v>
      </c>
      <c r="H24" s="6">
        <v>8611.7647058823513</v>
      </c>
      <c r="I24" s="6">
        <v>3</v>
      </c>
      <c r="J24" s="6">
        <v>145.75778194082673</v>
      </c>
    </row>
    <row r="25" spans="2:10" x14ac:dyDescent="0.25">
      <c r="B25" s="3">
        <v>5</v>
      </c>
      <c r="C25" s="10">
        <v>2107058.8235294116</v>
      </c>
      <c r="D25" s="6">
        <v>3762.6050420168067</v>
      </c>
      <c r="E25" s="6">
        <v>5.28</v>
      </c>
      <c r="F25" s="6">
        <v>106.68283017625347</v>
      </c>
      <c r="G25" s="10">
        <v>2066823.5294117646</v>
      </c>
      <c r="H25" s="6">
        <v>6458.823529411764</v>
      </c>
      <c r="I25" s="6">
        <v>3</v>
      </c>
      <c r="J25" s="6">
        <v>120.89868358519148</v>
      </c>
    </row>
    <row r="26" spans="2:10" x14ac:dyDescent="0.25">
      <c r="B26" s="3">
        <v>6</v>
      </c>
      <c r="C26" s="10">
        <v>2107058.8235294116</v>
      </c>
      <c r="D26" s="6">
        <v>3762.6050420168067</v>
      </c>
      <c r="E26" s="6">
        <v>5.28</v>
      </c>
      <c r="F26" s="6">
        <v>106.68283017625347</v>
      </c>
      <c r="G26" s="10">
        <v>1377882.3529411764</v>
      </c>
      <c r="H26" s="6">
        <v>4305.8823529411757</v>
      </c>
      <c r="I26" s="6">
        <v>3</v>
      </c>
      <c r="J26" s="6">
        <v>92.888564993582207</v>
      </c>
    </row>
    <row r="27" spans="2:10" x14ac:dyDescent="0.25">
      <c r="B27" s="3">
        <v>7</v>
      </c>
      <c r="C27" s="10">
        <v>2809411.7647058819</v>
      </c>
      <c r="D27" s="6">
        <v>5016.8067226890753</v>
      </c>
      <c r="E27" s="6">
        <v>5.28</v>
      </c>
      <c r="F27" s="6">
        <v>128.6188752146615</v>
      </c>
      <c r="G27" s="10">
        <v>1377882.3529411764</v>
      </c>
      <c r="H27" s="6">
        <v>4305.8823529411757</v>
      </c>
      <c r="I27" s="6">
        <v>3</v>
      </c>
      <c r="J27" s="6">
        <v>92.888564993582207</v>
      </c>
    </row>
    <row r="28" spans="2:10" x14ac:dyDescent="0.25">
      <c r="B28" s="3">
        <v>8</v>
      </c>
      <c r="C28" s="10">
        <v>2809411.7647058819</v>
      </c>
      <c r="D28" s="6">
        <v>5016.8067226890753</v>
      </c>
      <c r="E28" s="6">
        <v>5.28</v>
      </c>
      <c r="F28" s="6">
        <v>128.6188752146615</v>
      </c>
      <c r="G28" s="10">
        <v>2066823.5294117646</v>
      </c>
      <c r="H28" s="6">
        <v>6458.823529411764</v>
      </c>
      <c r="I28" s="6">
        <v>3</v>
      </c>
      <c r="J28" s="6">
        <v>120.89868358519148</v>
      </c>
    </row>
    <row r="29" spans="2:10" x14ac:dyDescent="0.25">
      <c r="B29" s="3">
        <v>9</v>
      </c>
      <c r="C29" s="10">
        <v>2809411.7647058819</v>
      </c>
      <c r="D29" s="6">
        <v>5016.8067226890753</v>
      </c>
      <c r="E29" s="6">
        <v>5.28</v>
      </c>
      <c r="F29" s="6">
        <v>128.6188752146615</v>
      </c>
      <c r="G29" s="10">
        <v>2755764.7058823528</v>
      </c>
      <c r="H29" s="6">
        <v>8611.7647058823513</v>
      </c>
      <c r="I29" s="6">
        <v>3</v>
      </c>
      <c r="J29" s="6">
        <v>145.75778194082673</v>
      </c>
    </row>
  </sheetData>
  <pageMargins left="0.7" right="0.7" top="0.75" bottom="0.75" header="0.3" footer="0.3"/>
  <pageSetup paperSize="9" orientation="portrait" r:id="rId1"/>
  <headerFooter>
    <oddHeader>&amp;R&amp;"Calibri"&amp;10&amp;K000000Uso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3F03-6521-498E-9EAA-DD22678879CB}">
  <dimension ref="A1:J13"/>
  <sheetViews>
    <sheetView workbookViewId="0">
      <selection activeCell="G15" sqref="G15"/>
    </sheetView>
  </sheetViews>
  <sheetFormatPr baseColWidth="10" defaultRowHeight="15" x14ac:dyDescent="0.25"/>
  <sheetData>
    <row r="1" spans="1:10" x14ac:dyDescent="0.25">
      <c r="B1" s="2"/>
      <c r="C1" s="2"/>
      <c r="D1" s="2"/>
      <c r="E1" s="2"/>
      <c r="F1" s="1"/>
      <c r="G1" s="1"/>
      <c r="H1" s="1"/>
      <c r="I1" s="1"/>
    </row>
    <row r="2" spans="1:10" x14ac:dyDescent="0.25">
      <c r="B2" s="2"/>
      <c r="C2" s="2"/>
      <c r="D2" s="2"/>
      <c r="E2" s="2"/>
      <c r="F2" s="1"/>
      <c r="G2" s="1"/>
      <c r="H2" s="1"/>
      <c r="I2" s="1"/>
    </row>
    <row r="3" spans="1:10" ht="18" x14ac:dyDescent="0.25">
      <c r="A3" s="3" t="s">
        <v>0</v>
      </c>
      <c r="B3" s="3" t="s">
        <v>13</v>
      </c>
      <c r="C3" s="3" t="s">
        <v>12</v>
      </c>
      <c r="D3" s="3" t="s">
        <v>1</v>
      </c>
      <c r="E3" s="3" t="s">
        <v>2</v>
      </c>
      <c r="F3" s="3" t="s">
        <v>13</v>
      </c>
      <c r="G3" s="3" t="s">
        <v>12</v>
      </c>
      <c r="H3" s="3" t="s">
        <v>1</v>
      </c>
      <c r="I3" s="3" t="s">
        <v>2</v>
      </c>
      <c r="J3" t="s">
        <v>10</v>
      </c>
    </row>
    <row r="4" spans="1:10" x14ac:dyDescent="0.25">
      <c r="A4" s="3"/>
      <c r="B4" s="3" t="s">
        <v>3</v>
      </c>
      <c r="C4" s="3" t="s">
        <v>5</v>
      </c>
      <c r="D4" s="3" t="s">
        <v>4</v>
      </c>
      <c r="E4" s="3" t="s">
        <v>4</v>
      </c>
      <c r="F4" s="3" t="s">
        <v>3</v>
      </c>
      <c r="G4" s="3" t="s">
        <v>5</v>
      </c>
      <c r="H4" s="3" t="s">
        <v>4</v>
      </c>
      <c r="I4" s="3" t="s">
        <v>4</v>
      </c>
      <c r="J4" t="s">
        <v>8</v>
      </c>
    </row>
    <row r="5" spans="1:10" x14ac:dyDescent="0.25">
      <c r="A5" s="3">
        <v>1</v>
      </c>
      <c r="B5" s="3">
        <v>600</v>
      </c>
      <c r="C5" s="3">
        <f>+B5/1000*995</f>
        <v>597</v>
      </c>
      <c r="D5" s="3">
        <v>23</v>
      </c>
      <c r="E5" s="3">
        <v>36</v>
      </c>
      <c r="F5" s="3">
        <v>600</v>
      </c>
      <c r="G5" s="3">
        <f>+F5/1000*976</f>
        <v>585.6</v>
      </c>
      <c r="H5" s="3">
        <v>61</v>
      </c>
      <c r="I5" s="3">
        <v>42.2</v>
      </c>
      <c r="J5">
        <v>3518.9999999999982</v>
      </c>
    </row>
    <row r="6" spans="1:10" x14ac:dyDescent="0.25">
      <c r="A6" s="3">
        <v>2</v>
      </c>
      <c r="B6" s="3">
        <v>600</v>
      </c>
      <c r="C6" s="3">
        <f t="shared" ref="C6:C13" si="0">+B6/1000*995</f>
        <v>597</v>
      </c>
      <c r="D6" s="3">
        <v>23</v>
      </c>
      <c r="E6" s="3">
        <v>41.5</v>
      </c>
      <c r="F6" s="3">
        <v>900</v>
      </c>
      <c r="G6" s="3">
        <f t="shared" ref="G6:G13" si="1">+F6/1000*976</f>
        <v>878.4</v>
      </c>
      <c r="H6" s="3">
        <v>65</v>
      </c>
      <c r="I6" s="3">
        <v>48.2</v>
      </c>
      <c r="J6">
        <v>4075.4999999999982</v>
      </c>
    </row>
    <row r="7" spans="1:10" x14ac:dyDescent="0.25">
      <c r="A7" s="3">
        <v>3</v>
      </c>
      <c r="B7" s="3">
        <v>600</v>
      </c>
      <c r="C7" s="3">
        <f t="shared" si="0"/>
        <v>597</v>
      </c>
      <c r="D7" s="3">
        <v>23</v>
      </c>
      <c r="E7" s="3">
        <v>45</v>
      </c>
      <c r="F7" s="3">
        <v>1200</v>
      </c>
      <c r="G7" s="3">
        <f t="shared" si="1"/>
        <v>1171.2</v>
      </c>
      <c r="H7" s="3">
        <v>67</v>
      </c>
      <c r="I7" s="3">
        <v>52.1</v>
      </c>
      <c r="J7">
        <v>4746</v>
      </c>
    </row>
    <row r="8" spans="1:10" x14ac:dyDescent="0.25">
      <c r="A8" s="3">
        <v>4</v>
      </c>
      <c r="B8" s="3">
        <v>900</v>
      </c>
      <c r="C8" s="3">
        <f t="shared" si="0"/>
        <v>895.5</v>
      </c>
      <c r="D8" s="3">
        <v>23</v>
      </c>
      <c r="E8" s="3">
        <v>39</v>
      </c>
      <c r="F8" s="3">
        <v>1200</v>
      </c>
      <c r="G8" s="3">
        <f t="shared" si="1"/>
        <v>1171.2</v>
      </c>
      <c r="H8" s="3">
        <v>65</v>
      </c>
      <c r="I8" s="3">
        <v>48.9</v>
      </c>
      <c r="J8">
        <v>4992</v>
      </c>
    </row>
    <row r="9" spans="1:10" x14ac:dyDescent="0.25">
      <c r="A9" s="3">
        <v>5</v>
      </c>
      <c r="B9" s="3">
        <v>900</v>
      </c>
      <c r="C9" s="3">
        <f t="shared" si="0"/>
        <v>895.5</v>
      </c>
      <c r="D9" s="3">
        <v>23</v>
      </c>
      <c r="E9" s="3">
        <v>36</v>
      </c>
      <c r="F9" s="3">
        <v>900</v>
      </c>
      <c r="G9" s="3">
        <f t="shared" si="1"/>
        <v>878.4</v>
      </c>
      <c r="H9" s="3">
        <v>63</v>
      </c>
      <c r="I9" s="3">
        <v>45.2</v>
      </c>
      <c r="J9">
        <v>4378.4999999999982</v>
      </c>
    </row>
    <row r="10" spans="1:10" x14ac:dyDescent="0.25">
      <c r="A10" s="3">
        <v>6</v>
      </c>
      <c r="B10" s="3">
        <v>900</v>
      </c>
      <c r="C10" s="3">
        <f t="shared" si="0"/>
        <v>895.5</v>
      </c>
      <c r="D10" s="3">
        <v>23</v>
      </c>
      <c r="E10" s="3">
        <v>32</v>
      </c>
      <c r="F10" s="3">
        <v>600</v>
      </c>
      <c r="G10" s="3">
        <f t="shared" si="1"/>
        <v>585.6</v>
      </c>
      <c r="H10" s="3">
        <v>61</v>
      </c>
      <c r="I10" s="3">
        <v>40.1</v>
      </c>
      <c r="J10">
        <v>4480.5</v>
      </c>
    </row>
    <row r="11" spans="1:10" x14ac:dyDescent="0.25">
      <c r="A11" s="3">
        <v>7</v>
      </c>
      <c r="B11" s="3">
        <v>1200</v>
      </c>
      <c r="C11" s="3">
        <f t="shared" si="0"/>
        <v>1194</v>
      </c>
      <c r="D11" s="3">
        <v>23</v>
      </c>
      <c r="E11" s="3">
        <v>30</v>
      </c>
      <c r="F11" s="3">
        <v>600</v>
      </c>
      <c r="G11" s="3">
        <f t="shared" si="1"/>
        <v>585.6</v>
      </c>
      <c r="H11" s="3">
        <v>60</v>
      </c>
      <c r="I11" s="3">
        <v>39</v>
      </c>
      <c r="J11">
        <v>4242</v>
      </c>
    </row>
    <row r="12" spans="1:10" x14ac:dyDescent="0.25">
      <c r="A12" s="3">
        <v>8</v>
      </c>
      <c r="B12" s="3">
        <v>1200</v>
      </c>
      <c r="C12" s="3">
        <f t="shared" si="0"/>
        <v>1194</v>
      </c>
      <c r="D12" s="3">
        <v>23</v>
      </c>
      <c r="E12" s="3">
        <v>33.5</v>
      </c>
      <c r="F12" s="3">
        <v>900</v>
      </c>
      <c r="G12" s="3">
        <f t="shared" si="1"/>
        <v>878.4</v>
      </c>
      <c r="H12" s="3">
        <v>61</v>
      </c>
      <c r="I12" s="3">
        <v>43.2</v>
      </c>
      <c r="J12">
        <v>3482.9999999999982</v>
      </c>
    </row>
    <row r="13" spans="1:10" x14ac:dyDescent="0.25">
      <c r="A13" s="3">
        <v>9</v>
      </c>
      <c r="B13" s="3">
        <v>1200</v>
      </c>
      <c r="C13" s="3">
        <f t="shared" si="0"/>
        <v>1194</v>
      </c>
      <c r="D13" s="3">
        <v>23</v>
      </c>
      <c r="E13" s="3">
        <v>34</v>
      </c>
      <c r="F13" s="3">
        <v>1200</v>
      </c>
      <c r="G13" s="3">
        <f t="shared" si="1"/>
        <v>1171.2</v>
      </c>
      <c r="H13" s="3">
        <v>61</v>
      </c>
      <c r="I13" s="3">
        <v>45.2</v>
      </c>
      <c r="J13">
        <v>5825.9999999999964</v>
      </c>
    </row>
  </sheetData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 PC</dc:creator>
  <cp:lastModifiedBy>HOROWITZ, GABRIEL IGNACIO</cp:lastModifiedBy>
  <dcterms:created xsi:type="dcterms:W3CDTF">2017-07-12T02:29:54Z</dcterms:created>
  <dcterms:modified xsi:type="dcterms:W3CDTF">2020-03-31T15:46:44Z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y149681@grupo.ypf.com</vt:lpwstr>
  </property>
  <property fmtid="{D5CDD505-2E9C-101B-9397-08002B2CF9AE}" pid="5" name="MSIP_Label_228ef38c-4357-49c8-b2ae-c9cdaf411188_SetDate">
    <vt:lpwstr>2020-03-27T17:05:37.7965958Z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ef58c309-52ec-435a-bc73-7ee0ef6d52b4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