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22b577050e2e835/Documents/MLPD Masters Program/Spring 2024 - MLPD/Land Development Practice - 668/Final Project - Land Book - Business Plan/"/>
    </mc:Choice>
  </mc:AlternateContent>
  <xr:revisionPtr revIDLastSave="11" documentId="8_{B81A4939-E728-4E62-B9FB-592B8BCA6267}" xr6:coauthVersionLast="47" xr6:coauthVersionMax="47" xr10:uidLastSave="{8A07FB57-84E8-4DE0-A433-2CA8A652FB39}"/>
  <bookViews>
    <workbookView xWindow="51720" yWindow="-120" windowWidth="29040" windowHeight="15720" tabRatio="601" activeTab="3" xr2:uid="{00000000-000D-0000-FFFF-FFFF00000000}"/>
  </bookViews>
  <sheets>
    <sheet name="Assumptions" sheetId="2" r:id="rId1"/>
    <sheet name="Development Timeline" sheetId="8" r:id="rId2"/>
    <sheet name="Prelim Budget" sheetId="6" r:id="rId3"/>
    <sheet name="Sales Proceeds &amp; MUD" sheetId="3" r:id="rId4"/>
    <sheet name="Cash Flow" sheetId="4" r:id="rId5"/>
    <sheet name="Debt Schedule" sheetId="5" r:id="rId6"/>
  </sheets>
  <definedNames>
    <definedName name="_xlnm.Print_Area" localSheetId="0">Assumptions!$B$1:$K$69</definedName>
    <definedName name="_xlnm.Print_Area" localSheetId="4">'Cash Flow'!$B$1:$BO$78</definedName>
    <definedName name="_xlnm.Print_Area" localSheetId="5">'Debt Schedule'!$B$1:$BO$15</definedName>
    <definedName name="_xlnm.Print_Area" localSheetId="1">'Development Timeline'!$B$2:$F$35</definedName>
    <definedName name="_xlnm.Print_Area" localSheetId="2">'Prelim Budget'!$B$1:$L$44</definedName>
    <definedName name="_xlnm.Print_Area" localSheetId="3">'Sales Proceeds &amp; MUD'!$B$1:$BO$23</definedName>
    <definedName name="_xlnm.Print_Titles" localSheetId="4">'Cash Flow'!$B:$E</definedName>
    <definedName name="_xlnm.Print_Titles" localSheetId="3">'Sales Proceeds &amp; MUD'!$B:$E</definedName>
  </definedNames>
  <calcPr calcId="191029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8" l="1"/>
  <c r="I8" i="8"/>
  <c r="F42" i="2"/>
  <c r="C19" i="8" l="1"/>
  <c r="C21" i="8" s="1"/>
  <c r="C23" i="8" s="1"/>
  <c r="C25" i="8" s="1"/>
  <c r="C27" i="8" s="1"/>
  <c r="AE45" i="4" l="1"/>
  <c r="S45" i="4"/>
  <c r="G19" i="3"/>
  <c r="G7" i="4" s="1"/>
  <c r="G45" i="4"/>
  <c r="G43" i="4"/>
  <c r="G42" i="4"/>
  <c r="L41" i="4"/>
  <c r="K41" i="4"/>
  <c r="J41" i="4"/>
  <c r="I41" i="4"/>
  <c r="H41" i="4"/>
  <c r="G41" i="4"/>
  <c r="G40" i="4"/>
  <c r="H40" i="4" s="1"/>
  <c r="G39" i="4"/>
  <c r="G38" i="4"/>
  <c r="G37" i="4"/>
  <c r="H37" i="4" s="1"/>
  <c r="J36" i="4"/>
  <c r="I36" i="4"/>
  <c r="H36" i="4"/>
  <c r="G36" i="4"/>
  <c r="G35" i="4"/>
  <c r="G34" i="4"/>
  <c r="H34" i="4" s="1"/>
  <c r="G33" i="4"/>
  <c r="G32" i="4"/>
  <c r="G31" i="4"/>
  <c r="G30" i="4"/>
  <c r="H30" i="4" s="1"/>
  <c r="G29" i="4"/>
  <c r="G28" i="4"/>
  <c r="H28" i="4" s="1"/>
  <c r="G27" i="4"/>
  <c r="G26" i="4"/>
  <c r="G25" i="4"/>
  <c r="G24" i="4"/>
  <c r="G23" i="4"/>
  <c r="G22" i="4"/>
  <c r="G21" i="4"/>
  <c r="K6" i="4"/>
  <c r="K71" i="4" s="1"/>
  <c r="L17" i="4"/>
  <c r="I17" i="4"/>
  <c r="G31" i="6"/>
  <c r="C30" i="6"/>
  <c r="G30" i="6" s="1"/>
  <c r="C29" i="6"/>
  <c r="C28" i="6"/>
  <c r="G28" i="6" s="1"/>
  <c r="C27" i="6"/>
  <c r="G27" i="6" s="1"/>
  <c r="G26" i="6"/>
  <c r="C26" i="6"/>
  <c r="C25" i="6"/>
  <c r="G25" i="6" s="1"/>
  <c r="C22" i="6"/>
  <c r="G22" i="6" s="1"/>
  <c r="C21" i="6"/>
  <c r="G20" i="6"/>
  <c r="E20" i="6"/>
  <c r="C20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3" i="6" s="1"/>
  <c r="C17" i="6"/>
  <c r="G17" i="6" s="1"/>
  <c r="C15" i="6"/>
  <c r="E15" i="6" s="1"/>
  <c r="C14" i="6"/>
  <c r="C11" i="6"/>
  <c r="G11" i="6" s="1"/>
  <c r="C10" i="6"/>
  <c r="G10" i="6" s="1"/>
  <c r="M9" i="6"/>
  <c r="J2" i="6"/>
  <c r="C12" i="6" s="1"/>
  <c r="C33" i="2"/>
  <c r="C54" i="2"/>
  <c r="C3" i="8" s="1"/>
  <c r="D20" i="2"/>
  <c r="C20" i="2"/>
  <c r="B20" i="2"/>
  <c r="G70" i="4"/>
  <c r="G65" i="4"/>
  <c r="K36" i="4" l="1"/>
  <c r="L36" i="4" s="1"/>
  <c r="M41" i="4"/>
  <c r="N41" i="4" s="1"/>
  <c r="O41" i="4" s="1"/>
  <c r="C55" i="2"/>
  <c r="C5" i="8" s="1"/>
  <c r="C7" i="8" s="1"/>
  <c r="L6" i="4"/>
  <c r="L71" i="4" s="1"/>
  <c r="I6" i="4"/>
  <c r="I71" i="4" s="1"/>
  <c r="I28" i="4"/>
  <c r="J28" i="4" s="1"/>
  <c r="H27" i="4"/>
  <c r="H24" i="4"/>
  <c r="H29" i="4"/>
  <c r="H31" i="4"/>
  <c r="H35" i="4"/>
  <c r="H23" i="4"/>
  <c r="H26" i="4"/>
  <c r="H43" i="4"/>
  <c r="H32" i="4"/>
  <c r="G29" i="6"/>
  <c r="E12" i="6"/>
  <c r="G12" i="6"/>
  <c r="E14" i="6"/>
  <c r="G14" i="6" s="1"/>
  <c r="G15" i="6"/>
  <c r="C16" i="6"/>
  <c r="G9" i="6"/>
  <c r="E21" i="6"/>
  <c r="G21" i="6" s="1"/>
  <c r="J4" i="6"/>
  <c r="C13" i="6"/>
  <c r="E29" i="6"/>
  <c r="C56" i="2" l="1"/>
  <c r="C11" i="8" s="1"/>
  <c r="M36" i="4"/>
  <c r="N36" i="4" s="1"/>
  <c r="I24" i="4"/>
  <c r="J24" i="4" s="1"/>
  <c r="I26" i="4"/>
  <c r="I43" i="4"/>
  <c r="J43" i="4" s="1"/>
  <c r="I27" i="4"/>
  <c r="J27" i="4" s="1"/>
  <c r="K28" i="4"/>
  <c r="P41" i="4"/>
  <c r="Q41" i="4" s="1"/>
  <c r="C19" i="6"/>
  <c r="G19" i="6" s="1"/>
  <c r="C24" i="6"/>
  <c r="G24" i="6" s="1"/>
  <c r="G16" i="6"/>
  <c r="E13" i="6"/>
  <c r="C33" i="6"/>
  <c r="G33" i="6" s="1"/>
  <c r="C23" i="6"/>
  <c r="C18" i="6"/>
  <c r="J7" i="2"/>
  <c r="J6" i="2"/>
  <c r="G6" i="5"/>
  <c r="G10" i="5" l="1"/>
  <c r="G52" i="4" s="1"/>
  <c r="C9" i="8"/>
  <c r="E4" i="8"/>
  <c r="F4" i="8" s="1"/>
  <c r="C13" i="8"/>
  <c r="C15" i="8" s="1"/>
  <c r="C57" i="2"/>
  <c r="C58" i="2" s="1"/>
  <c r="C61" i="2" s="1"/>
  <c r="K27" i="4"/>
  <c r="L27" i="4" s="1"/>
  <c r="L28" i="4"/>
  <c r="J26" i="4"/>
  <c r="O36" i="4"/>
  <c r="P36" i="4" s="1"/>
  <c r="R41" i="4"/>
  <c r="E23" i="6"/>
  <c r="G23" i="6"/>
  <c r="E18" i="6"/>
  <c r="E35" i="6" s="1"/>
  <c r="G13" i="6"/>
  <c r="C35" i="6"/>
  <c r="G32" i="2" s="1"/>
  <c r="S41" i="4" l="1"/>
  <c r="Q36" i="4"/>
  <c r="E40" i="6"/>
  <c r="E38" i="6"/>
  <c r="C47" i="6"/>
  <c r="C49" i="6" s="1"/>
  <c r="C38" i="6"/>
  <c r="C40" i="6"/>
  <c r="G18" i="6"/>
  <c r="G35" i="6" s="1"/>
  <c r="D3" i="5"/>
  <c r="G40" i="6" l="1"/>
  <c r="G38" i="6"/>
  <c r="G9" i="3" l="1"/>
  <c r="G4" i="5"/>
  <c r="G7" i="5" s="1"/>
  <c r="H4" i="3"/>
  <c r="G31" i="2"/>
  <c r="G33" i="2" s="1"/>
  <c r="D7" i="2"/>
  <c r="C7" i="2"/>
  <c r="E7" i="2" l="1"/>
  <c r="I6" i="2" s="1"/>
  <c r="K6" i="2" s="1"/>
  <c r="I4" i="3"/>
  <c r="H3" i="3"/>
  <c r="G11" i="3"/>
  <c r="H4" i="5" l="1"/>
  <c r="H7" i="5" s="1"/>
  <c r="H19" i="3"/>
  <c r="G34" i="2"/>
  <c r="J4" i="3"/>
  <c r="I3" i="3"/>
  <c r="H9" i="3"/>
  <c r="H2" i="4"/>
  <c r="I9" i="3" l="1"/>
  <c r="I11" i="3" s="1"/>
  <c r="I4" i="5"/>
  <c r="I7" i="5" s="1"/>
  <c r="I19" i="3"/>
  <c r="I7" i="4" s="1"/>
  <c r="H7" i="4"/>
  <c r="I7" i="2"/>
  <c r="K7" i="2" s="1"/>
  <c r="K10" i="2" s="1"/>
  <c r="J13" i="2" s="1"/>
  <c r="H39" i="4"/>
  <c r="H42" i="4"/>
  <c r="H21" i="4"/>
  <c r="I34" i="4"/>
  <c r="I40" i="4"/>
  <c r="I37" i="4"/>
  <c r="H38" i="4"/>
  <c r="H45" i="4"/>
  <c r="H25" i="4"/>
  <c r="H33" i="4"/>
  <c r="I30" i="4"/>
  <c r="H22" i="4"/>
  <c r="I32" i="4"/>
  <c r="I23" i="4"/>
  <c r="I35" i="4"/>
  <c r="I31" i="4"/>
  <c r="I29" i="4"/>
  <c r="K24" i="4"/>
  <c r="K26" i="4"/>
  <c r="K43" i="4"/>
  <c r="T41" i="4"/>
  <c r="M28" i="4"/>
  <c r="M27" i="4"/>
  <c r="R36" i="4"/>
  <c r="I2" i="4"/>
  <c r="K4" i="3"/>
  <c r="J3" i="3"/>
  <c r="H11" i="3"/>
  <c r="J9" i="3" l="1"/>
  <c r="J11" i="3" s="1"/>
  <c r="J19" i="3"/>
  <c r="I21" i="4"/>
  <c r="J34" i="4"/>
  <c r="I45" i="4"/>
  <c r="J40" i="4"/>
  <c r="I42" i="4"/>
  <c r="I39" i="4"/>
  <c r="J30" i="4"/>
  <c r="J35" i="4"/>
  <c r="I22" i="4"/>
  <c r="I25" i="4"/>
  <c r="J32" i="4"/>
  <c r="I38" i="4"/>
  <c r="I33" i="4"/>
  <c r="J37" i="4"/>
  <c r="J23" i="4"/>
  <c r="L24" i="4"/>
  <c r="J29" i="4"/>
  <c r="J31" i="4"/>
  <c r="L43" i="4"/>
  <c r="N28" i="4"/>
  <c r="L26" i="4"/>
  <c r="U41" i="4"/>
  <c r="N27" i="4"/>
  <c r="S36" i="4"/>
  <c r="G17" i="4"/>
  <c r="L4" i="3"/>
  <c r="K3" i="3"/>
  <c r="K19" i="3" s="1"/>
  <c r="K7" i="4" s="1"/>
  <c r="J2" i="4"/>
  <c r="J4" i="5"/>
  <c r="J7" i="5" s="1"/>
  <c r="J7" i="4" l="1"/>
  <c r="J21" i="4"/>
  <c r="J39" i="4"/>
  <c r="K30" i="4"/>
  <c r="K23" i="4"/>
  <c r="K32" i="4"/>
  <c r="K34" i="4"/>
  <c r="J42" i="4"/>
  <c r="J45" i="4"/>
  <c r="J33" i="4"/>
  <c r="K40" i="4"/>
  <c r="K37" i="4"/>
  <c r="J25" i="4"/>
  <c r="K29" i="4"/>
  <c r="K31" i="4"/>
  <c r="J22" i="4"/>
  <c r="K35" i="4"/>
  <c r="J38" i="4"/>
  <c r="M24" i="4"/>
  <c r="O28" i="4"/>
  <c r="M43" i="4"/>
  <c r="V41" i="4"/>
  <c r="M26" i="4"/>
  <c r="O27" i="4"/>
  <c r="T36" i="4"/>
  <c r="G6" i="4"/>
  <c r="G71" i="4" s="1"/>
  <c r="K4" i="5"/>
  <c r="K7" i="5" s="1"/>
  <c r="K2" i="4"/>
  <c r="H17" i="4"/>
  <c r="L3" i="3"/>
  <c r="L19" i="3" s="1"/>
  <c r="L7" i="4" s="1"/>
  <c r="M4" i="3"/>
  <c r="K9" i="3"/>
  <c r="U36" i="4" l="1"/>
  <c r="K45" i="4"/>
  <c r="L40" i="4"/>
  <c r="L32" i="4"/>
  <c r="L34" i="4"/>
  <c r="K21" i="4"/>
  <c r="K39" i="4"/>
  <c r="L30" i="4"/>
  <c r="K33" i="4"/>
  <c r="K38" i="4"/>
  <c r="K25" i="4"/>
  <c r="L23" i="4"/>
  <c r="K42" i="4"/>
  <c r="L31" i="4"/>
  <c r="L29" i="4"/>
  <c r="L35" i="4"/>
  <c r="K22" i="4"/>
  <c r="L37" i="4"/>
  <c r="P28" i="4"/>
  <c r="W41" i="4"/>
  <c r="N24" i="4"/>
  <c r="N43" i="4"/>
  <c r="N26" i="4"/>
  <c r="P27" i="4"/>
  <c r="H6" i="4"/>
  <c r="H71" i="4" s="1"/>
  <c r="L9" i="3"/>
  <c r="K11" i="3"/>
  <c r="L4" i="5"/>
  <c r="L7" i="5" s="1"/>
  <c r="L2" i="4"/>
  <c r="N4" i="3"/>
  <c r="M3" i="3"/>
  <c r="M19" i="3" s="1"/>
  <c r="M7" i="4" s="1"/>
  <c r="V36" i="4" l="1"/>
  <c r="M30" i="4"/>
  <c r="L21" i="4"/>
  <c r="L45" i="4"/>
  <c r="M40" i="4"/>
  <c r="M32" i="4"/>
  <c r="M34" i="4"/>
  <c r="L39" i="4"/>
  <c r="L33" i="4"/>
  <c r="L25" i="4"/>
  <c r="M23" i="4"/>
  <c r="L38" i="4"/>
  <c r="L42" i="4"/>
  <c r="M35" i="4"/>
  <c r="Q28" i="4"/>
  <c r="M31" i="4"/>
  <c r="M29" i="4"/>
  <c r="L22" i="4"/>
  <c r="M37" i="4"/>
  <c r="X41" i="4"/>
  <c r="O43" i="4"/>
  <c r="O24" i="4"/>
  <c r="O26" i="4"/>
  <c r="Q27" i="4"/>
  <c r="M2" i="4"/>
  <c r="M4" i="5"/>
  <c r="O4" i="3"/>
  <c r="N3" i="3"/>
  <c r="N19" i="3" s="1"/>
  <c r="N7" i="4" s="1"/>
  <c r="J17" i="4"/>
  <c r="M9" i="3"/>
  <c r="L11" i="3"/>
  <c r="P43" i="4" l="1"/>
  <c r="N31" i="4"/>
  <c r="M22" i="4"/>
  <c r="Y41" i="4"/>
  <c r="N34" i="4"/>
  <c r="M33" i="4"/>
  <c r="N37" i="4"/>
  <c r="M42" i="4"/>
  <c r="N30" i="4"/>
  <c r="M21" i="4"/>
  <c r="N35" i="4"/>
  <c r="P26" i="4"/>
  <c r="N40" i="4"/>
  <c r="M25" i="4"/>
  <c r="P24" i="4"/>
  <c r="N23" i="4"/>
  <c r="M38" i="4"/>
  <c r="W36" i="4"/>
  <c r="N29" i="4"/>
  <c r="R28" i="4"/>
  <c r="R27" i="4"/>
  <c r="M45" i="4"/>
  <c r="M39" i="4"/>
  <c r="N32" i="4"/>
  <c r="J6" i="4"/>
  <c r="J71" i="4" s="1"/>
  <c r="M17" i="4"/>
  <c r="N4" i="5"/>
  <c r="N7" i="5" s="1"/>
  <c r="N2" i="4"/>
  <c r="N9" i="3"/>
  <c r="M11" i="3"/>
  <c r="P4" i="3"/>
  <c r="O3" i="3"/>
  <c r="O19" i="3" s="1"/>
  <c r="O7" i="4" s="1"/>
  <c r="G5" i="5"/>
  <c r="G14" i="5" s="1"/>
  <c r="G15" i="5" s="1"/>
  <c r="G54" i="4" s="1"/>
  <c r="G9" i="5" s="1"/>
  <c r="G3" i="4"/>
  <c r="H5" i="5"/>
  <c r="H14" i="5" s="1"/>
  <c r="O32" i="4" l="1"/>
  <c r="O34" i="4"/>
  <c r="N45" i="4"/>
  <c r="N42" i="4"/>
  <c r="N21" i="4"/>
  <c r="O30" i="4"/>
  <c r="N33" i="4"/>
  <c r="N38" i="4"/>
  <c r="O40" i="4"/>
  <c r="N39" i="4"/>
  <c r="O35" i="4"/>
  <c r="O37" i="4"/>
  <c r="N25" i="4"/>
  <c r="N22" i="4"/>
  <c r="O23" i="4"/>
  <c r="Q24" i="4"/>
  <c r="S28" i="4"/>
  <c r="O29" i="4"/>
  <c r="O31" i="4"/>
  <c r="S27" i="4"/>
  <c r="Q43" i="4"/>
  <c r="Z41" i="4"/>
  <c r="Q26" i="4"/>
  <c r="X36" i="4"/>
  <c r="D6" i="4"/>
  <c r="O9" i="3"/>
  <c r="N11" i="3"/>
  <c r="O2" i="4"/>
  <c r="O4" i="5"/>
  <c r="O7" i="5" s="1"/>
  <c r="Q4" i="3"/>
  <c r="P3" i="3"/>
  <c r="P19" i="3" s="1"/>
  <c r="P7" i="4" s="1"/>
  <c r="H3" i="4"/>
  <c r="T27" i="4" l="1"/>
  <c r="Y36" i="4"/>
  <c r="O45" i="4"/>
  <c r="P34" i="4"/>
  <c r="O33" i="4"/>
  <c r="O38" i="4"/>
  <c r="O21" i="4"/>
  <c r="P32" i="4"/>
  <c r="O39" i="4"/>
  <c r="P23" i="4"/>
  <c r="O22" i="4"/>
  <c r="O42" i="4"/>
  <c r="P30" i="4"/>
  <c r="P40" i="4"/>
  <c r="P35" i="4"/>
  <c r="P29" i="4"/>
  <c r="P37" i="4"/>
  <c r="O25" i="4"/>
  <c r="P31" i="4"/>
  <c r="R24" i="4"/>
  <c r="T28" i="4"/>
  <c r="AA41" i="4"/>
  <c r="R43" i="4"/>
  <c r="R26" i="4"/>
  <c r="P4" i="5"/>
  <c r="P7" i="5" s="1"/>
  <c r="P2" i="4"/>
  <c r="R4" i="3"/>
  <c r="Q3" i="3"/>
  <c r="Q19" i="3" s="1"/>
  <c r="Q7" i="4" s="1"/>
  <c r="P9" i="3"/>
  <c r="O11" i="3"/>
  <c r="I5" i="5"/>
  <c r="I14" i="5" s="1"/>
  <c r="I3" i="4"/>
  <c r="S26" i="4" l="1"/>
  <c r="U28" i="4"/>
  <c r="U27" i="4"/>
  <c r="P33" i="4"/>
  <c r="P38" i="4"/>
  <c r="Q34" i="4"/>
  <c r="Q32" i="4"/>
  <c r="P45" i="4"/>
  <c r="Q45" i="4" s="1"/>
  <c r="P22" i="4"/>
  <c r="Q23" i="4"/>
  <c r="Q35" i="4"/>
  <c r="P42" i="4"/>
  <c r="P21" i="4"/>
  <c r="Q40" i="4"/>
  <c r="P39" i="4"/>
  <c r="Q30" i="4"/>
  <c r="Q29" i="4"/>
  <c r="P25" i="4"/>
  <c r="Q31" i="4"/>
  <c r="Q37" i="4"/>
  <c r="S24" i="4"/>
  <c r="AB41" i="4"/>
  <c r="S43" i="4"/>
  <c r="Z36" i="4"/>
  <c r="Q4" i="5"/>
  <c r="Q7" i="5" s="1"/>
  <c r="Q2" i="4"/>
  <c r="N17" i="4"/>
  <c r="N18" i="4" s="1"/>
  <c r="Q9" i="3"/>
  <c r="P11" i="3"/>
  <c r="R3" i="3"/>
  <c r="R19" i="3" s="1"/>
  <c r="R7" i="4" s="1"/>
  <c r="S4" i="3"/>
  <c r="J5" i="5"/>
  <c r="J14" i="5" s="1"/>
  <c r="J3" i="4"/>
  <c r="M18" i="4"/>
  <c r="H18" i="4"/>
  <c r="I18" i="4"/>
  <c r="J18" i="4"/>
  <c r="K18" i="4"/>
  <c r="L18" i="4"/>
  <c r="G18" i="4"/>
  <c r="AA36" i="4" l="1"/>
  <c r="R34" i="4"/>
  <c r="Q33" i="4"/>
  <c r="R35" i="4"/>
  <c r="R23" i="4"/>
  <c r="Q22" i="4"/>
  <c r="R32" i="4"/>
  <c r="R30" i="4"/>
  <c r="Q25" i="4"/>
  <c r="Q42" i="4"/>
  <c r="Q21" i="4"/>
  <c r="R40" i="4"/>
  <c r="Q39" i="4"/>
  <c r="R31" i="4"/>
  <c r="R29" i="4"/>
  <c r="S29" i="4" s="1"/>
  <c r="R37" i="4"/>
  <c r="T24" i="4"/>
  <c r="T43" i="4"/>
  <c r="V27" i="4"/>
  <c r="T26" i="4"/>
  <c r="Q38" i="4"/>
  <c r="AC41" i="4"/>
  <c r="V28" i="4"/>
  <c r="N8" i="4"/>
  <c r="N71" i="4" s="1"/>
  <c r="S3" i="3"/>
  <c r="S19" i="3" s="1"/>
  <c r="S7" i="4" s="1"/>
  <c r="T4" i="3"/>
  <c r="R9" i="3"/>
  <c r="Q11" i="3"/>
  <c r="O17" i="4"/>
  <c r="R2" i="4"/>
  <c r="R4" i="5"/>
  <c r="R7" i="5" s="1"/>
  <c r="K5" i="5"/>
  <c r="K14" i="5" s="1"/>
  <c r="K3" i="4"/>
  <c r="W28" i="4" l="1"/>
  <c r="AD41" i="4"/>
  <c r="W27" i="4"/>
  <c r="R33" i="4"/>
  <c r="S34" i="4"/>
  <c r="R38" i="4"/>
  <c r="R45" i="4"/>
  <c r="R42" i="4"/>
  <c r="S32" i="4"/>
  <c r="S23" i="4"/>
  <c r="R25" i="4"/>
  <c r="S30" i="4"/>
  <c r="S40" i="4"/>
  <c r="R21" i="4"/>
  <c r="R39" i="4"/>
  <c r="S31" i="4"/>
  <c r="T31" i="4" s="1"/>
  <c r="S37" i="4"/>
  <c r="R22" i="4"/>
  <c r="S35" i="4"/>
  <c r="U26" i="4"/>
  <c r="AB36" i="4"/>
  <c r="U43" i="4"/>
  <c r="U24" i="4"/>
  <c r="O18" i="4"/>
  <c r="O8" i="4"/>
  <c r="O71" i="4" s="1"/>
  <c r="P17" i="4"/>
  <c r="S9" i="3"/>
  <c r="R11" i="3"/>
  <c r="T3" i="3"/>
  <c r="T19" i="3" s="1"/>
  <c r="T7" i="4" s="1"/>
  <c r="U4" i="3"/>
  <c r="S2" i="4"/>
  <c r="T29" i="4" s="1"/>
  <c r="S4" i="5"/>
  <c r="S7" i="5" s="1"/>
  <c r="L3" i="4"/>
  <c r="L5" i="5"/>
  <c r="L14" i="5" s="1"/>
  <c r="T30" i="4" l="1"/>
  <c r="T40" i="4"/>
  <c r="AC36" i="4"/>
  <c r="V26" i="4"/>
  <c r="S33" i="4"/>
  <c r="T34" i="4"/>
  <c r="T35" i="4"/>
  <c r="T23" i="4"/>
  <c r="S42" i="4"/>
  <c r="T32" i="4"/>
  <c r="S21" i="4"/>
  <c r="S39" i="4"/>
  <c r="T37" i="4"/>
  <c r="S25" i="4"/>
  <c r="S38" i="4"/>
  <c r="X27" i="4"/>
  <c r="Y27" i="4" s="1"/>
  <c r="AE41" i="4"/>
  <c r="AF41" i="4" s="1"/>
  <c r="V24" i="4"/>
  <c r="V43" i="4"/>
  <c r="S22" i="4"/>
  <c r="X28" i="4"/>
  <c r="P18" i="4"/>
  <c r="P8" i="4"/>
  <c r="P71" i="4" s="1"/>
  <c r="U3" i="3"/>
  <c r="U19" i="3" s="1"/>
  <c r="U7" i="4" s="1"/>
  <c r="V4" i="3"/>
  <c r="Q17" i="4"/>
  <c r="T9" i="3"/>
  <c r="U9" i="3" s="1"/>
  <c r="T2" i="4"/>
  <c r="U29" i="4" s="1"/>
  <c r="T4" i="5"/>
  <c r="T7" i="5" s="1"/>
  <c r="M3" i="4"/>
  <c r="M5" i="5"/>
  <c r="M14" i="5" s="1"/>
  <c r="D8" i="2"/>
  <c r="U30" i="4" l="1"/>
  <c r="T39" i="4"/>
  <c r="U37" i="4"/>
  <c r="U32" i="4"/>
  <c r="T25" i="4"/>
  <c r="T42" i="4"/>
  <c r="U35" i="4"/>
  <c r="Y28" i="4"/>
  <c r="T45" i="4"/>
  <c r="T38" i="4"/>
  <c r="U38" i="4" s="1"/>
  <c r="U23" i="4"/>
  <c r="V23" i="4" s="1"/>
  <c r="T22" i="4"/>
  <c r="T33" i="4"/>
  <c r="U34" i="4"/>
  <c r="T21" i="4"/>
  <c r="W26" i="4"/>
  <c r="X26" i="4" s="1"/>
  <c r="U40" i="4"/>
  <c r="V40" i="4" s="1"/>
  <c r="V29" i="4"/>
  <c r="AD36" i="4"/>
  <c r="W43" i="4"/>
  <c r="W24" i="4"/>
  <c r="U31" i="4"/>
  <c r="Q18" i="4"/>
  <c r="Q8" i="4"/>
  <c r="Q71" i="4" s="1"/>
  <c r="V3" i="3"/>
  <c r="V19" i="3" s="1"/>
  <c r="V7" i="4" s="1"/>
  <c r="W4" i="3"/>
  <c r="R17" i="4"/>
  <c r="U2" i="4"/>
  <c r="U4" i="5"/>
  <c r="U7" i="5" s="1"/>
  <c r="N5" i="5"/>
  <c r="N14" i="5" s="1"/>
  <c r="N3" i="4"/>
  <c r="E8" i="2"/>
  <c r="U21" i="4" l="1"/>
  <c r="U45" i="4"/>
  <c r="V35" i="4"/>
  <c r="U33" i="4"/>
  <c r="U22" i="4"/>
  <c r="V34" i="4"/>
  <c r="U39" i="4"/>
  <c r="V31" i="4"/>
  <c r="U42" i="4"/>
  <c r="AG41" i="4"/>
  <c r="Z28" i="4"/>
  <c r="V32" i="4"/>
  <c r="X43" i="4"/>
  <c r="U25" i="4"/>
  <c r="Z27" i="4"/>
  <c r="AA27" i="4" s="1"/>
  <c r="X24" i="4"/>
  <c r="Y24" i="4" s="1"/>
  <c r="V37" i="4"/>
  <c r="AE36" i="4"/>
  <c r="V30" i="4"/>
  <c r="R18" i="4"/>
  <c r="R8" i="4"/>
  <c r="R71" i="4" s="1"/>
  <c r="S17" i="4"/>
  <c r="W3" i="3"/>
  <c r="W19" i="3" s="1"/>
  <c r="W7" i="4" s="1"/>
  <c r="X4" i="3"/>
  <c r="V2" i="4"/>
  <c r="W40" i="4" s="1"/>
  <c r="V4" i="5"/>
  <c r="V7" i="5" s="1"/>
  <c r="V9" i="3"/>
  <c r="W9" i="3" s="1"/>
  <c r="O5" i="5"/>
  <c r="O14" i="5" s="1"/>
  <c r="O3" i="4"/>
  <c r="W32" i="4" l="1"/>
  <c r="V39" i="4"/>
  <c r="W35" i="4"/>
  <c r="V38" i="4"/>
  <c r="V25" i="4"/>
  <c r="W23" i="4"/>
  <c r="AA28" i="4"/>
  <c r="V42" i="4"/>
  <c r="V22" i="4"/>
  <c r="AF36" i="4"/>
  <c r="AG36" i="4" s="1"/>
  <c r="W29" i="4"/>
  <c r="X29" i="4" s="1"/>
  <c r="Y43" i="4"/>
  <c r="Z43" i="4" s="1"/>
  <c r="AH41" i="4"/>
  <c r="AI41" i="4" s="1"/>
  <c r="Y26" i="4"/>
  <c r="Z26" i="4" s="1"/>
  <c r="W31" i="4"/>
  <c r="X31" i="4" s="1"/>
  <c r="W34" i="4"/>
  <c r="X34" i="4" s="1"/>
  <c r="W30" i="4"/>
  <c r="X30" i="4" s="1"/>
  <c r="V45" i="4"/>
  <c r="W45" i="4" s="1"/>
  <c r="W37" i="4"/>
  <c r="V33" i="4"/>
  <c r="V21" i="4"/>
  <c r="S18" i="4"/>
  <c r="S8" i="4"/>
  <c r="S71" i="4" s="1"/>
  <c r="T17" i="4"/>
  <c r="W2" i="4"/>
  <c r="W4" i="5"/>
  <c r="W7" i="5" s="1"/>
  <c r="X3" i="3"/>
  <c r="X19" i="3" s="1"/>
  <c r="X7" i="4" s="1"/>
  <c r="Y4" i="3"/>
  <c r="P3" i="4"/>
  <c r="P5" i="5"/>
  <c r="P14" i="5" s="1"/>
  <c r="AB28" i="4" l="1"/>
  <c r="W22" i="4"/>
  <c r="W38" i="4"/>
  <c r="W39" i="4"/>
  <c r="W42" i="4"/>
  <c r="X23" i="4"/>
  <c r="W21" i="4"/>
  <c r="X32" i="4"/>
  <c r="Z24" i="4"/>
  <c r="W25" i="4"/>
  <c r="X35" i="4"/>
  <c r="W33" i="4"/>
  <c r="AB27" i="4"/>
  <c r="X37" i="4"/>
  <c r="X40" i="4"/>
  <c r="T18" i="4"/>
  <c r="T8" i="4"/>
  <c r="T71" i="4" s="1"/>
  <c r="X2" i="4"/>
  <c r="X45" i="4" s="1"/>
  <c r="X4" i="5"/>
  <c r="X7" i="5" s="1"/>
  <c r="U17" i="4"/>
  <c r="Y3" i="3"/>
  <c r="Z4" i="3"/>
  <c r="X9" i="3"/>
  <c r="Q5" i="5"/>
  <c r="Q14" i="5" s="1"/>
  <c r="Q3" i="4"/>
  <c r="AJ41" i="4" l="1"/>
  <c r="X42" i="4"/>
  <c r="X38" i="4"/>
  <c r="Y32" i="4"/>
  <c r="AA24" i="4"/>
  <c r="Y23" i="4"/>
  <c r="Y6" i="3"/>
  <c r="Y44" i="4" s="1"/>
  <c r="Y19" i="3"/>
  <c r="Y7" i="4" s="1"/>
  <c r="AC28" i="4"/>
  <c r="X39" i="4"/>
  <c r="Y37" i="4"/>
  <c r="Y31" i="4"/>
  <c r="AA43" i="4"/>
  <c r="Y42" i="4"/>
  <c r="Y30" i="4"/>
  <c r="Z30" i="4" s="1"/>
  <c r="AH36" i="4"/>
  <c r="AI36" i="4" s="1"/>
  <c r="X22" i="4"/>
  <c r="Y22" i="4" s="1"/>
  <c r="Y29" i="4"/>
  <c r="Z29" i="4" s="1"/>
  <c r="Y35" i="4"/>
  <c r="Z35" i="4" s="1"/>
  <c r="Y34" i="4"/>
  <c r="Z34" i="4" s="1"/>
  <c r="X21" i="4"/>
  <c r="AA26" i="4"/>
  <c r="Y40" i="4"/>
  <c r="AC27" i="4"/>
  <c r="X33" i="4"/>
  <c r="X25" i="4"/>
  <c r="U18" i="4"/>
  <c r="U8" i="4"/>
  <c r="U71" i="4" s="1"/>
  <c r="Y2" i="4"/>
  <c r="Y4" i="5"/>
  <c r="Y7" i="5" s="1"/>
  <c r="Y9" i="3"/>
  <c r="Z3" i="3"/>
  <c r="Z19" i="3" s="1"/>
  <c r="Z7" i="4" s="1"/>
  <c r="AA4" i="3"/>
  <c r="V17" i="4"/>
  <c r="R3" i="4"/>
  <c r="R5" i="5"/>
  <c r="R14" i="5" s="1"/>
  <c r="Z31" i="4" l="1"/>
  <c r="AD28" i="4"/>
  <c r="AD27" i="4"/>
  <c r="Y21" i="4"/>
  <c r="Y25" i="4"/>
  <c r="Y39" i="4"/>
  <c r="Z23" i="4"/>
  <c r="AK41" i="4"/>
  <c r="AB24" i="4"/>
  <c r="AB43" i="4"/>
  <c r="Z37" i="4"/>
  <c r="Y33" i="4"/>
  <c r="Z40" i="4"/>
  <c r="Z32" i="4"/>
  <c r="Y38" i="4"/>
  <c r="AB26" i="4"/>
  <c r="Y45" i="4"/>
  <c r="V18" i="4"/>
  <c r="V8" i="4"/>
  <c r="V71" i="4" s="1"/>
  <c r="Z2" i="4"/>
  <c r="AA34" i="4" s="1"/>
  <c r="Z4" i="5"/>
  <c r="Z7" i="5" s="1"/>
  <c r="AA3" i="3"/>
  <c r="AA19" i="3" s="1"/>
  <c r="AA7" i="4" s="1"/>
  <c r="AB4" i="3"/>
  <c r="Z9" i="3"/>
  <c r="AA9" i="3" s="1"/>
  <c r="W17" i="4"/>
  <c r="S5" i="5"/>
  <c r="S14" i="5" s="1"/>
  <c r="S3" i="4"/>
  <c r="Z45" i="4" l="1"/>
  <c r="AA40" i="4"/>
  <c r="AC43" i="4"/>
  <c r="AA29" i="4"/>
  <c r="Z39" i="4"/>
  <c r="AA37" i="4"/>
  <c r="AL41" i="4"/>
  <c r="Z33" i="4"/>
  <c r="AA23" i="4"/>
  <c r="AC24" i="4"/>
  <c r="AC26" i="4"/>
  <c r="AJ36" i="4"/>
  <c r="Z42" i="4"/>
  <c r="AA42" i="4" s="1"/>
  <c r="AE28" i="4"/>
  <c r="AF28" i="4" s="1"/>
  <c r="AA31" i="4"/>
  <c r="AB31" i="4" s="1"/>
  <c r="Z38" i="4"/>
  <c r="AA38" i="4" s="1"/>
  <c r="AA35" i="4"/>
  <c r="AB35" i="4" s="1"/>
  <c r="Z22" i="4"/>
  <c r="AA22" i="4" s="1"/>
  <c r="Z25" i="4"/>
  <c r="AA30" i="4"/>
  <c r="Z21" i="4"/>
  <c r="AE27" i="4"/>
  <c r="AA32" i="4"/>
  <c r="W18" i="4"/>
  <c r="W8" i="4"/>
  <c r="W71" i="4" s="1"/>
  <c r="AA4" i="5"/>
  <c r="AA7" i="5" s="1"/>
  <c r="AA2" i="4"/>
  <c r="AB3" i="3"/>
  <c r="AB19" i="3" s="1"/>
  <c r="AB7" i="4" s="1"/>
  <c r="AC4" i="3"/>
  <c r="X17" i="4"/>
  <c r="T5" i="5"/>
  <c r="T14" i="5" s="1"/>
  <c r="T3" i="4"/>
  <c r="AB23" i="4" l="1"/>
  <c r="AD24" i="4"/>
  <c r="AA25" i="4"/>
  <c r="AM41" i="4"/>
  <c r="AK36" i="4"/>
  <c r="AB32" i="4"/>
  <c r="AA39" i="4"/>
  <c r="AB39" i="4" s="1"/>
  <c r="AD43" i="4"/>
  <c r="AE43" i="4" s="1"/>
  <c r="AB42" i="4"/>
  <c r="AA45" i="4"/>
  <c r="AB45" i="4" s="1"/>
  <c r="AA21" i="4"/>
  <c r="AA33" i="4"/>
  <c r="AB33" i="4" s="1"/>
  <c r="AC31" i="4"/>
  <c r="AB40" i="4"/>
  <c r="AC40" i="4" s="1"/>
  <c r="AD26" i="4"/>
  <c r="AB37" i="4"/>
  <c r="AF27" i="4"/>
  <c r="AB29" i="4"/>
  <c r="AB30" i="4"/>
  <c r="AB34" i="4"/>
  <c r="X18" i="4"/>
  <c r="X8" i="4"/>
  <c r="X71" i="4" s="1"/>
  <c r="AB2" i="4"/>
  <c r="AB4" i="5"/>
  <c r="AB7" i="5" s="1"/>
  <c r="AB9" i="3"/>
  <c r="Y17" i="4"/>
  <c r="AC3" i="3"/>
  <c r="AC19" i="3" s="1"/>
  <c r="AC7" i="4" s="1"/>
  <c r="AD4" i="3"/>
  <c r="U5" i="5"/>
  <c r="U14" i="5" s="1"/>
  <c r="U3" i="4"/>
  <c r="AE24" i="4" l="1"/>
  <c r="AF24" i="4" s="1"/>
  <c r="AB25" i="4"/>
  <c r="AC34" i="4"/>
  <c r="AB38" i="4"/>
  <c r="AC32" i="4"/>
  <c r="AC30" i="4"/>
  <c r="AB21" i="4"/>
  <c r="AL36" i="4"/>
  <c r="AM36" i="4" s="1"/>
  <c r="AG28" i="4"/>
  <c r="AH28" i="4" s="1"/>
  <c r="AC35" i="4"/>
  <c r="AD35" i="4" s="1"/>
  <c r="AC29" i="4"/>
  <c r="AD29" i="4" s="1"/>
  <c r="AD40" i="4"/>
  <c r="AN41" i="4"/>
  <c r="AC23" i="4"/>
  <c r="AG27" i="4"/>
  <c r="AC37" i="4"/>
  <c r="AE26" i="4"/>
  <c r="AB22" i="4"/>
  <c r="Y18" i="4"/>
  <c r="Y8" i="4"/>
  <c r="Y71" i="4" s="1"/>
  <c r="AC4" i="5"/>
  <c r="AC7" i="5" s="1"/>
  <c r="AC2" i="4"/>
  <c r="AC33" i="4" s="1"/>
  <c r="AC9" i="3"/>
  <c r="AD3" i="3"/>
  <c r="AD19" i="3" s="1"/>
  <c r="AD7" i="4" s="1"/>
  <c r="AE4" i="3"/>
  <c r="Z17" i="4"/>
  <c r="V3" i="4"/>
  <c r="V5" i="5"/>
  <c r="V14" i="5" s="1"/>
  <c r="AC25" i="4" l="1"/>
  <c r="AD32" i="4"/>
  <c r="AF26" i="4"/>
  <c r="AC21" i="4"/>
  <c r="AD31" i="4"/>
  <c r="AE31" i="4" s="1"/>
  <c r="AF43" i="4"/>
  <c r="AG43" i="4" s="1"/>
  <c r="AD37" i="4"/>
  <c r="AE37" i="4" s="1"/>
  <c r="AC39" i="4"/>
  <c r="AD39" i="4" s="1"/>
  <c r="AD30" i="4"/>
  <c r="AC38" i="4"/>
  <c r="AD38" i="4" s="1"/>
  <c r="AD23" i="4"/>
  <c r="AE23" i="4" s="1"/>
  <c r="AC42" i="4"/>
  <c r="AD42" i="4" s="1"/>
  <c r="AC22" i="4"/>
  <c r="AC45" i="4"/>
  <c r="AD34" i="4"/>
  <c r="AH27" i="4"/>
  <c r="AO41" i="4"/>
  <c r="Z18" i="4"/>
  <c r="Z8" i="4"/>
  <c r="Z71" i="4" s="1"/>
  <c r="AD9" i="3"/>
  <c r="AD2" i="4"/>
  <c r="AD4" i="5"/>
  <c r="AD7" i="5" s="1"/>
  <c r="AA17" i="4"/>
  <c r="AE3" i="3"/>
  <c r="AE19" i="3" s="1"/>
  <c r="AE7" i="4" s="1"/>
  <c r="AF4" i="3"/>
  <c r="W3" i="4"/>
  <c r="W5" i="5"/>
  <c r="W14" i="5" s="1"/>
  <c r="AD25" i="4" l="1"/>
  <c r="AD21" i="4"/>
  <c r="AI28" i="4"/>
  <c r="AE30" i="4"/>
  <c r="AP41" i="4"/>
  <c r="AG24" i="4"/>
  <c r="AG26" i="4"/>
  <c r="AH26" i="4" s="1"/>
  <c r="AI27" i="4"/>
  <c r="AJ27" i="4" s="1"/>
  <c r="AD45" i="4"/>
  <c r="AE40" i="4"/>
  <c r="AF40" i="4" s="1"/>
  <c r="AF23" i="4"/>
  <c r="AH43" i="4"/>
  <c r="AN36" i="4"/>
  <c r="AO36" i="4" s="1"/>
  <c r="AE32" i="4"/>
  <c r="AE34" i="4"/>
  <c r="AE35" i="4"/>
  <c r="AD22" i="4"/>
  <c r="AE29" i="4"/>
  <c r="AD33" i="4"/>
  <c r="AA18" i="4"/>
  <c r="AA8" i="4"/>
  <c r="AA71" i="4" s="1"/>
  <c r="AF3" i="3"/>
  <c r="AF19" i="3" s="1"/>
  <c r="AF7" i="4" s="1"/>
  <c r="AG4" i="3"/>
  <c r="AE4" i="5"/>
  <c r="AE7" i="5" s="1"/>
  <c r="AE2" i="4"/>
  <c r="AB17" i="4"/>
  <c r="AE9" i="3"/>
  <c r="AF9" i="3" s="1"/>
  <c r="X5" i="5"/>
  <c r="X14" i="5" s="1"/>
  <c r="X3" i="4"/>
  <c r="AE25" i="4" l="1"/>
  <c r="AF30" i="4"/>
  <c r="AE33" i="4"/>
  <c r="AE39" i="4"/>
  <c r="AH24" i="4"/>
  <c r="AJ28" i="4"/>
  <c r="AE22" i="4"/>
  <c r="AE42" i="4"/>
  <c r="AF42" i="4" s="1"/>
  <c r="AG40" i="4"/>
  <c r="AQ41" i="4"/>
  <c r="AR41" i="4" s="1"/>
  <c r="AE21" i="4"/>
  <c r="AF34" i="4"/>
  <c r="AG34" i="4" s="1"/>
  <c r="AE38" i="4"/>
  <c r="AF38" i="4" s="1"/>
  <c r="AF29" i="4"/>
  <c r="AF37" i="4"/>
  <c r="AF31" i="4"/>
  <c r="AF35" i="4"/>
  <c r="AF32" i="4"/>
  <c r="AB18" i="4"/>
  <c r="AB8" i="4"/>
  <c r="AB71" i="4" s="1"/>
  <c r="AC17" i="4"/>
  <c r="AG3" i="3"/>
  <c r="AH4" i="3"/>
  <c r="AF2" i="4"/>
  <c r="AF4" i="5"/>
  <c r="AF7" i="5" s="1"/>
  <c r="Y5" i="5"/>
  <c r="Y14" i="5" s="1"/>
  <c r="Y3" i="4"/>
  <c r="AF25" i="4" l="1"/>
  <c r="AG9" i="3"/>
  <c r="AG19" i="3"/>
  <c r="AG7" i="4" s="1"/>
  <c r="AI24" i="4"/>
  <c r="AF21" i="4"/>
  <c r="AG32" i="4"/>
  <c r="AK28" i="4"/>
  <c r="AP36" i="4"/>
  <c r="AG30" i="4"/>
  <c r="AH30" i="4" s="1"/>
  <c r="AH34" i="4"/>
  <c r="AI26" i="4"/>
  <c r="AJ26" i="4" s="1"/>
  <c r="AG35" i="4"/>
  <c r="AH35" i="4" s="1"/>
  <c r="AI43" i="4"/>
  <c r="AJ43" i="4" s="1"/>
  <c r="AG29" i="4"/>
  <c r="AH29" i="4" s="1"/>
  <c r="AG38" i="4"/>
  <c r="AF22" i="4"/>
  <c r="AG22" i="4" s="1"/>
  <c r="AF39" i="4"/>
  <c r="AG39" i="4" s="1"/>
  <c r="AF33" i="4"/>
  <c r="AG31" i="4"/>
  <c r="AG37" i="4"/>
  <c r="AK27" i="4"/>
  <c r="AG23" i="4"/>
  <c r="AC18" i="4"/>
  <c r="AC8" i="4"/>
  <c r="AC71" i="4" s="1"/>
  <c r="AD17" i="4"/>
  <c r="AG2" i="4"/>
  <c r="AG4" i="5"/>
  <c r="AG7" i="5" s="1"/>
  <c r="AH3" i="3"/>
  <c r="AH19" i="3" s="1"/>
  <c r="AH7" i="4" s="1"/>
  <c r="AI4" i="3"/>
  <c r="Z5" i="5"/>
  <c r="Z14" i="5" s="1"/>
  <c r="Z3" i="4"/>
  <c r="AG25" i="4" l="1"/>
  <c r="AG42" i="4"/>
  <c r="AL27" i="4"/>
  <c r="AQ36" i="4"/>
  <c r="AH32" i="4"/>
  <c r="AJ24" i="4"/>
  <c r="AL28" i="4"/>
  <c r="AH40" i="4"/>
  <c r="AH31" i="4"/>
  <c r="AS41" i="4"/>
  <c r="AH23" i="4"/>
  <c r="AG21" i="4"/>
  <c r="AH37" i="4"/>
  <c r="AG33" i="4"/>
  <c r="AD18" i="4"/>
  <c r="AD8" i="4"/>
  <c r="AD71" i="4" s="1"/>
  <c r="AH4" i="5"/>
  <c r="AH7" i="5" s="1"/>
  <c r="AH2" i="4"/>
  <c r="AH25" i="4" s="1"/>
  <c r="AI3" i="3"/>
  <c r="AI19" i="3" s="1"/>
  <c r="AI7" i="4" s="1"/>
  <c r="AJ4" i="3"/>
  <c r="AE17" i="4"/>
  <c r="AH9" i="3"/>
  <c r="AA3" i="4"/>
  <c r="AA5" i="5"/>
  <c r="AA14" i="5" s="1"/>
  <c r="AI9" i="3" l="1"/>
  <c r="AT41" i="4"/>
  <c r="AI32" i="4"/>
  <c r="AI40" i="4"/>
  <c r="AK26" i="4"/>
  <c r="AI29" i="4"/>
  <c r="AR36" i="4"/>
  <c r="AI31" i="4"/>
  <c r="AI35" i="4"/>
  <c r="AM28" i="4"/>
  <c r="AK24" i="4"/>
  <c r="AH38" i="4"/>
  <c r="AI34" i="4"/>
  <c r="AH33" i="4"/>
  <c r="AH22" i="4"/>
  <c r="AI30" i="4"/>
  <c r="AK43" i="4"/>
  <c r="AL43" i="4" s="1"/>
  <c r="AM27" i="4"/>
  <c r="AN27" i="4" s="1"/>
  <c r="AH42" i="4"/>
  <c r="AI42" i="4" s="1"/>
  <c r="AI23" i="4"/>
  <c r="AJ23" i="4" s="1"/>
  <c r="AH39" i="4"/>
  <c r="AI37" i="4"/>
  <c r="AH21" i="4"/>
  <c r="AE18" i="4"/>
  <c r="AE8" i="4"/>
  <c r="AE71" i="4" s="1"/>
  <c r="AJ3" i="3"/>
  <c r="AK4" i="3"/>
  <c r="AF17" i="4"/>
  <c r="AI2" i="4"/>
  <c r="AI25" i="4" s="1"/>
  <c r="AI4" i="5"/>
  <c r="AI7" i="5" s="1"/>
  <c r="AB5" i="5"/>
  <c r="AB14" i="5" s="1"/>
  <c r="AB3" i="4"/>
  <c r="AI39" i="4" l="1"/>
  <c r="AJ9" i="3"/>
  <c r="AJ19" i="3"/>
  <c r="AJ7" i="4" s="1"/>
  <c r="AL24" i="4"/>
  <c r="AJ30" i="4"/>
  <c r="AL26" i="4"/>
  <c r="AI33" i="4"/>
  <c r="AI38" i="4"/>
  <c r="AN28" i="4"/>
  <c r="AI22" i="4"/>
  <c r="AJ34" i="4"/>
  <c r="AI21" i="4"/>
  <c r="AS36" i="4"/>
  <c r="AT36" i="4" s="1"/>
  <c r="AU41" i="4"/>
  <c r="AV41" i="4" s="1"/>
  <c r="AK23" i="4"/>
  <c r="AJ31" i="4"/>
  <c r="AK31" i="4" s="1"/>
  <c r="AJ32" i="4"/>
  <c r="AJ37" i="4"/>
  <c r="AJ40" i="4"/>
  <c r="AJ29" i="4"/>
  <c r="AJ35" i="4"/>
  <c r="AF18" i="4"/>
  <c r="AF8" i="4"/>
  <c r="AF71" i="4" s="1"/>
  <c r="AG17" i="4"/>
  <c r="AK3" i="3"/>
  <c r="AK19" i="3" s="1"/>
  <c r="AK7" i="4" s="1"/>
  <c r="AL4" i="3"/>
  <c r="AJ4" i="5"/>
  <c r="AJ7" i="5" s="1"/>
  <c r="AJ2" i="4"/>
  <c r="AJ25" i="4" s="1"/>
  <c r="AC3" i="4"/>
  <c r="AC5" i="5"/>
  <c r="AC14" i="5" s="1"/>
  <c r="AK34" i="4" l="1"/>
  <c r="AK29" i="4"/>
  <c r="AJ22" i="4"/>
  <c r="AJ42" i="4"/>
  <c r="AK30" i="4"/>
  <c r="AJ21" i="4"/>
  <c r="AO28" i="4"/>
  <c r="AP28" i="4" s="1"/>
  <c r="AJ33" i="4"/>
  <c r="AK33" i="4" s="1"/>
  <c r="AJ39" i="4"/>
  <c r="AK39" i="4" s="1"/>
  <c r="AM24" i="4"/>
  <c r="AN24" i="4" s="1"/>
  <c r="AL31" i="4"/>
  <c r="AM43" i="4"/>
  <c r="AN43" i="4" s="1"/>
  <c r="AK35" i="4"/>
  <c r="AL35" i="4" s="1"/>
  <c r="AK40" i="4"/>
  <c r="AL40" i="4" s="1"/>
  <c r="AK32" i="4"/>
  <c r="AL32" i="4" s="1"/>
  <c r="AO27" i="4"/>
  <c r="AJ38" i="4"/>
  <c r="AM26" i="4"/>
  <c r="AK37" i="4"/>
  <c r="AG18" i="4"/>
  <c r="AG8" i="4"/>
  <c r="AG71" i="4" s="1"/>
  <c r="AK4" i="5"/>
  <c r="AK7" i="5" s="1"/>
  <c r="AK2" i="4"/>
  <c r="AK25" i="4" s="1"/>
  <c r="AH17" i="4"/>
  <c r="AL3" i="3"/>
  <c r="AL19" i="3" s="1"/>
  <c r="AL7" i="4" s="1"/>
  <c r="AM4" i="3"/>
  <c r="AK9" i="3"/>
  <c r="AD5" i="5"/>
  <c r="AD14" i="5" s="1"/>
  <c r="AD3" i="4"/>
  <c r="AK22" i="4" l="1"/>
  <c r="AK42" i="4"/>
  <c r="AL34" i="4"/>
  <c r="AL30" i="4"/>
  <c r="AL37" i="4"/>
  <c r="AW41" i="4"/>
  <c r="AK38" i="4"/>
  <c r="AL23" i="4"/>
  <c r="AU36" i="4"/>
  <c r="AK21" i="4"/>
  <c r="AN26" i="4"/>
  <c r="AL29" i="4"/>
  <c r="AP27" i="4"/>
  <c r="AH18" i="4"/>
  <c r="AH8" i="4"/>
  <c r="AH71" i="4" s="1"/>
  <c r="AL2" i="4"/>
  <c r="AL25" i="4" s="1"/>
  <c r="AL4" i="5"/>
  <c r="AL7" i="5" s="1"/>
  <c r="AL9" i="3"/>
  <c r="AI17" i="4"/>
  <c r="AM3" i="3"/>
  <c r="AM19" i="3" s="1"/>
  <c r="AM7" i="4" s="1"/>
  <c r="AN4" i="3"/>
  <c r="AE5" i="5"/>
  <c r="AE14" i="5" s="1"/>
  <c r="AE3" i="4"/>
  <c r="AO43" i="4" l="1"/>
  <c r="AM37" i="4"/>
  <c r="AM32" i="4"/>
  <c r="AV36" i="4"/>
  <c r="AX41" i="4"/>
  <c r="AM34" i="4"/>
  <c r="AL38" i="4"/>
  <c r="AM23" i="4"/>
  <c r="AM30" i="4"/>
  <c r="AL39" i="4"/>
  <c r="AM39" i="4" s="1"/>
  <c r="AM31" i="4"/>
  <c r="AL33" i="4"/>
  <c r="AL42" i="4"/>
  <c r="AM42" i="4" s="1"/>
  <c r="AQ27" i="4"/>
  <c r="AR27" i="4" s="1"/>
  <c r="AO26" i="4"/>
  <c r="AP26" i="4" s="1"/>
  <c r="AM40" i="4"/>
  <c r="AN40" i="4" s="1"/>
  <c r="AN32" i="4"/>
  <c r="AQ28" i="4"/>
  <c r="AR28" i="4" s="1"/>
  <c r="AM29" i="4"/>
  <c r="AO24" i="4"/>
  <c r="AL22" i="4"/>
  <c r="AM35" i="4"/>
  <c r="AL21" i="4"/>
  <c r="AI18" i="4"/>
  <c r="AI8" i="4"/>
  <c r="AI71" i="4" s="1"/>
  <c r="AM4" i="5"/>
  <c r="AM7" i="5" s="1"/>
  <c r="AM2" i="4"/>
  <c r="AM25" i="4" s="1"/>
  <c r="AN3" i="3"/>
  <c r="AN19" i="3" s="1"/>
  <c r="AN7" i="4" s="1"/>
  <c r="AO4" i="3"/>
  <c r="AM9" i="3"/>
  <c r="AJ17" i="4"/>
  <c r="AF3" i="4"/>
  <c r="AF5" i="5"/>
  <c r="AF14" i="5" s="1"/>
  <c r="AN9" i="3" l="1"/>
  <c r="AY41" i="4"/>
  <c r="AN34" i="4"/>
  <c r="AN35" i="4"/>
  <c r="AN30" i="4"/>
  <c r="AM33" i="4"/>
  <c r="AM21" i="4"/>
  <c r="AP24" i="4"/>
  <c r="AQ24" i="4" s="1"/>
  <c r="AM38" i="4"/>
  <c r="AN38" i="4" s="1"/>
  <c r="AO32" i="4"/>
  <c r="AQ26" i="4"/>
  <c r="AN37" i="4"/>
  <c r="AO37" i="4" s="1"/>
  <c r="AP43" i="4"/>
  <c r="AQ43" i="4" s="1"/>
  <c r="AN23" i="4"/>
  <c r="AN31" i="4"/>
  <c r="AW36" i="4"/>
  <c r="AM22" i="4"/>
  <c r="AN29" i="4"/>
  <c r="AJ18" i="4"/>
  <c r="AJ8" i="4"/>
  <c r="AJ71" i="4" s="1"/>
  <c r="AO3" i="3"/>
  <c r="AP4" i="3"/>
  <c r="AK17" i="4"/>
  <c r="AN2" i="4"/>
  <c r="AN25" i="4" s="1"/>
  <c r="AN4" i="5"/>
  <c r="AN7" i="5" s="1"/>
  <c r="AG3" i="4"/>
  <c r="AG5" i="5"/>
  <c r="AG14" i="5" s="1"/>
  <c r="AO9" i="3" l="1"/>
  <c r="AO19" i="3"/>
  <c r="AO7" i="4" s="1"/>
  <c r="AO40" i="4"/>
  <c r="AN21" i="4"/>
  <c r="AX36" i="4"/>
  <c r="AO30" i="4"/>
  <c r="AN39" i="4"/>
  <c r="AO34" i="4"/>
  <c r="AN33" i="4"/>
  <c r="AS27" i="4"/>
  <c r="AT27" i="4" s="1"/>
  <c r="AO35" i="4"/>
  <c r="AP35" i="4" s="1"/>
  <c r="AN22" i="4"/>
  <c r="AO22" i="4" s="1"/>
  <c r="AO31" i="4"/>
  <c r="AP31" i="4" s="1"/>
  <c r="AN42" i="4"/>
  <c r="AO42" i="4" s="1"/>
  <c r="AR43" i="4"/>
  <c r="AP32" i="4"/>
  <c r="AO29" i="4"/>
  <c r="AZ41" i="4"/>
  <c r="AS28" i="4"/>
  <c r="AO23" i="4"/>
  <c r="AK18" i="4"/>
  <c r="AK8" i="4"/>
  <c r="AK71" i="4" s="1"/>
  <c r="AL17" i="4"/>
  <c r="AP3" i="3"/>
  <c r="AP19" i="3" s="1"/>
  <c r="AP7" i="4" s="1"/>
  <c r="AQ4" i="3"/>
  <c r="AO4" i="5"/>
  <c r="AO7" i="5" s="1"/>
  <c r="AO2" i="4"/>
  <c r="AO25" i="4" s="1"/>
  <c r="AH5" i="5"/>
  <c r="AH14" i="5" s="1"/>
  <c r="AH3" i="4"/>
  <c r="AP37" i="4" l="1"/>
  <c r="AY36" i="4"/>
  <c r="AR24" i="4"/>
  <c r="AO33" i="4"/>
  <c r="AO39" i="4"/>
  <c r="AP23" i="4"/>
  <c r="AQ23" i="4" s="1"/>
  <c r="AP40" i="4"/>
  <c r="AQ40" i="4" s="1"/>
  <c r="AP30" i="4"/>
  <c r="AQ30" i="4" s="1"/>
  <c r="AT28" i="4"/>
  <c r="AU28" i="4" s="1"/>
  <c r="AR26" i="4"/>
  <c r="AS26" i="4" s="1"/>
  <c r="AQ35" i="4"/>
  <c r="AP34" i="4"/>
  <c r="AO38" i="4"/>
  <c r="AO21" i="4"/>
  <c r="BA41" i="4"/>
  <c r="AP29" i="4"/>
  <c r="AL18" i="4"/>
  <c r="AL8" i="4"/>
  <c r="AL71" i="4" s="1"/>
  <c r="AQ3" i="3"/>
  <c r="AQ19" i="3" s="1"/>
  <c r="AQ7" i="4" s="1"/>
  <c r="AR4" i="3"/>
  <c r="AM17" i="4"/>
  <c r="AM8" i="4" s="1"/>
  <c r="AM71" i="4" s="1"/>
  <c r="AP2" i="4"/>
  <c r="AP25" i="4" s="1"/>
  <c r="AP4" i="5"/>
  <c r="AP7" i="5" s="1"/>
  <c r="AP9" i="3"/>
  <c r="AI3" i="4"/>
  <c r="AI5" i="5"/>
  <c r="AI14" i="5" s="1"/>
  <c r="AQ9" i="3" l="1"/>
  <c r="AS24" i="4"/>
  <c r="AP22" i="4"/>
  <c r="AZ36" i="4"/>
  <c r="AQ31" i="4"/>
  <c r="AP33" i="4"/>
  <c r="AS43" i="4"/>
  <c r="BB41" i="4"/>
  <c r="BC41" i="4" s="1"/>
  <c r="AP38" i="4"/>
  <c r="AQ38" i="4" s="1"/>
  <c r="AQ32" i="4"/>
  <c r="AR32" i="4" s="1"/>
  <c r="AR40" i="4"/>
  <c r="AP39" i="4"/>
  <c r="AQ39" i="4" s="1"/>
  <c r="AQ37" i="4"/>
  <c r="AR37" i="4" s="1"/>
  <c r="AQ29" i="4"/>
  <c r="AU27" i="4"/>
  <c r="AP42" i="4"/>
  <c r="AP21" i="4"/>
  <c r="AQ34" i="4"/>
  <c r="AM18" i="4"/>
  <c r="AR3" i="3"/>
  <c r="AS4" i="3"/>
  <c r="AN17" i="4"/>
  <c r="AQ4" i="5"/>
  <c r="AQ7" i="5" s="1"/>
  <c r="AQ2" i="4"/>
  <c r="AQ25" i="4" s="1"/>
  <c r="AJ5" i="5"/>
  <c r="AJ14" i="5" s="1"/>
  <c r="AJ3" i="4"/>
  <c r="AR9" i="3" l="1"/>
  <c r="AR19" i="3"/>
  <c r="AR7" i="4" s="1"/>
  <c r="AR31" i="4"/>
  <c r="AQ33" i="4"/>
  <c r="AQ21" i="4"/>
  <c r="BA36" i="4"/>
  <c r="AT24" i="4"/>
  <c r="AV28" i="4"/>
  <c r="AW28" i="4" s="1"/>
  <c r="AR38" i="4"/>
  <c r="AR23" i="4"/>
  <c r="AS23" i="4" s="1"/>
  <c r="AR30" i="4"/>
  <c r="AS30" i="4" s="1"/>
  <c r="AR34" i="4"/>
  <c r="AS34" i="4" s="1"/>
  <c r="AV27" i="4"/>
  <c r="AW27" i="4" s="1"/>
  <c r="AR35" i="4"/>
  <c r="AS35" i="4" s="1"/>
  <c r="AT43" i="4"/>
  <c r="AQ22" i="4"/>
  <c r="AT26" i="4"/>
  <c r="AQ42" i="4"/>
  <c r="AR29" i="4"/>
  <c r="AN18" i="4"/>
  <c r="AN8" i="4"/>
  <c r="AN71" i="4" s="1"/>
  <c r="AS3" i="3"/>
  <c r="AS19" i="3" s="1"/>
  <c r="AS7" i="4" s="1"/>
  <c r="AT4" i="3"/>
  <c r="AO17" i="4"/>
  <c r="AR2" i="4"/>
  <c r="AR25" i="4" s="1"/>
  <c r="AR4" i="5"/>
  <c r="AR7" i="5" s="1"/>
  <c r="AK5" i="5"/>
  <c r="AK14" i="5" s="1"/>
  <c r="AK3" i="4"/>
  <c r="AU24" i="4" l="1"/>
  <c r="AU26" i="4"/>
  <c r="AS29" i="4"/>
  <c r="AS31" i="4"/>
  <c r="BD41" i="4"/>
  <c r="AS37" i="4"/>
  <c r="AR33" i="4"/>
  <c r="AR22" i="4"/>
  <c r="AR39" i="4"/>
  <c r="BB36" i="4"/>
  <c r="AR21" i="4"/>
  <c r="AR42" i="4"/>
  <c r="AS32" i="4"/>
  <c r="AU43" i="4"/>
  <c r="AS40" i="4"/>
  <c r="AO18" i="4"/>
  <c r="AO8" i="4"/>
  <c r="AO71" i="4" s="1"/>
  <c r="AS2" i="4"/>
  <c r="AS25" i="4" s="1"/>
  <c r="AS4" i="5"/>
  <c r="AS7" i="5" s="1"/>
  <c r="AP17" i="4"/>
  <c r="AT3" i="3"/>
  <c r="AT19" i="3" s="1"/>
  <c r="AT7" i="4" s="1"/>
  <c r="AU4" i="3"/>
  <c r="AS9" i="3"/>
  <c r="AL5" i="5"/>
  <c r="AL14" i="5" s="1"/>
  <c r="AL3" i="4"/>
  <c r="BC36" i="4" l="1"/>
  <c r="AS33" i="4"/>
  <c r="AT31" i="4"/>
  <c r="AS39" i="4"/>
  <c r="BE41" i="4"/>
  <c r="AS22" i="4"/>
  <c r="AX28" i="4"/>
  <c r="AT37" i="4"/>
  <c r="AT9" i="3"/>
  <c r="AT35" i="4"/>
  <c r="AT40" i="4"/>
  <c r="AT34" i="4"/>
  <c r="AS42" i="4"/>
  <c r="AV24" i="4"/>
  <c r="AT32" i="4"/>
  <c r="AU32" i="4" s="1"/>
  <c r="AX27" i="4"/>
  <c r="AY27" i="4" s="1"/>
  <c r="AT29" i="4"/>
  <c r="AU29" i="4" s="1"/>
  <c r="AV26" i="4"/>
  <c r="AW26" i="4" s="1"/>
  <c r="AV43" i="4"/>
  <c r="AS38" i="4"/>
  <c r="AT30" i="4"/>
  <c r="AT23" i="4"/>
  <c r="AS21" i="4"/>
  <c r="AP18" i="4"/>
  <c r="AP8" i="4"/>
  <c r="AP71" i="4" s="1"/>
  <c r="AU3" i="3"/>
  <c r="AV4" i="3"/>
  <c r="AQ17" i="4"/>
  <c r="AT2" i="4"/>
  <c r="AT25" i="4" s="1"/>
  <c r="AT4" i="5"/>
  <c r="AT7" i="5" s="1"/>
  <c r="AM5" i="5"/>
  <c r="AM14" i="5" s="1"/>
  <c r="AM3" i="4"/>
  <c r="AT33" i="4" l="1"/>
  <c r="AU9" i="3"/>
  <c r="AU19" i="3"/>
  <c r="AU7" i="4" s="1"/>
  <c r="AT42" i="4"/>
  <c r="AU23" i="4"/>
  <c r="BF41" i="4"/>
  <c r="AT22" i="4"/>
  <c r="AT21" i="4"/>
  <c r="BD36" i="4"/>
  <c r="AU40" i="4"/>
  <c r="AV40" i="4" s="1"/>
  <c r="AU35" i="4"/>
  <c r="AV35" i="4" s="1"/>
  <c r="AT38" i="4"/>
  <c r="AU38" i="4" s="1"/>
  <c r="AT39" i="4"/>
  <c r="AU39" i="4" s="1"/>
  <c r="AX26" i="4"/>
  <c r="AW24" i="4"/>
  <c r="AX24" i="4" s="1"/>
  <c r="AU31" i="4"/>
  <c r="AU34" i="4"/>
  <c r="AU37" i="4"/>
  <c r="AY28" i="4"/>
  <c r="AU30" i="4"/>
  <c r="AW43" i="4"/>
  <c r="AQ18" i="4"/>
  <c r="AQ8" i="4"/>
  <c r="AQ71" i="4" s="1"/>
  <c r="AR17" i="4"/>
  <c r="AR8" i="4" s="1"/>
  <c r="AR71" i="4" s="1"/>
  <c r="AV3" i="3"/>
  <c r="AW4" i="3"/>
  <c r="AU2" i="4"/>
  <c r="AU25" i="4" s="1"/>
  <c r="AU4" i="5"/>
  <c r="AU7" i="5" s="1"/>
  <c r="AN5" i="5"/>
  <c r="AN14" i="5" s="1"/>
  <c r="AN3" i="4"/>
  <c r="BE36" i="4" l="1"/>
  <c r="AZ27" i="4"/>
  <c r="AV9" i="3"/>
  <c r="AV19" i="3"/>
  <c r="AV7" i="4" s="1"/>
  <c r="AV32" i="4"/>
  <c r="AZ28" i="4"/>
  <c r="AU21" i="4"/>
  <c r="AX43" i="4"/>
  <c r="AV37" i="4"/>
  <c r="AU33" i="4"/>
  <c r="BG41" i="4"/>
  <c r="AV30" i="4"/>
  <c r="AV34" i="4"/>
  <c r="AV29" i="4"/>
  <c r="AU22" i="4"/>
  <c r="AV23" i="4"/>
  <c r="AU42" i="4"/>
  <c r="AV31" i="4"/>
  <c r="AS17" i="4"/>
  <c r="AV2" i="4"/>
  <c r="AV25" i="4" s="1"/>
  <c r="AV4" i="5"/>
  <c r="AV7" i="5" s="1"/>
  <c r="AW3" i="3"/>
  <c r="AW19" i="3" s="1"/>
  <c r="AW7" i="4" s="1"/>
  <c r="AX4" i="3"/>
  <c r="AR18" i="4"/>
  <c r="AO5" i="5"/>
  <c r="AO14" i="5" s="1"/>
  <c r="AO3" i="4"/>
  <c r="AX5" i="5" l="1"/>
  <c r="AX14" i="5" s="1"/>
  <c r="AX3" i="4"/>
  <c r="BH41" i="4"/>
  <c r="AV39" i="4"/>
  <c r="AW30" i="4"/>
  <c r="AY43" i="4"/>
  <c r="AW34" i="4"/>
  <c r="AW37" i="4"/>
  <c r="AV33" i="4"/>
  <c r="BA27" i="4"/>
  <c r="AV21" i="4"/>
  <c r="AV38" i="4"/>
  <c r="AV42" i="4"/>
  <c r="AY26" i="4"/>
  <c r="AZ26" i="4" s="1"/>
  <c r="AW35" i="4"/>
  <c r="AX35" i="4" s="1"/>
  <c r="AW31" i="4"/>
  <c r="AX31" i="4" s="1"/>
  <c r="AW23" i="4"/>
  <c r="AX23" i="4" s="1"/>
  <c r="AW40" i="4"/>
  <c r="AX40" i="4" s="1"/>
  <c r="AY24" i="4"/>
  <c r="AZ24" i="4" s="1"/>
  <c r="BA28" i="4"/>
  <c r="BF36" i="4"/>
  <c r="AW32" i="4"/>
  <c r="AV22" i="4"/>
  <c r="AW29" i="4"/>
  <c r="AS18" i="4"/>
  <c r="AS8" i="4"/>
  <c r="AS71" i="4" s="1"/>
  <c r="AW4" i="5"/>
  <c r="AW7" i="5" s="1"/>
  <c r="AW2" i="4"/>
  <c r="AX3" i="3"/>
  <c r="AX19" i="3" s="1"/>
  <c r="AX7" i="4" s="1"/>
  <c r="AY4" i="3"/>
  <c r="AT17" i="4"/>
  <c r="AW9" i="3"/>
  <c r="AX9" i="3" s="1"/>
  <c r="AP3" i="4"/>
  <c r="AP5" i="5"/>
  <c r="AP14" i="5" s="1"/>
  <c r="AY5" i="5" l="1"/>
  <c r="AY14" i="5" s="1"/>
  <c r="AY3" i="4"/>
  <c r="AX34" i="4"/>
  <c r="BG36" i="4"/>
  <c r="AX30" i="4"/>
  <c r="AX4" i="5"/>
  <c r="AX7" i="5" s="1"/>
  <c r="AX2" i="4"/>
  <c r="AX29" i="4"/>
  <c r="AY29" i="4" s="1"/>
  <c r="AY40" i="4"/>
  <c r="AY35" i="4"/>
  <c r="AW33" i="4"/>
  <c r="AX33" i="4" s="1"/>
  <c r="AW42" i="4"/>
  <c r="AX42" i="4" s="1"/>
  <c r="AX37" i="4"/>
  <c r="AY37" i="4" s="1"/>
  <c r="BB27" i="4"/>
  <c r="AY23" i="4"/>
  <c r="BA26" i="4"/>
  <c r="AW38" i="4"/>
  <c r="AX38" i="4" s="1"/>
  <c r="AW21" i="4"/>
  <c r="BI41" i="4"/>
  <c r="BJ41" i="4" s="1"/>
  <c r="BB28" i="4"/>
  <c r="BC28" i="4" s="1"/>
  <c r="AW22" i="4"/>
  <c r="AX32" i="4"/>
  <c r="AZ43" i="4"/>
  <c r="AW39" i="4"/>
  <c r="AW25" i="4"/>
  <c r="AT18" i="4"/>
  <c r="AT8" i="4"/>
  <c r="AT71" i="4" s="1"/>
  <c r="AU17" i="4"/>
  <c r="AZ4" i="3"/>
  <c r="AY3" i="3"/>
  <c r="AY19" i="3" s="1"/>
  <c r="AY7" i="4" s="1"/>
  <c r="AQ3" i="4"/>
  <c r="AQ5" i="5"/>
  <c r="AQ14" i="5" s="1"/>
  <c r="AZ5" i="5" l="1"/>
  <c r="AZ14" i="5" s="1"/>
  <c r="AZ3" i="4"/>
  <c r="AY32" i="4"/>
  <c r="BA43" i="4"/>
  <c r="AX25" i="4"/>
  <c r="AX39" i="4"/>
  <c r="AY9" i="3"/>
  <c r="AY4" i="5"/>
  <c r="AY7" i="5" s="1"/>
  <c r="AY2" i="4"/>
  <c r="AZ29" i="4" s="1"/>
  <c r="BC27" i="4"/>
  <c r="BD27" i="4" s="1"/>
  <c r="AV17" i="4"/>
  <c r="AY42" i="4"/>
  <c r="AY39" i="4"/>
  <c r="AX22" i="4"/>
  <c r="AY22" i="4" s="1"/>
  <c r="BH36" i="4"/>
  <c r="AX21" i="4"/>
  <c r="AZ35" i="4"/>
  <c r="AY30" i="4"/>
  <c r="AY31" i="4"/>
  <c r="BA24" i="4"/>
  <c r="AY34" i="4"/>
  <c r="AU18" i="4"/>
  <c r="AU8" i="4"/>
  <c r="AU71" i="4" s="1"/>
  <c r="AZ3" i="3"/>
  <c r="AZ19" i="3" s="1"/>
  <c r="AZ7" i="4" s="1"/>
  <c r="BA4" i="3"/>
  <c r="AR5" i="5"/>
  <c r="AR14" i="5" s="1"/>
  <c r="AR3" i="4"/>
  <c r="AZ32" i="4" l="1"/>
  <c r="BA3" i="4"/>
  <c r="BA5" i="5"/>
  <c r="BA14" i="5" s="1"/>
  <c r="AY38" i="4"/>
  <c r="BB43" i="4"/>
  <c r="AZ40" i="4"/>
  <c r="AY25" i="4"/>
  <c r="AZ23" i="4"/>
  <c r="AZ34" i="4"/>
  <c r="BD28" i="4"/>
  <c r="AZ31" i="4"/>
  <c r="BB24" i="4"/>
  <c r="AZ30" i="4"/>
  <c r="AZ9" i="3"/>
  <c r="AZ2" i="4"/>
  <c r="BE27" i="4" s="1"/>
  <c r="AZ4" i="5"/>
  <c r="AZ7" i="5" s="1"/>
  <c r="AV8" i="4"/>
  <c r="AV71" i="4" s="1"/>
  <c r="AV18" i="4"/>
  <c r="AW17" i="4"/>
  <c r="AY21" i="4"/>
  <c r="AY33" i="4"/>
  <c r="AZ37" i="4"/>
  <c r="BB26" i="4"/>
  <c r="BI36" i="4"/>
  <c r="BK41" i="4"/>
  <c r="BB4" i="3"/>
  <c r="BA3" i="3"/>
  <c r="BA19" i="3" s="1"/>
  <c r="BA7" i="4" s="1"/>
  <c r="AS5" i="5"/>
  <c r="AS14" i="5" s="1"/>
  <c r="AS3" i="4"/>
  <c r="BA29" i="4" l="1"/>
  <c r="BB5" i="5"/>
  <c r="BB14" i="5" s="1"/>
  <c r="BB3" i="4"/>
  <c r="BC43" i="4"/>
  <c r="BA32" i="4"/>
  <c r="BA40" i="4"/>
  <c r="AZ38" i="4"/>
  <c r="BL41" i="4"/>
  <c r="BA31" i="4"/>
  <c r="BA23" i="4"/>
  <c r="BJ36" i="4"/>
  <c r="BC24" i="4"/>
  <c r="BA37" i="4"/>
  <c r="BC26" i="4"/>
  <c r="AZ33" i="4"/>
  <c r="AZ42" i="4"/>
  <c r="BE28" i="4"/>
  <c r="BA34" i="4"/>
  <c r="BA30" i="4"/>
  <c r="AZ39" i="4"/>
  <c r="BA9" i="3"/>
  <c r="BA2" i="4"/>
  <c r="BA4" i="5"/>
  <c r="BA7" i="5" s="1"/>
  <c r="AW8" i="4"/>
  <c r="AW71" i="4" s="1"/>
  <c r="AW18" i="4"/>
  <c r="AZ21" i="4"/>
  <c r="AX17" i="4"/>
  <c r="BA35" i="4"/>
  <c r="AZ25" i="4"/>
  <c r="AZ22" i="4"/>
  <c r="BB3" i="3"/>
  <c r="BB19" i="3" s="1"/>
  <c r="BB7" i="4" s="1"/>
  <c r="BC4" i="3"/>
  <c r="AT3" i="4"/>
  <c r="AT5" i="5"/>
  <c r="AT14" i="5" s="1"/>
  <c r="BB29" i="4" l="1"/>
  <c r="BC5" i="5"/>
  <c r="BC14" i="5" s="1"/>
  <c r="BC3" i="4"/>
  <c r="BM41" i="4"/>
  <c r="BB32" i="4"/>
  <c r="BB40" i="4"/>
  <c r="BA25" i="4"/>
  <c r="BD24" i="4"/>
  <c r="BA42" i="4"/>
  <c r="BA22" i="4"/>
  <c r="BD26" i="4"/>
  <c r="BB30" i="4"/>
  <c r="BB35" i="4"/>
  <c r="BD43" i="4"/>
  <c r="BA38" i="4"/>
  <c r="BK36" i="4"/>
  <c r="BB31" i="4"/>
  <c r="BB34" i="4"/>
  <c r="BB37" i="4"/>
  <c r="BB23" i="4"/>
  <c r="BF27" i="4"/>
  <c r="BA39" i="4"/>
  <c r="BA33" i="4"/>
  <c r="BA21" i="4"/>
  <c r="BB9" i="3"/>
  <c r="BB2" i="4"/>
  <c r="BB4" i="5"/>
  <c r="BB7" i="5" s="1"/>
  <c r="AX8" i="4"/>
  <c r="AX71" i="4" s="1"/>
  <c r="AX18" i="4"/>
  <c r="AY17" i="4"/>
  <c r="BF28" i="4"/>
  <c r="BD4" i="3"/>
  <c r="BC3" i="3"/>
  <c r="BC19" i="3" s="1"/>
  <c r="BC7" i="4" s="1"/>
  <c r="AW5" i="5"/>
  <c r="AW14" i="5" s="1"/>
  <c r="AW3" i="4"/>
  <c r="AU5" i="5"/>
  <c r="AU14" i="5" s="1"/>
  <c r="AU3" i="4"/>
  <c r="BD5" i="5" l="1"/>
  <c r="BD14" i="5" s="1"/>
  <c r="BD3" i="4"/>
  <c r="BB33" i="4"/>
  <c r="BN41" i="4"/>
  <c r="BB39" i="4"/>
  <c r="BG27" i="4"/>
  <c r="BC34" i="4"/>
  <c r="BL36" i="4"/>
  <c r="BM36" i="4" s="1"/>
  <c r="BB22" i="4"/>
  <c r="BC35" i="4"/>
  <c r="BB42" i="4"/>
  <c r="BG28" i="4"/>
  <c r="BE24" i="4"/>
  <c r="BE26" i="4"/>
  <c r="BC40" i="4"/>
  <c r="BC32" i="4"/>
  <c r="BD32" i="4" s="1"/>
  <c r="BB38" i="4"/>
  <c r="BC30" i="4"/>
  <c r="BE43" i="4"/>
  <c r="BC37" i="4"/>
  <c r="BC31" i="4"/>
  <c r="BB25" i="4"/>
  <c r="BC29" i="4"/>
  <c r="BC9" i="3"/>
  <c r="BC2" i="4"/>
  <c r="BC4" i="5"/>
  <c r="BC7" i="5" s="1"/>
  <c r="AY18" i="4"/>
  <c r="AY8" i="4"/>
  <c r="AY71" i="4" s="1"/>
  <c r="AZ17" i="4"/>
  <c r="BC23" i="4"/>
  <c r="BB21" i="4"/>
  <c r="BE4" i="3"/>
  <c r="BD3" i="3"/>
  <c r="BD19" i="3" s="1"/>
  <c r="BD7" i="4" s="1"/>
  <c r="AV5" i="5"/>
  <c r="AV14" i="5" s="1"/>
  <c r="AV3" i="4"/>
  <c r="BE3" i="4" l="1"/>
  <c r="BE5" i="5"/>
  <c r="BE14" i="5" s="1"/>
  <c r="BC39" i="4"/>
  <c r="BO41" i="4"/>
  <c r="BD31" i="4"/>
  <c r="BD37" i="4"/>
  <c r="BC22" i="4"/>
  <c r="BD35" i="4"/>
  <c r="BC25" i="4"/>
  <c r="BD23" i="4"/>
  <c r="BC38" i="4"/>
  <c r="BC21" i="4"/>
  <c r="AZ8" i="4"/>
  <c r="AZ71" i="4" s="1"/>
  <c r="AZ18" i="4"/>
  <c r="BA17" i="4"/>
  <c r="BD40" i="4"/>
  <c r="BD9" i="3"/>
  <c r="BD2" i="4"/>
  <c r="BD4" i="5"/>
  <c r="BD7" i="5" s="1"/>
  <c r="BF24" i="4"/>
  <c r="BH28" i="4"/>
  <c r="BD30" i="4"/>
  <c r="BD29" i="4"/>
  <c r="BC42" i="4"/>
  <c r="BF26" i="4"/>
  <c r="BD34" i="4"/>
  <c r="BH27" i="4"/>
  <c r="BC33" i="4"/>
  <c r="BF43" i="4"/>
  <c r="BF4" i="3"/>
  <c r="BE3" i="3"/>
  <c r="BE19" i="3" s="1"/>
  <c r="BE7" i="4" s="1"/>
  <c r="BF3" i="4" l="1"/>
  <c r="BF5" i="5"/>
  <c r="BF14" i="5" s="1"/>
  <c r="BD25" i="4"/>
  <c r="BD33" i="4"/>
  <c r="BD22" i="4"/>
  <c r="BE29" i="4"/>
  <c r="BB17" i="4"/>
  <c r="BG43" i="4"/>
  <c r="BE37" i="4"/>
  <c r="BE34" i="4"/>
  <c r="BA8" i="4"/>
  <c r="BA71" i="4" s="1"/>
  <c r="BA18" i="4"/>
  <c r="BI28" i="4"/>
  <c r="BD39" i="4"/>
  <c r="BE40" i="4"/>
  <c r="BG26" i="4"/>
  <c r="BD38" i="4"/>
  <c r="BG24" i="4"/>
  <c r="BE35" i="4"/>
  <c r="BN36" i="4"/>
  <c r="BE9" i="3"/>
  <c r="BE4" i="5"/>
  <c r="BE7" i="5" s="1"/>
  <c r="BE2" i="4"/>
  <c r="BI27" i="4"/>
  <c r="BE31" i="4"/>
  <c r="BD42" i="4"/>
  <c r="BE30" i="4"/>
  <c r="BE32" i="4"/>
  <c r="BD21" i="4"/>
  <c r="BE23" i="4"/>
  <c r="BF3" i="3"/>
  <c r="BF19" i="3" s="1"/>
  <c r="BF7" i="4" s="1"/>
  <c r="BG4" i="3"/>
  <c r="G1" i="5"/>
  <c r="BG5" i="5" l="1"/>
  <c r="BG14" i="5" s="1"/>
  <c r="BG3" i="4"/>
  <c r="BH26" i="4"/>
  <c r="BF40" i="4"/>
  <c r="BG40" i="4" s="1"/>
  <c r="BJ28" i="4"/>
  <c r="BK28" i="4" s="1"/>
  <c r="BF34" i="4"/>
  <c r="BF32" i="4"/>
  <c r="BF29" i="4"/>
  <c r="BE38" i="4"/>
  <c r="BE39" i="4"/>
  <c r="BF23" i="4"/>
  <c r="BH43" i="4"/>
  <c r="BI43" i="4" s="1"/>
  <c r="BF31" i="4"/>
  <c r="BG31" i="4" s="1"/>
  <c r="BH24" i="4"/>
  <c r="BI24" i="4" s="1"/>
  <c r="BF37" i="4"/>
  <c r="BF30" i="4"/>
  <c r="BE42" i="4"/>
  <c r="BF42" i="4" s="1"/>
  <c r="BJ27" i="4"/>
  <c r="BK27" i="4" s="1"/>
  <c r="BC17" i="4"/>
  <c r="BE22" i="4"/>
  <c r="G11" i="5"/>
  <c r="G53" i="4" s="1"/>
  <c r="G55" i="4" s="1"/>
  <c r="BF9" i="3"/>
  <c r="BF2" i="4"/>
  <c r="BF4" i="5"/>
  <c r="BF7" i="5" s="1"/>
  <c r="BE21" i="4"/>
  <c r="BE33" i="4"/>
  <c r="BF33" i="4" s="1"/>
  <c r="BB8" i="4"/>
  <c r="BB71" i="4" s="1"/>
  <c r="BB18" i="4"/>
  <c r="BO36" i="4"/>
  <c r="D36" i="4" s="1"/>
  <c r="BF35" i="4"/>
  <c r="BE25" i="4"/>
  <c r="BG3" i="3"/>
  <c r="BG19" i="3" s="1"/>
  <c r="BG7" i="4" s="1"/>
  <c r="BH4" i="3"/>
  <c r="BH5" i="5" l="1"/>
  <c r="BH14" i="5" s="1"/>
  <c r="BH3" i="4"/>
  <c r="BF39" i="4"/>
  <c r="BG34" i="4"/>
  <c r="BG23" i="4"/>
  <c r="BI26" i="4"/>
  <c r="BF22" i="4"/>
  <c r="BG32" i="4"/>
  <c r="BG29" i="4"/>
  <c r="BG37" i="4"/>
  <c r="BF25" i="4"/>
  <c r="BG30" i="4"/>
  <c r="BG35" i="4"/>
  <c r="BG9" i="3"/>
  <c r="BG4" i="5"/>
  <c r="BG7" i="5" s="1"/>
  <c r="BG2" i="4"/>
  <c r="BH34" i="4" s="1"/>
  <c r="BC18" i="4"/>
  <c r="BC8" i="4"/>
  <c r="BC71" i="4" s="1"/>
  <c r="BG39" i="4"/>
  <c r="BL27" i="4"/>
  <c r="BF21" i="4"/>
  <c r="BD17" i="4"/>
  <c r="BF38" i="4"/>
  <c r="BI4" i="3"/>
  <c r="BH3" i="3"/>
  <c r="BH19" i="3" s="1"/>
  <c r="BH7" i="4" s="1"/>
  <c r="BI5" i="5" l="1"/>
  <c r="BI14" i="5" s="1"/>
  <c r="BI3" i="4"/>
  <c r="BG33" i="4"/>
  <c r="BJ24" i="4"/>
  <c r="BG25" i="4"/>
  <c r="BH31" i="4"/>
  <c r="BL28" i="4"/>
  <c r="BJ26" i="4"/>
  <c r="BG42" i="4"/>
  <c r="BG38" i="4"/>
  <c r="BH23" i="4"/>
  <c r="BH30" i="4"/>
  <c r="BG21" i="4"/>
  <c r="BH9" i="3"/>
  <c r="BH2" i="4"/>
  <c r="BH33" i="4" s="1"/>
  <c r="BH4" i="5"/>
  <c r="BH7" i="5" s="1"/>
  <c r="BE17" i="4"/>
  <c r="BD8" i="4"/>
  <c r="BD71" i="4" s="1"/>
  <c r="BD18" i="4"/>
  <c r="BH29" i="4"/>
  <c r="BH32" i="4"/>
  <c r="BH37" i="4"/>
  <c r="BG22" i="4"/>
  <c r="BH35" i="4"/>
  <c r="BH40" i="4"/>
  <c r="BJ43" i="4"/>
  <c r="BJ4" i="3"/>
  <c r="BI3" i="3"/>
  <c r="BI19" i="3" s="1"/>
  <c r="BI7" i="4" s="1"/>
  <c r="BJ5" i="5" l="1"/>
  <c r="BJ14" i="5" s="1"/>
  <c r="BJ3" i="4"/>
  <c r="BH25" i="4"/>
  <c r="BK24" i="4"/>
  <c r="BI31" i="4"/>
  <c r="BI23" i="4"/>
  <c r="BI30" i="4"/>
  <c r="BM28" i="4"/>
  <c r="BI32" i="4"/>
  <c r="BI40" i="4"/>
  <c r="BJ40" i="4" s="1"/>
  <c r="BK43" i="4"/>
  <c r="BL43" i="4" s="1"/>
  <c r="BH22" i="4"/>
  <c r="BI22" i="4" s="1"/>
  <c r="BI35" i="4"/>
  <c r="BI37" i="4"/>
  <c r="BE8" i="4"/>
  <c r="BE71" i="4" s="1"/>
  <c r="BE18" i="4"/>
  <c r="BF17" i="4"/>
  <c r="BI29" i="4"/>
  <c r="BJ29" i="4" s="1"/>
  <c r="BH39" i="4"/>
  <c r="BI39" i="4" s="1"/>
  <c r="BK26" i="4"/>
  <c r="BL26" i="4" s="1"/>
  <c r="BM27" i="4"/>
  <c r="BI9" i="3"/>
  <c r="BI4" i="5"/>
  <c r="BI7" i="5" s="1"/>
  <c r="BI2" i="4"/>
  <c r="BI33" i="4" s="1"/>
  <c r="BI34" i="4"/>
  <c r="BJ34" i="4" s="1"/>
  <c r="BH42" i="4"/>
  <c r="BI42" i="4" s="1"/>
  <c r="BH21" i="4"/>
  <c r="BH38" i="4"/>
  <c r="BI38" i="4" s="1"/>
  <c r="BJ3" i="3"/>
  <c r="BJ19" i="3" s="1"/>
  <c r="BJ7" i="4" s="1"/>
  <c r="BK4" i="3"/>
  <c r="BK5" i="5" l="1"/>
  <c r="BK14" i="5" s="1"/>
  <c r="BK3" i="4"/>
  <c r="BL24" i="4"/>
  <c r="BJ31" i="4"/>
  <c r="BI21" i="4"/>
  <c r="BG17" i="4"/>
  <c r="BJ9" i="3"/>
  <c r="BJ4" i="5"/>
  <c r="BJ7" i="5" s="1"/>
  <c r="BJ2" i="4"/>
  <c r="BJ22" i="4" s="1"/>
  <c r="BF8" i="4"/>
  <c r="BF71" i="4" s="1"/>
  <c r="BF18" i="4"/>
  <c r="BM43" i="4"/>
  <c r="BK34" i="4"/>
  <c r="BJ37" i="4"/>
  <c r="BK37" i="4" s="1"/>
  <c r="BJ35" i="4"/>
  <c r="BJ23" i="4"/>
  <c r="BJ32" i="4"/>
  <c r="BI25" i="4"/>
  <c r="BJ30" i="4"/>
  <c r="BN28" i="4"/>
  <c r="BN27" i="4"/>
  <c r="BK3" i="3"/>
  <c r="BK19" i="3" s="1"/>
  <c r="BK7" i="4" s="1"/>
  <c r="BL4" i="3"/>
  <c r="BL5" i="5" l="1"/>
  <c r="BL14" i="5" s="1"/>
  <c r="BL3" i="4"/>
  <c r="BJ33" i="4"/>
  <c r="BJ42" i="4"/>
  <c r="BK29" i="4"/>
  <c r="BK9" i="3"/>
  <c r="BK2" i="4"/>
  <c r="BL34" i="4" s="1"/>
  <c r="BK4" i="5"/>
  <c r="BK7" i="5" s="1"/>
  <c r="BJ25" i="4"/>
  <c r="BK25" i="4" s="1"/>
  <c r="BN43" i="4"/>
  <c r="BO28" i="4"/>
  <c r="D28" i="4" s="1"/>
  <c r="BK32" i="4"/>
  <c r="BL32" i="4" s="1"/>
  <c r="BM24" i="4"/>
  <c r="BN24" i="4" s="1"/>
  <c r="BL37" i="4"/>
  <c r="BK42" i="4"/>
  <c r="BK30" i="4"/>
  <c r="BL30" i="4" s="1"/>
  <c r="BK23" i="4"/>
  <c r="BL23" i="4" s="1"/>
  <c r="BK40" i="4"/>
  <c r="BL40" i="4" s="1"/>
  <c r="BK31" i="4"/>
  <c r="BL31" i="4" s="1"/>
  <c r="BJ39" i="4"/>
  <c r="BK39" i="4" s="1"/>
  <c r="BH17" i="4"/>
  <c r="BO27" i="4"/>
  <c r="D27" i="4" s="1"/>
  <c r="BG18" i="4"/>
  <c r="BG8" i="4"/>
  <c r="BG71" i="4" s="1"/>
  <c r="BJ21" i="4"/>
  <c r="BJ38" i="4"/>
  <c r="BK35" i="4"/>
  <c r="BL35" i="4" s="1"/>
  <c r="BM26" i="4"/>
  <c r="BN26" i="4" s="1"/>
  <c r="BL3" i="3"/>
  <c r="BL19" i="3" s="1"/>
  <c r="BL7" i="4" s="1"/>
  <c r="BM4" i="3"/>
  <c r="BK38" i="4" l="1"/>
  <c r="BM5" i="5"/>
  <c r="BM14" i="5" s="1"/>
  <c r="BM3" i="4"/>
  <c r="BK33" i="4"/>
  <c r="BL9" i="3"/>
  <c r="BL2" i="4"/>
  <c r="BM35" i="4" s="1"/>
  <c r="BL4" i="5"/>
  <c r="BL7" i="5" s="1"/>
  <c r="BM30" i="4"/>
  <c r="BM37" i="4"/>
  <c r="BO24" i="4"/>
  <c r="D24" i="4" s="1"/>
  <c r="BL25" i="4"/>
  <c r="BM32" i="4"/>
  <c r="BK21" i="4"/>
  <c r="BI17" i="4"/>
  <c r="BL29" i="4"/>
  <c r="BH8" i="4"/>
  <c r="BH71" i="4" s="1"/>
  <c r="BH18" i="4"/>
  <c r="BK22" i="4"/>
  <c r="BN4" i="3"/>
  <c r="BM3" i="3"/>
  <c r="BM19" i="3" s="1"/>
  <c r="BM7" i="4" s="1"/>
  <c r="BN5" i="5" l="1"/>
  <c r="BN14" i="5" s="1"/>
  <c r="BN3" i="4"/>
  <c r="BJ17" i="4"/>
  <c r="BL39" i="4"/>
  <c r="BM29" i="4"/>
  <c r="BM9" i="3"/>
  <c r="BM4" i="5"/>
  <c r="BM7" i="5" s="1"/>
  <c r="BM2" i="4"/>
  <c r="BM25" i="4" s="1"/>
  <c r="BL42" i="4"/>
  <c r="BM42" i="4" s="1"/>
  <c r="BM34" i="4"/>
  <c r="BN34" i="4" s="1"/>
  <c r="BL38" i="4"/>
  <c r="BM38" i="4" s="1"/>
  <c r="BO26" i="4"/>
  <c r="D26" i="4" s="1"/>
  <c r="BM40" i="4"/>
  <c r="BN40" i="4" s="1"/>
  <c r="BM23" i="4"/>
  <c r="BN23" i="4" s="1"/>
  <c r="BM31" i="4"/>
  <c r="BN31" i="4" s="1"/>
  <c r="BL22" i="4"/>
  <c r="BI18" i="4"/>
  <c r="BI8" i="4"/>
  <c r="BI71" i="4" s="1"/>
  <c r="BL21" i="4"/>
  <c r="BL33" i="4"/>
  <c r="BO43" i="4"/>
  <c r="BN3" i="3"/>
  <c r="BN19" i="3" s="1"/>
  <c r="BN7" i="4" s="1"/>
  <c r="BO4" i="3"/>
  <c r="BO3" i="3" l="1"/>
  <c r="BO19" i="3" s="1"/>
  <c r="BO3" i="4"/>
  <c r="BO5" i="5"/>
  <c r="BO14" i="5" s="1"/>
  <c r="BO7" i="4"/>
  <c r="D7" i="4" s="1"/>
  <c r="D19" i="3"/>
  <c r="C13" i="2" s="1"/>
  <c r="BK17" i="4"/>
  <c r="BN32" i="4"/>
  <c r="BN9" i="3"/>
  <c r="BO9" i="3" s="1"/>
  <c r="BN2" i="4"/>
  <c r="BN4" i="5"/>
  <c r="BN7" i="5" s="1"/>
  <c r="BM33" i="4"/>
  <c r="BN33" i="4" s="1"/>
  <c r="BN37" i="4"/>
  <c r="BO37" i="4" s="1"/>
  <c r="D37" i="4" s="1"/>
  <c r="BO23" i="4"/>
  <c r="BN42" i="4"/>
  <c r="BM21" i="4"/>
  <c r="BN30" i="4"/>
  <c r="BO30" i="4" s="1"/>
  <c r="D30" i="4" s="1"/>
  <c r="BO2" i="4"/>
  <c r="BO17" i="4" s="1"/>
  <c r="BO4" i="5"/>
  <c r="BO7" i="5" s="1"/>
  <c r="BN29" i="4"/>
  <c r="BM39" i="4"/>
  <c r="BJ8" i="4"/>
  <c r="BJ71" i="4" s="1"/>
  <c r="BJ18" i="4"/>
  <c r="BM22" i="4"/>
  <c r="BN35" i="4"/>
  <c r="BO42" i="4" l="1"/>
  <c r="BM17" i="4"/>
  <c r="BM8" i="4" s="1"/>
  <c r="BM71" i="4" s="1"/>
  <c r="BO33" i="4"/>
  <c r="D33" i="4" s="1"/>
  <c r="BO35" i="4"/>
  <c r="D35" i="4" s="1"/>
  <c r="BN21" i="4"/>
  <c r="BN39" i="4"/>
  <c r="BO39" i="4" s="1"/>
  <c r="D39" i="4" s="1"/>
  <c r="BN17" i="4"/>
  <c r="BL17" i="4"/>
  <c r="BN22" i="4"/>
  <c r="BO22" i="4" s="1"/>
  <c r="D22" i="4" s="1"/>
  <c r="BO34" i="4"/>
  <c r="D34" i="4" s="1"/>
  <c r="BN38" i="4"/>
  <c r="BO38" i="4" s="1"/>
  <c r="D38" i="4" s="1"/>
  <c r="BO32" i="4"/>
  <c r="D32" i="4" s="1"/>
  <c r="BK8" i="4"/>
  <c r="BK71" i="4" s="1"/>
  <c r="BK18" i="4"/>
  <c r="BO40" i="4"/>
  <c r="D40" i="4" s="1"/>
  <c r="BO31" i="4"/>
  <c r="D31" i="4" s="1"/>
  <c r="BO29" i="4"/>
  <c r="D29" i="4" s="1"/>
  <c r="BO8" i="4"/>
  <c r="BO71" i="4" s="1"/>
  <c r="BO18" i="4"/>
  <c r="BN25" i="4"/>
  <c r="BO25" i="4" s="1"/>
  <c r="D25" i="4" s="1"/>
  <c r="D23" i="4"/>
  <c r="BM18" i="4" l="1"/>
  <c r="D17" i="4"/>
  <c r="D18" i="4" s="1"/>
  <c r="BL8" i="4"/>
  <c r="BL71" i="4" s="1"/>
  <c r="BL18" i="4"/>
  <c r="BN8" i="4"/>
  <c r="BN71" i="4" s="1"/>
  <c r="BN18" i="4"/>
  <c r="BO21" i="4"/>
  <c r="S11" i="3"/>
  <c r="T11" i="3"/>
  <c r="U11" i="3"/>
  <c r="V11" i="3"/>
  <c r="W11" i="3"/>
  <c r="X11" i="3"/>
  <c r="D21" i="4" l="1"/>
  <c r="D41" i="4" l="1"/>
  <c r="D42" i="4"/>
  <c r="D43" i="4"/>
  <c r="Y10" i="3" l="1"/>
  <c r="Y11" i="3" s="1"/>
  <c r="Y12" i="3" l="1"/>
  <c r="Y14" i="3" s="1"/>
  <c r="Y5" i="4" l="1"/>
  <c r="Y9" i="4" s="1"/>
  <c r="Y46" i="4" l="1"/>
  <c r="AF45" i="4"/>
  <c r="AG45" i="4" s="1"/>
  <c r="AH45" i="4" l="1"/>
  <c r="AI45" i="4" s="1"/>
  <c r="AJ45" i="4" s="1"/>
  <c r="AK45" i="4" l="1"/>
  <c r="AL45" i="4" l="1"/>
  <c r="AM45" i="4" l="1"/>
  <c r="AN45" i="4" l="1"/>
  <c r="AO45" i="4" s="1"/>
  <c r="AP45" i="4" l="1"/>
  <c r="F7" i="2"/>
  <c r="F8" i="2"/>
  <c r="B13" i="2"/>
  <c r="D13" i="2"/>
  <c r="E13" i="2"/>
  <c r="F13" i="2"/>
  <c r="I13" i="2"/>
  <c r="K13" i="2"/>
  <c r="F20" i="2"/>
  <c r="G20" i="2"/>
  <c r="D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D8" i="4"/>
  <c r="M8" i="4"/>
  <c r="D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D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D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D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D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D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D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D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D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D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D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D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D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D57" i="4"/>
  <c r="BE57" i="4"/>
  <c r="BF57" i="4"/>
  <c r="BG57" i="4"/>
  <c r="BH57" i="4"/>
  <c r="BI57" i="4"/>
  <c r="BJ57" i="4"/>
  <c r="BK57" i="4"/>
  <c r="BL57" i="4"/>
  <c r="BM57" i="4"/>
  <c r="BN57" i="4"/>
  <c r="D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J61" i="4"/>
  <c r="BK61" i="4"/>
  <c r="BL61" i="4"/>
  <c r="BM61" i="4"/>
  <c r="BN61" i="4"/>
  <c r="BO61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M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H77" i="4"/>
  <c r="H78" i="4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F2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D7" i="5"/>
  <c r="M7" i="5"/>
  <c r="D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D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D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D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D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D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D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D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D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D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D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D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Semper</author>
  </authors>
  <commentList>
    <comment ref="D20" authorId="0" shapeId="0" xr:uid="{98913BE8-4E84-416A-BEC8-C812B9494102}">
      <text>
        <r>
          <rPr>
            <b/>
            <sz val="9"/>
            <color indexed="81"/>
            <rFont val="Tahoma"/>
            <charset val="1"/>
          </rPr>
          <t>Christopher Semper:</t>
        </r>
        <r>
          <rPr>
            <sz val="9"/>
            <color indexed="81"/>
            <rFont val="Tahoma"/>
            <charset val="1"/>
          </rPr>
          <t xml:space="preserve">
10 quarterly x 4 = 40 yearly</t>
        </r>
      </text>
    </comment>
    <comment ref="C33" authorId="0" shapeId="0" xr:uid="{A1DD6C53-7B99-4F62-B740-CFA357858D5D}">
      <text>
        <r>
          <rPr>
            <b/>
            <sz val="9"/>
            <color indexed="81"/>
            <rFont val="Tahoma"/>
            <family val="2"/>
          </rPr>
          <t>Christopher Semper:</t>
        </r>
        <r>
          <rPr>
            <sz val="9"/>
            <color indexed="81"/>
            <rFont val="Tahoma"/>
            <family val="2"/>
          </rPr>
          <t xml:space="preserve">
$2.50/sq ft x 43,560 (sq ft in an acre)</t>
        </r>
      </text>
    </comment>
    <comment ref="B55" authorId="0" shapeId="0" xr:uid="{E80B1D5C-1CB6-4651-BA3E-FD8248654AE6}">
      <text>
        <r>
          <rPr>
            <b/>
            <sz val="9"/>
            <color indexed="81"/>
            <rFont val="Tahoma"/>
            <charset val="1"/>
          </rPr>
          <t>Christopher Semper:</t>
        </r>
        <r>
          <rPr>
            <sz val="9"/>
            <color indexed="81"/>
            <rFont val="Tahoma"/>
            <charset val="1"/>
          </rPr>
          <t xml:space="preserve">
90 days after effective date of PSA</t>
        </r>
      </text>
    </comment>
    <comment ref="B56" authorId="0" shapeId="0" xr:uid="{6A950A6B-E1F7-4715-A8A2-63AABB9B8701}">
      <text>
        <r>
          <rPr>
            <b/>
            <sz val="9"/>
            <color indexed="81"/>
            <rFont val="Tahoma"/>
            <charset val="1"/>
          </rPr>
          <t>Christopher Semper:</t>
        </r>
        <r>
          <rPr>
            <sz val="9"/>
            <color indexed="81"/>
            <rFont val="Tahoma"/>
            <charset val="1"/>
          </rPr>
          <t xml:space="preserve">
Month after feasibility expires
</t>
        </r>
      </text>
    </comment>
    <comment ref="B57" authorId="0" shapeId="0" xr:uid="{239CFD3E-3CF9-4BF0-A700-03D77A9EA7E5}">
      <text>
        <r>
          <rPr>
            <b/>
            <sz val="9"/>
            <color indexed="81"/>
            <rFont val="Tahoma"/>
            <charset val="1"/>
          </rPr>
          <t>Christopher Semper:</t>
        </r>
        <r>
          <rPr>
            <sz val="9"/>
            <color indexed="81"/>
            <rFont val="Tahoma"/>
            <charset val="1"/>
          </rPr>
          <t xml:space="preserve">
Month after Feasibility expires</t>
        </r>
      </text>
    </comment>
    <comment ref="B61" authorId="0" shapeId="0" xr:uid="{9B72C04B-3955-4140-9D47-B2791F6E189F}">
      <text>
        <r>
          <rPr>
            <b/>
            <sz val="9"/>
            <color indexed="81"/>
            <rFont val="Tahoma"/>
            <charset val="1"/>
          </rPr>
          <t>Christopher Semper:</t>
        </r>
        <r>
          <rPr>
            <sz val="9"/>
            <color indexed="81"/>
            <rFont val="Tahoma"/>
            <charset val="1"/>
          </rPr>
          <t xml:space="preserve">
12 months after last lot closing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Semper</author>
  </authors>
  <commentList>
    <comment ref="BO49" authorId="0" shapeId="0" xr:uid="{4559B0C9-9396-44CC-8A8F-A7D5AD1159E5}">
      <text>
        <r>
          <rPr>
            <b/>
            <sz val="9"/>
            <color indexed="81"/>
            <rFont val="Tahoma"/>
            <family val="2"/>
          </rPr>
          <t>Christopher Semper:</t>
        </r>
        <r>
          <rPr>
            <sz val="9"/>
            <color indexed="81"/>
            <rFont val="Tahoma"/>
            <family val="2"/>
          </rPr>
          <t xml:space="preserve">
plug for profit</t>
        </r>
      </text>
    </comment>
    <comment ref="D53" authorId="0" shapeId="0" xr:uid="{244BD82B-447A-435F-83F4-8C314B6395B5}">
      <text>
        <r>
          <rPr>
            <b/>
            <sz val="9"/>
            <color indexed="81"/>
            <rFont val="Tahoma"/>
            <charset val="1"/>
          </rPr>
          <t>Christopher Semper: needs to be positive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9" authorId="0" shapeId="0" xr:uid="{2598CCAB-5B4B-40C8-9EAF-9EF4E3BA91D2}">
      <text>
        <r>
          <rPr>
            <b/>
            <sz val="9"/>
            <color indexed="81"/>
            <rFont val="Tahoma"/>
            <charset val="1"/>
          </rPr>
          <t>Christopher Semper: when model is complete this should = 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77" authorId="0" shapeId="0" xr:uid="{7C466368-B090-4D04-9B91-B4EF23E5CCA9}">
      <text>
        <r>
          <rPr>
            <b/>
            <sz val="9"/>
            <color indexed="81"/>
            <rFont val="Tahoma"/>
            <charset val="1"/>
          </rPr>
          <t>Christopher Semper:</t>
        </r>
        <r>
          <rPr>
            <sz val="9"/>
            <color indexed="81"/>
            <rFont val="Tahoma"/>
            <charset val="1"/>
          </rPr>
          <t xml:space="preserve">
ROC and Profit collected in months they are realized instead of all in the final month.</t>
        </r>
      </text>
    </comment>
  </commentList>
</comments>
</file>

<file path=xl/sharedStrings.xml><?xml version="1.0" encoding="utf-8"?>
<sst xmlns="http://schemas.openxmlformats.org/spreadsheetml/2006/main" count="291" uniqueCount="214">
  <si>
    <t>ASSUMPTIONS</t>
  </si>
  <si>
    <t>Description</t>
  </si>
  <si>
    <t>Beginning Base Lot Price</t>
  </si>
  <si>
    <t>Sales Without Escalation</t>
  </si>
  <si>
    <t>Total</t>
  </si>
  <si>
    <t>Total Cost</t>
  </si>
  <si>
    <t>Profit</t>
  </si>
  <si>
    <t>IRR</t>
  </si>
  <si>
    <t>Total Acres</t>
  </si>
  <si>
    <t>Density</t>
  </si>
  <si>
    <t>Period Ending</t>
  </si>
  <si>
    <t>Cash Sources:</t>
  </si>
  <si>
    <t xml:space="preserve">  Total</t>
  </si>
  <si>
    <t>Debt Service:</t>
  </si>
  <si>
    <t>Interest Expense</t>
  </si>
  <si>
    <t>Total Cash Uses</t>
  </si>
  <si>
    <t>Net Cash Flow</t>
  </si>
  <si>
    <t>Cumulative Cash Flow</t>
  </si>
  <si>
    <t>Beginning Balance</t>
  </si>
  <si>
    <t>Ending Balance</t>
  </si>
  <si>
    <t>DEBT SCHEDULE</t>
  </si>
  <si>
    <t>-</t>
  </si>
  <si>
    <t>IRR=</t>
  </si>
  <si>
    <t>Other Revenue</t>
  </si>
  <si>
    <t>+</t>
  </si>
  <si>
    <t>=</t>
  </si>
  <si>
    <t>Total Revenue</t>
  </si>
  <si>
    <t>Total Sales With Escalation</t>
  </si>
  <si>
    <t>Number of Lots</t>
  </si>
  <si>
    <t>Return of Capital</t>
  </si>
  <si>
    <t>Profit Payout</t>
  </si>
  <si>
    <t>Operating Account:</t>
  </si>
  <si>
    <t>Capital Contributions</t>
  </si>
  <si>
    <t>Plus: Debt Issuance for Land</t>
  </si>
  <si>
    <t>Debt Issuance</t>
  </si>
  <si>
    <t>Plus: Debt Issuance for Interest Expense</t>
  </si>
  <si>
    <t>Land Acquisition</t>
  </si>
  <si>
    <t>Cash Uses:</t>
  </si>
  <si>
    <t>SALES PROCEEDS</t>
  </si>
  <si>
    <t>Total Cash Sources</t>
  </si>
  <si>
    <t>Absorption Per</t>
  </si>
  <si>
    <t>Year</t>
  </si>
  <si>
    <t>Loan Request</t>
  </si>
  <si>
    <r>
      <t>Total Sales With Escalation</t>
    </r>
    <r>
      <rPr>
        <b/>
        <vertAlign val="superscript"/>
        <sz val="10"/>
        <rFont val="Arial"/>
        <family val="2"/>
      </rPr>
      <t>1</t>
    </r>
  </si>
  <si>
    <t>Less: Unscheduled Amortization</t>
  </si>
  <si>
    <t>Initial Amount Financed</t>
  </si>
  <si>
    <t xml:space="preserve">Return of Capital </t>
  </si>
  <si>
    <t>Partners Capital (cash basis):</t>
  </si>
  <si>
    <t>Debt Proceeds - Phase 1 A&amp;D Loan</t>
  </si>
  <si>
    <t>Scheduled Amortization - Phase 1 A&amp;D Loan</t>
  </si>
  <si>
    <t>Unscheduled Amortization - Phase 1 A&amp;D Loan</t>
  </si>
  <si>
    <t>Interest Expense - Phase 1 A&amp;D Loan</t>
  </si>
  <si>
    <t xml:space="preserve">Beginning Balance - Phase 1 A&amp;D Loan </t>
  </si>
  <si>
    <t xml:space="preserve">Lot Takedown Schedule </t>
  </si>
  <si>
    <t>Loan Option 1</t>
  </si>
  <si>
    <t>Loan Option 2</t>
  </si>
  <si>
    <t>Equity Requirement</t>
  </si>
  <si>
    <t>Maximum Loan</t>
  </si>
  <si>
    <t xml:space="preserve">A&amp;D Loan </t>
  </si>
  <si>
    <t>Base lot price</t>
  </si>
  <si>
    <t>Land Cost</t>
  </si>
  <si>
    <t>Development Hard Cost</t>
  </si>
  <si>
    <t>Lender's Collateral Release Rate</t>
  </si>
  <si>
    <t xml:space="preserve">Lender's Collateral Release Rate </t>
  </si>
  <si>
    <t>Interest Rate</t>
  </si>
  <si>
    <t xml:space="preserve">Estimated Appraised Value of Phase 1  </t>
  </si>
  <si>
    <t xml:space="preserve">Estimated Cost of Phase 1  </t>
  </si>
  <si>
    <t>Months of Interest</t>
  </si>
  <si>
    <t>Lots</t>
  </si>
  <si>
    <t>LDEV 668</t>
  </si>
  <si>
    <t>Development Construction begins upon A&amp;D Loan Closing.</t>
  </si>
  <si>
    <t>Phase 1</t>
  </si>
  <si>
    <t>Closing Costs per Lot</t>
  </si>
  <si>
    <t>Escalation Rate Increase</t>
  </si>
  <si>
    <t>A&amp;D Loan Interest Rate Increase</t>
  </si>
  <si>
    <t>Total Estimated Development Cost</t>
  </si>
  <si>
    <t>Property taxes per acre</t>
  </si>
  <si>
    <t>Property taxes per lot = base lot value x tax rate</t>
  </si>
  <si>
    <t>Lot Escalation Rate</t>
  </si>
  <si>
    <t>Cumulative Lot Absorption</t>
  </si>
  <si>
    <t>Lot Escalation</t>
  </si>
  <si>
    <t>Total Sales with Escalation</t>
  </si>
  <si>
    <t>668 Sample</t>
  </si>
  <si>
    <t>Interest Rate on A&amp;D Loan</t>
  </si>
  <si>
    <t>Average Outstanding Loan Balance</t>
  </si>
  <si>
    <t>Earnest Money</t>
  </si>
  <si>
    <t>Loan to Cost Ratio</t>
  </si>
  <si>
    <t>Loan to Value Ratio</t>
  </si>
  <si>
    <t>Roll-Back Taxes</t>
  </si>
  <si>
    <t>none</t>
  </si>
  <si>
    <t>Initial Lot Takedown (aka Lot Closing)</t>
  </si>
  <si>
    <t>Quarterly Lot Takedown (aka Lot Closing)</t>
  </si>
  <si>
    <t>A&amp;D Loan Fees</t>
  </si>
  <si>
    <t>Gross Acres</t>
  </si>
  <si>
    <t>Per Acre Land Price</t>
  </si>
  <si>
    <t>Lot Yield</t>
  </si>
  <si>
    <t>A&amp;D Loan Closing Date</t>
  </si>
  <si>
    <t>Initial Lot Takedown is the same month as SC</t>
  </si>
  <si>
    <t>Lot Substantial Completion Date (SC)</t>
  </si>
  <si>
    <t>Escalation Rate Increase Date</t>
  </si>
  <si>
    <t>Total Lot Sales Revenue</t>
  </si>
  <si>
    <t>A&amp;D Loan Interest Rate Increase Date</t>
  </si>
  <si>
    <t>Total Ending Balance</t>
  </si>
  <si>
    <t>Less: Scheduled Amortization</t>
  </si>
  <si>
    <t>A&amp;D LOAN</t>
  </si>
  <si>
    <t>Total Value/Cost</t>
  </si>
  <si>
    <t>Value/Cost</t>
  </si>
  <si>
    <t>Percent Financed</t>
  </si>
  <si>
    <t>Partner's Cash Flow</t>
  </si>
  <si>
    <t>Monthly Cash Flow</t>
  </si>
  <si>
    <t>XIRR=</t>
  </si>
  <si>
    <t>Input Variables - Cost Assumptions</t>
  </si>
  <si>
    <t>Input Variables - Key Dates</t>
  </si>
  <si>
    <t>Effective Date</t>
  </si>
  <si>
    <t>End of Feasibility</t>
  </si>
  <si>
    <t>Land Closing Date</t>
  </si>
  <si>
    <t>Additional Earnest Money - Paid at End of Feasibility</t>
  </si>
  <si>
    <t>MUD Reimbursement</t>
  </si>
  <si>
    <t>Notes</t>
  </si>
  <si>
    <t>A&amp;D Loan and Land Closing 1 month after end of feasibility</t>
  </si>
  <si>
    <t>End of Feasibility is 90 days after Effective Date</t>
  </si>
  <si>
    <t>MUD Reimbursement 12 months after final lot closing</t>
  </si>
  <si>
    <t>PRELIMINARY BUDGET</t>
  </si>
  <si>
    <t>Acres</t>
  </si>
  <si>
    <t>Net Acres</t>
  </si>
  <si>
    <t>PRELIMINARY ESTIMATE</t>
  </si>
  <si>
    <t>DU/AC</t>
  </si>
  <si>
    <t>MUD</t>
  </si>
  <si>
    <t>Reimbursables</t>
  </si>
  <si>
    <t>Developer</t>
  </si>
  <si>
    <t>Estimated Development Costs</t>
  </si>
  <si>
    <t>Amount</t>
  </si>
  <si>
    <t>Budget</t>
  </si>
  <si>
    <t>Share</t>
  </si>
  <si>
    <t>Paid at Closing</t>
  </si>
  <si>
    <t>per acre</t>
  </si>
  <si>
    <t>Rollback Taxes</t>
  </si>
  <si>
    <t>estimate from appraisal district data</t>
  </si>
  <si>
    <t>Boundary Survey, Topo, Land Plan, Environmental, Geotech, etc.</t>
  </si>
  <si>
    <t>SWAG</t>
  </si>
  <si>
    <t>Clearing and Grubbing</t>
  </si>
  <si>
    <t>*</t>
  </si>
  <si>
    <t>Paid the month after Closing</t>
  </si>
  <si>
    <t>per net acre</t>
  </si>
  <si>
    <t>WS&amp;D Distribution</t>
  </si>
  <si>
    <t>Paid over 6 months- starts 3 months after CLOSING</t>
  </si>
  <si>
    <t>Detention Pond</t>
  </si>
  <si>
    <t>per CY</t>
  </si>
  <si>
    <t>Off-Site WS&amp;D</t>
  </si>
  <si>
    <t xml:space="preserve">Paving </t>
  </si>
  <si>
    <t>Paid over 6 months- starts 5 months after CLOSING</t>
  </si>
  <si>
    <t>Off-Site Paving</t>
  </si>
  <si>
    <t>Engineering - WS&amp;D</t>
  </si>
  <si>
    <t>Paid over 8 months- starts the month after CLOSING</t>
  </si>
  <si>
    <t>Percentage</t>
  </si>
  <si>
    <t>Engineering - Paving</t>
  </si>
  <si>
    <t>Engineering - Drainage Study</t>
  </si>
  <si>
    <t>Engineering - Miscellaneous</t>
  </si>
  <si>
    <t>MUD Creation/Annexation</t>
  </si>
  <si>
    <t>Materials Testing - WS&amp;D</t>
  </si>
  <si>
    <t xml:space="preserve">Materials Testing - Paving </t>
  </si>
  <si>
    <t>Entries, landscaping, amenities, etc.</t>
  </si>
  <si>
    <t>Paid over 3 months- starts 10 months after CLOSING</t>
  </si>
  <si>
    <t>SWAG per lot</t>
  </si>
  <si>
    <t>Removal of House, plugging of wells, etc…</t>
  </si>
  <si>
    <t>Legal Fees</t>
  </si>
  <si>
    <t>Development Management Fees</t>
  </si>
  <si>
    <t>Per Lot</t>
  </si>
  <si>
    <t>SWPPP</t>
  </si>
  <si>
    <t>Paid over 12 months- starts the month after CLOSING</t>
  </si>
  <si>
    <t>HOA Administration/Subsidy</t>
  </si>
  <si>
    <t>Paid the same month as the first Lot Closing</t>
  </si>
  <si>
    <t>Development Loan Interest</t>
  </si>
  <si>
    <t>See below</t>
  </si>
  <si>
    <t>Contingency</t>
  </si>
  <si>
    <t>Paid over 12 months- starts 3 months after CLOSING</t>
  </si>
  <si>
    <t>TOTALS</t>
  </si>
  <si>
    <t>COST PER LOT</t>
  </si>
  <si>
    <t xml:space="preserve">COST PER ACRE </t>
  </si>
  <si>
    <t>MUD Reimbursement Percentage</t>
  </si>
  <si>
    <t>24.127 Acres</t>
  </si>
  <si>
    <t>Lot Closing Costs</t>
  </si>
  <si>
    <t>Property Taxes</t>
  </si>
  <si>
    <t>Total Lot Sales Proceeds</t>
  </si>
  <si>
    <t>TOTAL SALES PROCEEDS &amp; MUD REIMB.</t>
  </si>
  <si>
    <t>Development Costs</t>
  </si>
  <si>
    <t>Equity Contribution - Initial Contribution</t>
  </si>
  <si>
    <t>NAME:</t>
  </si>
  <si>
    <t>CHRIS SEMPER &amp; ROBERT MCLEOD</t>
  </si>
  <si>
    <t>XIRR</t>
  </si>
  <si>
    <t>MUD 37</t>
  </si>
  <si>
    <t>Plus: Debt Issuance for Development Costs</t>
  </si>
  <si>
    <t>Initial Development Cost Estimate for Loan Sizing</t>
  </si>
  <si>
    <t>Task</t>
  </si>
  <si>
    <t>Completion</t>
  </si>
  <si>
    <t>PSA Effective Date</t>
  </si>
  <si>
    <t>Preliminary Plat Approval</t>
  </si>
  <si>
    <t>Civil Engineering Plan Approval</t>
  </si>
  <si>
    <t>Bidding and Awarding Contracts</t>
  </si>
  <si>
    <t>Water, Sewer and Drainage</t>
  </si>
  <si>
    <t>Paving</t>
  </si>
  <si>
    <t>Clearing, Grubbing and Grading</t>
  </si>
  <si>
    <t>Entries, Landscaping and Amenities</t>
  </si>
  <si>
    <t>Inspections, Test Results, and Acceptance Package</t>
  </si>
  <si>
    <t>Final Plat Recordation</t>
  </si>
  <si>
    <t>Completion Date</t>
  </si>
  <si>
    <t>Closing (Land and A&amp;D Loan)</t>
  </si>
  <si>
    <t>Lot Substantial Completion</t>
  </si>
  <si>
    <t>Final Lot Sale</t>
  </si>
  <si>
    <t>MUD Reimbursement and Partnership Closeout</t>
  </si>
  <si>
    <t>Years</t>
  </si>
  <si>
    <t>Months</t>
  </si>
  <si>
    <t>Timing of Payment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</si>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</sst>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m/yy"/>
    <numFmt numFmtId="167" formatCode="0.0%"/>
    <numFmt numFmtId="168" formatCode="[$-409]mmm\-yy;@"/>
    <numFmt numFmtId="169" formatCode="m/d/yy;@"/>
    <numFmt numFmtId="170" formatCode=";;;"/>
    <numFmt numFmtId="171" formatCode="mmm\-yyyy"/>
    <numFmt numFmtId="172" formatCode="#,##0.000"/>
    <numFmt numFmtId="173" formatCode="0.0"/>
    <numFmt numFmtId="174" formatCode="_(* #,##0_);_(* \(#,##0\);_(* &quot;-&quot;??_);_(@_)"/>
    <numFmt numFmtId="175" formatCode="#,##0.0_);[Red]\(#,##0.0\)"/>
    <numFmt numFmtId="176" formatCode="#,##0.0000000_);\(#,##0.0000000\)"/>
    <numFmt numFmtId="177" formatCode="mmmm\ yyyy"/>
    <numFmt numFmtId="179" formatCode="yyyy\-mm\-dd;@"/>
  </numFmts>
  <fonts count="48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8"/>
      <color indexed="12"/>
      <name val="Arial"/>
      <family val="2"/>
    </font>
    <font>
      <b/>
      <sz val="6"/>
      <name val="Arial"/>
      <family val="2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  <font>
      <b/>
      <i/>
      <sz val="10"/>
      <color indexed="8"/>
      <name val="Arial"/>
      <family val="2"/>
    </font>
    <font>
      <i/>
      <sz val="10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vertAlign val="superscript"/>
      <sz val="10"/>
      <name val="Arial"/>
      <family val="2"/>
    </font>
    <font>
      <b/>
      <sz val="8"/>
      <color indexed="9"/>
      <name val="Arial"/>
      <family val="2"/>
    </font>
    <font>
      <i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6"/>
      <color theme="1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37" fontId="4" fillId="0" borderId="1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" xfId="0" applyFont="1" applyBorder="1"/>
    <xf numFmtId="0" fontId="7" fillId="0" borderId="2" xfId="0" applyFont="1" applyBorder="1" applyAlignment="1">
      <alignment horizontal="center"/>
    </xf>
    <xf numFmtId="166" fontId="7" fillId="0" borderId="3" xfId="0" applyNumberFormat="1" applyFont="1" applyBorder="1"/>
    <xf numFmtId="166" fontId="11" fillId="0" borderId="2" xfId="0" applyNumberFormat="1" applyFont="1" applyBorder="1" applyAlignment="1">
      <alignment horizontal="center"/>
    </xf>
    <xf numFmtId="37" fontId="7" fillId="0" borderId="2" xfId="0" applyNumberFormat="1" applyFont="1" applyBorder="1" applyAlignment="1">
      <alignment horizontal="center"/>
    </xf>
    <xf numFmtId="0" fontId="6" fillId="0" borderId="3" xfId="0" applyFont="1" applyBorder="1"/>
    <xf numFmtId="37" fontId="16" fillId="0" borderId="2" xfId="0" applyNumberFormat="1" applyFont="1" applyBorder="1" applyAlignment="1">
      <alignment horizontal="center"/>
    </xf>
    <xf numFmtId="0" fontId="15" fillId="0" borderId="3" xfId="0" applyFont="1" applyBorder="1"/>
    <xf numFmtId="0" fontId="12" fillId="0" borderId="3" xfId="0" applyFont="1" applyBorder="1"/>
    <xf numFmtId="0" fontId="4" fillId="0" borderId="7" xfId="0" applyFont="1" applyBorder="1"/>
    <xf numFmtId="0" fontId="18" fillId="0" borderId="3" xfId="0" applyFont="1" applyBorder="1"/>
    <xf numFmtId="0" fontId="4" fillId="0" borderId="5" xfId="0" applyFont="1" applyBorder="1"/>
    <xf numFmtId="0" fontId="4" fillId="0" borderId="4" xfId="0" applyFont="1" applyBorder="1"/>
    <xf numFmtId="0" fontId="19" fillId="2" borderId="1" xfId="0" applyFont="1" applyFill="1" applyBorder="1"/>
    <xf numFmtId="0" fontId="20" fillId="2" borderId="1" xfId="0" applyFont="1" applyFill="1" applyBorder="1"/>
    <xf numFmtId="0" fontId="21" fillId="0" borderId="0" xfId="0" applyFont="1"/>
    <xf numFmtId="0" fontId="8" fillId="0" borderId="9" xfId="0" applyFont="1" applyBorder="1" applyAlignment="1">
      <alignment horizontal="right"/>
    </xf>
    <xf numFmtId="10" fontId="8" fillId="0" borderId="10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3" xfId="0" quotePrefix="1" applyBorder="1" applyAlignment="1">
      <alignment horizontal="right"/>
    </xf>
    <xf numFmtId="5" fontId="4" fillId="0" borderId="3" xfId="0" applyNumberFormat="1" applyFont="1" applyBorder="1" applyAlignment="1">
      <alignment horizontal="center"/>
    </xf>
    <xf numFmtId="17" fontId="10" fillId="0" borderId="11" xfId="0" applyNumberFormat="1" applyFont="1" applyBorder="1" applyAlignment="1">
      <alignment horizontal="center"/>
    </xf>
    <xf numFmtId="0" fontId="0" fillId="0" borderId="2" xfId="0" quotePrefix="1" applyBorder="1"/>
    <xf numFmtId="5" fontId="4" fillId="0" borderId="2" xfId="0" applyNumberFormat="1" applyFont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0" fontId="0" fillId="0" borderId="8" xfId="0" applyBorder="1"/>
    <xf numFmtId="0" fontId="0" fillId="2" borderId="7" xfId="0" applyFill="1" applyBorder="1"/>
    <xf numFmtId="37" fontId="0" fillId="0" borderId="0" xfId="0" applyNumberFormat="1"/>
    <xf numFmtId="165" fontId="0" fillId="0" borderId="0" xfId="0" applyNumberFormat="1"/>
    <xf numFmtId="37" fontId="31" fillId="0" borderId="0" xfId="0" applyNumberFormat="1" applyFont="1" applyAlignment="1">
      <alignment horizontal="center"/>
    </xf>
    <xf numFmtId="37" fontId="30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5" fontId="34" fillId="0" borderId="1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37" fontId="34" fillId="0" borderId="1" xfId="0" applyNumberFormat="1" applyFont="1" applyBorder="1" applyAlignment="1">
      <alignment horizontal="center"/>
    </xf>
    <xf numFmtId="37" fontId="34" fillId="0" borderId="9" xfId="0" applyNumberFormat="1" applyFont="1" applyBorder="1" applyAlignment="1">
      <alignment horizontal="center"/>
    </xf>
    <xf numFmtId="37" fontId="34" fillId="0" borderId="12" xfId="0" applyNumberFormat="1" applyFont="1" applyBorder="1" applyAlignment="1">
      <alignment horizontal="center"/>
    </xf>
    <xf numFmtId="37" fontId="32" fillId="0" borderId="2" xfId="0" applyNumberFormat="1" applyFont="1" applyBorder="1" applyAlignment="1">
      <alignment horizontal="center"/>
    </xf>
    <xf numFmtId="37" fontId="32" fillId="0" borderId="6" xfId="0" applyNumberFormat="1" applyFont="1" applyBorder="1" applyAlignment="1">
      <alignment horizontal="center"/>
    </xf>
    <xf numFmtId="37" fontId="32" fillId="0" borderId="1" xfId="0" applyNumberFormat="1" applyFont="1" applyBorder="1" applyAlignment="1">
      <alignment horizontal="center"/>
    </xf>
    <xf numFmtId="37" fontId="32" fillId="0" borderId="8" xfId="0" applyNumberFormat="1" applyFont="1" applyBorder="1" applyAlignment="1">
      <alignment horizontal="center"/>
    </xf>
    <xf numFmtId="37" fontId="32" fillId="0" borderId="5" xfId="0" applyNumberFormat="1" applyFont="1" applyBorder="1" applyAlignment="1">
      <alignment horizontal="center"/>
    </xf>
    <xf numFmtId="37" fontId="34" fillId="0" borderId="5" xfId="0" applyNumberFormat="1" applyFont="1" applyBorder="1" applyAlignment="1">
      <alignment horizontal="center"/>
    </xf>
    <xf numFmtId="37" fontId="32" fillId="0" borderId="13" xfId="0" applyNumberFormat="1" applyFont="1" applyBorder="1" applyAlignment="1">
      <alignment horizontal="center"/>
    </xf>
    <xf numFmtId="3" fontId="32" fillId="0" borderId="3" xfId="0" applyNumberFormat="1" applyFont="1" applyBorder="1" applyAlignment="1">
      <alignment horizontal="center"/>
    </xf>
    <xf numFmtId="37" fontId="21" fillId="0" borderId="0" xfId="0" applyNumberFormat="1" applyFont="1"/>
    <xf numFmtId="0" fontId="8" fillId="4" borderId="9" xfId="0" applyFont="1" applyFill="1" applyBorder="1" applyAlignment="1">
      <alignment horizontal="right"/>
    </xf>
    <xf numFmtId="10" fontId="8" fillId="4" borderId="10" xfId="0" applyNumberFormat="1" applyFont="1" applyFill="1" applyBorder="1" applyAlignment="1">
      <alignment horizontal="left"/>
    </xf>
    <xf numFmtId="0" fontId="42" fillId="0" borderId="0" xfId="2" applyFont="1"/>
    <xf numFmtId="164" fontId="42" fillId="0" borderId="0" xfId="2" applyNumberFormat="1" applyFont="1"/>
    <xf numFmtId="38" fontId="42" fillId="0" borderId="0" xfId="3" applyNumberFormat="1" applyFont="1" applyFill="1" applyBorder="1" applyAlignment="1">
      <alignment horizontal="right"/>
    </xf>
    <xf numFmtId="1" fontId="42" fillId="0" borderId="0" xfId="2" applyNumberFormat="1" applyFont="1"/>
    <xf numFmtId="167" fontId="42" fillId="0" borderId="0" xfId="1" applyNumberFormat="1" applyFont="1" applyFill="1" applyBorder="1"/>
    <xf numFmtId="38" fontId="42" fillId="0" borderId="5" xfId="3" applyNumberFormat="1" applyFont="1" applyFill="1" applyBorder="1" applyAlignment="1">
      <alignment horizontal="right"/>
    </xf>
    <xf numFmtId="38" fontId="42" fillId="0" borderId="5" xfId="2" applyNumberFormat="1" applyFont="1" applyBorder="1"/>
    <xf numFmtId="164" fontId="43" fillId="0" borderId="14" xfId="3" applyNumberFormat="1" applyFont="1" applyFill="1" applyBorder="1" applyAlignment="1">
      <alignment horizontal="right"/>
    </xf>
    <xf numFmtId="164" fontId="43" fillId="0" borderId="14" xfId="2" applyNumberFormat="1" applyFont="1" applyBorder="1" applyAlignment="1">
      <alignment horizontal="right"/>
    </xf>
    <xf numFmtId="164" fontId="45" fillId="0" borderId="5" xfId="3" applyNumberFormat="1" applyFont="1" applyFill="1" applyBorder="1" applyAlignment="1">
      <alignment horizontal="right"/>
    </xf>
    <xf numFmtId="164" fontId="45" fillId="0" borderId="0" xfId="3" applyNumberFormat="1" applyFont="1" applyFill="1" applyBorder="1"/>
    <xf numFmtId="44" fontId="45" fillId="0" borderId="0" xfId="3" applyFont="1" applyFill="1" applyBorder="1"/>
    <xf numFmtId="175" fontId="42" fillId="0" borderId="0" xfId="2" applyNumberFormat="1" applyFont="1"/>
    <xf numFmtId="37" fontId="42" fillId="0" borderId="0" xfId="2" applyNumberFormat="1" applyFont="1"/>
    <xf numFmtId="0" fontId="0" fillId="5" borderId="15" xfId="0" applyFill="1" applyBorder="1"/>
    <xf numFmtId="0" fontId="4" fillId="5" borderId="16" xfId="0" applyFont="1" applyFill="1" applyBorder="1" applyAlignment="1">
      <alignment horizontal="center" wrapText="1"/>
    </xf>
    <xf numFmtId="0" fontId="0" fillId="5" borderId="16" xfId="0" applyFill="1" applyBorder="1"/>
    <xf numFmtId="10" fontId="0" fillId="5" borderId="16" xfId="0" applyNumberFormat="1" applyFill="1" applyBorder="1" applyAlignment="1">
      <alignment horizontal="center"/>
    </xf>
    <xf numFmtId="0" fontId="0" fillId="5" borderId="17" xfId="0" applyFill="1" applyBorder="1"/>
    <xf numFmtId="170" fontId="4" fillId="0" borderId="3" xfId="0" applyNumberFormat="1" applyFont="1" applyBorder="1"/>
    <xf numFmtId="170" fontId="34" fillId="0" borderId="2" xfId="0" applyNumberFormat="1" applyFont="1" applyBorder="1" applyAlignment="1">
      <alignment horizontal="center"/>
    </xf>
    <xf numFmtId="170" fontId="32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7" fillId="0" borderId="5" xfId="0" applyFont="1" applyBorder="1"/>
    <xf numFmtId="5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6" borderId="7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5" fontId="4" fillId="7" borderId="6" xfId="0" applyNumberFormat="1" applyFont="1" applyFill="1" applyBorder="1" applyAlignment="1">
      <alignment horizontal="center"/>
    </xf>
    <xf numFmtId="5" fontId="10" fillId="5" borderId="18" xfId="0" applyNumberFormat="1" applyFont="1" applyFill="1" applyBorder="1" applyAlignment="1">
      <alignment horizontal="center"/>
    </xf>
    <xf numFmtId="0" fontId="0" fillId="5" borderId="19" xfId="0" applyFill="1" applyBorder="1"/>
    <xf numFmtId="10" fontId="0" fillId="5" borderId="19" xfId="0" applyNumberFormat="1" applyFill="1" applyBorder="1" applyAlignment="1">
      <alignment horizontal="center"/>
    </xf>
    <xf numFmtId="0" fontId="0" fillId="5" borderId="20" xfId="0" applyFill="1" applyBorder="1"/>
    <xf numFmtId="0" fontId="12" fillId="0" borderId="3" xfId="0" applyFont="1" applyBorder="1" applyAlignment="1">
      <alignment horizontal="center" wrapText="1"/>
    </xf>
    <xf numFmtId="5" fontId="12" fillId="5" borderId="19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76" fontId="0" fillId="0" borderId="0" xfId="0" applyNumberFormat="1"/>
    <xf numFmtId="164" fontId="0" fillId="0" borderId="2" xfId="0" applyNumberFormat="1" applyBorder="1"/>
    <xf numFmtId="0" fontId="4" fillId="5" borderId="4" xfId="0" applyFont="1" applyFill="1" applyBorder="1"/>
    <xf numFmtId="3" fontId="4" fillId="5" borderId="5" xfId="0" applyNumberFormat="1" applyFont="1" applyFill="1" applyBorder="1"/>
    <xf numFmtId="164" fontId="4" fillId="5" borderId="6" xfId="0" applyNumberFormat="1" applyFont="1" applyFill="1" applyBorder="1"/>
    <xf numFmtId="0" fontId="4" fillId="6" borderId="1" xfId="0" applyFont="1" applyFill="1" applyBorder="1" applyAlignment="1">
      <alignment horizontal="centerContinuous"/>
    </xf>
    <xf numFmtId="0" fontId="0" fillId="6" borderId="8" xfId="0" applyFill="1" applyBorder="1" applyAlignment="1">
      <alignment horizontal="centerContinuous"/>
    </xf>
    <xf numFmtId="0" fontId="0" fillId="0" borderId="0" xfId="0" applyAlignment="1">
      <alignment horizontal="centerContinuous"/>
    </xf>
    <xf numFmtId="177" fontId="0" fillId="0" borderId="0" xfId="0" applyNumberFormat="1"/>
    <xf numFmtId="170" fontId="10" fillId="0" borderId="5" xfId="0" applyNumberFormat="1" applyFont="1" applyBorder="1"/>
    <xf numFmtId="0" fontId="4" fillId="0" borderId="2" xfId="0" applyFont="1" applyBorder="1" applyAlignment="1">
      <alignment horizontal="center"/>
    </xf>
    <xf numFmtId="5" fontId="4" fillId="3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 indent="1"/>
    </xf>
    <xf numFmtId="0" fontId="1" fillId="0" borderId="3" xfId="0" applyFont="1" applyBorder="1" applyAlignment="1">
      <alignment horizontal="left" indent="2"/>
    </xf>
    <xf numFmtId="0" fontId="7" fillId="0" borderId="3" xfId="0" applyFont="1" applyBorder="1" applyAlignment="1">
      <alignment horizontal="left" indent="2"/>
    </xf>
    <xf numFmtId="0" fontId="19" fillId="2" borderId="7" xfId="0" applyFont="1" applyFill="1" applyBorder="1"/>
    <xf numFmtId="0" fontId="6" fillId="0" borderId="3" xfId="0" applyFont="1" applyBorder="1" applyAlignment="1">
      <alignment horizontal="left" indent="2"/>
    </xf>
    <xf numFmtId="0" fontId="17" fillId="0" borderId="3" xfId="0" applyFont="1" applyBorder="1"/>
    <xf numFmtId="0" fontId="10" fillId="0" borderId="3" xfId="0" applyFont="1" applyBorder="1"/>
    <xf numFmtId="0" fontId="1" fillId="0" borderId="3" xfId="0" applyFont="1" applyBorder="1" applyAlignment="1">
      <alignment horizontal="left" indent="1"/>
    </xf>
    <xf numFmtId="0" fontId="10" fillId="0" borderId="3" xfId="0" applyFont="1" applyBorder="1" applyAlignment="1">
      <alignment horizontal="left"/>
    </xf>
    <xf numFmtId="0" fontId="1" fillId="0" borderId="3" xfId="0" applyFont="1" applyBorder="1"/>
    <xf numFmtId="0" fontId="18" fillId="0" borderId="3" xfId="0" applyFont="1" applyBorder="1" applyAlignment="1">
      <alignment horizontal="left" indent="1"/>
    </xf>
    <xf numFmtId="0" fontId="21" fillId="0" borderId="3" xfId="0" applyFont="1" applyBorder="1" applyAlignment="1">
      <alignment horizontal="left" indent="1"/>
    </xf>
    <xf numFmtId="0" fontId="19" fillId="2" borderId="3" xfId="0" applyFont="1" applyFill="1" applyBorder="1"/>
    <xf numFmtId="0" fontId="25" fillId="0" borderId="3" xfId="0" applyFont="1" applyBorder="1"/>
    <xf numFmtId="0" fontId="26" fillId="0" borderId="3" xfId="0" applyFont="1" applyBorder="1" applyAlignment="1">
      <alignment horizontal="left" indent="1"/>
    </xf>
    <xf numFmtId="0" fontId="22" fillId="0" borderId="3" xfId="0" applyFont="1" applyBorder="1"/>
    <xf numFmtId="0" fontId="21" fillId="0" borderId="3" xfId="0" applyFont="1" applyBorder="1"/>
    <xf numFmtId="0" fontId="32" fillId="0" borderId="3" xfId="0" applyFont="1" applyBorder="1"/>
    <xf numFmtId="1" fontId="32" fillId="0" borderId="4" xfId="0" applyNumberFormat="1" applyFont="1" applyBorder="1" applyAlignment="1">
      <alignment horizontal="center"/>
    </xf>
    <xf numFmtId="37" fontId="34" fillId="0" borderId="3" xfId="0" applyNumberFormat="1" applyFont="1" applyBorder="1" applyAlignment="1">
      <alignment horizontal="center"/>
    </xf>
    <xf numFmtId="37" fontId="32" fillId="0" borderId="3" xfId="0" applyNumberFormat="1" applyFont="1" applyBorder="1" applyAlignment="1">
      <alignment horizontal="center"/>
    </xf>
    <xf numFmtId="37" fontId="34" fillId="0" borderId="7" xfId="0" applyNumberFormat="1" applyFont="1" applyBorder="1" applyAlignment="1">
      <alignment horizontal="center"/>
    </xf>
    <xf numFmtId="0" fontId="32" fillId="0" borderId="2" xfId="0" applyFont="1" applyBorder="1"/>
    <xf numFmtId="1" fontId="32" fillId="0" borderId="6" xfId="0" applyNumberFormat="1" applyFont="1" applyBorder="1" applyAlignment="1">
      <alignment horizontal="center"/>
    </xf>
    <xf numFmtId="37" fontId="34" fillId="0" borderId="2" xfId="0" applyNumberFormat="1" applyFont="1" applyBorder="1" applyAlignment="1">
      <alignment horizontal="center"/>
    </xf>
    <xf numFmtId="37" fontId="34" fillId="0" borderId="8" xfId="0" applyNumberFormat="1" applyFont="1" applyBorder="1" applyAlignment="1">
      <alignment horizontal="center"/>
    </xf>
    <xf numFmtId="37" fontId="34" fillId="0" borderId="1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170" fontId="10" fillId="0" borderId="0" xfId="0" applyNumberFormat="1" applyFont="1" applyAlignment="1">
      <alignment horizontal="center"/>
    </xf>
    <xf numFmtId="170" fontId="10" fillId="0" borderId="2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37" fontId="6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0" fontId="16" fillId="0" borderId="0" xfId="0" applyFont="1"/>
    <xf numFmtId="37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37" fontId="34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left"/>
    </xf>
    <xf numFmtId="37" fontId="34" fillId="0" borderId="10" xfId="0" applyNumberFormat="1" applyFont="1" applyBorder="1" applyAlignment="1">
      <alignment horizontal="center"/>
    </xf>
    <xf numFmtId="37" fontId="32" fillId="3" borderId="0" xfId="0" applyNumberFormat="1" applyFont="1" applyFill="1" applyAlignment="1">
      <alignment horizontal="center"/>
    </xf>
    <xf numFmtId="170" fontId="32" fillId="0" borderId="0" xfId="0" applyNumberFormat="1" applyFont="1" applyAlignment="1">
      <alignment horizontal="center"/>
    </xf>
    <xf numFmtId="37" fontId="1" fillId="3" borderId="2" xfId="0" applyNumberFormat="1" applyFont="1" applyFill="1" applyBorder="1" applyAlignment="1">
      <alignment horizontal="center"/>
    </xf>
    <xf numFmtId="167" fontId="34" fillId="0" borderId="0" xfId="0" applyNumberFormat="1" applyFont="1" applyAlignment="1">
      <alignment horizontal="center"/>
    </xf>
    <xf numFmtId="37" fontId="34" fillId="0" borderId="6" xfId="0" applyNumberFormat="1" applyFont="1" applyBorder="1" applyAlignment="1">
      <alignment horizontal="center"/>
    </xf>
    <xf numFmtId="0" fontId="32" fillId="0" borderId="0" xfId="0" applyFont="1"/>
    <xf numFmtId="8" fontId="32" fillId="0" borderId="0" xfId="0" applyNumberFormat="1" applyFont="1" applyAlignment="1">
      <alignment horizontal="center"/>
    </xf>
    <xf numFmtId="37" fontId="32" fillId="0" borderId="0" xfId="0" quotePrefix="1" applyNumberFormat="1" applyFont="1" applyAlignment="1">
      <alignment horizontal="center"/>
    </xf>
    <xf numFmtId="37" fontId="32" fillId="0" borderId="2" xfId="0" quotePrefix="1" applyNumberFormat="1" applyFont="1" applyBorder="1" applyAlignment="1">
      <alignment horizontal="center"/>
    </xf>
    <xf numFmtId="37" fontId="32" fillId="0" borderId="21" xfId="0" applyNumberFormat="1" applyFont="1" applyBorder="1" applyAlignment="1">
      <alignment horizontal="center"/>
    </xf>
    <xf numFmtId="37" fontId="7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10" fontId="6" fillId="0" borderId="0" xfId="1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 indent="2"/>
    </xf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37" fontId="6" fillId="0" borderId="5" xfId="0" applyNumberFormat="1" applyFont="1" applyBorder="1" applyAlignment="1">
      <alignment horizontal="center"/>
    </xf>
    <xf numFmtId="37" fontId="16" fillId="0" borderId="3" xfId="0" applyNumberFormat="1" applyFont="1" applyBorder="1" applyAlignment="1">
      <alignment horizontal="center"/>
    </xf>
    <xf numFmtId="170" fontId="32" fillId="0" borderId="3" xfId="0" applyNumberFormat="1" applyFont="1" applyBorder="1" applyAlignment="1">
      <alignment horizontal="center"/>
    </xf>
    <xf numFmtId="37" fontId="34" fillId="0" borderId="4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37" fontId="32" fillId="0" borderId="3" xfId="0" quotePrefix="1" applyNumberFormat="1" applyFont="1" applyBorder="1" applyAlignment="1">
      <alignment horizontal="center"/>
    </xf>
    <xf numFmtId="37" fontId="32" fillId="0" borderId="7" xfId="0" applyNumberFormat="1" applyFont="1" applyBorder="1" applyAlignment="1">
      <alignment horizontal="center"/>
    </xf>
    <xf numFmtId="37" fontId="32" fillId="0" borderId="22" xfId="0" applyNumberFormat="1" applyFont="1" applyBorder="1" applyAlignment="1">
      <alignment horizontal="center"/>
    </xf>
    <xf numFmtId="0" fontId="9" fillId="2" borderId="7" xfId="0" applyFont="1" applyFill="1" applyBorder="1"/>
    <xf numFmtId="17" fontId="46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0" fillId="0" borderId="2" xfId="0" applyNumberFormat="1" applyBorder="1"/>
    <xf numFmtId="0" fontId="1" fillId="0" borderId="4" xfId="0" applyFont="1" applyBorder="1"/>
    <xf numFmtId="37" fontId="0" fillId="0" borderId="5" xfId="0" applyNumberFormat="1" applyBorder="1"/>
    <xf numFmtId="0" fontId="21" fillId="0" borderId="8" xfId="0" applyFont="1" applyBorder="1"/>
    <xf numFmtId="0" fontId="21" fillId="0" borderId="0" xfId="0" applyFont="1" applyAlignment="1">
      <alignment horizontal="left" indent="1"/>
    </xf>
    <xf numFmtId="9" fontId="13" fillId="0" borderId="0" xfId="0" applyNumberFormat="1" applyFont="1" applyAlignment="1">
      <alignment horizontal="center" wrapText="1"/>
    </xf>
    <xf numFmtId="9" fontId="22" fillId="0" borderId="0" xfId="0" applyNumberFormat="1" applyFont="1" applyAlignment="1">
      <alignment horizontal="center" wrapText="1"/>
    </xf>
    <xf numFmtId="0" fontId="28" fillId="0" borderId="0" xfId="0" applyFont="1"/>
    <xf numFmtId="10" fontId="22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left"/>
    </xf>
    <xf numFmtId="0" fontId="25" fillId="0" borderId="0" xfId="0" applyFont="1"/>
    <xf numFmtId="0" fontId="21" fillId="0" borderId="2" xfId="0" applyFont="1" applyBorder="1"/>
    <xf numFmtId="0" fontId="26" fillId="0" borderId="0" xfId="0" applyFont="1" applyAlignment="1">
      <alignment horizontal="left" indent="1"/>
    </xf>
    <xf numFmtId="37" fontId="30" fillId="0" borderId="0" xfId="0" applyNumberFormat="1" applyFont="1" applyAlignment="1">
      <alignment horizontal="center"/>
    </xf>
    <xf numFmtId="0" fontId="21" fillId="0" borderId="2" xfId="0" quotePrefix="1" applyFont="1" applyBorder="1"/>
    <xf numFmtId="0" fontId="22" fillId="0" borderId="0" xfId="0" applyFont="1"/>
    <xf numFmtId="0" fontId="21" fillId="0" borderId="4" xfId="0" applyFont="1" applyBorder="1"/>
    <xf numFmtId="0" fontId="21" fillId="0" borderId="5" xfId="0" applyFont="1" applyBorder="1"/>
    <xf numFmtId="37" fontId="30" fillId="0" borderId="5" xfId="0" applyNumberFormat="1" applyFont="1" applyBorder="1" applyAlignment="1">
      <alignment horizontal="center"/>
    </xf>
    <xf numFmtId="0" fontId="21" fillId="0" borderId="6" xfId="0" applyFont="1" applyBorder="1"/>
    <xf numFmtId="37" fontId="30" fillId="0" borderId="3" xfId="0" applyNumberFormat="1" applyFont="1" applyBorder="1" applyAlignment="1">
      <alignment horizontal="center"/>
    </xf>
    <xf numFmtId="37" fontId="31" fillId="0" borderId="3" xfId="0" applyNumberFormat="1" applyFont="1" applyBorder="1" applyAlignment="1">
      <alignment horizontal="center"/>
    </xf>
    <xf numFmtId="37" fontId="30" fillId="0" borderId="7" xfId="0" applyNumberFormat="1" applyFont="1" applyBorder="1" applyAlignment="1">
      <alignment horizontal="center"/>
    </xf>
    <xf numFmtId="0" fontId="31" fillId="0" borderId="3" xfId="0" applyFont="1" applyBorder="1"/>
    <xf numFmtId="10" fontId="31" fillId="0" borderId="3" xfId="0" applyNumberFormat="1" applyFont="1" applyBorder="1" applyAlignment="1">
      <alignment horizontal="center"/>
    </xf>
    <xf numFmtId="37" fontId="30" fillId="0" borderId="2" xfId="0" applyNumberFormat="1" applyFont="1" applyBorder="1" applyAlignment="1">
      <alignment horizontal="center"/>
    </xf>
    <xf numFmtId="37" fontId="31" fillId="0" borderId="2" xfId="0" applyNumberFormat="1" applyFont="1" applyBorder="1" applyAlignment="1">
      <alignment horizontal="center"/>
    </xf>
    <xf numFmtId="37" fontId="30" fillId="0" borderId="8" xfId="0" applyNumberFormat="1" applyFont="1" applyBorder="1" applyAlignment="1">
      <alignment horizontal="center"/>
    </xf>
    <xf numFmtId="0" fontId="31" fillId="0" borderId="0" xfId="0" applyFont="1"/>
    <xf numFmtId="0" fontId="31" fillId="0" borderId="2" xfId="0" applyFont="1" applyBorder="1"/>
    <xf numFmtId="10" fontId="31" fillId="0" borderId="0" xfId="0" applyNumberFormat="1" applyFont="1" applyAlignment="1">
      <alignment horizontal="center"/>
    </xf>
    <xf numFmtId="10" fontId="31" fillId="0" borderId="2" xfId="0" applyNumberFormat="1" applyFont="1" applyBorder="1" applyAlignment="1">
      <alignment horizontal="center"/>
    </xf>
    <xf numFmtId="6" fontId="21" fillId="0" borderId="4" xfId="0" applyNumberFormat="1" applyFont="1" applyBorder="1" applyAlignment="1">
      <alignment horizontal="center"/>
    </xf>
    <xf numFmtId="6" fontId="21" fillId="0" borderId="5" xfId="0" applyNumberFormat="1" applyFont="1" applyBorder="1" applyAlignment="1">
      <alignment horizontal="center"/>
    </xf>
    <xf numFmtId="6" fontId="21" fillId="0" borderId="6" xfId="0" applyNumberFormat="1" applyFont="1" applyBorder="1" applyAlignment="1">
      <alignment horizontal="center"/>
    </xf>
    <xf numFmtId="17" fontId="21" fillId="0" borderId="1" xfId="0" applyNumberFormat="1" applyFont="1" applyBorder="1"/>
    <xf numFmtId="170" fontId="21" fillId="0" borderId="1" xfId="0" applyNumberFormat="1" applyFont="1" applyBorder="1"/>
    <xf numFmtId="170" fontId="21" fillId="0" borderId="8" xfId="0" applyNumberFormat="1" applyFont="1" applyBorder="1"/>
    <xf numFmtId="171" fontId="47" fillId="0" borderId="0" xfId="0" applyNumberFormat="1" applyFont="1"/>
    <xf numFmtId="170" fontId="21" fillId="0" borderId="0" xfId="0" applyNumberFormat="1" applyFont="1"/>
    <xf numFmtId="170" fontId="21" fillId="0" borderId="2" xfId="0" applyNumberFormat="1" applyFont="1" applyBorder="1"/>
    <xf numFmtId="168" fontId="29" fillId="0" borderId="3" xfId="0" applyNumberFormat="1" applyFont="1" applyBorder="1" applyAlignment="1">
      <alignment horizontal="center"/>
    </xf>
    <xf numFmtId="168" fontId="29" fillId="0" borderId="0" xfId="0" applyNumberFormat="1" applyFont="1" applyAlignment="1">
      <alignment horizontal="center"/>
    </xf>
    <xf numFmtId="37" fontId="0" fillId="0" borderId="4" xfId="0" applyNumberFormat="1" applyBorder="1"/>
    <xf numFmtId="37" fontId="0" fillId="0" borderId="6" xfId="0" applyNumberFormat="1" applyBorder="1"/>
    <xf numFmtId="0" fontId="1" fillId="0" borderId="1" xfId="0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1" fillId="0" borderId="8" xfId="0" applyNumberFormat="1" applyFont="1" applyBorder="1" applyAlignment="1">
      <alignment horizontal="center"/>
    </xf>
    <xf numFmtId="170" fontId="10" fillId="0" borderId="0" xfId="0" applyNumberFormat="1" applyFont="1" applyAlignment="1">
      <alignment horizontal="left"/>
    </xf>
    <xf numFmtId="170" fontId="10" fillId="0" borderId="2" xfId="0" applyNumberFormat="1" applyFont="1" applyBorder="1" applyAlignment="1">
      <alignment horizontal="left"/>
    </xf>
    <xf numFmtId="170" fontId="10" fillId="0" borderId="6" xfId="0" applyNumberFormat="1" applyFont="1" applyBorder="1"/>
    <xf numFmtId="37" fontId="13" fillId="0" borderId="0" xfId="0" applyNumberFormat="1" applyFont="1" applyAlignment="1">
      <alignment horizontal="center"/>
    </xf>
    <xf numFmtId="37" fontId="14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left"/>
    </xf>
    <xf numFmtId="3" fontId="0" fillId="0" borderId="0" xfId="0" applyNumberFormat="1"/>
    <xf numFmtId="0" fontId="36" fillId="0" borderId="3" xfId="0" applyFont="1" applyBorder="1"/>
    <xf numFmtId="0" fontId="2" fillId="2" borderId="7" xfId="0" applyFont="1" applyFill="1" applyBorder="1"/>
    <xf numFmtId="0" fontId="3" fillId="0" borderId="3" xfId="0" applyFont="1" applyBorder="1" applyAlignment="1">
      <alignment horizontal="center"/>
    </xf>
    <xf numFmtId="0" fontId="33" fillId="0" borderId="3" xfId="0" applyFont="1" applyBorder="1" applyAlignment="1">
      <alignment horizontal="left"/>
    </xf>
    <xf numFmtId="0" fontId="32" fillId="0" borderId="3" xfId="0" applyFont="1" applyBorder="1" applyAlignment="1">
      <alignment horizontal="left"/>
    </xf>
    <xf numFmtId="0" fontId="34" fillId="0" borderId="3" xfId="0" applyFont="1" applyBorder="1" applyAlignment="1">
      <alignment horizontal="left"/>
    </xf>
    <xf numFmtId="0" fontId="32" fillId="0" borderId="4" xfId="0" applyFont="1" applyBorder="1"/>
    <xf numFmtId="0" fontId="4" fillId="0" borderId="7" xfId="0" applyFont="1" applyBorder="1" applyAlignment="1">
      <alignment horizontal="left"/>
    </xf>
    <xf numFmtId="0" fontId="0" fillId="0" borderId="7" xfId="0" applyBorder="1"/>
    <xf numFmtId="0" fontId="43" fillId="0" borderId="3" xfId="2" applyFont="1" applyBorder="1" applyAlignment="1">
      <alignment horizontal="centerContinuous"/>
    </xf>
    <xf numFmtId="0" fontId="42" fillId="0" borderId="3" xfId="2" applyFont="1" applyBorder="1"/>
    <xf numFmtId="0" fontId="44" fillId="0" borderId="3" xfId="2" applyFont="1" applyBorder="1"/>
    <xf numFmtId="0" fontId="12" fillId="6" borderId="3" xfId="0" applyFont="1" applyFill="1" applyBorder="1"/>
    <xf numFmtId="37" fontId="0" fillId="0" borderId="3" xfId="0" applyNumberFormat="1" applyBorder="1"/>
    <xf numFmtId="3" fontId="0" fillId="0" borderId="2" xfId="0" applyNumberFormat="1" applyBorder="1"/>
    <xf numFmtId="172" fontId="0" fillId="0" borderId="2" xfId="0" applyNumberFormat="1" applyBorder="1"/>
    <xf numFmtId="10" fontId="1" fillId="0" borderId="2" xfId="1" applyNumberFormat="1" applyFont="1" applyBorder="1"/>
    <xf numFmtId="10" fontId="0" fillId="0" borderId="2" xfId="1" applyNumberFormat="1" applyFont="1" applyBorder="1"/>
    <xf numFmtId="9" fontId="0" fillId="0" borderId="2" xfId="1" applyFont="1" applyBorder="1"/>
    <xf numFmtId="0" fontId="1" fillId="0" borderId="2" xfId="0" applyFont="1" applyBorder="1" applyAlignment="1">
      <alignment horizontal="right"/>
    </xf>
    <xf numFmtId="17" fontId="0" fillId="0" borderId="2" xfId="0" applyNumberFormat="1" applyBorder="1"/>
    <xf numFmtId="174" fontId="42" fillId="0" borderId="3" xfId="4" applyNumberFormat="1" applyFont="1" applyFill="1" applyBorder="1"/>
    <xf numFmtId="0" fontId="43" fillId="0" borderId="3" xfId="2" applyFont="1" applyBorder="1"/>
    <xf numFmtId="38" fontId="42" fillId="0" borderId="3" xfId="2" applyNumberFormat="1" applyFont="1" applyBorder="1"/>
    <xf numFmtId="0" fontId="45" fillId="0" borderId="3" xfId="2" applyFont="1" applyBorder="1"/>
    <xf numFmtId="0" fontId="42" fillId="0" borderId="2" xfId="2" applyFont="1" applyBorder="1"/>
    <xf numFmtId="0" fontId="42" fillId="0" borderId="4" xfId="2" applyFont="1" applyBorder="1"/>
    <xf numFmtId="0" fontId="42" fillId="0" borderId="6" xfId="2" applyFont="1" applyBorder="1"/>
    <xf numFmtId="0" fontId="12" fillId="6" borderId="7" xfId="0" applyFont="1" applyFill="1" applyBorder="1" applyAlignment="1">
      <alignment horizontal="centerContinuous"/>
    </xf>
    <xf numFmtId="0" fontId="12" fillId="6" borderId="7" xfId="0" applyFont="1" applyFill="1" applyBorder="1"/>
    <xf numFmtId="0" fontId="0" fillId="6" borderId="8" xfId="0" applyFill="1" applyBorder="1"/>
    <xf numFmtId="0" fontId="0" fillId="6" borderId="2" xfId="0" applyFill="1" applyBorder="1"/>
    <xf numFmtId="0" fontId="36" fillId="0" borderId="7" xfId="0" applyFont="1" applyBorder="1"/>
    <xf numFmtId="0" fontId="36" fillId="0" borderId="1" xfId="0" applyFont="1" applyBorder="1"/>
    <xf numFmtId="169" fontId="36" fillId="0" borderId="0" xfId="0" applyNumberFormat="1" applyFont="1" applyAlignment="1">
      <alignment horizontal="left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7" fillId="0" borderId="0" xfId="0" applyFont="1"/>
    <xf numFmtId="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32" fillId="0" borderId="0" xfId="0" applyNumberFormat="1" applyFont="1" applyAlignment="1">
      <alignment horizontal="center"/>
    </xf>
    <xf numFmtId="3" fontId="32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quotePrefix="1"/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64" fontId="37" fillId="3" borderId="0" xfId="0" applyNumberFormat="1" applyFont="1" applyFill="1" applyAlignment="1">
      <alignment horizontal="center"/>
    </xf>
    <xf numFmtId="0" fontId="7" fillId="3" borderId="0" xfId="0" applyFont="1" applyFill="1"/>
    <xf numFmtId="5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12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  <xf numFmtId="15" fontId="5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1" applyNumberFormat="1" applyFont="1" applyBorder="1"/>
    <xf numFmtId="14" fontId="46" fillId="0" borderId="0" xfId="0" applyNumberFormat="1" applyFont="1"/>
    <xf numFmtId="10" fontId="0" fillId="0" borderId="0" xfId="0" applyNumberFormat="1"/>
    <xf numFmtId="17" fontId="0" fillId="0" borderId="0" xfId="0" applyNumberFormat="1"/>
    <xf numFmtId="14" fontId="0" fillId="0" borderId="0" xfId="0" applyNumberFormat="1"/>
    <xf numFmtId="0" fontId="12" fillId="6" borderId="1" xfId="0" applyFont="1" applyFill="1" applyBorder="1"/>
    <xf numFmtId="0" fontId="12" fillId="6" borderId="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77" fontId="0" fillId="0" borderId="5" xfId="0" applyNumberFormat="1" applyBorder="1"/>
    <xf numFmtId="0" fontId="43" fillId="0" borderId="7" xfId="2" applyFont="1" applyBorder="1" applyAlignment="1">
      <alignment horizontal="centerContinuous"/>
    </xf>
    <xf numFmtId="0" fontId="42" fillId="0" borderId="1" xfId="2" applyFont="1" applyBorder="1" applyAlignment="1">
      <alignment horizontal="centerContinuous"/>
    </xf>
    <xf numFmtId="0" fontId="43" fillId="0" borderId="1" xfId="2" applyFont="1" applyBorder="1"/>
    <xf numFmtId="0" fontId="42" fillId="0" borderId="1" xfId="2" applyFont="1" applyBorder="1"/>
    <xf numFmtId="0" fontId="42" fillId="0" borderId="8" xfId="2" applyFont="1" applyBorder="1"/>
    <xf numFmtId="0" fontId="42" fillId="0" borderId="0" xfId="2" applyFont="1" applyAlignment="1">
      <alignment horizontal="centerContinuous"/>
    </xf>
    <xf numFmtId="0" fontId="43" fillId="0" borderId="0" xfId="2" applyFont="1"/>
    <xf numFmtId="173" fontId="42" fillId="0" borderId="0" xfId="2" applyNumberFormat="1" applyFont="1"/>
    <xf numFmtId="173" fontId="42" fillId="0" borderId="2" xfId="2" applyNumberFormat="1" applyFont="1" applyBorder="1"/>
    <xf numFmtId="0" fontId="43" fillId="0" borderId="0" xfId="2" applyFont="1" applyAlignment="1">
      <alignment horizontal="center"/>
    </xf>
    <xf numFmtId="0" fontId="42" fillId="0" borderId="0" xfId="2" applyFont="1" applyAlignment="1">
      <alignment horizontal="center"/>
    </xf>
    <xf numFmtId="0" fontId="44" fillId="0" borderId="0" xfId="2" applyFont="1" applyAlignment="1">
      <alignment horizontal="center"/>
    </xf>
    <xf numFmtId="0" fontId="44" fillId="0" borderId="0" xfId="2" applyFont="1"/>
    <xf numFmtId="0" fontId="45" fillId="0" borderId="0" xfId="2" applyFont="1"/>
    <xf numFmtId="38" fontId="42" fillId="0" borderId="0" xfId="2" applyNumberFormat="1" applyFont="1"/>
    <xf numFmtId="38" fontId="42" fillId="0" borderId="0" xfId="2" applyNumberFormat="1" applyFont="1" applyAlignment="1">
      <alignment horizontal="right"/>
    </xf>
    <xf numFmtId="38" fontId="42" fillId="0" borderId="0" xfId="2" applyNumberFormat="1" applyFont="1" applyAlignment="1">
      <alignment horizontal="left"/>
    </xf>
    <xf numFmtId="3" fontId="42" fillId="0" borderId="0" xfId="2" applyNumberFormat="1" applyFont="1" applyAlignment="1">
      <alignment horizontal="right"/>
    </xf>
    <xf numFmtId="164" fontId="42" fillId="0" borderId="0" xfId="2" applyNumberFormat="1" applyFont="1" applyAlignment="1">
      <alignment horizontal="right"/>
    </xf>
    <xf numFmtId="0" fontId="42" fillId="0" borderId="2" xfId="2" applyFont="1" applyBorder="1" applyAlignment="1">
      <alignment horizontal="center"/>
    </xf>
    <xf numFmtId="164" fontId="42" fillId="0" borderId="0" xfId="2" applyNumberFormat="1" applyFont="1" applyAlignment="1">
      <alignment horizontal="center"/>
    </xf>
    <xf numFmtId="164" fontId="42" fillId="0" borderId="2" xfId="2" applyNumberFormat="1" applyFont="1" applyBorder="1" applyAlignment="1">
      <alignment horizontal="center"/>
    </xf>
    <xf numFmtId="9" fontId="42" fillId="0" borderId="5" xfId="1" applyFont="1" applyFill="1" applyBorder="1"/>
    <xf numFmtId="0" fontId="42" fillId="0" borderId="5" xfId="2" applyFont="1" applyBorder="1"/>
    <xf numFmtId="179" fontId="0" fillId="0" borderId="0" xfId="0" applyNumberFormat="1"/>
  </cellXfs>
  <cellStyles count="5">
    <cellStyle name="Comma 2" xfId="4" xr:uid="{712D0D9B-F3A3-4C0F-BAED-19D05EF3DF85}"/>
    <cellStyle name="Currency 2" xfId="3" xr:uid="{1E14C0CF-7C83-43CD-B678-EC4BBE39F97B}"/>
    <cellStyle name="Normal" xfId="0" builtinId="0"/>
    <cellStyle name="Normal 2" xfId="2" xr:uid="{154FB0A3-9F63-477F-BCE8-DB2776FFEC6A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73"/>
  <sheetViews>
    <sheetView zoomScale="85" zoomScaleNormal="85" workbookViewId="0">
      <selection activeCell="H31" sqref="H31"/>
    </sheetView>
  </sheetViews>
  <sheetFormatPr defaultColWidth="8.83203125" defaultRowHeight="12.3" x14ac:dyDescent="0.4"/>
  <cols>
    <col min="1" max="1" width="1.6640625" customWidth="1"/>
    <col min="2" max="2" width="51.33203125" bestFit="1" customWidth="1"/>
    <col min="3" max="4" width="17" customWidth="1"/>
    <col min="5" max="5" width="17.83203125" customWidth="1"/>
    <col min="6" max="7" width="22.6640625" customWidth="1"/>
    <col min="8" max="8" width="44.5" customWidth="1"/>
    <col min="9" max="9" width="13.6640625" customWidth="1"/>
    <col min="10" max="10" width="16" customWidth="1"/>
    <col min="11" max="11" width="19.6640625" customWidth="1"/>
    <col min="12" max="12" width="19.33203125" customWidth="1"/>
    <col min="16" max="19" width="12" customWidth="1"/>
  </cols>
  <sheetData>
    <row r="1" spans="1:12" ht="17.7" x14ac:dyDescent="0.6">
      <c r="B1" s="275" t="s">
        <v>187</v>
      </c>
      <c r="C1" s="276" t="s">
        <v>69</v>
      </c>
      <c r="D1" s="1"/>
      <c r="E1" s="1"/>
      <c r="F1" s="1"/>
      <c r="G1" s="1"/>
      <c r="H1" s="1"/>
      <c r="I1" s="1"/>
      <c r="J1" s="1"/>
      <c r="K1" s="38"/>
    </row>
    <row r="2" spans="1:12" ht="17.7" x14ac:dyDescent="0.6">
      <c r="B2" s="243" t="s">
        <v>188</v>
      </c>
      <c r="C2" s="277"/>
      <c r="K2" s="2"/>
    </row>
    <row r="3" spans="1:12" x14ac:dyDescent="0.4">
      <c r="A3" s="39"/>
      <c r="B3" s="244" t="s">
        <v>0</v>
      </c>
      <c r="C3" s="1"/>
      <c r="D3" s="1"/>
      <c r="E3" s="1"/>
      <c r="F3" s="1"/>
      <c r="G3" s="1"/>
      <c r="H3" s="1"/>
      <c r="I3" s="1"/>
      <c r="J3" s="1"/>
      <c r="K3" s="38"/>
    </row>
    <row r="4" spans="1:12" ht="12.75" customHeight="1" x14ac:dyDescent="0.4">
      <c r="A4" s="3"/>
      <c r="B4" s="245" t="s">
        <v>1</v>
      </c>
      <c r="K4" s="2"/>
    </row>
    <row r="5" spans="1:12" ht="39" customHeight="1" x14ac:dyDescent="0.4">
      <c r="A5" s="3"/>
      <c r="B5" s="246" t="s">
        <v>82</v>
      </c>
      <c r="C5" s="278" t="s">
        <v>2</v>
      </c>
      <c r="D5" s="279" t="s">
        <v>28</v>
      </c>
      <c r="E5" s="278" t="s">
        <v>3</v>
      </c>
      <c r="F5" s="278" t="s">
        <v>81</v>
      </c>
      <c r="G5" s="89"/>
      <c r="H5" s="90" t="s">
        <v>42</v>
      </c>
      <c r="I5" s="91" t="s">
        <v>105</v>
      </c>
      <c r="J5" s="91" t="s">
        <v>107</v>
      </c>
      <c r="K5" s="92" t="s">
        <v>45</v>
      </c>
    </row>
    <row r="6" spans="1:12" x14ac:dyDescent="0.4">
      <c r="A6" s="3"/>
      <c r="B6" s="247"/>
      <c r="C6" s="164"/>
      <c r="D6" s="164"/>
      <c r="E6" s="164"/>
      <c r="F6" s="164"/>
      <c r="G6" s="83" t="s">
        <v>54</v>
      </c>
      <c r="H6" s="280" t="s">
        <v>65</v>
      </c>
      <c r="I6" s="281">
        <f>E7</f>
        <v>7725000</v>
      </c>
      <c r="J6" s="282">
        <f>C48</f>
        <v>0.85</v>
      </c>
      <c r="K6" s="84">
        <f>+I6*J6</f>
        <v>6566250</v>
      </c>
    </row>
    <row r="7" spans="1:12" x14ac:dyDescent="0.4">
      <c r="A7" s="3"/>
      <c r="B7" s="247" t="s">
        <v>71</v>
      </c>
      <c r="C7" s="283">
        <f>C30</f>
        <v>75000</v>
      </c>
      <c r="D7" s="284">
        <f>C31</f>
        <v>103</v>
      </c>
      <c r="E7" s="283">
        <f>C7*D7</f>
        <v>7725000</v>
      </c>
      <c r="F7" s="283">
        <f ca="1">'Sales Proceeds &amp; MUD'!D14</f>
        <v>8439375</v>
      </c>
      <c r="G7" s="85" t="s">
        <v>55</v>
      </c>
      <c r="H7" s="86" t="s">
        <v>66</v>
      </c>
      <c r="I7" s="87">
        <f>G34</f>
        <v>8371843.6031999998</v>
      </c>
      <c r="J7" s="88">
        <f>C47</f>
        <v>0.75</v>
      </c>
      <c r="K7" s="93">
        <f>+I7*J7</f>
        <v>6278882.7023999998</v>
      </c>
      <c r="L7" s="41"/>
    </row>
    <row r="8" spans="1:12" x14ac:dyDescent="0.4">
      <c r="A8" s="3"/>
      <c r="B8" s="248" t="s">
        <v>4</v>
      </c>
      <c r="C8" s="164"/>
      <c r="D8" s="44">
        <f>SUM(D7:D7)</f>
        <v>103</v>
      </c>
      <c r="E8" s="45">
        <f>SUM(E7:E7)</f>
        <v>7725000</v>
      </c>
      <c r="F8" s="45">
        <f ca="1">SUM(F7:F7)</f>
        <v>8439375</v>
      </c>
      <c r="G8" s="285"/>
      <c r="K8" s="2"/>
    </row>
    <row r="9" spans="1:12" x14ac:dyDescent="0.4">
      <c r="A9" s="3"/>
      <c r="B9" s="131"/>
      <c r="C9" s="164"/>
      <c r="D9" s="164"/>
      <c r="E9" s="164"/>
      <c r="F9" s="164"/>
      <c r="K9" s="111" t="s">
        <v>57</v>
      </c>
    </row>
    <row r="10" spans="1:12" x14ac:dyDescent="0.4">
      <c r="A10" s="3"/>
      <c r="B10" s="249"/>
      <c r="C10" s="164"/>
      <c r="D10" s="164"/>
      <c r="E10" s="164"/>
      <c r="F10" s="164"/>
      <c r="H10" s="286"/>
      <c r="I10" s="285"/>
      <c r="K10" s="36">
        <f>MIN(K6:K7)</f>
        <v>6278882.7023999998</v>
      </c>
    </row>
    <row r="11" spans="1:12" ht="14.1" x14ac:dyDescent="0.4">
      <c r="A11" s="3"/>
      <c r="B11" s="89" t="s">
        <v>43</v>
      </c>
      <c r="C11" s="91" t="s">
        <v>23</v>
      </c>
      <c r="D11" s="91" t="s">
        <v>26</v>
      </c>
      <c r="E11" s="90" t="s">
        <v>5</v>
      </c>
      <c r="F11" s="100" t="s">
        <v>6</v>
      </c>
      <c r="G11" s="287"/>
      <c r="I11" s="286" t="s">
        <v>4</v>
      </c>
      <c r="K11" s="2"/>
    </row>
    <row r="12" spans="1:12" ht="24.9" customHeight="1" x14ac:dyDescent="0.4">
      <c r="A12" s="3"/>
      <c r="B12" s="32" t="s">
        <v>24</v>
      </c>
      <c r="D12" s="288" t="s">
        <v>25</v>
      </c>
      <c r="E12" s="288" t="s">
        <v>21</v>
      </c>
      <c r="F12" s="35" t="s">
        <v>25</v>
      </c>
      <c r="I12" s="286" t="s">
        <v>106</v>
      </c>
      <c r="J12" s="289" t="s">
        <v>107</v>
      </c>
      <c r="K12" s="111" t="s">
        <v>56</v>
      </c>
    </row>
    <row r="13" spans="1:12" x14ac:dyDescent="0.4">
      <c r="A13" s="3"/>
      <c r="B13" s="33">
        <f ca="1">F7</f>
        <v>8439375</v>
      </c>
      <c r="C13" s="285">
        <f>'Sales Proceeds &amp; MUD'!D19</f>
        <v>2114280.5</v>
      </c>
      <c r="D13" s="285">
        <f ca="1">B13+C13</f>
        <v>10553655.5</v>
      </c>
      <c r="E13" s="290">
        <f ca="1">-('Cash Flow'!D18+'Cash Flow'!D46+'Cash Flow'!D54)</f>
        <v>8886675.6228108387</v>
      </c>
      <c r="F13" s="36">
        <f ca="1">D13-E13</f>
        <v>1666979.8771891613</v>
      </c>
      <c r="G13" s="291" t="s">
        <v>104</v>
      </c>
      <c r="H13" s="292" t="s">
        <v>66</v>
      </c>
      <c r="I13" s="293">
        <f ca="1">E13</f>
        <v>8886675.6228108387</v>
      </c>
      <c r="J13" s="294">
        <f>INDEX(J6:J7,MATCH(K10,K6:K7,0))</f>
        <v>0.75</v>
      </c>
      <c r="K13" s="112">
        <f ca="1">I13-K10</f>
        <v>2607792.9204108389</v>
      </c>
    </row>
    <row r="14" spans="1:12" x14ac:dyDescent="0.4">
      <c r="A14" s="3"/>
      <c r="B14" s="24"/>
      <c r="C14" s="23"/>
      <c r="D14" s="23"/>
      <c r="E14" s="7"/>
      <c r="F14" s="37"/>
      <c r="K14" s="2"/>
    </row>
    <row r="15" spans="1:12" x14ac:dyDescent="0.4">
      <c r="A15" s="3"/>
      <c r="B15" s="250"/>
      <c r="D15" s="286"/>
      <c r="E15" s="290"/>
      <c r="F15" s="285"/>
      <c r="G15" s="285"/>
      <c r="K15" s="102"/>
    </row>
    <row r="16" spans="1:12" ht="12.6" thickBot="1" x14ac:dyDescent="0.45">
      <c r="A16" s="3"/>
      <c r="B16" s="6"/>
      <c r="K16" s="2"/>
    </row>
    <row r="17" spans="1:11" x14ac:dyDescent="0.4">
      <c r="A17" s="3"/>
      <c r="B17" s="30"/>
      <c r="C17" s="31"/>
      <c r="D17" s="31" t="s">
        <v>40</v>
      </c>
      <c r="E17" s="31"/>
      <c r="F17" s="94"/>
      <c r="G17" s="75"/>
      <c r="K17" s="2"/>
    </row>
    <row r="18" spans="1:11" x14ac:dyDescent="0.4">
      <c r="A18" s="3"/>
      <c r="B18" s="98" t="s">
        <v>8</v>
      </c>
      <c r="C18" s="295" t="s">
        <v>9</v>
      </c>
      <c r="D18" s="295" t="s">
        <v>41</v>
      </c>
      <c r="E18" s="295"/>
      <c r="F18" s="99" t="s">
        <v>7</v>
      </c>
      <c r="G18" s="76" t="s">
        <v>189</v>
      </c>
      <c r="K18" s="2"/>
    </row>
    <row r="19" spans="1:11" x14ac:dyDescent="0.4">
      <c r="A19" s="3"/>
      <c r="B19" s="3"/>
      <c r="D19" s="286"/>
      <c r="F19" s="95"/>
      <c r="G19" s="77"/>
      <c r="K19" s="2"/>
    </row>
    <row r="20" spans="1:11" x14ac:dyDescent="0.4">
      <c r="A20" s="3"/>
      <c r="B20" s="57">
        <f>C32</f>
        <v>24.126999999999999</v>
      </c>
      <c r="C20" s="296">
        <f>C31/C32</f>
        <v>4.2690761387656986</v>
      </c>
      <c r="D20" s="296">
        <f>C46*4</f>
        <v>40</v>
      </c>
      <c r="E20" s="297"/>
      <c r="F20" s="96">
        <f ca="1">'Cash Flow'!$H$77</f>
        <v>0.12741946408966065</v>
      </c>
      <c r="G20" s="78">
        <f ca="1">'Cash Flow'!H78</f>
        <v>0.13492122292518618</v>
      </c>
      <c r="K20" s="2"/>
    </row>
    <row r="21" spans="1:11" ht="12.6" thickBot="1" x14ac:dyDescent="0.45">
      <c r="A21" s="3"/>
      <c r="B21" s="6"/>
      <c r="C21" s="7"/>
      <c r="D21" s="7"/>
      <c r="E21" s="7"/>
      <c r="F21" s="97"/>
      <c r="G21" s="79"/>
      <c r="K21" s="2"/>
    </row>
    <row r="22" spans="1:11" x14ac:dyDescent="0.4">
      <c r="A22" s="3"/>
      <c r="B22" s="251"/>
      <c r="K22" s="2"/>
    </row>
    <row r="23" spans="1:11" x14ac:dyDescent="0.4">
      <c r="A23" s="3"/>
      <c r="B23" s="3"/>
      <c r="K23" s="2"/>
    </row>
    <row r="24" spans="1:11" x14ac:dyDescent="0.4">
      <c r="A24" s="3"/>
      <c r="B24" s="3"/>
      <c r="K24" s="2"/>
    </row>
    <row r="25" spans="1:11" x14ac:dyDescent="0.4">
      <c r="A25" s="6"/>
      <c r="B25" s="6"/>
      <c r="C25" s="7"/>
      <c r="D25" s="7"/>
      <c r="E25" s="7"/>
      <c r="F25" s="7"/>
      <c r="G25" s="7"/>
      <c r="H25" s="7"/>
      <c r="I25" s="7"/>
      <c r="J25" s="7"/>
      <c r="K25" s="8"/>
    </row>
    <row r="26" spans="1:11" x14ac:dyDescent="0.4">
      <c r="B26" s="3"/>
      <c r="K26" s="2"/>
    </row>
    <row r="27" spans="1:11" ht="12.75" customHeight="1" x14ac:dyDescent="0.4">
      <c r="B27" s="3"/>
      <c r="K27" s="2"/>
    </row>
    <row r="28" spans="1:11" x14ac:dyDescent="0.4">
      <c r="B28" s="272" t="s">
        <v>111</v>
      </c>
      <c r="C28" s="273"/>
      <c r="E28" s="41"/>
      <c r="F28" s="41"/>
      <c r="G28" s="41"/>
      <c r="K28" s="2"/>
    </row>
    <row r="29" spans="1:11" ht="3" customHeight="1" x14ac:dyDescent="0.4">
      <c r="B29" s="3"/>
      <c r="C29" s="2"/>
      <c r="K29" s="2"/>
    </row>
    <row r="30" spans="1:11" x14ac:dyDescent="0.4">
      <c r="B30" s="3" t="s">
        <v>59</v>
      </c>
      <c r="C30" s="102">
        <v>75000</v>
      </c>
      <c r="E30" s="271" t="s">
        <v>192</v>
      </c>
      <c r="F30" s="106"/>
      <c r="G30" s="107"/>
      <c r="K30" s="2"/>
    </row>
    <row r="31" spans="1:11" x14ac:dyDescent="0.4">
      <c r="B31" s="123" t="s">
        <v>95</v>
      </c>
      <c r="C31" s="257">
        <v>103</v>
      </c>
      <c r="E31" s="12" t="s">
        <v>60</v>
      </c>
      <c r="G31" s="102">
        <f>C32*C33</f>
        <v>2627430.2999999998</v>
      </c>
      <c r="K31" s="2"/>
    </row>
    <row r="32" spans="1:11" x14ac:dyDescent="0.4">
      <c r="B32" s="123" t="s">
        <v>93</v>
      </c>
      <c r="C32" s="258">
        <v>24.126999999999999</v>
      </c>
      <c r="D32" s="298"/>
      <c r="E32" s="12" t="s">
        <v>61</v>
      </c>
      <c r="F32" s="242"/>
      <c r="G32" s="102">
        <f>'Prelim Budget'!C35</f>
        <v>5306086.5</v>
      </c>
      <c r="K32" s="2"/>
    </row>
    <row r="33" spans="2:11" x14ac:dyDescent="0.4">
      <c r="B33" s="123" t="s">
        <v>94</v>
      </c>
      <c r="C33" s="102">
        <f>43560*2.5</f>
        <v>108900</v>
      </c>
      <c r="D33" s="298"/>
      <c r="E33" s="12" t="s">
        <v>14</v>
      </c>
      <c r="F33" s="242"/>
      <c r="G33" s="102">
        <f>SUM(G31:G32)*C42*C39</f>
        <v>438326.80320000002</v>
      </c>
      <c r="K33" s="2"/>
    </row>
    <row r="34" spans="2:11" x14ac:dyDescent="0.4">
      <c r="B34" s="123" t="s">
        <v>72</v>
      </c>
      <c r="C34" s="102">
        <v>100</v>
      </c>
      <c r="D34" s="298"/>
      <c r="E34" s="103" t="s">
        <v>75</v>
      </c>
      <c r="F34" s="104"/>
      <c r="G34" s="105">
        <f>SUM(G31:G33)</f>
        <v>8371843.6031999998</v>
      </c>
      <c r="K34" s="2"/>
    </row>
    <row r="35" spans="2:11" ht="12" customHeight="1" x14ac:dyDescent="0.4">
      <c r="B35" s="123" t="s">
        <v>76</v>
      </c>
      <c r="C35" s="102">
        <v>1250</v>
      </c>
      <c r="K35" s="2"/>
    </row>
    <row r="36" spans="2:11" ht="12.75" customHeight="1" x14ac:dyDescent="0.4">
      <c r="B36" s="123" t="s">
        <v>77</v>
      </c>
      <c r="C36" s="259">
        <v>2.5000000000000001E-2</v>
      </c>
      <c r="F36" s="242"/>
      <c r="G36" s="242"/>
      <c r="K36" s="2"/>
    </row>
    <row r="37" spans="2:11" x14ac:dyDescent="0.4">
      <c r="B37" s="123" t="s">
        <v>78</v>
      </c>
      <c r="C37" s="260">
        <v>7.4999999999999997E-2</v>
      </c>
      <c r="G37" s="242"/>
      <c r="K37" s="2"/>
    </row>
    <row r="38" spans="2:11" x14ac:dyDescent="0.4">
      <c r="B38" s="123" t="s">
        <v>73</v>
      </c>
      <c r="C38" s="260">
        <v>5.0000000000000001E-3</v>
      </c>
      <c r="K38" s="2"/>
    </row>
    <row r="39" spans="2:11" x14ac:dyDescent="0.4">
      <c r="B39" s="123" t="s">
        <v>83</v>
      </c>
      <c r="C39" s="260">
        <v>8.5000000000000006E-2</v>
      </c>
      <c r="D39" s="299"/>
      <c r="K39" s="2"/>
    </row>
    <row r="40" spans="2:11" x14ac:dyDescent="0.4">
      <c r="B40" s="123" t="s">
        <v>74</v>
      </c>
      <c r="C40" s="260">
        <v>2.5000000000000001E-3</v>
      </c>
      <c r="K40" s="2"/>
    </row>
    <row r="41" spans="2:11" x14ac:dyDescent="0.4">
      <c r="B41" s="12" t="s">
        <v>63</v>
      </c>
      <c r="C41" s="261">
        <v>0.95</v>
      </c>
      <c r="F41" s="300">
        <v>45008</v>
      </c>
      <c r="K41" s="2"/>
    </row>
    <row r="42" spans="2:11" x14ac:dyDescent="0.4">
      <c r="B42" s="123" t="s">
        <v>84</v>
      </c>
      <c r="C42" s="261">
        <v>0.65</v>
      </c>
      <c r="F42" s="300">
        <f>F41+90</f>
        <v>45098</v>
      </c>
      <c r="K42" s="2"/>
    </row>
    <row r="43" spans="2:11" x14ac:dyDescent="0.4">
      <c r="B43" s="123" t="s">
        <v>85</v>
      </c>
      <c r="C43" s="102">
        <v>25000</v>
      </c>
      <c r="K43" s="2"/>
    </row>
    <row r="44" spans="2:11" x14ac:dyDescent="0.4">
      <c r="B44" s="123" t="s">
        <v>116</v>
      </c>
      <c r="C44" s="102">
        <v>50000</v>
      </c>
      <c r="D44" s="41"/>
      <c r="K44" s="2"/>
    </row>
    <row r="45" spans="2:11" x14ac:dyDescent="0.4">
      <c r="B45" s="123" t="s">
        <v>90</v>
      </c>
      <c r="C45" s="2">
        <v>10</v>
      </c>
      <c r="D45" s="301"/>
      <c r="J45" s="302"/>
      <c r="K45" s="2"/>
    </row>
    <row r="46" spans="2:11" x14ac:dyDescent="0.4">
      <c r="B46" s="123" t="s">
        <v>91</v>
      </c>
      <c r="C46" s="2">
        <v>10</v>
      </c>
      <c r="J46" s="302"/>
      <c r="K46" s="2"/>
    </row>
    <row r="47" spans="2:11" x14ac:dyDescent="0.4">
      <c r="B47" s="123" t="s">
        <v>86</v>
      </c>
      <c r="C47" s="261">
        <v>0.75</v>
      </c>
      <c r="J47" s="302"/>
      <c r="K47" s="2"/>
    </row>
    <row r="48" spans="2:11" x14ac:dyDescent="0.4">
      <c r="B48" s="123" t="s">
        <v>87</v>
      </c>
      <c r="C48" s="261">
        <v>0.85</v>
      </c>
      <c r="K48" s="2"/>
    </row>
    <row r="49" spans="2:11" x14ac:dyDescent="0.4">
      <c r="B49" s="123" t="s">
        <v>88</v>
      </c>
      <c r="C49" s="262" t="s">
        <v>89</v>
      </c>
      <c r="E49" s="303"/>
      <c r="K49" s="2"/>
    </row>
    <row r="50" spans="2:11" x14ac:dyDescent="0.4">
      <c r="B50" s="123" t="s">
        <v>92</v>
      </c>
      <c r="C50" s="262" t="s">
        <v>89</v>
      </c>
      <c r="K50" s="2"/>
    </row>
    <row r="51" spans="2:11" ht="3" customHeight="1" x14ac:dyDescent="0.4">
      <c r="B51" s="123"/>
      <c r="C51" s="262"/>
      <c r="K51" s="2"/>
    </row>
    <row r="52" spans="2:11" x14ac:dyDescent="0.4">
      <c r="B52" s="255" t="s">
        <v>112</v>
      </c>
      <c r="C52" s="274"/>
      <c r="K52" s="2"/>
    </row>
    <row r="53" spans="2:11" x14ac:dyDescent="0.4">
      <c r="B53" s="3"/>
      <c r="C53" s="2"/>
      <c r="K53" s="2"/>
    </row>
    <row r="54" spans="2:11" x14ac:dyDescent="0.4">
      <c r="B54" s="3" t="s">
        <v>113</v>
      </c>
      <c r="C54" s="263">
        <f>EOMONTH("3/1/2023",0)</f>
        <v>45016</v>
      </c>
      <c r="K54" s="2"/>
    </row>
    <row r="55" spans="2:11" x14ac:dyDescent="0.4">
      <c r="B55" s="3" t="s">
        <v>114</v>
      </c>
      <c r="C55" s="263">
        <f>EOMONTH(C54+90,0)</f>
        <v>45107</v>
      </c>
      <c r="K55" s="2"/>
    </row>
    <row r="56" spans="2:11" x14ac:dyDescent="0.4">
      <c r="B56" s="123" t="s">
        <v>96</v>
      </c>
      <c r="C56" s="263">
        <f>EOMONTH(C55,1)</f>
        <v>45138</v>
      </c>
      <c r="K56" s="2"/>
    </row>
    <row r="57" spans="2:11" x14ac:dyDescent="0.4">
      <c r="B57" s="123" t="s">
        <v>115</v>
      </c>
      <c r="C57" s="263">
        <f>C56</f>
        <v>45138</v>
      </c>
      <c r="K57" s="2"/>
    </row>
    <row r="58" spans="2:11" x14ac:dyDescent="0.4">
      <c r="B58" s="123" t="s">
        <v>98</v>
      </c>
      <c r="C58" s="263">
        <f>EOMONTH(C57,12)</f>
        <v>45504</v>
      </c>
      <c r="K58" s="2"/>
    </row>
    <row r="59" spans="2:11" x14ac:dyDescent="0.4">
      <c r="B59" s="123" t="s">
        <v>99</v>
      </c>
      <c r="C59" s="263">
        <v>45869</v>
      </c>
      <c r="K59" s="2"/>
    </row>
    <row r="60" spans="2:11" x14ac:dyDescent="0.4">
      <c r="B60" s="123" t="s">
        <v>101</v>
      </c>
      <c r="C60" s="263">
        <v>45869</v>
      </c>
      <c r="K60" s="2"/>
    </row>
    <row r="61" spans="2:11" x14ac:dyDescent="0.4">
      <c r="B61" s="123" t="s">
        <v>117</v>
      </c>
      <c r="C61" s="263">
        <f>EOMONTH(C58,(ROUNDDOWN(C31/C46,0)*3)+12)</f>
        <v>46783</v>
      </c>
      <c r="K61" s="2"/>
    </row>
    <row r="62" spans="2:11" ht="3" customHeight="1" x14ac:dyDescent="0.4">
      <c r="B62" s="3"/>
      <c r="C62" s="2"/>
      <c r="K62" s="2"/>
    </row>
    <row r="63" spans="2:11" x14ac:dyDescent="0.4">
      <c r="B63" s="255" t="s">
        <v>118</v>
      </c>
      <c r="C63" s="274"/>
      <c r="K63" s="2"/>
    </row>
    <row r="64" spans="2:11" x14ac:dyDescent="0.4">
      <c r="B64" s="3"/>
      <c r="C64" s="2"/>
      <c r="K64" s="2"/>
    </row>
    <row r="65" spans="2:11" x14ac:dyDescent="0.4">
      <c r="B65" s="3" t="s">
        <v>120</v>
      </c>
      <c r="C65" s="2"/>
      <c r="K65" s="2"/>
    </row>
    <row r="66" spans="2:11" x14ac:dyDescent="0.4">
      <c r="B66" s="123" t="s">
        <v>119</v>
      </c>
      <c r="C66" s="2"/>
      <c r="K66" s="2"/>
    </row>
    <row r="67" spans="2:11" x14ac:dyDescent="0.4">
      <c r="B67" s="123" t="s">
        <v>70</v>
      </c>
      <c r="C67" s="2"/>
      <c r="D67" s="302"/>
      <c r="K67" s="2"/>
    </row>
    <row r="68" spans="2:11" x14ac:dyDescent="0.4">
      <c r="B68" s="123" t="s">
        <v>97</v>
      </c>
      <c r="C68" s="2"/>
      <c r="K68" s="2"/>
    </row>
    <row r="69" spans="2:11" x14ac:dyDescent="0.4">
      <c r="B69" s="189" t="s">
        <v>121</v>
      </c>
      <c r="C69" s="8"/>
      <c r="D69" s="7"/>
      <c r="E69" s="7"/>
      <c r="F69" s="7"/>
      <c r="G69" s="7"/>
      <c r="H69" s="7"/>
      <c r="I69" s="7"/>
      <c r="J69" s="7"/>
      <c r="K69" s="8"/>
    </row>
    <row r="73" spans="2:11" ht="3" customHeight="1" x14ac:dyDescent="0.4"/>
  </sheetData>
  <phoneticPr fontId="23" type="noConversion"/>
  <pageMargins left="0.75" right="0.75" top="1" bottom="1" header="0.5" footer="0.5"/>
  <pageSetup paperSize="5" scale="52" orientation="landscape" r:id="rId1"/>
  <headerFooter alignWithMargins="0">
    <oddFooter>&amp;L&amp;F&amp;CPage &amp;P of &amp;N&amp;R&amp;A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CF90-87C5-47E4-84A4-6E143002CAAF}">
  <dimension ref="B1:K40"/>
  <sheetViews>
    <sheetView showGridLines="0" zoomScaleNormal="100" workbookViewId="0">
      <selection activeCell="C7" sqref="C7"/>
    </sheetView>
  </sheetViews>
  <sheetFormatPr defaultRowHeight="12.3" x14ac:dyDescent="0.4"/>
  <cols>
    <col min="2" max="2" width="44.21875" bestFit="1" customWidth="1"/>
    <col min="3" max="3" width="19.77734375" bestFit="1" customWidth="1"/>
    <col min="5" max="5" width="13.6640625" bestFit="1" customWidth="1"/>
    <col min="11" max="11" width="9.94140625" bestFit="1" customWidth="1"/>
  </cols>
  <sheetData>
    <row r="1" spans="2:11" x14ac:dyDescent="0.4">
      <c r="B1" s="108"/>
      <c r="C1" s="108"/>
    </row>
    <row r="2" spans="2:11" x14ac:dyDescent="0.4">
      <c r="B2" s="272" t="s">
        <v>193</v>
      </c>
      <c r="C2" s="304" t="s">
        <v>205</v>
      </c>
      <c r="D2" s="1"/>
      <c r="E2" s="305" t="s">
        <v>194</v>
      </c>
      <c r="F2" s="107"/>
    </row>
    <row r="3" spans="2:11" x14ac:dyDescent="0.4">
      <c r="B3" s="256" t="s">
        <v>195</v>
      </c>
      <c r="C3" s="109">
        <f>Assumptions!C54</f>
        <v>45016</v>
      </c>
      <c r="E3" s="306" t="s">
        <v>210</v>
      </c>
      <c r="F3" s="307" t="s">
        <v>211</v>
      </c>
    </row>
    <row r="4" spans="2:11" x14ac:dyDescent="0.4">
      <c r="B4" s="256"/>
      <c r="C4" s="109"/>
      <c r="E4" s="308">
        <f>YEARFRAC(C11,C33)</f>
        <v>3.4194444444444443</v>
      </c>
      <c r="F4" s="309">
        <f>E4*12</f>
        <v>41.033333333333331</v>
      </c>
      <c r="K4" s="335"/>
    </row>
    <row r="5" spans="2:11" x14ac:dyDescent="0.4">
      <c r="B5" s="256" t="s">
        <v>114</v>
      </c>
      <c r="C5" s="109">
        <f>Assumptions!C55</f>
        <v>45107</v>
      </c>
      <c r="F5" s="2"/>
    </row>
    <row r="6" spans="2:11" x14ac:dyDescent="0.4">
      <c r="B6" s="256"/>
      <c r="C6" s="109"/>
      <c r="F6" s="2"/>
    </row>
    <row r="7" spans="2:11" x14ac:dyDescent="0.4">
      <c r="B7" s="3" t="s">
        <v>196</v>
      </c>
      <c r="C7" s="109">
        <f>C5</f>
        <v>45107</v>
      </c>
      <c r="F7" s="2"/>
      <c r="I7" s="303">
        <v>45008</v>
      </c>
    </row>
    <row r="8" spans="2:11" x14ac:dyDescent="0.4">
      <c r="B8" s="3"/>
      <c r="C8" s="109"/>
      <c r="F8" s="2"/>
      <c r="I8" s="303">
        <f>+I7+90</f>
        <v>45098</v>
      </c>
    </row>
    <row r="9" spans="2:11" x14ac:dyDescent="0.4">
      <c r="B9" s="3" t="s">
        <v>197</v>
      </c>
      <c r="C9" s="109">
        <f>C11</f>
        <v>45138</v>
      </c>
      <c r="F9" s="2"/>
      <c r="I9" s="303">
        <f>+I8+15</f>
        <v>45113</v>
      </c>
    </row>
    <row r="10" spans="2:11" x14ac:dyDescent="0.4">
      <c r="B10" s="3"/>
      <c r="C10" s="109"/>
      <c r="F10" s="2"/>
    </row>
    <row r="11" spans="2:11" x14ac:dyDescent="0.4">
      <c r="B11" s="256" t="s">
        <v>206</v>
      </c>
      <c r="C11" s="109">
        <f>Assumptions!C56</f>
        <v>45138</v>
      </c>
      <c r="F11" s="2"/>
    </row>
    <row r="12" spans="2:11" x14ac:dyDescent="0.4">
      <c r="B12" s="256"/>
      <c r="C12" s="109"/>
      <c r="F12" s="2"/>
    </row>
    <row r="13" spans="2:11" x14ac:dyDescent="0.4">
      <c r="B13" s="256" t="s">
        <v>198</v>
      </c>
      <c r="C13" s="109">
        <f>EOMONTH(C11,1)</f>
        <v>45169</v>
      </c>
      <c r="F13" s="2"/>
    </row>
    <row r="14" spans="2:11" x14ac:dyDescent="0.4">
      <c r="B14" s="256"/>
      <c r="C14" s="109"/>
      <c r="F14" s="2"/>
    </row>
    <row r="15" spans="2:11" x14ac:dyDescent="0.4">
      <c r="B15" s="256" t="s">
        <v>201</v>
      </c>
      <c r="C15" s="109">
        <f>C13</f>
        <v>45169</v>
      </c>
      <c r="F15" s="2"/>
    </row>
    <row r="16" spans="2:11" x14ac:dyDescent="0.4">
      <c r="B16" s="256"/>
      <c r="C16" s="109"/>
      <c r="F16" s="2"/>
    </row>
    <row r="17" spans="2:6" x14ac:dyDescent="0.4">
      <c r="B17" s="256" t="s">
        <v>199</v>
      </c>
      <c r="C17" s="109">
        <v>45382</v>
      </c>
      <c r="F17" s="2"/>
    </row>
    <row r="18" spans="2:6" x14ac:dyDescent="0.4">
      <c r="B18" s="256"/>
      <c r="C18" s="109"/>
      <c r="F18" s="2"/>
    </row>
    <row r="19" spans="2:6" x14ac:dyDescent="0.4">
      <c r="B19" s="256" t="s">
        <v>200</v>
      </c>
      <c r="C19" s="109">
        <f>EOMONTH(C17,2)</f>
        <v>45443</v>
      </c>
      <c r="F19" s="2"/>
    </row>
    <row r="20" spans="2:6" x14ac:dyDescent="0.4">
      <c r="B20" s="256"/>
      <c r="C20" s="109"/>
      <c r="F20" s="2"/>
    </row>
    <row r="21" spans="2:6" x14ac:dyDescent="0.4">
      <c r="B21" s="256" t="s">
        <v>202</v>
      </c>
      <c r="C21" s="109">
        <f>EOMONTH(C19,2)</f>
        <v>45504</v>
      </c>
      <c r="F21" s="2"/>
    </row>
    <row r="22" spans="2:6" x14ac:dyDescent="0.4">
      <c r="B22" s="256"/>
      <c r="C22" s="109"/>
      <c r="F22" s="2"/>
    </row>
    <row r="23" spans="2:6" x14ac:dyDescent="0.4">
      <c r="B23" s="256" t="s">
        <v>203</v>
      </c>
      <c r="C23" s="109">
        <f>C21</f>
        <v>45504</v>
      </c>
      <c r="F23" s="2"/>
    </row>
    <row r="24" spans="2:6" x14ac:dyDescent="0.4">
      <c r="B24" s="256"/>
      <c r="C24" s="109"/>
      <c r="F24" s="2"/>
    </row>
    <row r="25" spans="2:6" x14ac:dyDescent="0.4">
      <c r="B25" s="256" t="s">
        <v>204</v>
      </c>
      <c r="C25" s="109">
        <f>C23</f>
        <v>45504</v>
      </c>
      <c r="F25" s="2"/>
    </row>
    <row r="26" spans="2:6" x14ac:dyDescent="0.4">
      <c r="B26" s="256"/>
      <c r="C26" s="109"/>
      <c r="F26" s="2"/>
    </row>
    <row r="27" spans="2:6" x14ac:dyDescent="0.4">
      <c r="B27" s="256" t="s">
        <v>207</v>
      </c>
      <c r="C27" s="109">
        <f>C25</f>
        <v>45504</v>
      </c>
      <c r="F27" s="2"/>
    </row>
    <row r="28" spans="2:6" x14ac:dyDescent="0.4">
      <c r="B28" s="3"/>
      <c r="C28" s="109"/>
      <c r="F28" s="2"/>
    </row>
    <row r="29" spans="2:6" x14ac:dyDescent="0.4">
      <c r="B29" s="123" t="s">
        <v>99</v>
      </c>
      <c r="C29" s="109">
        <v>45869</v>
      </c>
      <c r="F29" s="2"/>
    </row>
    <row r="30" spans="2:6" x14ac:dyDescent="0.4">
      <c r="B30" s="123"/>
      <c r="C30" s="109"/>
      <c r="F30" s="2"/>
    </row>
    <row r="31" spans="2:6" x14ac:dyDescent="0.4">
      <c r="B31" s="123" t="s">
        <v>101</v>
      </c>
      <c r="C31" s="109">
        <v>45869</v>
      </c>
      <c r="F31" s="2"/>
    </row>
    <row r="32" spans="2:6" x14ac:dyDescent="0.4">
      <c r="B32" s="3"/>
      <c r="C32" s="109"/>
      <c r="F32" s="2"/>
    </row>
    <row r="33" spans="2:6" x14ac:dyDescent="0.4">
      <c r="B33" s="3" t="s">
        <v>208</v>
      </c>
      <c r="C33" s="109">
        <v>46388</v>
      </c>
      <c r="F33" s="2"/>
    </row>
    <row r="34" spans="2:6" x14ac:dyDescent="0.4">
      <c r="B34" s="3"/>
      <c r="C34" s="109"/>
      <c r="F34" s="2"/>
    </row>
    <row r="35" spans="2:6" x14ac:dyDescent="0.4">
      <c r="B35" s="6" t="s">
        <v>209</v>
      </c>
      <c r="C35" s="310">
        <v>46753</v>
      </c>
      <c r="D35" s="7"/>
      <c r="E35" s="7"/>
      <c r="F35" s="8"/>
    </row>
    <row r="36" spans="2:6" x14ac:dyDescent="0.4">
      <c r="C36" s="109"/>
    </row>
    <row r="37" spans="2:6" x14ac:dyDescent="0.4">
      <c r="C37" s="109"/>
    </row>
    <row r="38" spans="2:6" x14ac:dyDescent="0.4">
      <c r="C38" s="109"/>
    </row>
    <row r="39" spans="2:6" x14ac:dyDescent="0.4">
      <c r="C39" s="109"/>
    </row>
    <row r="40" spans="2:6" x14ac:dyDescent="0.4">
      <c r="C40" s="109"/>
    </row>
  </sheetData>
  <pageMargins left="0.7" right="0.7" top="0.75" bottom="0.7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236A-693D-45ED-A3D3-15EE9BB832F4}">
  <dimension ref="A1:R49"/>
  <sheetViews>
    <sheetView zoomScaleNormal="100" workbookViewId="0">
      <selection activeCell="L1" sqref="L1"/>
    </sheetView>
  </sheetViews>
  <sheetFormatPr defaultColWidth="8.83203125" defaultRowHeight="15" x14ac:dyDescent="0.5"/>
  <cols>
    <col min="1" max="1" width="3.83203125" style="61" customWidth="1"/>
    <col min="2" max="2" width="64.77734375" style="61" bestFit="1" customWidth="1"/>
    <col min="3" max="3" width="16.1640625" style="61" customWidth="1"/>
    <col min="4" max="4" width="2.33203125" style="61" customWidth="1"/>
    <col min="5" max="5" width="15.33203125" style="61" bestFit="1" customWidth="1"/>
    <col min="6" max="6" width="2.33203125" style="61" customWidth="1"/>
    <col min="7" max="7" width="15.5" style="61" customWidth="1"/>
    <col min="8" max="8" width="2.33203125" style="61" customWidth="1"/>
    <col min="9" max="9" width="14.38671875" style="61" bestFit="1" customWidth="1"/>
    <col min="10" max="10" width="8.83203125" style="61"/>
    <col min="11" max="11" width="59.77734375" style="61" bestFit="1" customWidth="1"/>
    <col min="12" max="12" width="11.5" style="61" customWidth="1"/>
    <col min="13" max="13" width="8.6640625" style="61" hidden="1" customWidth="1"/>
    <col min="14" max="14" width="5.5546875" style="61" hidden="1" customWidth="1"/>
    <col min="15" max="16384" width="8.83203125" style="61"/>
  </cols>
  <sheetData>
    <row r="1" spans="1:18" x14ac:dyDescent="0.5">
      <c r="B1" s="311" t="s">
        <v>122</v>
      </c>
      <c r="C1" s="312"/>
      <c r="D1" s="312"/>
      <c r="E1" s="312"/>
      <c r="F1" s="312"/>
      <c r="G1" s="312"/>
      <c r="H1" s="312"/>
      <c r="I1" s="313" t="s">
        <v>123</v>
      </c>
      <c r="J1" s="314">
        <v>24.126999999999999</v>
      </c>
      <c r="K1" s="314"/>
      <c r="L1" s="315"/>
    </row>
    <row r="2" spans="1:18" x14ac:dyDescent="0.5">
      <c r="B2" s="252" t="s">
        <v>180</v>
      </c>
      <c r="C2" s="316"/>
      <c r="D2" s="316"/>
      <c r="E2" s="316"/>
      <c r="F2" s="316"/>
      <c r="G2" s="316"/>
      <c r="H2" s="316"/>
      <c r="I2" s="317" t="s">
        <v>124</v>
      </c>
      <c r="J2" s="61">
        <f>+J1-4.457</f>
        <v>19.669999999999998</v>
      </c>
      <c r="L2" s="268"/>
    </row>
    <row r="3" spans="1:18" x14ac:dyDescent="0.5">
      <c r="B3" s="252" t="s">
        <v>190</v>
      </c>
      <c r="C3" s="316"/>
      <c r="D3" s="316"/>
      <c r="E3" s="316"/>
      <c r="F3" s="316"/>
      <c r="G3" s="316"/>
      <c r="H3" s="316"/>
      <c r="I3" s="317" t="s">
        <v>68</v>
      </c>
      <c r="J3" s="61">
        <v>103</v>
      </c>
      <c r="L3" s="268"/>
    </row>
    <row r="4" spans="1:18" x14ac:dyDescent="0.5">
      <c r="B4" s="252" t="s">
        <v>125</v>
      </c>
      <c r="C4" s="316"/>
      <c r="D4" s="316"/>
      <c r="E4" s="316"/>
      <c r="F4" s="316"/>
      <c r="G4" s="316"/>
      <c r="H4" s="316"/>
      <c r="I4" s="317" t="s">
        <v>126</v>
      </c>
      <c r="J4" s="318">
        <f>+J3/J2</f>
        <v>5.2364006100660907</v>
      </c>
      <c r="K4" s="318"/>
      <c r="L4" s="319"/>
    </row>
    <row r="5" spans="1:18" x14ac:dyDescent="0.5">
      <c r="B5" s="252"/>
      <c r="E5" s="320" t="s">
        <v>127</v>
      </c>
      <c r="L5" s="268"/>
    </row>
    <row r="6" spans="1:18" x14ac:dyDescent="0.5">
      <c r="B6" s="253"/>
      <c r="C6" s="320" t="s">
        <v>4</v>
      </c>
      <c r="D6" s="321"/>
      <c r="E6" s="320" t="s">
        <v>128</v>
      </c>
      <c r="F6" s="321"/>
      <c r="G6" s="320" t="s">
        <v>129</v>
      </c>
      <c r="H6" s="321"/>
      <c r="L6" s="268"/>
    </row>
    <row r="7" spans="1:18" x14ac:dyDescent="0.5">
      <c r="B7" s="254" t="s">
        <v>130</v>
      </c>
      <c r="C7" s="322" t="s">
        <v>131</v>
      </c>
      <c r="D7" s="321"/>
      <c r="E7" s="322" t="s">
        <v>132</v>
      </c>
      <c r="F7" s="321"/>
      <c r="G7" s="322" t="s">
        <v>133</v>
      </c>
      <c r="H7" s="321"/>
      <c r="K7" s="323" t="s">
        <v>212</v>
      </c>
      <c r="L7" s="268"/>
    </row>
    <row r="8" spans="1:18" x14ac:dyDescent="0.5">
      <c r="B8" s="253"/>
      <c r="K8" s="324"/>
      <c r="L8" s="268"/>
    </row>
    <row r="9" spans="1:18" x14ac:dyDescent="0.5">
      <c r="A9" s="61">
        <v>1</v>
      </c>
      <c r="B9" s="253" t="s">
        <v>60</v>
      </c>
      <c r="C9" s="325">
        <v>0</v>
      </c>
      <c r="D9" s="325"/>
      <c r="E9" s="325">
        <v>0</v>
      </c>
      <c r="F9" s="325"/>
      <c r="G9" s="325">
        <f>+C9-E9</f>
        <v>0</v>
      </c>
      <c r="H9" s="62"/>
      <c r="K9" s="324" t="s">
        <v>134</v>
      </c>
      <c r="L9" s="268"/>
      <c r="M9" s="61">
        <f>2*43560</f>
        <v>87120</v>
      </c>
      <c r="N9" s="61" t="s">
        <v>135</v>
      </c>
    </row>
    <row r="10" spans="1:18" x14ac:dyDescent="0.5">
      <c r="A10" s="61">
        <v>2</v>
      </c>
      <c r="B10" s="253" t="s">
        <v>136</v>
      </c>
      <c r="C10" s="325">
        <f>M10</f>
        <v>0</v>
      </c>
      <c r="D10" s="325"/>
      <c r="E10" s="325">
        <v>0</v>
      </c>
      <c r="F10" s="325"/>
      <c r="G10" s="325">
        <f t="shared" ref="G10:G33" si="0">+C10-E10</f>
        <v>0</v>
      </c>
      <c r="H10" s="62"/>
      <c r="K10" s="324"/>
      <c r="L10" s="268"/>
      <c r="M10" s="61">
        <v>0</v>
      </c>
      <c r="N10" s="61" t="s">
        <v>137</v>
      </c>
    </row>
    <row r="11" spans="1:18" x14ac:dyDescent="0.5">
      <c r="A11" s="61">
        <v>3</v>
      </c>
      <c r="B11" s="253" t="s">
        <v>138</v>
      </c>
      <c r="C11" s="325">
        <f>M11</f>
        <v>50000</v>
      </c>
      <c r="D11" s="325"/>
      <c r="E11" s="325">
        <v>0</v>
      </c>
      <c r="F11" s="325"/>
      <c r="G11" s="325">
        <f t="shared" si="0"/>
        <v>50000</v>
      </c>
      <c r="H11" s="62"/>
      <c r="K11" s="324" t="s">
        <v>134</v>
      </c>
      <c r="L11" s="268"/>
      <c r="M11" s="61">
        <v>50000</v>
      </c>
      <c r="N11" s="61" t="s">
        <v>139</v>
      </c>
    </row>
    <row r="12" spans="1:18" x14ac:dyDescent="0.5">
      <c r="A12" s="61">
        <v>4</v>
      </c>
      <c r="B12" s="253" t="s">
        <v>140</v>
      </c>
      <c r="C12" s="325">
        <f>+$J$2*M12</f>
        <v>29504.999999999996</v>
      </c>
      <c r="D12" s="326"/>
      <c r="E12" s="63">
        <f>+C12*0.5*$C$44</f>
        <v>14752.499999999998</v>
      </c>
      <c r="F12" s="327" t="s">
        <v>141</v>
      </c>
      <c r="G12" s="325">
        <f>+C12-E12</f>
        <v>14752.499999999998</v>
      </c>
      <c r="H12" s="328"/>
      <c r="K12" s="324" t="s">
        <v>142</v>
      </c>
      <c r="L12" s="268"/>
      <c r="M12" s="61">
        <v>1500</v>
      </c>
      <c r="N12" s="61" t="s">
        <v>143</v>
      </c>
    </row>
    <row r="13" spans="1:18" x14ac:dyDescent="0.5">
      <c r="A13" s="61">
        <v>5</v>
      </c>
      <c r="B13" s="253" t="s">
        <v>144</v>
      </c>
      <c r="C13" s="325">
        <f>+J2*M13</f>
        <v>1573599.9999999998</v>
      </c>
      <c r="D13" s="326"/>
      <c r="E13" s="63">
        <f>+C13*$C$44</f>
        <v>1573599.9999999998</v>
      </c>
      <c r="F13" s="326"/>
      <c r="G13" s="325">
        <f t="shared" si="0"/>
        <v>0</v>
      </c>
      <c r="H13" s="328"/>
      <c r="K13" s="324" t="s">
        <v>145</v>
      </c>
      <c r="L13" s="268"/>
      <c r="M13" s="61">
        <v>80000</v>
      </c>
      <c r="N13" s="61" t="s">
        <v>135</v>
      </c>
    </row>
    <row r="14" spans="1:18" x14ac:dyDescent="0.5">
      <c r="A14" s="61">
        <v>6</v>
      </c>
      <c r="B14" s="253" t="s">
        <v>146</v>
      </c>
      <c r="C14" s="63">
        <f>M14</f>
        <v>0</v>
      </c>
      <c r="D14" s="326"/>
      <c r="E14" s="63">
        <f>+C14*$C$44</f>
        <v>0</v>
      </c>
      <c r="F14" s="326"/>
      <c r="G14" s="325">
        <f t="shared" si="0"/>
        <v>0</v>
      </c>
      <c r="H14" s="328"/>
      <c r="K14" s="324"/>
      <c r="L14" s="268"/>
      <c r="M14" s="61">
        <v>0</v>
      </c>
      <c r="N14" s="61" t="s">
        <v>147</v>
      </c>
      <c r="R14" s="64"/>
    </row>
    <row r="15" spans="1:18" x14ac:dyDescent="0.5">
      <c r="A15" s="61">
        <v>7</v>
      </c>
      <c r="B15" s="253" t="s">
        <v>148</v>
      </c>
      <c r="C15" s="63">
        <f>M15</f>
        <v>50000</v>
      </c>
      <c r="D15" s="326"/>
      <c r="E15" s="63">
        <f>+C15*$C$44</f>
        <v>50000</v>
      </c>
      <c r="F15" s="326"/>
      <c r="G15" s="325">
        <f t="shared" si="0"/>
        <v>0</v>
      </c>
      <c r="H15" s="328"/>
      <c r="K15" s="324" t="s">
        <v>145</v>
      </c>
      <c r="L15" s="268"/>
      <c r="M15" s="61">
        <v>50000</v>
      </c>
      <c r="N15" s="61" t="s">
        <v>139</v>
      </c>
    </row>
    <row r="16" spans="1:18" x14ac:dyDescent="0.5">
      <c r="A16" s="61">
        <v>8</v>
      </c>
      <c r="B16" s="253" t="s">
        <v>149</v>
      </c>
      <c r="C16" s="325">
        <f>+$J$2*M16</f>
        <v>1671949.9999999998</v>
      </c>
      <c r="D16" s="326"/>
      <c r="E16" s="63">
        <v>0</v>
      </c>
      <c r="F16" s="326"/>
      <c r="G16" s="325">
        <f t="shared" si="0"/>
        <v>1671949.9999999998</v>
      </c>
      <c r="H16" s="328"/>
      <c r="K16" s="324" t="s">
        <v>150</v>
      </c>
      <c r="L16" s="268"/>
      <c r="M16" s="61">
        <v>85000</v>
      </c>
      <c r="N16" s="61" t="s">
        <v>135</v>
      </c>
    </row>
    <row r="17" spans="1:14" x14ac:dyDescent="0.5">
      <c r="A17" s="61">
        <v>9</v>
      </c>
      <c r="B17" s="253" t="s">
        <v>151</v>
      </c>
      <c r="C17" s="63">
        <f>M17</f>
        <v>250000</v>
      </c>
      <c r="D17" s="326"/>
      <c r="E17" s="63">
        <v>0</v>
      </c>
      <c r="F17" s="326"/>
      <c r="G17" s="325">
        <f t="shared" si="0"/>
        <v>250000</v>
      </c>
      <c r="H17" s="328"/>
      <c r="K17" s="324" t="s">
        <v>150</v>
      </c>
      <c r="L17" s="268"/>
      <c r="M17" s="61">
        <v>250000</v>
      </c>
      <c r="N17" s="61" t="s">
        <v>139</v>
      </c>
    </row>
    <row r="18" spans="1:14" x14ac:dyDescent="0.5">
      <c r="A18" s="61">
        <f>+A17+1</f>
        <v>10</v>
      </c>
      <c r="B18" s="253" t="s">
        <v>152</v>
      </c>
      <c r="C18" s="63">
        <f>+(C13+C14+C15)*0.2</f>
        <v>324720</v>
      </c>
      <c r="D18" s="326"/>
      <c r="E18" s="63">
        <f>+C18*$C$44</f>
        <v>324720</v>
      </c>
      <c r="F18" s="326"/>
      <c r="G18" s="325">
        <f t="shared" si="0"/>
        <v>0</v>
      </c>
      <c r="H18" s="328"/>
      <c r="K18" s="324" t="s">
        <v>153</v>
      </c>
      <c r="L18" s="268"/>
      <c r="M18" s="65">
        <v>0.2</v>
      </c>
      <c r="N18" s="61" t="s">
        <v>154</v>
      </c>
    </row>
    <row r="19" spans="1:14" x14ac:dyDescent="0.5">
      <c r="A19" s="61">
        <f t="shared" ref="A19:A31" si="1">+A18+1</f>
        <v>11</v>
      </c>
      <c r="B19" s="253" t="s">
        <v>155</v>
      </c>
      <c r="C19" s="63">
        <f>+(C16+C17)*0.2</f>
        <v>384390</v>
      </c>
      <c r="D19" s="326"/>
      <c r="E19" s="63">
        <v>0</v>
      </c>
      <c r="F19" s="326"/>
      <c r="G19" s="325">
        <f t="shared" si="0"/>
        <v>384390</v>
      </c>
      <c r="H19" s="328"/>
      <c r="K19" s="324" t="s">
        <v>153</v>
      </c>
      <c r="L19" s="268"/>
      <c r="M19" s="65">
        <v>0.2</v>
      </c>
      <c r="N19" s="61" t="s">
        <v>154</v>
      </c>
    </row>
    <row r="20" spans="1:14" x14ac:dyDescent="0.5">
      <c r="A20" s="61">
        <f t="shared" si="1"/>
        <v>12</v>
      </c>
      <c r="B20" s="253" t="s">
        <v>156</v>
      </c>
      <c r="C20" s="63">
        <f>M20</f>
        <v>50000</v>
      </c>
      <c r="D20" s="326"/>
      <c r="E20" s="63">
        <f>+C20*$C$44</f>
        <v>50000</v>
      </c>
      <c r="F20" s="326"/>
      <c r="G20" s="325">
        <f t="shared" si="0"/>
        <v>0</v>
      </c>
      <c r="H20" s="328"/>
      <c r="K20" s="324" t="s">
        <v>153</v>
      </c>
      <c r="L20" s="268"/>
      <c r="M20" s="61">
        <v>50000</v>
      </c>
      <c r="N20" s="61" t="s">
        <v>139</v>
      </c>
    </row>
    <row r="21" spans="1:14" x14ac:dyDescent="0.5">
      <c r="A21" s="61">
        <f t="shared" si="1"/>
        <v>13</v>
      </c>
      <c r="B21" s="253" t="s">
        <v>157</v>
      </c>
      <c r="C21" s="63">
        <f>M21</f>
        <v>25000</v>
      </c>
      <c r="D21" s="326"/>
      <c r="E21" s="63">
        <f>+C21*$C$44</f>
        <v>25000</v>
      </c>
      <c r="F21" s="326"/>
      <c r="G21" s="325">
        <f t="shared" si="0"/>
        <v>0</v>
      </c>
      <c r="H21" s="328"/>
      <c r="K21" s="324" t="s">
        <v>153</v>
      </c>
      <c r="L21" s="268"/>
      <c r="M21" s="61">
        <v>25000</v>
      </c>
      <c r="N21" s="61" t="s">
        <v>139</v>
      </c>
    </row>
    <row r="22" spans="1:14" x14ac:dyDescent="0.5">
      <c r="A22" s="61">
        <f t="shared" si="1"/>
        <v>14</v>
      </c>
      <c r="B22" s="253" t="s">
        <v>158</v>
      </c>
      <c r="C22" s="63">
        <f>M22</f>
        <v>0</v>
      </c>
      <c r="D22" s="326"/>
      <c r="E22" s="63">
        <v>0</v>
      </c>
      <c r="F22" s="326"/>
      <c r="G22" s="325">
        <f t="shared" si="0"/>
        <v>0</v>
      </c>
      <c r="H22" s="328"/>
      <c r="K22" s="324"/>
      <c r="L22" s="268"/>
      <c r="M22" s="61">
        <v>0</v>
      </c>
      <c r="N22" s="61" t="s">
        <v>139</v>
      </c>
    </row>
    <row r="23" spans="1:14" x14ac:dyDescent="0.5">
      <c r="A23" s="61">
        <f t="shared" si="1"/>
        <v>15</v>
      </c>
      <c r="B23" s="253" t="s">
        <v>159</v>
      </c>
      <c r="C23" s="63">
        <f>+(C13+C14+C15)*M23</f>
        <v>48707.999999999993</v>
      </c>
      <c r="D23" s="326"/>
      <c r="E23" s="63">
        <f>+C23*$C$44</f>
        <v>48707.999999999993</v>
      </c>
      <c r="F23" s="326"/>
      <c r="G23" s="325">
        <f t="shared" si="0"/>
        <v>0</v>
      </c>
      <c r="H23" s="328"/>
      <c r="K23" s="324" t="s">
        <v>153</v>
      </c>
      <c r="L23" s="268"/>
      <c r="M23" s="65">
        <v>0.03</v>
      </c>
      <c r="N23" s="61" t="s">
        <v>154</v>
      </c>
    </row>
    <row r="24" spans="1:14" x14ac:dyDescent="0.5">
      <c r="A24" s="61">
        <f t="shared" si="1"/>
        <v>16</v>
      </c>
      <c r="B24" s="253" t="s">
        <v>160</v>
      </c>
      <c r="C24" s="63">
        <f>+(C16+C17)*M24</f>
        <v>57658.499999999993</v>
      </c>
      <c r="D24" s="326"/>
      <c r="E24" s="63">
        <v>0</v>
      </c>
      <c r="F24" s="326"/>
      <c r="G24" s="325">
        <f t="shared" si="0"/>
        <v>57658.499999999993</v>
      </c>
      <c r="H24" s="328"/>
      <c r="K24" s="324" t="s">
        <v>153</v>
      </c>
      <c r="L24" s="268"/>
      <c r="M24" s="65">
        <v>0.03</v>
      </c>
      <c r="N24" s="61" t="s">
        <v>154</v>
      </c>
    </row>
    <row r="25" spans="1:14" x14ac:dyDescent="0.5">
      <c r="A25" s="61">
        <f t="shared" si="1"/>
        <v>17</v>
      </c>
      <c r="B25" s="253" t="s">
        <v>161</v>
      </c>
      <c r="C25" s="63">
        <f>+$J$3*M25</f>
        <v>206000</v>
      </c>
      <c r="D25" s="326"/>
      <c r="E25" s="63">
        <v>0</v>
      </c>
      <c r="F25" s="326"/>
      <c r="G25" s="325">
        <f t="shared" si="0"/>
        <v>206000</v>
      </c>
      <c r="H25" s="328"/>
      <c r="K25" s="324" t="s">
        <v>162</v>
      </c>
      <c r="L25" s="268"/>
      <c r="M25" s="61">
        <v>2000</v>
      </c>
      <c r="N25" s="61" t="s">
        <v>163</v>
      </c>
    </row>
    <row r="26" spans="1:14" x14ac:dyDescent="0.5">
      <c r="A26" s="61">
        <f t="shared" si="1"/>
        <v>18</v>
      </c>
      <c r="B26" s="253" t="s">
        <v>164</v>
      </c>
      <c r="C26" s="63">
        <f>M26</f>
        <v>50000</v>
      </c>
      <c r="D26" s="326"/>
      <c r="E26" s="63">
        <v>0</v>
      </c>
      <c r="F26" s="326"/>
      <c r="G26" s="325">
        <f t="shared" si="0"/>
        <v>50000</v>
      </c>
      <c r="H26" s="328"/>
      <c r="K26" s="324" t="s">
        <v>142</v>
      </c>
      <c r="L26" s="268"/>
      <c r="M26" s="61">
        <v>50000</v>
      </c>
      <c r="N26" s="61" t="s">
        <v>139</v>
      </c>
    </row>
    <row r="27" spans="1:14" x14ac:dyDescent="0.5">
      <c r="A27" s="61">
        <f t="shared" si="1"/>
        <v>19</v>
      </c>
      <c r="B27" s="253" t="s">
        <v>165</v>
      </c>
      <c r="C27" s="63">
        <f>M27</f>
        <v>50000</v>
      </c>
      <c r="D27" s="326"/>
      <c r="E27" s="63">
        <v>0</v>
      </c>
      <c r="F27" s="326"/>
      <c r="G27" s="325">
        <f t="shared" si="0"/>
        <v>50000</v>
      </c>
      <c r="H27" s="328"/>
      <c r="K27" s="324" t="s">
        <v>134</v>
      </c>
      <c r="L27" s="268"/>
      <c r="M27" s="61">
        <v>50000</v>
      </c>
      <c r="N27" s="61" t="s">
        <v>139</v>
      </c>
    </row>
    <row r="28" spans="1:14" x14ac:dyDescent="0.5">
      <c r="A28" s="61">
        <f t="shared" si="1"/>
        <v>20</v>
      </c>
      <c r="B28" s="253" t="s">
        <v>166</v>
      </c>
      <c r="C28" s="63">
        <f>+$J$3*M28</f>
        <v>0</v>
      </c>
      <c r="D28" s="326"/>
      <c r="E28" s="63">
        <v>0</v>
      </c>
      <c r="F28" s="326"/>
      <c r="G28" s="325">
        <f t="shared" si="0"/>
        <v>0</v>
      </c>
      <c r="H28" s="328"/>
      <c r="K28" s="324"/>
      <c r="L28" s="268"/>
      <c r="M28" s="61">
        <v>0</v>
      </c>
      <c r="N28" s="61" t="s">
        <v>167</v>
      </c>
    </row>
    <row r="29" spans="1:14" x14ac:dyDescent="0.5">
      <c r="A29" s="61">
        <f t="shared" si="1"/>
        <v>21</v>
      </c>
      <c r="B29" s="253" t="s">
        <v>168</v>
      </c>
      <c r="C29" s="63">
        <f>M29</f>
        <v>55000</v>
      </c>
      <c r="D29" s="326"/>
      <c r="E29" s="63">
        <f>+C29*$C$44*0.5</f>
        <v>27500</v>
      </c>
      <c r="F29" s="326"/>
      <c r="G29" s="325">
        <f t="shared" si="0"/>
        <v>27500</v>
      </c>
      <c r="H29" s="328"/>
      <c r="K29" s="324" t="s">
        <v>169</v>
      </c>
      <c r="L29" s="268"/>
      <c r="M29" s="61">
        <v>55000</v>
      </c>
      <c r="N29" s="61" t="s">
        <v>139</v>
      </c>
    </row>
    <row r="30" spans="1:14" x14ac:dyDescent="0.5">
      <c r="A30" s="61">
        <f t="shared" si="1"/>
        <v>22</v>
      </c>
      <c r="B30" s="253" t="s">
        <v>170</v>
      </c>
      <c r="C30" s="63">
        <f>M30</f>
        <v>75000</v>
      </c>
      <c r="D30" s="326"/>
      <c r="E30" s="63">
        <v>0</v>
      </c>
      <c r="F30" s="326"/>
      <c r="G30" s="325">
        <f t="shared" si="0"/>
        <v>75000</v>
      </c>
      <c r="H30" s="328"/>
      <c r="K30" s="324" t="s">
        <v>171</v>
      </c>
      <c r="L30" s="268"/>
      <c r="M30" s="61">
        <v>75000</v>
      </c>
      <c r="N30" s="61" t="s">
        <v>139</v>
      </c>
    </row>
    <row r="31" spans="1:14" x14ac:dyDescent="0.5">
      <c r="A31" s="61">
        <f t="shared" si="1"/>
        <v>23</v>
      </c>
      <c r="B31" s="253" t="s">
        <v>172</v>
      </c>
      <c r="C31" s="63">
        <v>0</v>
      </c>
      <c r="D31" s="326"/>
      <c r="E31" s="63">
        <v>0</v>
      </c>
      <c r="F31" s="326"/>
      <c r="G31" s="325">
        <f t="shared" si="0"/>
        <v>0</v>
      </c>
      <c r="H31" s="328"/>
      <c r="K31" s="324"/>
      <c r="L31" s="268"/>
      <c r="M31" s="61">
        <v>0</v>
      </c>
      <c r="N31" s="61" t="s">
        <v>173</v>
      </c>
    </row>
    <row r="32" spans="1:14" x14ac:dyDescent="0.5">
      <c r="B32" s="253"/>
      <c r="C32" s="63"/>
      <c r="D32" s="326"/>
      <c r="E32" s="63"/>
      <c r="F32" s="326"/>
      <c r="G32" s="325"/>
      <c r="H32" s="328"/>
      <c r="K32" s="324"/>
      <c r="L32" s="268"/>
    </row>
    <row r="33" spans="1:14" x14ac:dyDescent="0.5">
      <c r="A33" s="61">
        <f>+A31+1</f>
        <v>24</v>
      </c>
      <c r="B33" s="253" t="s">
        <v>174</v>
      </c>
      <c r="C33" s="66">
        <f>+(C13+C14+C15+C16+C17)*M33</f>
        <v>354555</v>
      </c>
      <c r="D33" s="326"/>
      <c r="E33" s="66">
        <v>0</v>
      </c>
      <c r="F33" s="326"/>
      <c r="G33" s="67">
        <f t="shared" si="0"/>
        <v>354555</v>
      </c>
      <c r="H33" s="329"/>
      <c r="K33" s="324" t="s">
        <v>175</v>
      </c>
      <c r="L33" s="268"/>
      <c r="M33" s="65">
        <v>0.1</v>
      </c>
      <c r="N33" s="61" t="s">
        <v>154</v>
      </c>
    </row>
    <row r="34" spans="1:14" x14ac:dyDescent="0.5">
      <c r="B34" s="264"/>
      <c r="C34" s="328"/>
      <c r="D34" s="328"/>
      <c r="E34" s="328"/>
      <c r="F34" s="328"/>
      <c r="G34" s="328"/>
      <c r="H34" s="328"/>
      <c r="K34" s="324"/>
      <c r="L34" s="268"/>
    </row>
    <row r="35" spans="1:14" ht="15.3" thickBot="1" x14ac:dyDescent="0.55000000000000004">
      <c r="B35" s="265" t="s">
        <v>176</v>
      </c>
      <c r="C35" s="68">
        <f>SUM(C9:C33)</f>
        <v>5306086.5</v>
      </c>
      <c r="D35" s="329"/>
      <c r="E35" s="69">
        <f>SUM(E9:E33)</f>
        <v>2114280.5</v>
      </c>
      <c r="F35" s="329"/>
      <c r="G35" s="69">
        <f>SUM(G9:G33)</f>
        <v>3191806</v>
      </c>
      <c r="H35" s="329"/>
      <c r="K35" s="324"/>
      <c r="L35" s="268"/>
    </row>
    <row r="36" spans="1:14" ht="15.3" thickTop="1" x14ac:dyDescent="0.5">
      <c r="B36" s="266"/>
      <c r="C36" s="329"/>
      <c r="D36" s="329"/>
      <c r="E36" s="329"/>
      <c r="F36" s="329"/>
      <c r="G36" s="329"/>
      <c r="H36" s="328"/>
      <c r="J36" s="321"/>
      <c r="K36" s="321"/>
      <c r="L36" s="330"/>
    </row>
    <row r="37" spans="1:14" x14ac:dyDescent="0.5">
      <c r="B37" s="253"/>
      <c r="C37" s="329"/>
      <c r="D37" s="329"/>
      <c r="E37" s="329"/>
      <c r="F37" s="329"/>
      <c r="G37" s="329"/>
      <c r="H37" s="328"/>
      <c r="J37" s="321"/>
      <c r="K37" s="321"/>
      <c r="L37" s="330"/>
    </row>
    <row r="38" spans="1:14" x14ac:dyDescent="0.5">
      <c r="B38" s="267" t="s">
        <v>177</v>
      </c>
      <c r="C38" s="70">
        <f>C35/$J3</f>
        <v>51515.402912621357</v>
      </c>
      <c r="D38" s="70"/>
      <c r="E38" s="70">
        <f>E35/$J3</f>
        <v>20526.995145631066</v>
      </c>
      <c r="F38" s="329"/>
      <c r="G38" s="70">
        <f>G35/$J3</f>
        <v>30988.407766990291</v>
      </c>
      <c r="H38" s="329"/>
      <c r="J38" s="331"/>
      <c r="K38" s="331"/>
      <c r="L38" s="332"/>
      <c r="M38" s="62"/>
    </row>
    <row r="39" spans="1:14" x14ac:dyDescent="0.5">
      <c r="B39" s="253"/>
      <c r="C39" s="62"/>
      <c r="D39" s="62"/>
      <c r="E39" s="62"/>
      <c r="F39" s="62"/>
      <c r="G39" s="62"/>
      <c r="L39" s="268"/>
    </row>
    <row r="40" spans="1:14" x14ac:dyDescent="0.5">
      <c r="B40" s="267" t="s">
        <v>178</v>
      </c>
      <c r="C40" s="71">
        <f>C35/J2</f>
        <v>269755.28723945096</v>
      </c>
      <c r="D40" s="62"/>
      <c r="E40" s="71">
        <f>E35/J2</f>
        <v>107487.56990340621</v>
      </c>
      <c r="F40" s="62"/>
      <c r="G40" s="71">
        <f>G35/J2</f>
        <v>162267.71733604476</v>
      </c>
      <c r="L40" s="268"/>
    </row>
    <row r="41" spans="1:14" x14ac:dyDescent="0.5">
      <c r="B41" s="267"/>
      <c r="C41" s="72"/>
      <c r="E41" s="72"/>
      <c r="G41" s="72"/>
      <c r="L41" s="268"/>
    </row>
    <row r="42" spans="1:14" x14ac:dyDescent="0.5">
      <c r="B42" s="253"/>
      <c r="L42" s="268"/>
    </row>
    <row r="43" spans="1:14" x14ac:dyDescent="0.5">
      <c r="B43" s="253"/>
      <c r="L43" s="268"/>
    </row>
    <row r="44" spans="1:14" x14ac:dyDescent="0.5">
      <c r="B44" s="269" t="s">
        <v>179</v>
      </c>
      <c r="C44" s="333">
        <v>1</v>
      </c>
      <c r="D44" s="334"/>
      <c r="E44" s="334"/>
      <c r="F44" s="334"/>
      <c r="G44" s="334"/>
      <c r="H44" s="334"/>
      <c r="I44" s="334"/>
      <c r="J44" s="334"/>
      <c r="K44" s="334"/>
      <c r="L44" s="270"/>
    </row>
    <row r="45" spans="1:14" x14ac:dyDescent="0.5">
      <c r="C45" s="64"/>
    </row>
    <row r="47" spans="1:14" hidden="1" x14ac:dyDescent="0.5">
      <c r="C47" s="73">
        <f>+C35-C9</f>
        <v>5306086.5</v>
      </c>
    </row>
    <row r="48" spans="1:14" hidden="1" x14ac:dyDescent="0.5">
      <c r="C48" s="74">
        <v>0</v>
      </c>
    </row>
    <row r="49" spans="3:3" hidden="1" x14ac:dyDescent="0.5">
      <c r="C49" s="73">
        <f>SUM(C47:C48)</f>
        <v>5306086.5</v>
      </c>
    </row>
  </sheetData>
  <pageMargins left="0.7" right="0.7" top="0.75" bottom="0.75" header="0.3" footer="0.3"/>
  <pageSetup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O23"/>
  <sheetViews>
    <sheetView tabSelected="1" zoomScale="130" zoomScaleNormal="130" zoomScaleSheetLayoutView="100" workbookViewId="0">
      <pane xSplit="5" ySplit="4" topLeftCell="F7" activePane="bottomRight" state="frozen"/>
      <selection activeCell="L1" sqref="L1"/>
      <selection pane="topRight" activeCell="L1" sqref="L1"/>
      <selection pane="bottomLeft" activeCell="L1" sqref="L1"/>
      <selection pane="bottomRight" activeCell="D19" sqref="D19"/>
    </sheetView>
  </sheetViews>
  <sheetFormatPr defaultColWidth="8.83203125" defaultRowHeight="12.3" x14ac:dyDescent="0.4"/>
  <cols>
    <col min="1" max="1" width="3.609375" customWidth="1"/>
    <col min="2" max="2" width="37.33203125" customWidth="1"/>
    <col min="3" max="3" width="1.6640625" customWidth="1"/>
    <col min="4" max="4" width="13.5546875" bestFit="1" customWidth="1"/>
    <col min="5" max="5" width="1.6640625" customWidth="1"/>
    <col min="6" max="6" width="16.71875" bestFit="1" customWidth="1"/>
    <col min="7" max="7" width="13.5" customWidth="1"/>
    <col min="8" max="22" width="11.6640625" customWidth="1"/>
    <col min="23" max="39" width="11.83203125" customWidth="1"/>
    <col min="40" max="40" width="11.5" customWidth="1"/>
    <col min="41" max="42" width="10.5" bestFit="1" customWidth="1"/>
    <col min="43" max="43" width="11.88671875" bestFit="1" customWidth="1"/>
    <col min="44" max="44" width="10.33203125" bestFit="1" customWidth="1"/>
    <col min="45" max="45" width="10.5" bestFit="1" customWidth="1"/>
    <col min="46" max="46" width="11.1640625" bestFit="1" customWidth="1"/>
    <col min="47" max="47" width="10.5" bestFit="1" customWidth="1"/>
    <col min="48" max="48" width="10" bestFit="1" customWidth="1"/>
    <col min="49" max="50" width="11.609375" bestFit="1" customWidth="1"/>
    <col min="51" max="51" width="11.44140625" bestFit="1" customWidth="1"/>
    <col min="52" max="53" width="11.609375" bestFit="1" customWidth="1"/>
    <col min="54" max="54" width="11.44140625" bestFit="1" customWidth="1"/>
    <col min="55" max="55" width="11.609375" bestFit="1" customWidth="1"/>
    <col min="56" max="56" width="11.1640625" bestFit="1" customWidth="1"/>
    <col min="57" max="57" width="11.44140625" bestFit="1" customWidth="1"/>
    <col min="58" max="58" width="11.1640625" bestFit="1" customWidth="1"/>
    <col min="59" max="59" width="11.609375" bestFit="1" customWidth="1"/>
    <col min="60" max="60" width="10.77734375" bestFit="1" customWidth="1"/>
    <col min="62" max="62" width="11.44140625" bestFit="1" customWidth="1"/>
    <col min="63" max="63" width="11.1640625" bestFit="1" customWidth="1"/>
    <col min="64" max="64" width="10.88671875" bestFit="1" customWidth="1"/>
    <col min="65" max="65" width="11.44140625" bestFit="1" customWidth="1"/>
    <col min="66" max="66" width="11.1640625" bestFit="1" customWidth="1"/>
    <col min="67" max="67" width="9.38671875" bestFit="1" customWidth="1"/>
  </cols>
  <sheetData>
    <row r="1" spans="2:67" ht="14.05" customHeight="1" x14ac:dyDescent="0.4">
      <c r="B1" s="184" t="s">
        <v>38</v>
      </c>
      <c r="C1" s="1"/>
      <c r="D1" s="185">
        <f ca="1">SUMIF($G$2:$BO$2,"1",$G$4:$BO$4)</f>
        <v>46418</v>
      </c>
      <c r="E1" s="186"/>
      <c r="F1" s="233"/>
      <c r="G1" s="234">
        <f ca="1">IF(SUM($F6:G6)=$D$6,1,0)</f>
        <v>0</v>
      </c>
      <c r="H1" s="234">
        <f ca="1">IF(SUM($F6:H6)=$D$6,1,0)</f>
        <v>0</v>
      </c>
      <c r="I1" s="234">
        <f ca="1">IF(SUM($F6:I6)=$D$6,1,0)</f>
        <v>0</v>
      </c>
      <c r="J1" s="234">
        <f ca="1">IF(SUM($F6:J6)=$D$6,1,0)</f>
        <v>0</v>
      </c>
      <c r="K1" s="234">
        <f ca="1">IF(SUM($F6:K6)=$D$6,1,0)</f>
        <v>0</v>
      </c>
      <c r="L1" s="234">
        <f ca="1">IF(SUM($F6:L6)=$D$6,1,0)</f>
        <v>0</v>
      </c>
      <c r="M1" s="234">
        <f ca="1">IF(SUM($F6:M6)=$D$6,1,0)</f>
        <v>0</v>
      </c>
      <c r="N1" s="234">
        <f ca="1">IF(SUM($F6:N6)=$D$6,1,0)</f>
        <v>0</v>
      </c>
      <c r="O1" s="234">
        <f ca="1">IF(SUM($F6:O6)=$D$6,1,0)</f>
        <v>0</v>
      </c>
      <c r="P1" s="234">
        <f ca="1">IF(SUM($F6:P6)=$D$6,1,0)</f>
        <v>0</v>
      </c>
      <c r="Q1" s="234">
        <f ca="1">IF(SUM($F6:Q6)=$D$6,1,0)</f>
        <v>0</v>
      </c>
      <c r="R1" s="234">
        <f ca="1">IF(SUM($F6:R6)=$D$6,1,0)</f>
        <v>0</v>
      </c>
      <c r="S1" s="234">
        <f ca="1">IF(SUM($F6:S6)=$D$6,1,0)</f>
        <v>0</v>
      </c>
      <c r="T1" s="234">
        <f ca="1">IF(SUM($F6:T6)=$D$6,1,0)</f>
        <v>0</v>
      </c>
      <c r="U1" s="234">
        <f ca="1">IF(SUM($F6:U6)=$D$6,1,0)</f>
        <v>0</v>
      </c>
      <c r="V1" s="234">
        <f ca="1">IF(SUM($F6:V6)=$D$6,1,0)</f>
        <v>0</v>
      </c>
      <c r="W1" s="234">
        <f ca="1">IF(SUM($F6:W6)=$D$6,1,0)</f>
        <v>0</v>
      </c>
      <c r="X1" s="234">
        <f ca="1">IF(SUM($F6:X6)=$D$6,1,0)</f>
        <v>0</v>
      </c>
      <c r="Y1" s="234">
        <f ca="1">IF(SUM($F6:Y6)=$D$6,1,0)</f>
        <v>0</v>
      </c>
      <c r="Z1" s="234">
        <f ca="1">IF(SUM($F6:Z6)=$D$6,1,0)</f>
        <v>0</v>
      </c>
      <c r="AA1" s="234">
        <f ca="1">IF(SUM($F6:AA6)=$D$6,1,0)</f>
        <v>0</v>
      </c>
      <c r="AB1" s="234">
        <f ca="1">IF(SUM($F6:AB6)=$D$6,1,0)</f>
        <v>0</v>
      </c>
      <c r="AC1" s="234">
        <f ca="1">IF(SUM($F6:AC6)=$D$6,1,0)</f>
        <v>0</v>
      </c>
      <c r="AD1" s="234">
        <f ca="1">IF(SUM($F6:AD6)=$D$6,1,0)</f>
        <v>0</v>
      </c>
      <c r="AE1" s="234">
        <f ca="1">IF(SUM($F6:AE6)=$D$6,1,0)</f>
        <v>0</v>
      </c>
      <c r="AF1" s="234">
        <f ca="1">IF(SUM($F6:AF6)=$D$6,1,0)</f>
        <v>0</v>
      </c>
      <c r="AG1" s="234">
        <f ca="1">IF(SUM($F6:AG6)=$D$6,1,0)</f>
        <v>0</v>
      </c>
      <c r="AH1" s="234">
        <f ca="1">IF(SUM($F6:AH6)=$D$6,1,0)</f>
        <v>0</v>
      </c>
      <c r="AI1" s="234">
        <f ca="1">IF(SUM($F6:AI6)=$D$6,1,0)</f>
        <v>0</v>
      </c>
      <c r="AJ1" s="234">
        <f ca="1">IF(SUM($F6:AJ6)=$D$6,1,0)</f>
        <v>0</v>
      </c>
      <c r="AK1" s="234">
        <f ca="1">IF(SUM($F6:AK6)=$D$6,1,0)</f>
        <v>0</v>
      </c>
      <c r="AL1" s="234">
        <f ca="1">IF(SUM($F6:AL6)=$D$6,1,0)</f>
        <v>0</v>
      </c>
      <c r="AM1" s="234">
        <f ca="1">IF(SUM($F6:AM6)=$D$6,1,0)</f>
        <v>0</v>
      </c>
      <c r="AN1" s="234">
        <f ca="1">IF(SUM($F6:AN6)=$D$6,1,0)</f>
        <v>0</v>
      </c>
      <c r="AO1" s="234">
        <f ca="1">IF(SUM($F6:AO6)=$D$6,1,0)</f>
        <v>0</v>
      </c>
      <c r="AP1" s="234">
        <f ca="1">IF(SUM($F6:AP6)=$D$6,1,0)</f>
        <v>0</v>
      </c>
      <c r="AQ1" s="234">
        <f ca="1">IF(SUM($F6:AQ6)=$D$6,1,0)</f>
        <v>0</v>
      </c>
      <c r="AR1" s="234">
        <f ca="1">IF(SUM($F6:AR6)=$D$6,1,0)</f>
        <v>0</v>
      </c>
      <c r="AS1" s="234">
        <f ca="1">IF(SUM($F6:AS6)=$D$6,1,0)</f>
        <v>0</v>
      </c>
      <c r="AT1" s="234">
        <f ca="1">IF(SUM($F6:AT6)=$D$6,1,0)</f>
        <v>0</v>
      </c>
      <c r="AU1" s="234">
        <f ca="1">IF(SUM($F6:AU6)=$D$6,1,0)</f>
        <v>0</v>
      </c>
      <c r="AV1" s="234">
        <f ca="1">IF(SUM($F6:AV6)=$D$6,1,0)</f>
        <v>0</v>
      </c>
      <c r="AW1" s="234">
        <f ca="1">IF(SUM($F6:AW6)=$D$6,1,0)</f>
        <v>0</v>
      </c>
      <c r="AX1" s="234">
        <f ca="1">IF(SUM($F6:AX6)=$D$6,1,0)</f>
        <v>0</v>
      </c>
      <c r="AY1" s="234">
        <f ca="1">IF(SUM($F6:AY6)=$D$6,1,0)</f>
        <v>0</v>
      </c>
      <c r="AZ1" s="234">
        <f ca="1">IF(SUM($F6:AZ6)=$D$6,1,0)</f>
        <v>0</v>
      </c>
      <c r="BA1" s="234">
        <f ca="1">IF(SUM($F6:BA6)=$D$6,1,0)</f>
        <v>0</v>
      </c>
      <c r="BB1" s="234">
        <f ca="1">IF(SUM($F6:BB6)=$D$6,1,0)</f>
        <v>0</v>
      </c>
      <c r="BC1" s="234">
        <f ca="1">IF(SUM($F6:BC6)=$D$6,1,0)</f>
        <v>1</v>
      </c>
      <c r="BD1" s="234">
        <f ca="1">IF(SUM($F6:BD6)=$D$6,1,0)</f>
        <v>1</v>
      </c>
      <c r="BE1" s="234">
        <f ca="1">IF(SUM($F6:BE6)=$D$6,1,0)</f>
        <v>1</v>
      </c>
      <c r="BF1" s="234">
        <f ca="1">IF(SUM($F6:BF6)=$D$6,1,0)</f>
        <v>1</v>
      </c>
      <c r="BG1" s="234">
        <f ca="1">IF(SUM($F6:BG6)=$D$6,1,0)</f>
        <v>1</v>
      </c>
      <c r="BH1" s="234">
        <f ca="1">IF(SUM($F6:BH6)=$D$6,1,0)</f>
        <v>1</v>
      </c>
      <c r="BI1" s="234">
        <f ca="1">IF(SUM($F6:BI6)=$D$6,1,0)</f>
        <v>1</v>
      </c>
      <c r="BJ1" s="234">
        <f ca="1">IF(SUM($F6:BJ6)=$D$6,1,0)</f>
        <v>1</v>
      </c>
      <c r="BK1" s="234">
        <f ca="1">IF(SUM($F6:BK6)=$D$6,1,0)</f>
        <v>1</v>
      </c>
      <c r="BL1" s="234">
        <f ca="1">IF(SUM($F6:BL6)=$D$6,1,0)</f>
        <v>1</v>
      </c>
      <c r="BM1" s="234">
        <f ca="1">IF(SUM($F6:BM6)=$D$6,1,0)</f>
        <v>1</v>
      </c>
      <c r="BN1" s="234">
        <f ca="1">IF(SUM($F6:BN6)=$D$6,1,0)</f>
        <v>1</v>
      </c>
      <c r="BO1" s="235">
        <f ca="1">IF(SUM($F6:BO6)=$D$6,1,0)</f>
        <v>1</v>
      </c>
    </row>
    <row r="2" spans="2:67" ht="14.05" customHeight="1" x14ac:dyDescent="0.4">
      <c r="B2" s="12"/>
      <c r="C2" s="9"/>
      <c r="D2" s="10"/>
      <c r="E2" s="11"/>
      <c r="G2" s="236">
        <f ca="1">IF(F1=1,0,G1)</f>
        <v>0</v>
      </c>
      <c r="H2" s="236">
        <f t="shared" ref="H2:AW2" ca="1" si="0">IF(G1=1,0,H1)</f>
        <v>0</v>
      </c>
      <c r="I2" s="236">
        <f t="shared" ca="1" si="0"/>
        <v>0</v>
      </c>
      <c r="J2" s="236">
        <f t="shared" ca="1" si="0"/>
        <v>0</v>
      </c>
      <c r="K2" s="236">
        <f t="shared" ca="1" si="0"/>
        <v>0</v>
      </c>
      <c r="L2" s="236">
        <f t="shared" ca="1" si="0"/>
        <v>0</v>
      </c>
      <c r="M2" s="236">
        <f t="shared" ca="1" si="0"/>
        <v>0</v>
      </c>
      <c r="N2" s="236">
        <f t="shared" ca="1" si="0"/>
        <v>0</v>
      </c>
      <c r="O2" s="236">
        <f t="shared" ca="1" si="0"/>
        <v>0</v>
      </c>
      <c r="P2" s="236">
        <f t="shared" ca="1" si="0"/>
        <v>0</v>
      </c>
      <c r="Q2" s="236">
        <f t="shared" ca="1" si="0"/>
        <v>0</v>
      </c>
      <c r="R2" s="236">
        <f t="shared" ca="1" si="0"/>
        <v>0</v>
      </c>
      <c r="S2" s="236">
        <f t="shared" ca="1" si="0"/>
        <v>0</v>
      </c>
      <c r="T2" s="236">
        <f t="shared" ca="1" si="0"/>
        <v>0</v>
      </c>
      <c r="U2" s="236">
        <f t="shared" ca="1" si="0"/>
        <v>0</v>
      </c>
      <c r="V2" s="236">
        <f t="shared" ca="1" si="0"/>
        <v>0</v>
      </c>
      <c r="W2" s="236">
        <f t="shared" ca="1" si="0"/>
        <v>0</v>
      </c>
      <c r="X2" s="236">
        <f t="shared" ca="1" si="0"/>
        <v>0</v>
      </c>
      <c r="Y2" s="236">
        <f t="shared" ca="1" si="0"/>
        <v>0</v>
      </c>
      <c r="Z2" s="236">
        <f t="shared" ca="1" si="0"/>
        <v>0</v>
      </c>
      <c r="AA2" s="236">
        <f t="shared" ca="1" si="0"/>
        <v>0</v>
      </c>
      <c r="AB2" s="236">
        <f t="shared" ca="1" si="0"/>
        <v>0</v>
      </c>
      <c r="AC2" s="236">
        <f t="shared" ca="1" si="0"/>
        <v>0</v>
      </c>
      <c r="AD2" s="236">
        <f t="shared" ca="1" si="0"/>
        <v>0</v>
      </c>
      <c r="AE2" s="236">
        <f t="shared" ca="1" si="0"/>
        <v>0</v>
      </c>
      <c r="AF2" s="236">
        <f t="shared" ca="1" si="0"/>
        <v>0</v>
      </c>
      <c r="AG2" s="236">
        <f t="shared" ca="1" si="0"/>
        <v>0</v>
      </c>
      <c r="AH2" s="236">
        <f t="shared" ca="1" si="0"/>
        <v>0</v>
      </c>
      <c r="AI2" s="236">
        <f t="shared" ca="1" si="0"/>
        <v>0</v>
      </c>
      <c r="AJ2" s="236">
        <f t="shared" ca="1" si="0"/>
        <v>0</v>
      </c>
      <c r="AK2" s="236">
        <f t="shared" ca="1" si="0"/>
        <v>0</v>
      </c>
      <c r="AL2" s="236">
        <f t="shared" ca="1" si="0"/>
        <v>0</v>
      </c>
      <c r="AM2" s="236">
        <f t="shared" ca="1" si="0"/>
        <v>0</v>
      </c>
      <c r="AN2" s="236">
        <f t="shared" ca="1" si="0"/>
        <v>0</v>
      </c>
      <c r="AO2" s="236">
        <f t="shared" ca="1" si="0"/>
        <v>0</v>
      </c>
      <c r="AP2" s="236">
        <f t="shared" ca="1" si="0"/>
        <v>0</v>
      </c>
      <c r="AQ2" s="236">
        <f t="shared" ca="1" si="0"/>
        <v>0</v>
      </c>
      <c r="AR2" s="236">
        <f t="shared" ca="1" si="0"/>
        <v>0</v>
      </c>
      <c r="AS2" s="236">
        <f t="shared" ca="1" si="0"/>
        <v>0</v>
      </c>
      <c r="AT2" s="236">
        <f t="shared" ca="1" si="0"/>
        <v>0</v>
      </c>
      <c r="AU2" s="236">
        <f t="shared" ca="1" si="0"/>
        <v>0</v>
      </c>
      <c r="AV2" s="236">
        <f t="shared" ca="1" si="0"/>
        <v>0</v>
      </c>
      <c r="AW2" s="236">
        <f t="shared" ca="1" si="0"/>
        <v>0</v>
      </c>
      <c r="AX2" s="236">
        <f t="shared" ref="AX2" ca="1" si="1">IF(AW1=1,0,AX1)</f>
        <v>0</v>
      </c>
      <c r="AY2" s="236">
        <f t="shared" ref="AY2" ca="1" si="2">IF(AX1=1,0,AY1)</f>
        <v>0</v>
      </c>
      <c r="AZ2" s="236">
        <f t="shared" ref="AZ2" ca="1" si="3">IF(AY1=1,0,AZ1)</f>
        <v>0</v>
      </c>
      <c r="BA2" s="236">
        <f t="shared" ref="BA2" ca="1" si="4">IF(AZ1=1,0,BA1)</f>
        <v>0</v>
      </c>
      <c r="BB2" s="236">
        <f t="shared" ref="BB2" ca="1" si="5">IF(BA1=1,0,BB1)</f>
        <v>0</v>
      </c>
      <c r="BC2" s="236">
        <f t="shared" ref="BC2" ca="1" si="6">IF(BB1=1,0,BC1)</f>
        <v>1</v>
      </c>
      <c r="BD2" s="236">
        <f t="shared" ref="BD2" ca="1" si="7">IF(BC1=1,0,BD1)</f>
        <v>0</v>
      </c>
      <c r="BE2" s="236">
        <f t="shared" ref="BE2" ca="1" si="8">IF(BD1=1,0,BE1)</f>
        <v>0</v>
      </c>
      <c r="BF2" s="236">
        <f t="shared" ref="BF2" ca="1" si="9">IF(BE1=1,0,BF1)</f>
        <v>0</v>
      </c>
      <c r="BG2" s="236">
        <f t="shared" ref="BG2" ca="1" si="10">IF(BF1=1,0,BG1)</f>
        <v>0</v>
      </c>
      <c r="BH2" s="236">
        <f t="shared" ref="BH2" ca="1" si="11">IF(BG1=1,0,BH1)</f>
        <v>0</v>
      </c>
      <c r="BI2" s="236">
        <f t="shared" ref="BI2" ca="1" si="12">IF(BH1=1,0,BI1)</f>
        <v>0</v>
      </c>
      <c r="BJ2" s="236">
        <f t="shared" ref="BJ2" ca="1" si="13">IF(BI1=1,0,BJ1)</f>
        <v>0</v>
      </c>
      <c r="BK2" s="236">
        <f t="shared" ref="BK2" ca="1" si="14">IF(BJ1=1,0,BK1)</f>
        <v>0</v>
      </c>
      <c r="BL2" s="236">
        <f t="shared" ref="BL2" ca="1" si="15">IF(BK1=1,0,BL1)</f>
        <v>0</v>
      </c>
      <c r="BM2" s="236">
        <f t="shared" ref="BM2" ca="1" si="16">IF(BL1=1,0,BM1)</f>
        <v>0</v>
      </c>
      <c r="BN2" s="236">
        <f t="shared" ref="BN2" ca="1" si="17">IF(BM1=1,0,BN1)</f>
        <v>0</v>
      </c>
      <c r="BO2" s="237">
        <f t="shared" ref="BO2" ca="1" si="18">IF(BN1=1,0,BO1)</f>
        <v>0</v>
      </c>
    </row>
    <row r="3" spans="2:67" ht="14.05" customHeight="1" x14ac:dyDescent="0.4">
      <c r="B3" s="12"/>
      <c r="C3" s="12"/>
      <c r="D3" s="143"/>
      <c r="E3" s="13"/>
      <c r="G3" s="110" t="s">
        <v>10</v>
      </c>
      <c r="H3" s="110" t="str">
        <f>IFERROR(INDEX(Assumptions!$B$54:$B$61,MATCH('Sales Proceeds &amp; MUD'!H$4,Assumptions!$C$54:$C$61,0)),"")</f>
        <v/>
      </c>
      <c r="I3" s="110" t="str">
        <f>IFERROR(INDEX(Assumptions!$B$54:$B$61,MATCH('Sales Proceeds &amp; MUD'!I$4,Assumptions!$C$54:$C$61,0)),"")</f>
        <v>Effective Date</v>
      </c>
      <c r="J3" s="110" t="str">
        <f>IFERROR(INDEX(Assumptions!$B$54:$B$61,MATCH('Sales Proceeds &amp; MUD'!J$4,Assumptions!$C$54:$C$61,0)),"")</f>
        <v/>
      </c>
      <c r="K3" s="110" t="str">
        <f>IFERROR(INDEX(Assumptions!$B$54:$B$61,MATCH('Sales Proceeds &amp; MUD'!K$4,Assumptions!$C$54:$C$61,0)),"")</f>
        <v/>
      </c>
      <c r="L3" s="110" t="str">
        <f>IFERROR(INDEX(Assumptions!$B$54:$B$61,MATCH('Sales Proceeds &amp; MUD'!L$4,Assumptions!$C$54:$C$61,0)),"")</f>
        <v>End of Feasibility</v>
      </c>
      <c r="M3" s="110" t="str">
        <f>IFERROR(INDEX(Assumptions!$B$54:$B$61,MATCH('Sales Proceeds &amp; MUD'!M$4,Assumptions!$C$54:$C$61,0)),"")</f>
        <v>A&amp;D Loan Closing Date</v>
      </c>
      <c r="N3" s="110" t="str">
        <f>IFERROR(INDEX(Assumptions!$B$54:$B$61,MATCH('Sales Proceeds &amp; MUD'!N$4,Assumptions!$C$54:$C$61,0)),"")</f>
        <v/>
      </c>
      <c r="O3" s="110" t="str">
        <f>IFERROR(INDEX(Assumptions!$B$54:$B$61,MATCH('Sales Proceeds &amp; MUD'!O$4,Assumptions!$C$54:$C$61,0)),"")</f>
        <v/>
      </c>
      <c r="P3" s="110" t="str">
        <f>IFERROR(INDEX(Assumptions!$B$54:$B$61,MATCH('Sales Proceeds &amp; MUD'!P$4,Assumptions!$C$54:$C$61,0)),"")</f>
        <v/>
      </c>
      <c r="Q3" s="110" t="str">
        <f>IFERROR(INDEX(Assumptions!$B$54:$B$61,MATCH('Sales Proceeds &amp; MUD'!Q$4,Assumptions!$C$54:$C$61,0)),"")</f>
        <v/>
      </c>
      <c r="R3" s="110" t="str">
        <f>IFERROR(INDEX(Assumptions!$B$54:$B$61,MATCH('Sales Proceeds &amp; MUD'!R$4,Assumptions!$C$54:$C$61,0)),"")</f>
        <v/>
      </c>
      <c r="S3" s="110" t="str">
        <f>IFERROR(INDEX(Assumptions!$B$54:$B$61,MATCH('Sales Proceeds &amp; MUD'!S$4,Assumptions!$C$54:$C$61,0)),"")</f>
        <v/>
      </c>
      <c r="T3" s="110" t="str">
        <f>IFERROR(INDEX(Assumptions!$B$54:$B$61,MATCH('Sales Proceeds &amp; MUD'!T$4,Assumptions!$C$54:$C$61,0)),"")</f>
        <v/>
      </c>
      <c r="U3" s="110" t="str">
        <f>IFERROR(INDEX(Assumptions!$B$54:$B$61,MATCH('Sales Proceeds &amp; MUD'!U$4,Assumptions!$C$54:$C$61,0)),"")</f>
        <v/>
      </c>
      <c r="V3" s="110" t="str">
        <f>IFERROR(INDEX(Assumptions!$B$54:$B$61,MATCH('Sales Proceeds &amp; MUD'!V$4,Assumptions!$C$54:$C$61,0)),"")</f>
        <v/>
      </c>
      <c r="W3" s="110" t="str">
        <f>IFERROR(INDEX(Assumptions!$B$54:$B$61,MATCH('Sales Proceeds &amp; MUD'!W$4,Assumptions!$C$54:$C$61,0)),"")</f>
        <v/>
      </c>
      <c r="X3" s="110" t="str">
        <f>IFERROR(INDEX(Assumptions!$B$54:$B$61,MATCH('Sales Proceeds &amp; MUD'!X$4,Assumptions!$C$54:$C$61,0)),"")</f>
        <v/>
      </c>
      <c r="Y3" s="110" t="str">
        <f>IFERROR(INDEX(Assumptions!$B$54:$B$61,MATCH('Sales Proceeds &amp; MUD'!Y$4,Assumptions!$C$54:$C$61,0)),"")</f>
        <v>Lot Substantial Completion Date (SC)</v>
      </c>
      <c r="Z3" s="110" t="str">
        <f>IFERROR(INDEX(Assumptions!$B$54:$B$61,MATCH('Sales Proceeds &amp; MUD'!Z$4,Assumptions!$C$54:$C$61,0)),"")</f>
        <v/>
      </c>
      <c r="AA3" s="110" t="str">
        <f>IFERROR(INDEX(Assumptions!$B$54:$B$61,MATCH('Sales Proceeds &amp; MUD'!AA$4,Assumptions!$C$54:$C$61,0)),"")</f>
        <v/>
      </c>
      <c r="AB3" s="110" t="str">
        <f>IFERROR(INDEX(Assumptions!$B$54:$B$61,MATCH('Sales Proceeds &amp; MUD'!AB$4,Assumptions!$C$54:$C$61,0)),"")</f>
        <v/>
      </c>
      <c r="AC3" s="110" t="str">
        <f>IFERROR(INDEX(Assumptions!$B$54:$B$61,MATCH('Sales Proceeds &amp; MUD'!AC$4,Assumptions!$C$54:$C$61,0)),"")</f>
        <v/>
      </c>
      <c r="AD3" s="110" t="str">
        <f>IFERROR(INDEX(Assumptions!$B$54:$B$61,MATCH('Sales Proceeds &amp; MUD'!AD$4,Assumptions!$C$54:$C$61,0)),"")</f>
        <v/>
      </c>
      <c r="AE3" s="110" t="str">
        <f>IFERROR(INDEX(Assumptions!$B$54:$B$61,MATCH('Sales Proceeds &amp; MUD'!AE$4,Assumptions!$C$54:$C$61,0)),"")</f>
        <v/>
      </c>
      <c r="AF3" s="110" t="str">
        <f>IFERROR(INDEX(Assumptions!$B$54:$B$61,MATCH('Sales Proceeds &amp; MUD'!AF$4,Assumptions!$C$54:$C$61,0)),"")</f>
        <v/>
      </c>
      <c r="AG3" s="110" t="str">
        <f>IFERROR(INDEX(Assumptions!$B$54:$B$61,MATCH('Sales Proceeds &amp; MUD'!AG$4,Assumptions!$C$54:$C$61,0)),"")</f>
        <v/>
      </c>
      <c r="AH3" s="110" t="str">
        <f>IFERROR(INDEX(Assumptions!$B$54:$B$61,MATCH('Sales Proceeds &amp; MUD'!AH$4,Assumptions!$C$54:$C$61,0)),"")</f>
        <v/>
      </c>
      <c r="AI3" s="110" t="str">
        <f>IFERROR(INDEX(Assumptions!$B$54:$B$61,MATCH('Sales Proceeds &amp; MUD'!AI$4,Assumptions!$C$54:$C$61,0)),"")</f>
        <v/>
      </c>
      <c r="AJ3" s="110" t="str">
        <f>IFERROR(INDEX(Assumptions!$B$54:$B$61,MATCH('Sales Proceeds &amp; MUD'!AJ$4,Assumptions!$C$54:$C$61,0)),"")</f>
        <v/>
      </c>
      <c r="AK3" s="110" t="str">
        <f>IFERROR(INDEX(Assumptions!$B$54:$B$61,MATCH('Sales Proceeds &amp; MUD'!AK$4,Assumptions!$C$54:$C$61,0)),"")</f>
        <v>Escalation Rate Increase Date</v>
      </c>
      <c r="AL3" s="110" t="str">
        <f>IFERROR(INDEX(Assumptions!$B$54:$B$61,MATCH('Sales Proceeds &amp; MUD'!AL$4,Assumptions!$C$54:$C$61,0)),"")</f>
        <v/>
      </c>
      <c r="AM3" s="110" t="str">
        <f>IFERROR(INDEX(Assumptions!$B$54:$B$61,MATCH('Sales Proceeds &amp; MUD'!AM$4,Assumptions!$C$54:$C$61,0)),"")</f>
        <v/>
      </c>
      <c r="AN3" s="110" t="str">
        <f>IFERROR(INDEX(Assumptions!$B$54:$B$61,MATCH('Sales Proceeds &amp; MUD'!AN$4,Assumptions!$C$54:$C$61,0)),"")</f>
        <v/>
      </c>
      <c r="AO3" s="110" t="str">
        <f>IFERROR(INDEX(Assumptions!$B$54:$B$61,MATCH('Sales Proceeds &amp; MUD'!AO$4,Assumptions!$C$54:$C$61,0)),"")</f>
        <v/>
      </c>
      <c r="AP3" s="110" t="str">
        <f>IFERROR(INDEX(Assumptions!$B$54:$B$61,MATCH('Sales Proceeds &amp; MUD'!AP$4,Assumptions!$C$54:$C$61,0)),"")</f>
        <v/>
      </c>
      <c r="AQ3" s="110" t="str">
        <f>IFERROR(INDEX(Assumptions!$B$54:$B$61,MATCH('Sales Proceeds &amp; MUD'!AQ$4,Assumptions!$C$54:$C$61,0)),"")</f>
        <v/>
      </c>
      <c r="AR3" s="110" t="str">
        <f>IFERROR(INDEX(Assumptions!$B$54:$B$61,MATCH('Sales Proceeds &amp; MUD'!AR$4,Assumptions!$C$54:$C$61,0)),"")</f>
        <v/>
      </c>
      <c r="AS3" s="110" t="str">
        <f>IFERROR(INDEX(Assumptions!$B$54:$B$61,MATCH('Sales Proceeds &amp; MUD'!AS$4,Assumptions!$C$54:$C$61,0)),"")</f>
        <v/>
      </c>
      <c r="AT3" s="110" t="str">
        <f>IFERROR(INDEX(Assumptions!$B$54:$B$61,MATCH('Sales Proceeds &amp; MUD'!AT$4,Assumptions!$C$54:$C$61,0)),"")</f>
        <v/>
      </c>
      <c r="AU3" s="110" t="str">
        <f>IFERROR(INDEX(Assumptions!$B$54:$B$61,MATCH('Sales Proceeds &amp; MUD'!AU$4,Assumptions!$C$54:$C$61,0)),"")</f>
        <v/>
      </c>
      <c r="AV3" s="110" t="str">
        <f>IFERROR(INDEX(Assumptions!$B$54:$B$61,MATCH('Sales Proceeds &amp; MUD'!AV$4,Assumptions!$C$54:$C$61,0)),"")</f>
        <v/>
      </c>
      <c r="AW3" s="110" t="str">
        <f>IFERROR(INDEX(Assumptions!$B$54:$B$61,MATCH('Sales Proceeds &amp; MUD'!AW$4,Assumptions!$C$54:$C$61,0)),"")</f>
        <v/>
      </c>
      <c r="AX3" s="110" t="str">
        <f>IFERROR(INDEX(Assumptions!$B$54:$B$61,MATCH('Sales Proceeds &amp; MUD'!AX$4,Assumptions!$C$54:$C$61,0)),"")</f>
        <v/>
      </c>
      <c r="AY3" s="110" t="str">
        <f>IFERROR(INDEX(Assumptions!$B$54:$B$61,MATCH('Sales Proceeds &amp; MUD'!AY$4,Assumptions!$C$54:$C$61,0)),"")</f>
        <v/>
      </c>
      <c r="AZ3" s="110" t="str">
        <f>IFERROR(INDEX(Assumptions!$B$54:$B$61,MATCH('Sales Proceeds &amp; MUD'!AZ$4,Assumptions!$C$54:$C$61,0)),"")</f>
        <v/>
      </c>
      <c r="BA3" s="110" t="str">
        <f>IFERROR(INDEX(Assumptions!$B$54:$B$61,MATCH('Sales Proceeds &amp; MUD'!BA$4,Assumptions!$C$54:$C$61,0)),"")</f>
        <v/>
      </c>
      <c r="BB3" s="110" t="str">
        <f>IFERROR(INDEX(Assumptions!$B$54:$B$61,MATCH('Sales Proceeds &amp; MUD'!BB$4,Assumptions!$C$54:$C$61,0)),"")</f>
        <v/>
      </c>
      <c r="BC3" s="110" t="str">
        <f>IFERROR(INDEX(Assumptions!$B$54:$B$61,MATCH('Sales Proceeds &amp; MUD'!BC$4,Assumptions!$C$54:$C$61,0)),"")</f>
        <v/>
      </c>
      <c r="BD3" s="110" t="str">
        <f>IFERROR(INDEX(Assumptions!$B$54:$B$61,MATCH('Sales Proceeds &amp; MUD'!BD$4,Assumptions!$C$54:$C$61,0)),"")</f>
        <v/>
      </c>
      <c r="BE3" s="110" t="str">
        <f>IFERROR(INDEX(Assumptions!$B$54:$B$61,MATCH('Sales Proceeds &amp; MUD'!BE$4,Assumptions!$C$54:$C$61,0)),"")</f>
        <v/>
      </c>
      <c r="BF3" s="110" t="str">
        <f>IFERROR(INDEX(Assumptions!$B$54:$B$61,MATCH('Sales Proceeds &amp; MUD'!BF$4,Assumptions!$C$54:$C$61,0)),"")</f>
        <v/>
      </c>
      <c r="BG3" s="110" t="str">
        <f>IFERROR(INDEX(Assumptions!$B$54:$B$61,MATCH('Sales Proceeds &amp; MUD'!BG$4,Assumptions!$C$54:$C$61,0)),"")</f>
        <v/>
      </c>
      <c r="BH3" s="110" t="str">
        <f>IFERROR(INDEX(Assumptions!$B$54:$B$61,MATCH('Sales Proceeds &amp; MUD'!BH$4,Assumptions!$C$54:$C$61,0)),"")</f>
        <v/>
      </c>
      <c r="BI3" s="110" t="str">
        <f>IFERROR(INDEX(Assumptions!$B$54:$B$61,MATCH('Sales Proceeds &amp; MUD'!BI$4,Assumptions!$C$54:$C$61,0)),"")</f>
        <v/>
      </c>
      <c r="BJ3" s="110" t="str">
        <f>IFERROR(INDEX(Assumptions!$B$54:$B$61,MATCH('Sales Proceeds &amp; MUD'!BJ$4,Assumptions!$C$54:$C$61,0)),"")</f>
        <v/>
      </c>
      <c r="BK3" s="110" t="str">
        <f>IFERROR(INDEX(Assumptions!$B$54:$B$61,MATCH('Sales Proceeds &amp; MUD'!BK$4,Assumptions!$C$54:$C$61,0)),"")</f>
        <v/>
      </c>
      <c r="BL3" s="110" t="str">
        <f>IFERROR(INDEX(Assumptions!$B$54:$B$61,MATCH('Sales Proceeds &amp; MUD'!BL$4,Assumptions!$C$54:$C$61,0)),"")</f>
        <v/>
      </c>
      <c r="BM3" s="110" t="str">
        <f>IFERROR(INDEX(Assumptions!$B$54:$B$61,MATCH('Sales Proceeds &amp; MUD'!BM$4,Assumptions!$C$54:$C$61,0)),"")</f>
        <v/>
      </c>
      <c r="BN3" s="110" t="str">
        <f>IFERROR(INDEX(Assumptions!$B$54:$B$61,MATCH('Sales Proceeds &amp; MUD'!BN$4,Assumptions!$C$54:$C$61,0)),"")</f>
        <v/>
      </c>
      <c r="BO3" s="238" t="str">
        <f>IFERROR(INDEX(Assumptions!$B$54:$B$61,MATCH('Sales Proceeds &amp; MUD'!BO$4,Assumptions!$C$54:$C$61,0)),"")</f>
        <v>MUD Reimbursement</v>
      </c>
    </row>
    <row r="4" spans="2:67" ht="14.05" customHeight="1" x14ac:dyDescent="0.4">
      <c r="B4" s="14"/>
      <c r="C4" s="14"/>
      <c r="D4" s="148" t="s">
        <v>4</v>
      </c>
      <c r="E4" s="15"/>
      <c r="F4" s="149"/>
      <c r="G4" s="34">
        <v>44941</v>
      </c>
      <c r="H4" s="34">
        <f>EOMONTH(G4,1)</f>
        <v>44985</v>
      </c>
      <c r="I4" s="34">
        <f t="shared" ref="I4:AW4" si="19">EOMONTH(H4,1)</f>
        <v>45016</v>
      </c>
      <c r="J4" s="34">
        <f t="shared" si="19"/>
        <v>45046</v>
      </c>
      <c r="K4" s="34">
        <f t="shared" si="19"/>
        <v>45077</v>
      </c>
      <c r="L4" s="34">
        <f t="shared" si="19"/>
        <v>45107</v>
      </c>
      <c r="M4" s="34">
        <f t="shared" si="19"/>
        <v>45138</v>
      </c>
      <c r="N4" s="34">
        <f t="shared" si="19"/>
        <v>45169</v>
      </c>
      <c r="O4" s="34">
        <f t="shared" si="19"/>
        <v>45199</v>
      </c>
      <c r="P4" s="34">
        <f t="shared" si="19"/>
        <v>45230</v>
      </c>
      <c r="Q4" s="34">
        <f t="shared" si="19"/>
        <v>45260</v>
      </c>
      <c r="R4" s="34">
        <f t="shared" si="19"/>
        <v>45291</v>
      </c>
      <c r="S4" s="34">
        <f t="shared" si="19"/>
        <v>45322</v>
      </c>
      <c r="T4" s="34">
        <f t="shared" si="19"/>
        <v>45351</v>
      </c>
      <c r="U4" s="34">
        <f t="shared" si="19"/>
        <v>45382</v>
      </c>
      <c r="V4" s="34">
        <f t="shared" si="19"/>
        <v>45412</v>
      </c>
      <c r="W4" s="34">
        <f t="shared" si="19"/>
        <v>45443</v>
      </c>
      <c r="X4" s="34">
        <f t="shared" si="19"/>
        <v>45473</v>
      </c>
      <c r="Y4" s="34">
        <f t="shared" si="19"/>
        <v>45504</v>
      </c>
      <c r="Z4" s="34">
        <f t="shared" si="19"/>
        <v>45535</v>
      </c>
      <c r="AA4" s="34">
        <f t="shared" si="19"/>
        <v>45565</v>
      </c>
      <c r="AB4" s="34">
        <f t="shared" si="19"/>
        <v>45596</v>
      </c>
      <c r="AC4" s="34">
        <f t="shared" si="19"/>
        <v>45626</v>
      </c>
      <c r="AD4" s="34">
        <f t="shared" si="19"/>
        <v>45657</v>
      </c>
      <c r="AE4" s="34">
        <f t="shared" si="19"/>
        <v>45688</v>
      </c>
      <c r="AF4" s="34">
        <f t="shared" si="19"/>
        <v>45716</v>
      </c>
      <c r="AG4" s="34">
        <f t="shared" si="19"/>
        <v>45747</v>
      </c>
      <c r="AH4" s="34">
        <f t="shared" si="19"/>
        <v>45777</v>
      </c>
      <c r="AI4" s="34">
        <f t="shared" si="19"/>
        <v>45808</v>
      </c>
      <c r="AJ4" s="34">
        <f t="shared" si="19"/>
        <v>45838</v>
      </c>
      <c r="AK4" s="34">
        <f t="shared" si="19"/>
        <v>45869</v>
      </c>
      <c r="AL4" s="34">
        <f t="shared" si="19"/>
        <v>45900</v>
      </c>
      <c r="AM4" s="34">
        <f t="shared" si="19"/>
        <v>45930</v>
      </c>
      <c r="AN4" s="34">
        <f t="shared" si="19"/>
        <v>45961</v>
      </c>
      <c r="AO4" s="34">
        <f t="shared" si="19"/>
        <v>45991</v>
      </c>
      <c r="AP4" s="34">
        <f t="shared" si="19"/>
        <v>46022</v>
      </c>
      <c r="AQ4" s="34">
        <f t="shared" si="19"/>
        <v>46053</v>
      </c>
      <c r="AR4" s="34">
        <f t="shared" si="19"/>
        <v>46081</v>
      </c>
      <c r="AS4" s="34">
        <f t="shared" si="19"/>
        <v>46112</v>
      </c>
      <c r="AT4" s="34">
        <f t="shared" si="19"/>
        <v>46142</v>
      </c>
      <c r="AU4" s="34">
        <f t="shared" si="19"/>
        <v>46173</v>
      </c>
      <c r="AV4" s="34">
        <f t="shared" si="19"/>
        <v>46203</v>
      </c>
      <c r="AW4" s="34">
        <f t="shared" si="19"/>
        <v>46234</v>
      </c>
      <c r="AX4" s="34">
        <f t="shared" ref="AX4" si="20">EOMONTH(AW4,1)</f>
        <v>46265</v>
      </c>
      <c r="AY4" s="34">
        <f t="shared" ref="AY4" si="21">EOMONTH(AX4,1)</f>
        <v>46295</v>
      </c>
      <c r="AZ4" s="34">
        <f t="shared" ref="AZ4" si="22">EOMONTH(AY4,1)</f>
        <v>46326</v>
      </c>
      <c r="BA4" s="34">
        <f t="shared" ref="BA4" si="23">EOMONTH(AZ4,1)</f>
        <v>46356</v>
      </c>
      <c r="BB4" s="34">
        <f t="shared" ref="BB4" si="24">EOMONTH(BA4,1)</f>
        <v>46387</v>
      </c>
      <c r="BC4" s="34">
        <f t="shared" ref="BC4" si="25">EOMONTH(BB4,1)</f>
        <v>46418</v>
      </c>
      <c r="BD4" s="34">
        <f t="shared" ref="BD4" si="26">EOMONTH(BC4,1)</f>
        <v>46446</v>
      </c>
      <c r="BE4" s="34">
        <f t="shared" ref="BE4" si="27">EOMONTH(BD4,1)</f>
        <v>46477</v>
      </c>
      <c r="BF4" s="34">
        <f t="shared" ref="BF4" si="28">EOMONTH(BE4,1)</f>
        <v>46507</v>
      </c>
      <c r="BG4" s="34">
        <f t="shared" ref="BG4" si="29">EOMONTH(BF4,1)</f>
        <v>46538</v>
      </c>
      <c r="BH4" s="34">
        <f t="shared" ref="BH4" si="30">EOMONTH(BG4,1)</f>
        <v>46568</v>
      </c>
      <c r="BI4" s="34">
        <f t="shared" ref="BI4" si="31">EOMONTH(BH4,1)</f>
        <v>46599</v>
      </c>
      <c r="BJ4" s="34">
        <f t="shared" ref="BJ4" si="32">EOMONTH(BI4,1)</f>
        <v>46630</v>
      </c>
      <c r="BK4" s="34">
        <f t="shared" ref="BK4" si="33">EOMONTH(BJ4,1)</f>
        <v>46660</v>
      </c>
      <c r="BL4" s="34">
        <f t="shared" ref="BL4" si="34">EOMONTH(BK4,1)</f>
        <v>46691</v>
      </c>
      <c r="BM4" s="34">
        <f t="shared" ref="BM4" si="35">EOMONTH(BL4,1)</f>
        <v>46721</v>
      </c>
      <c r="BN4" s="34">
        <f t="shared" ref="BN4" si="36">EOMONTH(BM4,1)</f>
        <v>46752</v>
      </c>
      <c r="BO4" s="34">
        <f t="shared" ref="BO4" si="37">EOMONTH(BN4,1)</f>
        <v>46783</v>
      </c>
    </row>
    <row r="5" spans="2:67" ht="14.05" customHeight="1" x14ac:dyDescent="0.4">
      <c r="B5" s="113"/>
      <c r="C5" s="12"/>
      <c r="D5" s="143"/>
      <c r="E5" s="13"/>
      <c r="G5" s="131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36"/>
    </row>
    <row r="6" spans="2:67" ht="14.05" customHeight="1" x14ac:dyDescent="0.4">
      <c r="B6" s="114" t="s">
        <v>53</v>
      </c>
      <c r="C6" s="4"/>
      <c r="D6" s="169">
        <f ca="1">SUM(G6:BO6)</f>
        <v>103</v>
      </c>
      <c r="E6" s="16"/>
      <c r="F6" s="239"/>
      <c r="G6" s="132">
        <f ca="1">IF(LEFT(G3,3)="Lot",Assumptions!$C$45,IF(AND((SUM('Sales Proceeds &amp; MUD'!$F6:F6)+Assumptions!$C$46)&gt;Assumptions!$C$31,OFFSET(G6,0,-3)=Assumptions!$C$46),Assumptions!$C$31-SUM('Sales Proceeds &amp; MUD'!$F6:F6),IF(AND(OFFSET(G6,0,-3)=Assumptions!$C$46,SUM('Sales Proceeds &amp; MUD'!$F6:F6)&lt;Assumptions!$C$31),Assumptions!$C$46,0)))</f>
        <v>0</v>
      </c>
      <c r="H6" s="46">
        <f ca="1">IF(LEFT(H3,3)="Lot",Assumptions!$C$45,IF(AND((SUM('Sales Proceeds &amp; MUD'!$F6:G6)+Assumptions!$C$46)&gt;Assumptions!$C$31,OFFSET(H6,0,-3)=Assumptions!$C$46),Assumptions!$C$31-SUM('Sales Proceeds &amp; MUD'!$F6:G6),IF(AND(OFFSET(H6,0,-3)=Assumptions!$C$46,SUM('Sales Proceeds &amp; MUD'!$F6:G6)&lt;Assumptions!$C$31),Assumptions!$C$46,0)))</f>
        <v>0</v>
      </c>
      <c r="I6" s="46">
        <f ca="1">IF(LEFT(I3,3)="Lot",Assumptions!$C$45,IF(AND((SUM('Sales Proceeds &amp; MUD'!$F6:H6)+Assumptions!$C$46)&gt;Assumptions!$C$31,OFFSET(I6,0,-3)=Assumptions!$C$46),Assumptions!$C$31-SUM('Sales Proceeds &amp; MUD'!$F6:H6),IF(AND(OFFSET(I6,0,-3)=Assumptions!$C$46,SUM('Sales Proceeds &amp; MUD'!$F6:H6)&lt;Assumptions!$C$31),Assumptions!$C$46,0)))</f>
        <v>0</v>
      </c>
      <c r="J6" s="46">
        <f ca="1">IF(LEFT(J3,3)="Lot",Assumptions!$C$45,IF(AND((SUM('Sales Proceeds &amp; MUD'!$F6:I6)+Assumptions!$C$46)&gt;Assumptions!$C$31,OFFSET(J6,0,-3)=Assumptions!$C$46),Assumptions!$C$31-SUM('Sales Proceeds &amp; MUD'!$F6:I6),IF(AND(OFFSET(J6,0,-3)=Assumptions!$C$46,SUM('Sales Proceeds &amp; MUD'!$F6:I6)&lt;Assumptions!$C$31),Assumptions!$C$46,0)))</f>
        <v>0</v>
      </c>
      <c r="K6" s="46">
        <f ca="1">IF(LEFT(K3,3)="Lot",Assumptions!$C$45,IF(AND((SUM('Sales Proceeds &amp; MUD'!$F6:J6)+Assumptions!$C$46)&gt;Assumptions!$C$31,OFFSET(K6,0,-3)=Assumptions!$C$46),Assumptions!$C$31-SUM('Sales Proceeds &amp; MUD'!$F6:J6),IF(AND(OFFSET(K6,0,-3)=Assumptions!$C$46,SUM('Sales Proceeds &amp; MUD'!$F6:J6)&lt;Assumptions!$C$31),Assumptions!$C$46,0)))</f>
        <v>0</v>
      </c>
      <c r="L6" s="46">
        <f ca="1">IF(LEFT(L3,3)="Lot",Assumptions!$C$45,IF(AND((SUM('Sales Proceeds &amp; MUD'!$F6:K6)+Assumptions!$C$46)&gt;Assumptions!$C$31,OFFSET(L6,0,-3)=Assumptions!$C$46),Assumptions!$C$31-SUM('Sales Proceeds &amp; MUD'!$F6:K6),IF(AND(OFFSET(L6,0,-3)=Assumptions!$C$46,SUM('Sales Proceeds &amp; MUD'!$F6:K6)&lt;Assumptions!$C$31),Assumptions!$C$46,0)))</f>
        <v>0</v>
      </c>
      <c r="M6" s="46">
        <f ca="1">IF(LEFT(M3,3)="Lot",Assumptions!$C$45,IF(AND((SUM('Sales Proceeds &amp; MUD'!$F6:L6)+Assumptions!$C$46)&gt;Assumptions!$C$31,OFFSET(M6,0,-3)=Assumptions!$C$46),Assumptions!$C$31-SUM('Sales Proceeds &amp; MUD'!$F6:L6),IF(AND(OFFSET(M6,0,-3)=Assumptions!$C$46,SUM('Sales Proceeds &amp; MUD'!$F6:L6)&lt;Assumptions!$C$31),Assumptions!$C$46,0)))</f>
        <v>0</v>
      </c>
      <c r="N6" s="46">
        <f ca="1">IF(LEFT(N3,3)="Lot",Assumptions!$C$45,IF(AND((SUM('Sales Proceeds &amp; MUD'!$F6:M6)+Assumptions!$C$46)&gt;Assumptions!$C$31,OFFSET(N6,0,-3)=Assumptions!$C$46),Assumptions!$C$31-SUM('Sales Proceeds &amp; MUD'!$F6:M6),IF(AND(OFFSET(N6,0,-3)=Assumptions!$C$46,SUM('Sales Proceeds &amp; MUD'!$F6:M6)&lt;Assumptions!$C$31),Assumptions!$C$46,0)))</f>
        <v>0</v>
      </c>
      <c r="O6" s="46">
        <f ca="1">IF(LEFT(O3,3)="Lot",Assumptions!$C$45,IF(AND((SUM('Sales Proceeds &amp; MUD'!$F6:N6)+Assumptions!$C$46)&gt;Assumptions!$C$31,OFFSET(O6,0,-3)=Assumptions!$C$46),Assumptions!$C$31-SUM('Sales Proceeds &amp; MUD'!$F6:N6),IF(AND(OFFSET(O6,0,-3)=Assumptions!$C$46,SUM('Sales Proceeds &amp; MUD'!$F6:N6)&lt;Assumptions!$C$31),Assumptions!$C$46,0)))</f>
        <v>0</v>
      </c>
      <c r="P6" s="46">
        <f ca="1">IF(LEFT(P3,3)="Lot",Assumptions!$C$45,IF(AND((SUM('Sales Proceeds &amp; MUD'!$F6:O6)+Assumptions!$C$46)&gt;Assumptions!$C$31,OFFSET(P6,0,-3)=Assumptions!$C$46),Assumptions!$C$31-SUM('Sales Proceeds &amp; MUD'!$F6:O6),IF(AND(OFFSET(P6,0,-3)=Assumptions!$C$46,SUM('Sales Proceeds &amp; MUD'!$F6:O6)&lt;Assumptions!$C$31),Assumptions!$C$46,0)))</f>
        <v>0</v>
      </c>
      <c r="Q6" s="46">
        <f ca="1">IF(LEFT(Q3,3)="Lot",Assumptions!$C$45,IF(AND((SUM('Sales Proceeds &amp; MUD'!$F6:P6)+Assumptions!$C$46)&gt;Assumptions!$C$31,OFFSET(Q6,0,-3)=Assumptions!$C$46),Assumptions!$C$31-SUM('Sales Proceeds &amp; MUD'!$F6:P6),IF(AND(OFFSET(Q6,0,-3)=Assumptions!$C$46,SUM('Sales Proceeds &amp; MUD'!$F6:P6)&lt;Assumptions!$C$31),Assumptions!$C$46,0)))</f>
        <v>0</v>
      </c>
      <c r="R6" s="46">
        <f ca="1">IF(LEFT(R3,3)="Lot",Assumptions!$C$45,IF(AND((SUM('Sales Proceeds &amp; MUD'!$F6:Q6)+Assumptions!$C$46)&gt;Assumptions!$C$31,OFFSET(R6,0,-3)=Assumptions!$C$46),Assumptions!$C$31-SUM('Sales Proceeds &amp; MUD'!$F6:Q6),IF(AND(OFFSET(R6,0,-3)=Assumptions!$C$46,SUM('Sales Proceeds &amp; MUD'!$F6:Q6)&lt;Assumptions!$C$31),Assumptions!$C$46,0)))</f>
        <v>0</v>
      </c>
      <c r="S6" s="46">
        <f ca="1">IF(LEFT(S3,3)="Lot",Assumptions!$C$45,IF(AND((SUM('Sales Proceeds &amp; MUD'!$F6:R6)+Assumptions!$C$46)&gt;Assumptions!$C$31,OFFSET(S6,0,-3)=Assumptions!$C$46),Assumptions!$C$31-SUM('Sales Proceeds &amp; MUD'!$F6:R6),IF(AND(OFFSET(S6,0,-3)=Assumptions!$C$46,SUM('Sales Proceeds &amp; MUD'!$F6:R6)&lt;Assumptions!$C$31),Assumptions!$C$46,0)))</f>
        <v>0</v>
      </c>
      <c r="T6" s="46">
        <f ca="1">IF(LEFT(T3,3)="Lot",Assumptions!$C$45,IF(AND((SUM('Sales Proceeds &amp; MUD'!$F6:S6)+Assumptions!$C$46)&gt;Assumptions!$C$31,OFFSET(T6,0,-3)=Assumptions!$C$46),Assumptions!$C$31-SUM('Sales Proceeds &amp; MUD'!$F6:S6),IF(AND(OFFSET(T6,0,-3)=Assumptions!$C$46,SUM('Sales Proceeds &amp; MUD'!$F6:S6)&lt;Assumptions!$C$31),Assumptions!$C$46,0)))</f>
        <v>0</v>
      </c>
      <c r="U6" s="46">
        <f ca="1">IF(LEFT(U3,3)="Lot",Assumptions!$C$45,IF(AND((SUM('Sales Proceeds &amp; MUD'!$F6:T6)+Assumptions!$C$46)&gt;Assumptions!$C$31,OFFSET(U6,0,-3)=Assumptions!$C$46),Assumptions!$C$31-SUM('Sales Proceeds &amp; MUD'!$F6:T6),IF(AND(OFFSET(U6,0,-3)=Assumptions!$C$46,SUM('Sales Proceeds &amp; MUD'!$F6:T6)&lt;Assumptions!$C$31),Assumptions!$C$46,0)))</f>
        <v>0</v>
      </c>
      <c r="V6" s="46">
        <f ca="1">IF(LEFT(V3,3)="Lot",Assumptions!$C$45,IF(AND((SUM('Sales Proceeds &amp; MUD'!$F6:U6)+Assumptions!$C$46)&gt;Assumptions!$C$31,OFFSET(V6,0,-3)=Assumptions!$C$46),Assumptions!$C$31-SUM('Sales Proceeds &amp; MUD'!$F6:U6),IF(AND(OFFSET(V6,0,-3)=Assumptions!$C$46,SUM('Sales Proceeds &amp; MUD'!$F6:U6)&lt;Assumptions!$C$31),Assumptions!$C$46,0)))</f>
        <v>0</v>
      </c>
      <c r="W6" s="46">
        <f ca="1">IF(LEFT(W3,3)="Lot",Assumptions!$C$45,IF(AND((SUM('Sales Proceeds &amp; MUD'!$F6:V6)+Assumptions!$C$46)&gt;Assumptions!$C$31,OFFSET(W6,0,-3)=Assumptions!$C$46),Assumptions!$C$31-SUM('Sales Proceeds &amp; MUD'!$F6:V6),IF(AND(OFFSET(W6,0,-3)=Assumptions!$C$46,SUM('Sales Proceeds &amp; MUD'!$F6:V6)&lt;Assumptions!$C$31),Assumptions!$C$46,0)))</f>
        <v>0</v>
      </c>
      <c r="X6" s="46">
        <f ca="1">IF(LEFT(X3,3)="Lot",Assumptions!$C$45,IF(AND((SUM('Sales Proceeds &amp; MUD'!$F6:W6)+Assumptions!$C$46)&gt;Assumptions!$C$31,OFFSET(X6,0,-3)=Assumptions!$C$46),Assumptions!$C$31-SUM('Sales Proceeds &amp; MUD'!$F6:W6),IF(AND(OFFSET(X6,0,-3)=Assumptions!$C$46,SUM('Sales Proceeds &amp; MUD'!$F6:W6)&lt;Assumptions!$C$31),Assumptions!$C$46,0)))</f>
        <v>0</v>
      </c>
      <c r="Y6" s="46">
        <f ca="1">IF(LEFT(Y3,3)="Lot",Assumptions!$C$45,IF(AND((SUM('Sales Proceeds &amp; MUD'!$F6:X6)+Assumptions!$C$46)&gt;Assumptions!$C$31,OFFSET(Y6,0,-3)=Assumptions!$C$46),Assumptions!$C$31-SUM('Sales Proceeds &amp; MUD'!$F6:X6),IF(AND(OFFSET(Y6,0,-3)=Assumptions!$C$46,SUM('Sales Proceeds &amp; MUD'!$F6:X6)&lt;Assumptions!$C$31),Assumptions!$C$46,0)))</f>
        <v>10</v>
      </c>
      <c r="Z6" s="46">
        <f ca="1">IF(LEFT(Z3,3)="Lot",Assumptions!$C$45,IF(AND((SUM('Sales Proceeds &amp; MUD'!$F6:Y6)+Assumptions!$C$46)&gt;Assumptions!$C$31,OFFSET(Z6,0,-3)=Assumptions!$C$46),Assumptions!$C$31-SUM('Sales Proceeds &amp; MUD'!$F6:Y6),IF(AND(OFFSET(Z6,0,-3)=Assumptions!$C$46,SUM('Sales Proceeds &amp; MUD'!$F6:Y6)&lt;Assumptions!$C$31),Assumptions!$C$46,0)))</f>
        <v>0</v>
      </c>
      <c r="AA6" s="46">
        <f ca="1">IF(LEFT(AA3,3)="Lot",Assumptions!$C$45,IF(AND((SUM('Sales Proceeds &amp; MUD'!$F6:Z6)+Assumptions!$C$46)&gt;Assumptions!$C$31,OFFSET(AA6,0,-3)=Assumptions!$C$46),Assumptions!$C$31-SUM('Sales Proceeds &amp; MUD'!$F6:Z6),IF(AND(OFFSET(AA6,0,-3)=Assumptions!$C$46,SUM('Sales Proceeds &amp; MUD'!$F6:Z6)&lt;Assumptions!$C$31),Assumptions!$C$46,0)))</f>
        <v>0</v>
      </c>
      <c r="AB6" s="46">
        <f ca="1">IF(LEFT(AB3,3)="Lot",Assumptions!$C$45,IF(AND((SUM('Sales Proceeds &amp; MUD'!$F6:AA6)+Assumptions!$C$46)&gt;Assumptions!$C$31,OFFSET(AB6,0,-3)=Assumptions!$C$46),Assumptions!$C$31-SUM('Sales Proceeds &amp; MUD'!$F6:AA6),IF(AND(OFFSET(AB6,0,-3)=Assumptions!$C$46,SUM('Sales Proceeds &amp; MUD'!$F6:AA6)&lt;Assumptions!$C$31),Assumptions!$C$46,0)))</f>
        <v>10</v>
      </c>
      <c r="AC6" s="46">
        <f ca="1">IF(LEFT(AC3,3)="Lot",Assumptions!$C$45,IF(AND((SUM('Sales Proceeds &amp; MUD'!$F6:AB6)+Assumptions!$C$46)&gt;Assumptions!$C$31,OFFSET(AC6,0,-3)=Assumptions!$C$46),Assumptions!$C$31-SUM('Sales Proceeds &amp; MUD'!$F6:AB6),IF(AND(OFFSET(AC6,0,-3)=Assumptions!$C$46,SUM('Sales Proceeds &amp; MUD'!$F6:AB6)&lt;Assumptions!$C$31),Assumptions!$C$46,0)))</f>
        <v>0</v>
      </c>
      <c r="AD6" s="46">
        <f ca="1">IF(LEFT(AD3,3)="Lot",Assumptions!$C$45,IF(AND((SUM('Sales Proceeds &amp; MUD'!$F6:AC6)+Assumptions!$C$46)&gt;Assumptions!$C$31,OFFSET(AD6,0,-3)=Assumptions!$C$46),Assumptions!$C$31-SUM('Sales Proceeds &amp; MUD'!$F6:AC6),IF(AND(OFFSET(AD6,0,-3)=Assumptions!$C$46,SUM('Sales Proceeds &amp; MUD'!$F6:AC6)&lt;Assumptions!$C$31),Assumptions!$C$46,0)))</f>
        <v>0</v>
      </c>
      <c r="AE6" s="46">
        <f ca="1">IF(LEFT(AE3,3)="Lot",Assumptions!$C$45,IF(AND((SUM('Sales Proceeds &amp; MUD'!$F6:AD6)+Assumptions!$C$46)&gt;Assumptions!$C$31,OFFSET(AE6,0,-3)=Assumptions!$C$46),Assumptions!$C$31-SUM('Sales Proceeds &amp; MUD'!$F6:AD6),IF(AND(OFFSET(AE6,0,-3)=Assumptions!$C$46,SUM('Sales Proceeds &amp; MUD'!$F6:AD6)&lt;Assumptions!$C$31),Assumptions!$C$46,0)))</f>
        <v>10</v>
      </c>
      <c r="AF6" s="46">
        <f ca="1">IF(LEFT(AF3,3)="Lot",Assumptions!$C$45,IF(AND((SUM('Sales Proceeds &amp; MUD'!$F6:AE6)+Assumptions!$C$46)&gt;Assumptions!$C$31,OFFSET(AF6,0,-3)=Assumptions!$C$46),Assumptions!$C$31-SUM('Sales Proceeds &amp; MUD'!$F6:AE6),IF(AND(OFFSET(AF6,0,-3)=Assumptions!$C$46,SUM('Sales Proceeds &amp; MUD'!$F6:AE6)&lt;Assumptions!$C$31),Assumptions!$C$46,0)))</f>
        <v>0</v>
      </c>
      <c r="AG6" s="46">
        <f ca="1">IF(LEFT(AG3,3)="Lot",Assumptions!$C$45,IF(AND((SUM('Sales Proceeds &amp; MUD'!$F6:AF6)+Assumptions!$C$46)&gt;Assumptions!$C$31,OFFSET(AG6,0,-3)=Assumptions!$C$46),Assumptions!$C$31-SUM('Sales Proceeds &amp; MUD'!$F6:AF6),IF(AND(OFFSET(AG6,0,-3)=Assumptions!$C$46,SUM('Sales Proceeds &amp; MUD'!$F6:AF6)&lt;Assumptions!$C$31),Assumptions!$C$46,0)))</f>
        <v>0</v>
      </c>
      <c r="AH6" s="46">
        <f ca="1">IF(LEFT(AH3,3)="Lot",Assumptions!$C$45,IF(AND((SUM('Sales Proceeds &amp; MUD'!$F6:AG6)+Assumptions!$C$46)&gt;Assumptions!$C$31,OFFSET(AH6,0,-3)=Assumptions!$C$46),Assumptions!$C$31-SUM('Sales Proceeds &amp; MUD'!$F6:AG6),IF(AND(OFFSET(AH6,0,-3)=Assumptions!$C$46,SUM('Sales Proceeds &amp; MUD'!$F6:AG6)&lt;Assumptions!$C$31),Assumptions!$C$46,0)))</f>
        <v>10</v>
      </c>
      <c r="AI6" s="46">
        <f ca="1">IF(LEFT(AI3,3)="Lot",Assumptions!$C$45,IF(AND((SUM('Sales Proceeds &amp; MUD'!$F6:AH6)+Assumptions!$C$46)&gt;Assumptions!$C$31,OFFSET(AI6,0,-3)=Assumptions!$C$46),Assumptions!$C$31-SUM('Sales Proceeds &amp; MUD'!$F6:AH6),IF(AND(OFFSET(AI6,0,-3)=Assumptions!$C$46,SUM('Sales Proceeds &amp; MUD'!$F6:AH6)&lt;Assumptions!$C$31),Assumptions!$C$46,0)))</f>
        <v>0</v>
      </c>
      <c r="AJ6" s="46">
        <f ca="1">IF(LEFT(AJ3,3)="Lot",Assumptions!$C$45,IF(AND((SUM('Sales Proceeds &amp; MUD'!$F6:AI6)+Assumptions!$C$46)&gt;Assumptions!$C$31,OFFSET(AJ6,0,-3)=Assumptions!$C$46),Assumptions!$C$31-SUM('Sales Proceeds &amp; MUD'!$F6:AI6),IF(AND(OFFSET(AJ6,0,-3)=Assumptions!$C$46,SUM('Sales Proceeds &amp; MUD'!$F6:AI6)&lt;Assumptions!$C$31),Assumptions!$C$46,0)))</f>
        <v>0</v>
      </c>
      <c r="AK6" s="46">
        <f ca="1">IF(LEFT(AK3,3)="Lot",Assumptions!$C$45,IF(AND((SUM('Sales Proceeds &amp; MUD'!$F6:AJ6)+Assumptions!$C$46)&gt;Assumptions!$C$31,OFFSET(AK6,0,-3)=Assumptions!$C$46),Assumptions!$C$31-SUM('Sales Proceeds &amp; MUD'!$F6:AJ6),IF(AND(OFFSET(AK6,0,-3)=Assumptions!$C$46,SUM('Sales Proceeds &amp; MUD'!$F6:AJ6)&lt;Assumptions!$C$31),Assumptions!$C$46,0)))</f>
        <v>10</v>
      </c>
      <c r="AL6" s="46">
        <f ca="1">IF(LEFT(AL3,3)="Lot",Assumptions!$C$45,IF(AND((SUM('Sales Proceeds &amp; MUD'!$F6:AK6)+Assumptions!$C$46)&gt;Assumptions!$C$31,OFFSET(AL6,0,-3)=Assumptions!$C$46),Assumptions!$C$31-SUM('Sales Proceeds &amp; MUD'!$F6:AK6),IF(AND(OFFSET(AL6,0,-3)=Assumptions!$C$46,SUM('Sales Proceeds &amp; MUD'!$F6:AK6)&lt;Assumptions!$C$31),Assumptions!$C$46,0)))</f>
        <v>0</v>
      </c>
      <c r="AM6" s="46">
        <f ca="1">IF(LEFT(AM3,3)="Lot",Assumptions!$C$45,IF(AND((SUM('Sales Proceeds &amp; MUD'!$F6:AL6)+Assumptions!$C$46)&gt;Assumptions!$C$31,OFFSET(AM6,0,-3)=Assumptions!$C$46),Assumptions!$C$31-SUM('Sales Proceeds &amp; MUD'!$F6:AL6),IF(AND(OFFSET(AM6,0,-3)=Assumptions!$C$46,SUM('Sales Proceeds &amp; MUD'!$F6:AL6)&lt;Assumptions!$C$31),Assumptions!$C$46,0)))</f>
        <v>0</v>
      </c>
      <c r="AN6" s="46">
        <f ca="1">IF(LEFT(AN3,3)="Lot",Assumptions!$C$45,IF(AND((SUM('Sales Proceeds &amp; MUD'!$F6:AM6)+Assumptions!$C$46)&gt;Assumptions!$C$31,OFFSET(AN6,0,-3)=Assumptions!$C$46),Assumptions!$C$31-SUM('Sales Proceeds &amp; MUD'!$F6:AM6),IF(AND(OFFSET(AN6,0,-3)=Assumptions!$C$46,SUM('Sales Proceeds &amp; MUD'!$F6:AM6)&lt;Assumptions!$C$31),Assumptions!$C$46,0)))</f>
        <v>10</v>
      </c>
      <c r="AO6" s="46">
        <f ca="1">IF(LEFT(AO3,3)="Lot",Assumptions!$C$45,IF(AND((SUM('Sales Proceeds &amp; MUD'!$F6:AN6)+Assumptions!$C$46)&gt;Assumptions!$C$31,OFFSET(AO6,0,-3)=Assumptions!$C$46),Assumptions!$C$31-SUM('Sales Proceeds &amp; MUD'!$F6:AN6),IF(AND(OFFSET(AO6,0,-3)=Assumptions!$C$46,SUM('Sales Proceeds &amp; MUD'!$F6:AN6)&lt;Assumptions!$C$31),Assumptions!$C$46,0)))</f>
        <v>0</v>
      </c>
      <c r="AP6" s="46">
        <f ca="1">IF(LEFT(AP3,3)="Lot",Assumptions!$C$45,IF(AND((SUM('Sales Proceeds &amp; MUD'!$F6:AO6)+Assumptions!$C$46)&gt;Assumptions!$C$31,OFFSET(AP6,0,-3)=Assumptions!$C$46),Assumptions!$C$31-SUM('Sales Proceeds &amp; MUD'!$F6:AO6),IF(AND(OFFSET(AP6,0,-3)=Assumptions!$C$46,SUM('Sales Proceeds &amp; MUD'!$F6:AO6)&lt;Assumptions!$C$31),Assumptions!$C$46,0)))</f>
        <v>0</v>
      </c>
      <c r="AQ6" s="46">
        <f ca="1">IF(LEFT(AQ3,3)="Lot",Assumptions!$C$45,IF(AND((SUM('Sales Proceeds &amp; MUD'!$F6:AP6)+Assumptions!$C$46)&gt;Assumptions!$C$31,OFFSET(AQ6,0,-3)=Assumptions!$C$46),Assumptions!$C$31-SUM('Sales Proceeds &amp; MUD'!$F6:AP6),IF(AND(OFFSET(AQ6,0,-3)=Assumptions!$C$46,SUM('Sales Proceeds &amp; MUD'!$F6:AP6)&lt;Assumptions!$C$31),Assumptions!$C$46,0)))</f>
        <v>10</v>
      </c>
      <c r="AR6" s="46">
        <f ca="1">IF(LEFT(AR3,3)="Lot",Assumptions!$C$45,IF(AND((SUM('Sales Proceeds &amp; MUD'!$F6:AQ6)+Assumptions!$C$46)&gt;Assumptions!$C$31,OFFSET(AR6,0,-3)=Assumptions!$C$46),Assumptions!$C$31-SUM('Sales Proceeds &amp; MUD'!$F6:AQ6),IF(AND(OFFSET(AR6,0,-3)=Assumptions!$C$46,SUM('Sales Proceeds &amp; MUD'!$F6:AQ6)&lt;Assumptions!$C$31),Assumptions!$C$46,0)))</f>
        <v>0</v>
      </c>
      <c r="AS6" s="46">
        <f ca="1">IF(LEFT(AS3,3)="Lot",Assumptions!$C$45,IF(AND((SUM('Sales Proceeds &amp; MUD'!$F6:AR6)+Assumptions!$C$46)&gt;Assumptions!$C$31,OFFSET(AS6,0,-3)=Assumptions!$C$46),Assumptions!$C$31-SUM('Sales Proceeds &amp; MUD'!$F6:AR6),IF(AND(OFFSET(AS6,0,-3)=Assumptions!$C$46,SUM('Sales Proceeds &amp; MUD'!$F6:AR6)&lt;Assumptions!$C$31),Assumptions!$C$46,0)))</f>
        <v>0</v>
      </c>
      <c r="AT6" s="46">
        <f ca="1">IF(LEFT(AT3,3)="Lot",Assumptions!$C$45,IF(AND((SUM('Sales Proceeds &amp; MUD'!$F6:AS6)+Assumptions!$C$46)&gt;Assumptions!$C$31,OFFSET(AT6,0,-3)=Assumptions!$C$46),Assumptions!$C$31-SUM('Sales Proceeds &amp; MUD'!$F6:AS6),IF(AND(OFFSET(AT6,0,-3)=Assumptions!$C$46,SUM('Sales Proceeds &amp; MUD'!$F6:AS6)&lt;Assumptions!$C$31),Assumptions!$C$46,0)))</f>
        <v>10</v>
      </c>
      <c r="AU6" s="46">
        <f ca="1">IF(LEFT(AU3,3)="Lot",Assumptions!$C$45,IF(AND((SUM('Sales Proceeds &amp; MUD'!$F6:AT6)+Assumptions!$C$46)&gt;Assumptions!$C$31,OFFSET(AU6,0,-3)=Assumptions!$C$46),Assumptions!$C$31-SUM('Sales Proceeds &amp; MUD'!$F6:AT6),IF(AND(OFFSET(AU6,0,-3)=Assumptions!$C$46,SUM('Sales Proceeds &amp; MUD'!$F6:AT6)&lt;Assumptions!$C$31),Assumptions!$C$46,0)))</f>
        <v>0</v>
      </c>
      <c r="AV6" s="46">
        <f ca="1">IF(LEFT(AV3,3)="Lot",Assumptions!$C$45,IF(AND((SUM('Sales Proceeds &amp; MUD'!$F6:AU6)+Assumptions!$C$46)&gt;Assumptions!$C$31,OFFSET(AV6,0,-3)=Assumptions!$C$46),Assumptions!$C$31-SUM('Sales Proceeds &amp; MUD'!$F6:AU6),IF(AND(OFFSET(AV6,0,-3)=Assumptions!$C$46,SUM('Sales Proceeds &amp; MUD'!$F6:AU6)&lt;Assumptions!$C$31),Assumptions!$C$46,0)))</f>
        <v>0</v>
      </c>
      <c r="AW6" s="46">
        <f ca="1">IF(LEFT(AW3,3)="Lot",Assumptions!$C$45,IF(AND((SUM('Sales Proceeds &amp; MUD'!$F6:AV6)+Assumptions!$C$46)&gt;Assumptions!$C$31,OFFSET(AW6,0,-3)=Assumptions!$C$46),Assumptions!$C$31-SUM('Sales Proceeds &amp; MUD'!$F6:AV6),IF(AND(OFFSET(AW6,0,-3)=Assumptions!$C$46,SUM('Sales Proceeds &amp; MUD'!$F6:AV6)&lt;Assumptions!$C$31),Assumptions!$C$46,0)))</f>
        <v>10</v>
      </c>
      <c r="AX6" s="46">
        <f ca="1">IF(LEFT(AX3,3)="Lot",Assumptions!$C$45,IF(AND((SUM('Sales Proceeds &amp; MUD'!$F6:AW6)+Assumptions!$C$46)&gt;Assumptions!$C$31,OFFSET(AX6,0,-3)=Assumptions!$C$46),Assumptions!$C$31-SUM('Sales Proceeds &amp; MUD'!$F6:AW6),IF(AND(OFFSET(AX6,0,-3)=Assumptions!$C$46,SUM('Sales Proceeds &amp; MUD'!$F6:AW6)&lt;Assumptions!$C$31),Assumptions!$C$46,0)))</f>
        <v>0</v>
      </c>
      <c r="AY6" s="46">
        <f ca="1">IF(LEFT(AY3,3)="Lot",Assumptions!$C$45,IF(AND((SUM('Sales Proceeds &amp; MUD'!$F6:AX6)+Assumptions!$C$46)&gt;Assumptions!$C$31,OFFSET(AY6,0,-3)=Assumptions!$C$46),Assumptions!$C$31-SUM('Sales Proceeds &amp; MUD'!$F6:AX6),IF(AND(OFFSET(AY6,0,-3)=Assumptions!$C$46,SUM('Sales Proceeds &amp; MUD'!$F6:AX6)&lt;Assumptions!$C$31),Assumptions!$C$46,0)))</f>
        <v>0</v>
      </c>
      <c r="AZ6" s="46">
        <f ca="1">IF(LEFT(AZ3,3)="Lot",Assumptions!$C$45,IF(AND((SUM('Sales Proceeds &amp; MUD'!$F6:AY6)+Assumptions!$C$46)&gt;Assumptions!$C$31,OFFSET(AZ6,0,-3)=Assumptions!$C$46),Assumptions!$C$31-SUM('Sales Proceeds &amp; MUD'!$F6:AY6),IF(AND(OFFSET(AZ6,0,-3)=Assumptions!$C$46,SUM('Sales Proceeds &amp; MUD'!$F6:AY6)&lt;Assumptions!$C$31),Assumptions!$C$46,0)))</f>
        <v>10</v>
      </c>
      <c r="BA6" s="46">
        <f ca="1">IF(LEFT(BA3,3)="Lot",Assumptions!$C$45,IF(AND((SUM('Sales Proceeds &amp; MUD'!$F6:AZ6)+Assumptions!$C$46)&gt;Assumptions!$C$31,OFFSET(BA6,0,-3)=Assumptions!$C$46),Assumptions!$C$31-SUM('Sales Proceeds &amp; MUD'!$F6:AZ6),IF(AND(OFFSET(BA6,0,-3)=Assumptions!$C$46,SUM('Sales Proceeds &amp; MUD'!$F6:AZ6)&lt;Assumptions!$C$31),Assumptions!$C$46,0)))</f>
        <v>0</v>
      </c>
      <c r="BB6" s="46">
        <f ca="1">IF(LEFT(BB3,3)="Lot",Assumptions!$C$45,IF(AND((SUM('Sales Proceeds &amp; MUD'!$F6:BA6)+Assumptions!$C$46)&gt;Assumptions!$C$31,OFFSET(BB6,0,-3)=Assumptions!$C$46),Assumptions!$C$31-SUM('Sales Proceeds &amp; MUD'!$F6:BA6),IF(AND(OFFSET(BB6,0,-3)=Assumptions!$C$46,SUM('Sales Proceeds &amp; MUD'!$F6:BA6)&lt;Assumptions!$C$31),Assumptions!$C$46,0)))</f>
        <v>0</v>
      </c>
      <c r="BC6" s="46">
        <f ca="1">IF(LEFT(BC3,3)="Lot",Assumptions!$C$45,IF(AND((SUM('Sales Proceeds &amp; MUD'!$F6:BB6)+Assumptions!$C$46)&gt;Assumptions!$C$31,OFFSET(BC6,0,-3)=Assumptions!$C$46),Assumptions!$C$31-SUM('Sales Proceeds &amp; MUD'!$F6:BB6),IF(AND(OFFSET(BC6,0,-3)=Assumptions!$C$46,SUM('Sales Proceeds &amp; MUD'!$F6:BB6)&lt;Assumptions!$C$31),Assumptions!$C$46,0)))</f>
        <v>3</v>
      </c>
      <c r="BD6" s="46">
        <f ca="1">IF(LEFT(BD3,3)="Lot",Assumptions!$C$45,IF(AND((SUM('Sales Proceeds &amp; MUD'!$F6:BC6)+Assumptions!$C$46)&gt;Assumptions!$C$31,OFFSET(BD6,0,-3)=Assumptions!$C$46),Assumptions!$C$31-SUM('Sales Proceeds &amp; MUD'!$F6:BC6),IF(AND(OFFSET(BD6,0,-3)=Assumptions!$C$46,SUM('Sales Proceeds &amp; MUD'!$F6:BC6)&lt;Assumptions!$C$31),Assumptions!$C$46,0)))</f>
        <v>0</v>
      </c>
      <c r="BE6" s="46">
        <f ca="1">IF(LEFT(BE3,3)="Lot",Assumptions!$C$45,IF(AND((SUM('Sales Proceeds &amp; MUD'!$F6:BD6)+Assumptions!$C$46)&gt;Assumptions!$C$31,OFFSET(BE6,0,-3)=Assumptions!$C$46),Assumptions!$C$31-SUM('Sales Proceeds &amp; MUD'!$F6:BD6),IF(AND(OFFSET(BE6,0,-3)=Assumptions!$C$46,SUM('Sales Proceeds &amp; MUD'!$F6:BD6)&lt;Assumptions!$C$31),Assumptions!$C$46,0)))</f>
        <v>0</v>
      </c>
      <c r="BF6" s="46">
        <f ca="1">IF(LEFT(BF3,3)="Lot",Assumptions!$C$45,IF(AND((SUM('Sales Proceeds &amp; MUD'!$F6:BE6)+Assumptions!$C$46)&gt;Assumptions!$C$31,OFFSET(BF6,0,-3)=Assumptions!$C$46),Assumptions!$C$31-SUM('Sales Proceeds &amp; MUD'!$F6:BE6),IF(AND(OFFSET(BF6,0,-3)=Assumptions!$C$46,SUM('Sales Proceeds &amp; MUD'!$F6:BE6)&lt;Assumptions!$C$31),Assumptions!$C$46,0)))</f>
        <v>0</v>
      </c>
      <c r="BG6" s="46">
        <f ca="1">IF(LEFT(BG3,3)="Lot",Assumptions!$C$45,IF(AND((SUM('Sales Proceeds &amp; MUD'!$F6:BF6)+Assumptions!$C$46)&gt;Assumptions!$C$31,OFFSET(BG6,0,-3)=Assumptions!$C$46),Assumptions!$C$31-SUM('Sales Proceeds &amp; MUD'!$F6:BF6),IF(AND(OFFSET(BG6,0,-3)=Assumptions!$C$46,SUM('Sales Proceeds &amp; MUD'!$F6:BF6)&lt;Assumptions!$C$31),Assumptions!$C$46,0)))</f>
        <v>0</v>
      </c>
      <c r="BH6" s="46">
        <f ca="1">IF(LEFT(BH3,3)="Lot",Assumptions!$C$45,IF(AND((SUM('Sales Proceeds &amp; MUD'!$F6:BG6)+Assumptions!$C$46)&gt;Assumptions!$C$31,OFFSET(BH6,0,-3)=Assumptions!$C$46),Assumptions!$C$31-SUM('Sales Proceeds &amp; MUD'!$F6:BG6),IF(AND(OFFSET(BH6,0,-3)=Assumptions!$C$46,SUM('Sales Proceeds &amp; MUD'!$F6:BG6)&lt;Assumptions!$C$31),Assumptions!$C$46,0)))</f>
        <v>0</v>
      </c>
      <c r="BI6" s="46">
        <f ca="1">IF(LEFT(BI3,3)="Lot",Assumptions!$C$45,IF(AND((SUM('Sales Proceeds &amp; MUD'!$F6:BH6)+Assumptions!$C$46)&gt;Assumptions!$C$31,OFFSET(BI6,0,-3)=Assumptions!$C$46),Assumptions!$C$31-SUM('Sales Proceeds &amp; MUD'!$F6:BH6),IF(AND(OFFSET(BI6,0,-3)=Assumptions!$C$46,SUM('Sales Proceeds &amp; MUD'!$F6:BH6)&lt;Assumptions!$C$31),Assumptions!$C$46,0)))</f>
        <v>0</v>
      </c>
      <c r="BJ6" s="46">
        <f ca="1">IF(LEFT(BJ3,3)="Lot",Assumptions!$C$45,IF(AND((SUM('Sales Proceeds &amp; MUD'!$F6:BI6)+Assumptions!$C$46)&gt;Assumptions!$C$31,OFFSET(BJ6,0,-3)=Assumptions!$C$46),Assumptions!$C$31-SUM('Sales Proceeds &amp; MUD'!$F6:BI6),IF(AND(OFFSET(BJ6,0,-3)=Assumptions!$C$46,SUM('Sales Proceeds &amp; MUD'!$F6:BI6)&lt;Assumptions!$C$31),Assumptions!$C$46,0)))</f>
        <v>0</v>
      </c>
      <c r="BK6" s="46">
        <f ca="1">IF(LEFT(BK3,3)="Lot",Assumptions!$C$45,IF(AND((SUM('Sales Proceeds &amp; MUD'!$F6:BJ6)+Assumptions!$C$46)&gt;Assumptions!$C$31,OFFSET(BK6,0,-3)=Assumptions!$C$46),Assumptions!$C$31-SUM('Sales Proceeds &amp; MUD'!$F6:BJ6),IF(AND(OFFSET(BK6,0,-3)=Assumptions!$C$46,SUM('Sales Proceeds &amp; MUD'!$F6:BJ6)&lt;Assumptions!$C$31),Assumptions!$C$46,0)))</f>
        <v>0</v>
      </c>
      <c r="BL6" s="46">
        <f ca="1">IF(LEFT(BL3,3)="Lot",Assumptions!$C$45,IF(AND((SUM('Sales Proceeds &amp; MUD'!$F6:BK6)+Assumptions!$C$46)&gt;Assumptions!$C$31,OFFSET(BL6,0,-3)=Assumptions!$C$46),Assumptions!$C$31-SUM('Sales Proceeds &amp; MUD'!$F6:BK6),IF(AND(OFFSET(BL6,0,-3)=Assumptions!$C$46,SUM('Sales Proceeds &amp; MUD'!$F6:BK6)&lt;Assumptions!$C$31),Assumptions!$C$46,0)))</f>
        <v>0</v>
      </c>
      <c r="BM6" s="46">
        <f ca="1">IF(LEFT(BM3,3)="Lot",Assumptions!$C$45,IF(AND((SUM('Sales Proceeds &amp; MUD'!$F6:BL6)+Assumptions!$C$46)&gt;Assumptions!$C$31,OFFSET(BM6,0,-3)=Assumptions!$C$46),Assumptions!$C$31-SUM('Sales Proceeds &amp; MUD'!$F6:BL6),IF(AND(OFFSET(BM6,0,-3)=Assumptions!$C$46,SUM('Sales Proceeds &amp; MUD'!$F6:BL6)&lt;Assumptions!$C$31),Assumptions!$C$46,0)))</f>
        <v>0</v>
      </c>
      <c r="BN6" s="46">
        <f ca="1">IF(LEFT(BN3,3)="Lot",Assumptions!$C$45,IF(AND((SUM('Sales Proceeds &amp; MUD'!$F6:BM6)+Assumptions!$C$46)&gt;Assumptions!$C$31,OFFSET(BN6,0,-3)=Assumptions!$C$46),Assumptions!$C$31-SUM('Sales Proceeds &amp; MUD'!$F6:BM6),IF(AND(OFFSET(BN6,0,-3)=Assumptions!$C$46,SUM('Sales Proceeds &amp; MUD'!$F6:BM6)&lt;Assumptions!$C$31),Assumptions!$C$46,0)))</f>
        <v>0</v>
      </c>
      <c r="BO6" s="137">
        <f ca="1">IF(LEFT(BO3,3)="Lot",Assumptions!$C$45,IF(AND((SUM('Sales Proceeds &amp; MUD'!$F6:BN6)+Assumptions!$C$46)&gt;Assumptions!$C$31,OFFSET(BO6,0,-3)=Assumptions!$C$46),Assumptions!$C$31-SUM('Sales Proceeds &amp; MUD'!$F6:BN6),IF(AND(OFFSET(BO6,0,-3)=Assumptions!$C$46,SUM('Sales Proceeds &amp; MUD'!$F6:BN6)&lt;Assumptions!$C$31),Assumptions!$C$46,0)))</f>
        <v>0</v>
      </c>
    </row>
    <row r="7" spans="2:67" ht="14.05" customHeight="1" x14ac:dyDescent="0.4">
      <c r="B7" s="4" t="s">
        <v>79</v>
      </c>
      <c r="C7" s="4"/>
      <c r="D7" s="5">
        <f ca="1">SUM(D6)</f>
        <v>103</v>
      </c>
      <c r="E7" s="16"/>
      <c r="F7" s="240"/>
      <c r="G7" s="133">
        <f ca="1">F7+G6</f>
        <v>0</v>
      </c>
      <c r="H7" s="156">
        <f t="shared" ref="H7:AW7" ca="1" si="38">G7+H6</f>
        <v>0</v>
      </c>
      <c r="I7" s="156">
        <f t="shared" ca="1" si="38"/>
        <v>0</v>
      </c>
      <c r="J7" s="156">
        <f t="shared" ca="1" si="38"/>
        <v>0</v>
      </c>
      <c r="K7" s="156">
        <f t="shared" ca="1" si="38"/>
        <v>0</v>
      </c>
      <c r="L7" s="156">
        <f t="shared" ca="1" si="38"/>
        <v>0</v>
      </c>
      <c r="M7" s="156">
        <f t="shared" ca="1" si="38"/>
        <v>0</v>
      </c>
      <c r="N7" s="156">
        <f t="shared" ca="1" si="38"/>
        <v>0</v>
      </c>
      <c r="O7" s="156">
        <f t="shared" ca="1" si="38"/>
        <v>0</v>
      </c>
      <c r="P7" s="156">
        <f t="shared" ca="1" si="38"/>
        <v>0</v>
      </c>
      <c r="Q7" s="156">
        <f t="shared" ca="1" si="38"/>
        <v>0</v>
      </c>
      <c r="R7" s="156">
        <f t="shared" ca="1" si="38"/>
        <v>0</v>
      </c>
      <c r="S7" s="156">
        <f t="shared" ca="1" si="38"/>
        <v>0</v>
      </c>
      <c r="T7" s="156">
        <f t="shared" ca="1" si="38"/>
        <v>0</v>
      </c>
      <c r="U7" s="156">
        <f t="shared" ca="1" si="38"/>
        <v>0</v>
      </c>
      <c r="V7" s="156">
        <f t="shared" ca="1" si="38"/>
        <v>0</v>
      </c>
      <c r="W7" s="156">
        <f t="shared" ca="1" si="38"/>
        <v>0</v>
      </c>
      <c r="X7" s="156">
        <f t="shared" ca="1" si="38"/>
        <v>0</v>
      </c>
      <c r="Y7" s="156">
        <f t="shared" ca="1" si="38"/>
        <v>10</v>
      </c>
      <c r="Z7" s="156">
        <f t="shared" ca="1" si="38"/>
        <v>10</v>
      </c>
      <c r="AA7" s="156">
        <f t="shared" ca="1" si="38"/>
        <v>10</v>
      </c>
      <c r="AB7" s="156">
        <f t="shared" ca="1" si="38"/>
        <v>20</v>
      </c>
      <c r="AC7" s="156">
        <f t="shared" ca="1" si="38"/>
        <v>20</v>
      </c>
      <c r="AD7" s="156">
        <f t="shared" ca="1" si="38"/>
        <v>20</v>
      </c>
      <c r="AE7" s="156">
        <f t="shared" ca="1" si="38"/>
        <v>30</v>
      </c>
      <c r="AF7" s="156">
        <f t="shared" ca="1" si="38"/>
        <v>30</v>
      </c>
      <c r="AG7" s="156">
        <f t="shared" ca="1" si="38"/>
        <v>30</v>
      </c>
      <c r="AH7" s="156">
        <f t="shared" ca="1" si="38"/>
        <v>40</v>
      </c>
      <c r="AI7" s="156">
        <f t="shared" ca="1" si="38"/>
        <v>40</v>
      </c>
      <c r="AJ7" s="156">
        <f t="shared" ca="1" si="38"/>
        <v>40</v>
      </c>
      <c r="AK7" s="156">
        <f t="shared" ca="1" si="38"/>
        <v>50</v>
      </c>
      <c r="AL7" s="156">
        <f t="shared" ca="1" si="38"/>
        <v>50</v>
      </c>
      <c r="AM7" s="156">
        <f t="shared" ca="1" si="38"/>
        <v>50</v>
      </c>
      <c r="AN7" s="156">
        <f t="shared" ca="1" si="38"/>
        <v>60</v>
      </c>
      <c r="AO7" s="156">
        <f t="shared" ca="1" si="38"/>
        <v>60</v>
      </c>
      <c r="AP7" s="156">
        <f t="shared" ca="1" si="38"/>
        <v>60</v>
      </c>
      <c r="AQ7" s="156">
        <f t="shared" ca="1" si="38"/>
        <v>70</v>
      </c>
      <c r="AR7" s="156">
        <f t="shared" ca="1" si="38"/>
        <v>70</v>
      </c>
      <c r="AS7" s="156">
        <f t="shared" ca="1" si="38"/>
        <v>70</v>
      </c>
      <c r="AT7" s="156">
        <f t="shared" ca="1" si="38"/>
        <v>80</v>
      </c>
      <c r="AU7" s="156">
        <f t="shared" ca="1" si="38"/>
        <v>80</v>
      </c>
      <c r="AV7" s="156">
        <f t="shared" ca="1" si="38"/>
        <v>80</v>
      </c>
      <c r="AW7" s="156">
        <f t="shared" ca="1" si="38"/>
        <v>90</v>
      </c>
      <c r="AX7" s="156">
        <f t="shared" ref="AX7" ca="1" si="39">AW7+AX6</f>
        <v>90</v>
      </c>
      <c r="AY7" s="156">
        <f t="shared" ref="AY7" ca="1" si="40">AX7+AY6</f>
        <v>90</v>
      </c>
      <c r="AZ7" s="156">
        <f t="shared" ref="AZ7" ca="1" si="41">AY7+AZ6</f>
        <v>100</v>
      </c>
      <c r="BA7" s="156">
        <f t="shared" ref="BA7" ca="1" si="42">AZ7+BA6</f>
        <v>100</v>
      </c>
      <c r="BB7" s="156">
        <f t="shared" ref="BB7" ca="1" si="43">BA7+BB6</f>
        <v>100</v>
      </c>
      <c r="BC7" s="156">
        <f t="shared" ref="BC7" ca="1" si="44">BB7+BC6</f>
        <v>103</v>
      </c>
      <c r="BD7" s="156">
        <f t="shared" ref="BD7" ca="1" si="45">BC7+BD6</f>
        <v>103</v>
      </c>
      <c r="BE7" s="156">
        <f t="shared" ref="BE7" ca="1" si="46">BD7+BE6</f>
        <v>103</v>
      </c>
      <c r="BF7" s="156">
        <f t="shared" ref="BF7" ca="1" si="47">BE7+BF6</f>
        <v>103</v>
      </c>
      <c r="BG7" s="156">
        <f t="shared" ref="BG7" ca="1" si="48">BF7+BG6</f>
        <v>103</v>
      </c>
      <c r="BH7" s="156">
        <f t="shared" ref="BH7" ca="1" si="49">BG7+BH6</f>
        <v>103</v>
      </c>
      <c r="BI7" s="156">
        <f t="shared" ref="BI7" ca="1" si="50">BH7+BI6</f>
        <v>103</v>
      </c>
      <c r="BJ7" s="156">
        <f t="shared" ref="BJ7" ca="1" si="51">BI7+BJ6</f>
        <v>103</v>
      </c>
      <c r="BK7" s="156">
        <f t="shared" ref="BK7" ca="1" si="52">BJ7+BK6</f>
        <v>103</v>
      </c>
      <c r="BL7" s="156">
        <f t="shared" ref="BL7" ca="1" si="53">BK7+BL6</f>
        <v>103</v>
      </c>
      <c r="BM7" s="156">
        <f t="shared" ref="BM7" ca="1" si="54">BL7+BM6</f>
        <v>103</v>
      </c>
      <c r="BN7" s="156">
        <f t="shared" ref="BN7" ca="1" si="55">BM7+BN6</f>
        <v>103</v>
      </c>
      <c r="BO7" s="138">
        <f t="shared" ref="BO7" ca="1" si="56">BN7+BO6</f>
        <v>103</v>
      </c>
    </row>
    <row r="8" spans="2:67" ht="14.05" customHeight="1" x14ac:dyDescent="0.4">
      <c r="B8" s="4"/>
      <c r="C8" s="4"/>
      <c r="D8" s="187"/>
      <c r="E8" s="16"/>
      <c r="F8" s="240"/>
      <c r="G8" s="133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38"/>
    </row>
    <row r="9" spans="2:67" ht="14.05" customHeight="1" x14ac:dyDescent="0.4">
      <c r="B9" s="113"/>
      <c r="C9" s="4"/>
      <c r="D9" s="187"/>
      <c r="E9" s="16"/>
      <c r="F9" s="241" t="s">
        <v>67</v>
      </c>
      <c r="G9" s="133" t="str">
        <f ca="1">IF(F9="Months of Interest","",IF(LEFT(G3,3)="Lot",0,IF(OFFSET(G9,0,-1)&lt;&gt;"",F9+1,"")))</f>
        <v/>
      </c>
      <c r="H9" s="156" t="str">
        <f t="shared" ref="H9:AW9" ca="1" si="57">IF(G9="Months of Interest","",IF(LEFT(H3,3)="Lot",0,IF(OFFSET(H9,0,-1)&lt;&gt;"",G9+1,"")))</f>
        <v/>
      </c>
      <c r="I9" s="156" t="str">
        <f t="shared" ca="1" si="57"/>
        <v/>
      </c>
      <c r="J9" s="156" t="str">
        <f t="shared" ca="1" si="57"/>
        <v/>
      </c>
      <c r="K9" s="156" t="str">
        <f t="shared" ca="1" si="57"/>
        <v/>
      </c>
      <c r="L9" s="156" t="str">
        <f t="shared" ca="1" si="57"/>
        <v/>
      </c>
      <c r="M9" s="156" t="str">
        <f t="shared" ca="1" si="57"/>
        <v/>
      </c>
      <c r="N9" s="156" t="str">
        <f t="shared" ca="1" si="57"/>
        <v/>
      </c>
      <c r="O9" s="156" t="str">
        <f t="shared" ca="1" si="57"/>
        <v/>
      </c>
      <c r="P9" s="156" t="str">
        <f t="shared" ca="1" si="57"/>
        <v/>
      </c>
      <c r="Q9" s="156" t="str">
        <f t="shared" ca="1" si="57"/>
        <v/>
      </c>
      <c r="R9" s="156" t="str">
        <f t="shared" ca="1" si="57"/>
        <v/>
      </c>
      <c r="S9" s="156" t="str">
        <f t="shared" ca="1" si="57"/>
        <v/>
      </c>
      <c r="T9" s="156" t="str">
        <f t="shared" ca="1" si="57"/>
        <v/>
      </c>
      <c r="U9" s="156" t="str">
        <f t="shared" ca="1" si="57"/>
        <v/>
      </c>
      <c r="V9" s="156" t="str">
        <f t="shared" ca="1" si="57"/>
        <v/>
      </c>
      <c r="W9" s="156" t="str">
        <f t="shared" ca="1" si="57"/>
        <v/>
      </c>
      <c r="X9" s="156" t="str">
        <f t="shared" ca="1" si="57"/>
        <v/>
      </c>
      <c r="Y9" s="156">
        <f t="shared" ca="1" si="57"/>
        <v>0</v>
      </c>
      <c r="Z9" s="156">
        <f t="shared" ca="1" si="57"/>
        <v>1</v>
      </c>
      <c r="AA9" s="156">
        <f t="shared" ca="1" si="57"/>
        <v>2</v>
      </c>
      <c r="AB9" s="156">
        <f t="shared" ca="1" si="57"/>
        <v>3</v>
      </c>
      <c r="AC9" s="156">
        <f t="shared" ca="1" si="57"/>
        <v>4</v>
      </c>
      <c r="AD9" s="156">
        <f t="shared" ca="1" si="57"/>
        <v>5</v>
      </c>
      <c r="AE9" s="156">
        <f t="shared" ca="1" si="57"/>
        <v>6</v>
      </c>
      <c r="AF9" s="156">
        <f t="shared" ca="1" si="57"/>
        <v>7</v>
      </c>
      <c r="AG9" s="156">
        <f t="shared" ca="1" si="57"/>
        <v>8</v>
      </c>
      <c r="AH9" s="156">
        <f t="shared" ca="1" si="57"/>
        <v>9</v>
      </c>
      <c r="AI9" s="156">
        <f t="shared" ca="1" si="57"/>
        <v>10</v>
      </c>
      <c r="AJ9" s="156">
        <f t="shared" ca="1" si="57"/>
        <v>11</v>
      </c>
      <c r="AK9" s="156">
        <f t="shared" ca="1" si="57"/>
        <v>12</v>
      </c>
      <c r="AL9" s="156">
        <f t="shared" ca="1" si="57"/>
        <v>13</v>
      </c>
      <c r="AM9" s="156">
        <f t="shared" ca="1" si="57"/>
        <v>14</v>
      </c>
      <c r="AN9" s="156">
        <f t="shared" ca="1" si="57"/>
        <v>15</v>
      </c>
      <c r="AO9" s="156">
        <f t="shared" ca="1" si="57"/>
        <v>16</v>
      </c>
      <c r="AP9" s="156">
        <f t="shared" ca="1" si="57"/>
        <v>17</v>
      </c>
      <c r="AQ9" s="156">
        <f t="shared" ca="1" si="57"/>
        <v>18</v>
      </c>
      <c r="AR9" s="156">
        <f t="shared" ca="1" si="57"/>
        <v>19</v>
      </c>
      <c r="AS9" s="156">
        <f t="shared" ca="1" si="57"/>
        <v>20</v>
      </c>
      <c r="AT9" s="156">
        <f t="shared" ca="1" si="57"/>
        <v>21</v>
      </c>
      <c r="AU9" s="156">
        <f t="shared" ca="1" si="57"/>
        <v>22</v>
      </c>
      <c r="AV9" s="156">
        <f t="shared" ca="1" si="57"/>
        <v>23</v>
      </c>
      <c r="AW9" s="156">
        <f t="shared" ca="1" si="57"/>
        <v>24</v>
      </c>
      <c r="AX9" s="156">
        <f t="shared" ref="AX9" ca="1" si="58">IF(AW9="Months of Interest","",IF(LEFT(AX3,3)="Lot",0,IF(OFFSET(AX9,0,-1)&lt;&gt;"",AW9+1,"")))</f>
        <v>25</v>
      </c>
      <c r="AY9" s="156">
        <f t="shared" ref="AY9" ca="1" si="59">IF(AX9="Months of Interest","",IF(LEFT(AY3,3)="Lot",0,IF(OFFSET(AY9,0,-1)&lt;&gt;"",AX9+1,"")))</f>
        <v>26</v>
      </c>
      <c r="AZ9" s="156">
        <f t="shared" ref="AZ9" ca="1" si="60">IF(AY9="Months of Interest","",IF(LEFT(AZ3,3)="Lot",0,IF(OFFSET(AZ9,0,-1)&lt;&gt;"",AY9+1,"")))</f>
        <v>27</v>
      </c>
      <c r="BA9" s="156">
        <f t="shared" ref="BA9" ca="1" si="61">IF(AZ9="Months of Interest","",IF(LEFT(BA3,3)="Lot",0,IF(OFFSET(BA9,0,-1)&lt;&gt;"",AZ9+1,"")))</f>
        <v>28</v>
      </c>
      <c r="BB9" s="156">
        <f t="shared" ref="BB9" ca="1" si="62">IF(BA9="Months of Interest","",IF(LEFT(BB3,3)="Lot",0,IF(OFFSET(BB9,0,-1)&lt;&gt;"",BA9+1,"")))</f>
        <v>29</v>
      </c>
      <c r="BC9" s="156">
        <f t="shared" ref="BC9" ca="1" si="63">IF(BB9="Months of Interest","",IF(LEFT(BC3,3)="Lot",0,IF(OFFSET(BC9,0,-1)&lt;&gt;"",BB9+1,"")))</f>
        <v>30</v>
      </c>
      <c r="BD9" s="156">
        <f t="shared" ref="BD9" ca="1" si="64">IF(BC9="Months of Interest","",IF(LEFT(BD3,3)="Lot",0,IF(OFFSET(BD9,0,-1)&lt;&gt;"",BC9+1,"")))</f>
        <v>31</v>
      </c>
      <c r="BE9" s="156">
        <f t="shared" ref="BE9" ca="1" si="65">IF(BD9="Months of Interest","",IF(LEFT(BE3,3)="Lot",0,IF(OFFSET(BE9,0,-1)&lt;&gt;"",BD9+1,"")))</f>
        <v>32</v>
      </c>
      <c r="BF9" s="156">
        <f t="shared" ref="BF9" ca="1" si="66">IF(BE9="Months of Interest","",IF(LEFT(BF3,3)="Lot",0,IF(OFFSET(BF9,0,-1)&lt;&gt;"",BE9+1,"")))</f>
        <v>33</v>
      </c>
      <c r="BG9" s="156">
        <f t="shared" ref="BG9" ca="1" si="67">IF(BF9="Months of Interest","",IF(LEFT(BG3,3)="Lot",0,IF(OFFSET(BG9,0,-1)&lt;&gt;"",BF9+1,"")))</f>
        <v>34</v>
      </c>
      <c r="BH9" s="156">
        <f t="shared" ref="BH9" ca="1" si="68">IF(BG9="Months of Interest","",IF(LEFT(BH3,3)="Lot",0,IF(OFFSET(BH9,0,-1)&lt;&gt;"",BG9+1,"")))</f>
        <v>35</v>
      </c>
      <c r="BI9" s="156">
        <f t="shared" ref="BI9" ca="1" si="69">IF(BH9="Months of Interest","",IF(LEFT(BI3,3)="Lot",0,IF(OFFSET(BI9,0,-1)&lt;&gt;"",BH9+1,"")))</f>
        <v>36</v>
      </c>
      <c r="BJ9" s="156">
        <f t="shared" ref="BJ9" ca="1" si="70">IF(BI9="Months of Interest","",IF(LEFT(BJ3,3)="Lot",0,IF(OFFSET(BJ9,0,-1)&lt;&gt;"",BI9+1,"")))</f>
        <v>37</v>
      </c>
      <c r="BK9" s="156">
        <f t="shared" ref="BK9" ca="1" si="71">IF(BJ9="Months of Interest","",IF(LEFT(BK3,3)="Lot",0,IF(OFFSET(BK9,0,-1)&lt;&gt;"",BJ9+1,"")))</f>
        <v>38</v>
      </c>
      <c r="BL9" s="156">
        <f t="shared" ref="BL9" ca="1" si="72">IF(BK9="Months of Interest","",IF(LEFT(BL3,3)="Lot",0,IF(OFFSET(BL9,0,-1)&lt;&gt;"",BK9+1,"")))</f>
        <v>39</v>
      </c>
      <c r="BM9" s="156">
        <f t="shared" ref="BM9" ca="1" si="73">IF(BL9="Months of Interest","",IF(LEFT(BM3,3)="Lot",0,IF(OFFSET(BM9,0,-1)&lt;&gt;"",BL9+1,"")))</f>
        <v>40</v>
      </c>
      <c r="BN9" s="156">
        <f t="shared" ref="BN9" ca="1" si="74">IF(BM9="Months of Interest","",IF(LEFT(BN3,3)="Lot",0,IF(OFFSET(BN9,0,-1)&lt;&gt;"",BM9+1,"")))</f>
        <v>41</v>
      </c>
      <c r="BO9" s="138">
        <f t="shared" ref="BO9" ca="1" si="75">IF(BN9="Months of Interest","",IF(LEFT(BO3,3)="Lot",0,IF(OFFSET(BO9,0,-1)&lt;&gt;"",BN9+1,"")))</f>
        <v>42</v>
      </c>
    </row>
    <row r="10" spans="2:67" ht="16.2" customHeight="1" x14ac:dyDescent="0.4">
      <c r="B10" s="115" t="s">
        <v>100</v>
      </c>
      <c r="C10" s="4"/>
      <c r="D10" s="169">
        <f ca="1">SUM(G10:BO10)</f>
        <v>7725000</v>
      </c>
      <c r="E10" s="16"/>
      <c r="F10" s="240"/>
      <c r="G10" s="134">
        <f ca="1">G$6*Assumptions!$C$30</f>
        <v>0</v>
      </c>
      <c r="H10" s="153">
        <f ca="1">H$6*Assumptions!$C$30</f>
        <v>0</v>
      </c>
      <c r="I10" s="153">
        <f ca="1">I$6*Assumptions!$C$30</f>
        <v>0</v>
      </c>
      <c r="J10" s="153">
        <f ca="1">J$6*Assumptions!$C$30</f>
        <v>0</v>
      </c>
      <c r="K10" s="153">
        <f ca="1">K$6*Assumptions!$C$30</f>
        <v>0</v>
      </c>
      <c r="L10" s="153">
        <f ca="1">L$6*Assumptions!$C$30</f>
        <v>0</v>
      </c>
      <c r="M10" s="153">
        <f ca="1">M$6*Assumptions!$C$30</f>
        <v>0</v>
      </c>
      <c r="N10" s="153">
        <f ca="1">N$6*Assumptions!$C$30</f>
        <v>0</v>
      </c>
      <c r="O10" s="153">
        <f ca="1">O$6*Assumptions!$C$30</f>
        <v>0</v>
      </c>
      <c r="P10" s="153">
        <f ca="1">P$6*Assumptions!$C$30</f>
        <v>0</v>
      </c>
      <c r="Q10" s="153">
        <f ca="1">Q$6*Assumptions!$C$30</f>
        <v>0</v>
      </c>
      <c r="R10" s="153">
        <f ca="1">R$6*Assumptions!$C$30</f>
        <v>0</v>
      </c>
      <c r="S10" s="153">
        <f ca="1">S$6*Assumptions!$C$30</f>
        <v>0</v>
      </c>
      <c r="T10" s="153">
        <f ca="1">T$6*Assumptions!$C$30</f>
        <v>0</v>
      </c>
      <c r="U10" s="153">
        <f ca="1">U$6*Assumptions!$C$30</f>
        <v>0</v>
      </c>
      <c r="V10" s="153">
        <f ca="1">V$6*Assumptions!$C$30</f>
        <v>0</v>
      </c>
      <c r="W10" s="153">
        <f ca="1">W$6*Assumptions!$C$30</f>
        <v>0</v>
      </c>
      <c r="X10" s="153">
        <f ca="1">X$6*Assumptions!$C$30</f>
        <v>0</v>
      </c>
      <c r="Y10" s="153">
        <f ca="1">Y$6*Assumptions!$C$30</f>
        <v>750000</v>
      </c>
      <c r="Z10" s="153">
        <f ca="1">Z$6*Assumptions!$C$30</f>
        <v>0</v>
      </c>
      <c r="AA10" s="153">
        <f ca="1">AA$6*Assumptions!$C$30</f>
        <v>0</v>
      </c>
      <c r="AB10" s="153">
        <f ca="1">AB$6*Assumptions!$C$30</f>
        <v>750000</v>
      </c>
      <c r="AC10" s="153">
        <f ca="1">AC$6*Assumptions!$C$30</f>
        <v>0</v>
      </c>
      <c r="AD10" s="153">
        <f ca="1">AD$6*Assumptions!$C$30</f>
        <v>0</v>
      </c>
      <c r="AE10" s="153">
        <f ca="1">AE$6*Assumptions!$C$30</f>
        <v>750000</v>
      </c>
      <c r="AF10" s="153">
        <f ca="1">AF$6*Assumptions!$C$30</f>
        <v>0</v>
      </c>
      <c r="AG10" s="153">
        <f ca="1">AG$6*Assumptions!$C$30</f>
        <v>0</v>
      </c>
      <c r="AH10" s="153">
        <f ca="1">AH$6*Assumptions!$C$30</f>
        <v>750000</v>
      </c>
      <c r="AI10" s="153">
        <f ca="1">AI$6*Assumptions!$C$30</f>
        <v>0</v>
      </c>
      <c r="AJ10" s="153">
        <f ca="1">AJ$6*Assumptions!$C$30</f>
        <v>0</v>
      </c>
      <c r="AK10" s="153">
        <f ca="1">AK$6*Assumptions!$C$30</f>
        <v>750000</v>
      </c>
      <c r="AL10" s="153">
        <f ca="1">AL$6*Assumptions!$C$30</f>
        <v>0</v>
      </c>
      <c r="AM10" s="153">
        <f ca="1">AM$6*Assumptions!$C$30</f>
        <v>0</v>
      </c>
      <c r="AN10" s="153">
        <f ca="1">AN$6*Assumptions!$C$30</f>
        <v>750000</v>
      </c>
      <c r="AO10" s="153">
        <f ca="1">AO$6*Assumptions!$C$30</f>
        <v>0</v>
      </c>
      <c r="AP10" s="153">
        <f ca="1">AP$6*Assumptions!$C$30</f>
        <v>0</v>
      </c>
      <c r="AQ10" s="153">
        <f ca="1">AQ$6*Assumptions!$C$30</f>
        <v>750000</v>
      </c>
      <c r="AR10" s="153">
        <f ca="1">AR$6*Assumptions!$C$30</f>
        <v>0</v>
      </c>
      <c r="AS10" s="153">
        <f ca="1">AS$6*Assumptions!$C$30</f>
        <v>0</v>
      </c>
      <c r="AT10" s="153">
        <f ca="1">AT$6*Assumptions!$C$30</f>
        <v>750000</v>
      </c>
      <c r="AU10" s="153">
        <f ca="1">AU$6*Assumptions!$C$30</f>
        <v>0</v>
      </c>
      <c r="AV10" s="153">
        <f ca="1">AV$6*Assumptions!$C$30</f>
        <v>0</v>
      </c>
      <c r="AW10" s="153">
        <f ca="1">AW$6*Assumptions!$C$30</f>
        <v>750000</v>
      </c>
      <c r="AX10" s="153">
        <f ca="1">AX$6*Assumptions!$C$30</f>
        <v>0</v>
      </c>
      <c r="AY10" s="153">
        <f ca="1">AY$6*Assumptions!$C$30</f>
        <v>0</v>
      </c>
      <c r="AZ10" s="153">
        <f ca="1">AZ$6*Assumptions!$C$30</f>
        <v>750000</v>
      </c>
      <c r="BA10" s="153">
        <f ca="1">BA$6*Assumptions!$C$30</f>
        <v>0</v>
      </c>
      <c r="BB10" s="153">
        <f ca="1">BB$6*Assumptions!$C$30</f>
        <v>0</v>
      </c>
      <c r="BC10" s="153">
        <f ca="1">BC$6*Assumptions!$C$30</f>
        <v>225000</v>
      </c>
      <c r="BD10" s="153">
        <f ca="1">BD$6*Assumptions!$C$30</f>
        <v>0</v>
      </c>
      <c r="BE10" s="153">
        <f ca="1">BE$6*Assumptions!$C$30</f>
        <v>0</v>
      </c>
      <c r="BF10" s="153">
        <f ca="1">BF$6*Assumptions!$C$30</f>
        <v>0</v>
      </c>
      <c r="BG10" s="153">
        <f ca="1">BG$6*Assumptions!$C$30</f>
        <v>0</v>
      </c>
      <c r="BH10" s="153">
        <f ca="1">BH$6*Assumptions!$C$30</f>
        <v>0</v>
      </c>
      <c r="BI10" s="153">
        <f ca="1">BI$6*Assumptions!$C$30</f>
        <v>0</v>
      </c>
      <c r="BJ10" s="153">
        <f ca="1">BJ$6*Assumptions!$C$30</f>
        <v>0</v>
      </c>
      <c r="BK10" s="153">
        <f ca="1">BK$6*Assumptions!$C$30</f>
        <v>0</v>
      </c>
      <c r="BL10" s="153">
        <f ca="1">BL$6*Assumptions!$C$30</f>
        <v>0</v>
      </c>
      <c r="BM10" s="153">
        <f ca="1">BM$6*Assumptions!$C$30</f>
        <v>0</v>
      </c>
      <c r="BN10" s="153">
        <f ca="1">BN$6*Assumptions!$C$30</f>
        <v>0</v>
      </c>
      <c r="BO10" s="50">
        <f ca="1">BO$6*Assumptions!$C$30</f>
        <v>0</v>
      </c>
    </row>
    <row r="11" spans="2:67" ht="14.05" customHeight="1" x14ac:dyDescent="0.4">
      <c r="B11" s="115" t="s">
        <v>80</v>
      </c>
      <c r="C11" s="4"/>
      <c r="D11" s="169">
        <f ca="1">SUM(G11:BO11)</f>
        <v>714375</v>
      </c>
      <c r="E11" s="16"/>
      <c r="F11" s="240"/>
      <c r="G11" s="134">
        <f ca="1">IF(G$9="",0,IF(G$4&lt;Assumptions!$C$59,G10*((Assumptions!$C$37/12)*'Sales Proceeds &amp; MUD'!G$9),G10*(((Assumptions!$C$37+Assumptions!$C$38)/12)*'Sales Proceeds &amp; MUD'!G$9)))</f>
        <v>0</v>
      </c>
      <c r="H11" s="153">
        <f ca="1">IF(H$9="",0,IF(H$4&lt;Assumptions!$C$59,H10*((Assumptions!$C$37/12)*'Sales Proceeds &amp; MUD'!H$9),H10*(((Assumptions!$C$37+Assumptions!$C$38)/12)*'Sales Proceeds &amp; MUD'!H$9)))</f>
        <v>0</v>
      </c>
      <c r="I11" s="153">
        <f ca="1">IF(I$9="",0,IF(I$4&lt;Assumptions!$C$59,I10*((Assumptions!$C$37/12)*'Sales Proceeds &amp; MUD'!I$9),I10*(((Assumptions!$C$37+Assumptions!$C$38)/12)*'Sales Proceeds &amp; MUD'!I$9)))</f>
        <v>0</v>
      </c>
      <c r="J11" s="153">
        <f ca="1">IF(J$9="",0,IF(J$4&lt;Assumptions!$C$59,J10*((Assumptions!$C$37/12)*'Sales Proceeds &amp; MUD'!J$9),J10*(((Assumptions!$C$37+Assumptions!$C$38)/12)*'Sales Proceeds &amp; MUD'!J$9)))</f>
        <v>0</v>
      </c>
      <c r="K11" s="153">
        <f ca="1">IF(K$9="",0,IF(K$4&lt;Assumptions!$C$59,K10*((Assumptions!$C$37/12)*'Sales Proceeds &amp; MUD'!K$9),K10*(((Assumptions!$C$37+Assumptions!$C$38)/12)*'Sales Proceeds &amp; MUD'!K$9)))</f>
        <v>0</v>
      </c>
      <c r="L11" s="153">
        <f ca="1">IF(L$9="",0,IF(L$4&lt;Assumptions!$C$59,L10*((Assumptions!$C$37/12)*'Sales Proceeds &amp; MUD'!L$9),L10*(((Assumptions!$C$37+Assumptions!$C$38)/12)*'Sales Proceeds &amp; MUD'!L$9)))</f>
        <v>0</v>
      </c>
      <c r="M11" s="153">
        <f ca="1">IF(M$9="",0,IF(M$4&lt;Assumptions!$C$59,M10*((Assumptions!$C$37/12)*'Sales Proceeds &amp; MUD'!M$9),M10*(((Assumptions!$C$37+Assumptions!$C$38)/12)*'Sales Proceeds &amp; MUD'!M$9)))</f>
        <v>0</v>
      </c>
      <c r="N11" s="153">
        <f ca="1">IF(N$9="",0,IF(N$4&lt;Assumptions!$C$59,N10*((Assumptions!$C$37/12)*'Sales Proceeds &amp; MUD'!N$9),N10*(((Assumptions!$C$37+Assumptions!$C$38)/12)*'Sales Proceeds &amp; MUD'!N$9)))</f>
        <v>0</v>
      </c>
      <c r="O11" s="153">
        <f ca="1">IF(O$9="",0,IF(O$4&lt;Assumptions!$C$59,O10*((Assumptions!$C$37/12)*'Sales Proceeds &amp; MUD'!O$9),O10*(((Assumptions!$C$37+Assumptions!$C$38)/12)*'Sales Proceeds &amp; MUD'!O$9)))</f>
        <v>0</v>
      </c>
      <c r="P11" s="153">
        <f ca="1">IF(P$9="",0,IF(P$4&lt;Assumptions!$C$59,P10*((Assumptions!$C$37/12)*'Sales Proceeds &amp; MUD'!P$9),P10*(((Assumptions!$C$37+Assumptions!$C$38)/12)*'Sales Proceeds &amp; MUD'!P$9)))</f>
        <v>0</v>
      </c>
      <c r="Q11" s="153">
        <f ca="1">IF(Q$9="",0,IF(Q$4&lt;Assumptions!$C$59,Q10*((Assumptions!$C$37/12)*'Sales Proceeds &amp; MUD'!Q$9),Q10*(((Assumptions!$C$37+Assumptions!$C$38)/12)*'Sales Proceeds &amp; MUD'!Q$9)))</f>
        <v>0</v>
      </c>
      <c r="R11" s="153">
        <f ca="1">IF(R$9="",0,IF(R$4&lt;Assumptions!$C$59,R10*((Assumptions!$C$37/12)*'Sales Proceeds &amp; MUD'!R$9),R10*(((Assumptions!$C$37+Assumptions!$C$38)/12)*'Sales Proceeds &amp; MUD'!R$9)))</f>
        <v>0</v>
      </c>
      <c r="S11" s="153">
        <f ca="1">IF(S$9="",0,IF(S$4&lt;Assumptions!$C$59,S10*((Assumptions!$C$37/12)*'Sales Proceeds &amp; MUD'!S$9),S10*(((Assumptions!$C$37+Assumptions!$C$38)/12)*'Sales Proceeds &amp; MUD'!S$9)))</f>
        <v>0</v>
      </c>
      <c r="T11" s="153">
        <f ca="1">IF(T$9="",0,IF(T$4&lt;Assumptions!$C$59,T10*((Assumptions!$C$37/12)*'Sales Proceeds &amp; MUD'!T$9),T10*(((Assumptions!$C$37+Assumptions!$C$38)/12)*'Sales Proceeds &amp; MUD'!T$9)))</f>
        <v>0</v>
      </c>
      <c r="U11" s="153">
        <f ca="1">IF(U$9="",0,IF(U$4&lt;Assumptions!$C$59,U10*((Assumptions!$C$37/12)*'Sales Proceeds &amp; MUD'!U$9),U10*(((Assumptions!$C$37+Assumptions!$C$38)/12)*'Sales Proceeds &amp; MUD'!U$9)))</f>
        <v>0</v>
      </c>
      <c r="V11" s="153">
        <f ca="1">IF(V$9="",0,IF(V$4&lt;Assumptions!$C$59,V10*((Assumptions!$C$37/12)*'Sales Proceeds &amp; MUD'!V$9),V10*(((Assumptions!$C$37+Assumptions!$C$38)/12)*'Sales Proceeds &amp; MUD'!V$9)))</f>
        <v>0</v>
      </c>
      <c r="W11" s="153">
        <f ca="1">IF(W$9="",0,IF(W$4&lt;Assumptions!$C$59,W10*((Assumptions!$C$37/12)*'Sales Proceeds &amp; MUD'!W$9),W10*(((Assumptions!$C$37+Assumptions!$C$38)/12)*'Sales Proceeds &amp; MUD'!W$9)))</f>
        <v>0</v>
      </c>
      <c r="X11" s="153">
        <f ca="1">IF(X$9="",0,IF(X$4&lt;Assumptions!$C$59,X10*((Assumptions!$C$37/12)*'Sales Proceeds &amp; MUD'!X$9),X10*(((Assumptions!$C$37+Assumptions!$C$38)/12)*'Sales Proceeds &amp; MUD'!X$9)))</f>
        <v>0</v>
      </c>
      <c r="Y11" s="153">
        <f ca="1">IF(Y$9="",0,IF(Y$4&lt;Assumptions!$C$59,Y10*((Assumptions!$C$37/12)*'Sales Proceeds &amp; MUD'!Y$9),Y10*(((Assumptions!$C$37+Assumptions!$C$38)/12)*'Sales Proceeds &amp; MUD'!Y$9)))</f>
        <v>0</v>
      </c>
      <c r="Z11" s="153">
        <f ca="1">IF(Z$9="",0,IF(Z$4&lt;Assumptions!$C$59,Z10*((Assumptions!$C$37/12)*'Sales Proceeds &amp; MUD'!Z$9),Z10*(((Assumptions!$C$37+Assumptions!$C$38)/12)*'Sales Proceeds &amp; MUD'!Z$9)))</f>
        <v>0</v>
      </c>
      <c r="AA11" s="153">
        <f ca="1">IF(AA$9="",0,IF(AA$4&lt;Assumptions!$C$59,AA10*((Assumptions!$C$37/12)*'Sales Proceeds &amp; MUD'!AA$9),AA10*(((Assumptions!$C$37+Assumptions!$C$38)/12)*'Sales Proceeds &amp; MUD'!AA$9)))</f>
        <v>0</v>
      </c>
      <c r="AB11" s="153">
        <f ca="1">IF(AB$9="",0,IF(AB$4&lt;Assumptions!$C$59,AB10*((Assumptions!$C$37/12)*'Sales Proceeds &amp; MUD'!AB$9),AB10*(((Assumptions!$C$37+Assumptions!$C$38)/12)*'Sales Proceeds &amp; MUD'!AB$9)))</f>
        <v>14062.5</v>
      </c>
      <c r="AC11" s="153">
        <f ca="1">IF(AC$9="",0,IF(AC$4&lt;Assumptions!$C$59,AC10*((Assumptions!$C$37/12)*'Sales Proceeds &amp; MUD'!AC$9),AC10*(((Assumptions!$C$37+Assumptions!$C$38)/12)*'Sales Proceeds &amp; MUD'!AC$9)))</f>
        <v>0</v>
      </c>
      <c r="AD11" s="153">
        <f ca="1">IF(AD$9="",0,IF(AD$4&lt;Assumptions!$C$59,AD10*((Assumptions!$C$37/12)*'Sales Proceeds &amp; MUD'!AD$9),AD10*(((Assumptions!$C$37+Assumptions!$C$38)/12)*'Sales Proceeds &amp; MUD'!AD$9)))</f>
        <v>0</v>
      </c>
      <c r="AE11" s="153">
        <f ca="1">IF(AE$9="",0,IF(AE$4&lt;Assumptions!$C$59,AE10*((Assumptions!$C$37/12)*'Sales Proceeds &amp; MUD'!AE$9),AE10*(((Assumptions!$C$37+Assumptions!$C$38)/12)*'Sales Proceeds &amp; MUD'!AE$9)))</f>
        <v>28125</v>
      </c>
      <c r="AF11" s="153">
        <f ca="1">IF(AF$9="",0,IF(AF$4&lt;Assumptions!$C$59,AF10*((Assumptions!$C$37/12)*'Sales Proceeds &amp; MUD'!AF$9),AF10*(((Assumptions!$C$37+Assumptions!$C$38)/12)*'Sales Proceeds &amp; MUD'!AF$9)))</f>
        <v>0</v>
      </c>
      <c r="AG11" s="153">
        <f ca="1">IF(AG$9="",0,IF(AG$4&lt;Assumptions!$C$59,AG10*((Assumptions!$C$37/12)*'Sales Proceeds &amp; MUD'!AG$9),AG10*(((Assumptions!$C$37+Assumptions!$C$38)/12)*'Sales Proceeds &amp; MUD'!AG$9)))</f>
        <v>0</v>
      </c>
      <c r="AH11" s="153">
        <f ca="1">IF(AH$9="",0,IF(AH$4&lt;Assumptions!$C$59,AH10*((Assumptions!$C$37/12)*'Sales Proceeds &amp; MUD'!AH$9),AH10*(((Assumptions!$C$37+Assumptions!$C$38)/12)*'Sales Proceeds &amp; MUD'!AH$9)))</f>
        <v>42187.499999999993</v>
      </c>
      <c r="AI11" s="153">
        <f ca="1">IF(AI$9="",0,IF(AI$4&lt;Assumptions!$C$59,AI10*((Assumptions!$C$37/12)*'Sales Proceeds &amp; MUD'!AI$9),AI10*(((Assumptions!$C$37+Assumptions!$C$38)/12)*'Sales Proceeds &amp; MUD'!AI$9)))</f>
        <v>0</v>
      </c>
      <c r="AJ11" s="153">
        <f ca="1">IF(AJ$9="",0,IF(AJ$4&lt;Assumptions!$C$59,AJ10*((Assumptions!$C$37/12)*'Sales Proceeds &amp; MUD'!AJ$9),AJ10*(((Assumptions!$C$37+Assumptions!$C$38)/12)*'Sales Proceeds &amp; MUD'!AJ$9)))</f>
        <v>0</v>
      </c>
      <c r="AK11" s="153">
        <f ca="1">IF(AK$9="",0,IF(AK$4&lt;Assumptions!$C$59,AK10*((Assumptions!$C$37/12)*'Sales Proceeds &amp; MUD'!AK$9),AK10*(((Assumptions!$C$37+Assumptions!$C$38)/12)*'Sales Proceeds &amp; MUD'!AK$9)))</f>
        <v>60000</v>
      </c>
      <c r="AL11" s="153">
        <f ca="1">IF(AL$9="",0,IF(AL$4&lt;Assumptions!$C$59,AL10*((Assumptions!$C$37/12)*'Sales Proceeds &amp; MUD'!AL$9),AL10*(((Assumptions!$C$37+Assumptions!$C$38)/12)*'Sales Proceeds &amp; MUD'!AL$9)))</f>
        <v>0</v>
      </c>
      <c r="AM11" s="153">
        <f ca="1">IF(AM$9="",0,IF(AM$4&lt;Assumptions!$C$59,AM10*((Assumptions!$C$37/12)*'Sales Proceeds &amp; MUD'!AM$9),AM10*(((Assumptions!$C$37+Assumptions!$C$38)/12)*'Sales Proceeds &amp; MUD'!AM$9)))</f>
        <v>0</v>
      </c>
      <c r="AN11" s="153">
        <f ca="1">IF(AN$9="",0,IF(AN$4&lt;Assumptions!$C$59,AN10*((Assumptions!$C$37/12)*'Sales Proceeds &amp; MUD'!AN$9),AN10*(((Assumptions!$C$37+Assumptions!$C$38)/12)*'Sales Proceeds &amp; MUD'!AN$9)))</f>
        <v>75000</v>
      </c>
      <c r="AO11" s="153">
        <f ca="1">IF(AO$9="",0,IF(AO$4&lt;Assumptions!$C$59,AO10*((Assumptions!$C$37/12)*'Sales Proceeds &amp; MUD'!AO$9),AO10*(((Assumptions!$C$37+Assumptions!$C$38)/12)*'Sales Proceeds &amp; MUD'!AO$9)))</f>
        <v>0</v>
      </c>
      <c r="AP11" s="153">
        <f ca="1">IF(AP$9="",0,IF(AP$4&lt;Assumptions!$C$59,AP10*((Assumptions!$C$37/12)*'Sales Proceeds &amp; MUD'!AP$9),AP10*(((Assumptions!$C$37+Assumptions!$C$38)/12)*'Sales Proceeds &amp; MUD'!AP$9)))</f>
        <v>0</v>
      </c>
      <c r="AQ11" s="153">
        <f ca="1">IF(AQ$9="",0,IF(AQ$4&lt;Assumptions!$C$59,AQ10*((Assumptions!$C$37/12)*'Sales Proceeds &amp; MUD'!AQ$9),AQ10*(((Assumptions!$C$37+Assumptions!$C$38)/12)*'Sales Proceeds &amp; MUD'!AQ$9)))</f>
        <v>90000</v>
      </c>
      <c r="AR11" s="153">
        <f ca="1">IF(AR$9="",0,IF(AR$4&lt;Assumptions!$C$59,AR10*((Assumptions!$C$37/12)*'Sales Proceeds &amp; MUD'!AR$9),AR10*(((Assumptions!$C$37+Assumptions!$C$38)/12)*'Sales Proceeds &amp; MUD'!AR$9)))</f>
        <v>0</v>
      </c>
      <c r="AS11" s="153">
        <f ca="1">IF(AS$9="",0,IF(AS$4&lt;Assumptions!$C$59,AS10*((Assumptions!$C$37/12)*'Sales Proceeds &amp; MUD'!AS$9),AS10*(((Assumptions!$C$37+Assumptions!$C$38)/12)*'Sales Proceeds &amp; MUD'!AS$9)))</f>
        <v>0</v>
      </c>
      <c r="AT11" s="153">
        <f ca="1">IF(AT$9="",0,IF(AT$4&lt;Assumptions!$C$59,AT10*((Assumptions!$C$37/12)*'Sales Proceeds &amp; MUD'!AT$9),AT10*(((Assumptions!$C$37+Assumptions!$C$38)/12)*'Sales Proceeds &amp; MUD'!AT$9)))</f>
        <v>105000.00000000001</v>
      </c>
      <c r="AU11" s="153">
        <f ca="1">IF(AU$9="",0,IF(AU$4&lt;Assumptions!$C$59,AU10*((Assumptions!$C$37/12)*'Sales Proceeds &amp; MUD'!AU$9),AU10*(((Assumptions!$C$37+Assumptions!$C$38)/12)*'Sales Proceeds &amp; MUD'!AU$9)))</f>
        <v>0</v>
      </c>
      <c r="AV11" s="153">
        <f ca="1">IF(AV$9="",0,IF(AV$4&lt;Assumptions!$C$59,AV10*((Assumptions!$C$37/12)*'Sales Proceeds &amp; MUD'!AV$9),AV10*(((Assumptions!$C$37+Assumptions!$C$38)/12)*'Sales Proceeds &amp; MUD'!AV$9)))</f>
        <v>0</v>
      </c>
      <c r="AW11" s="153">
        <f ca="1">IF(AW$9="",0,IF(AW$4&lt;Assumptions!$C$59,AW10*((Assumptions!$C$37/12)*'Sales Proceeds &amp; MUD'!AW$9),AW10*(((Assumptions!$C$37+Assumptions!$C$38)/12)*'Sales Proceeds &amp; MUD'!AW$9)))</f>
        <v>120000</v>
      </c>
      <c r="AX11" s="153">
        <f ca="1">IF(AX$9="",0,IF(AX$4&lt;Assumptions!$C$59,AX10*((Assumptions!$C$37/12)*'Sales Proceeds &amp; MUD'!AX$9),AX10*(((Assumptions!$C$37+Assumptions!$C$38)/12)*'Sales Proceeds &amp; MUD'!AX$9)))</f>
        <v>0</v>
      </c>
      <c r="AY11" s="153">
        <f ca="1">IF(AY$9="",0,IF(AY$4&lt;Assumptions!$C$59,AY10*((Assumptions!$C$37/12)*'Sales Proceeds &amp; MUD'!AY$9),AY10*(((Assumptions!$C$37+Assumptions!$C$38)/12)*'Sales Proceeds &amp; MUD'!AY$9)))</f>
        <v>0</v>
      </c>
      <c r="AZ11" s="153">
        <f ca="1">IF(AZ$9="",0,IF(AZ$4&lt;Assumptions!$C$59,AZ10*((Assumptions!$C$37/12)*'Sales Proceeds &amp; MUD'!AZ$9),AZ10*(((Assumptions!$C$37+Assumptions!$C$38)/12)*'Sales Proceeds &amp; MUD'!AZ$9)))</f>
        <v>135000.00000000003</v>
      </c>
      <c r="BA11" s="153">
        <f ca="1">IF(BA$9="",0,IF(BA$4&lt;Assumptions!$C$59,BA10*((Assumptions!$C$37/12)*'Sales Proceeds &amp; MUD'!BA$9),BA10*(((Assumptions!$C$37+Assumptions!$C$38)/12)*'Sales Proceeds &amp; MUD'!BA$9)))</f>
        <v>0</v>
      </c>
      <c r="BB11" s="153">
        <f ca="1">IF(BB$9="",0,IF(BB$4&lt;Assumptions!$C$59,BB10*((Assumptions!$C$37/12)*'Sales Proceeds &amp; MUD'!BB$9),BB10*(((Assumptions!$C$37+Assumptions!$C$38)/12)*'Sales Proceeds &amp; MUD'!BB$9)))</f>
        <v>0</v>
      </c>
      <c r="BC11" s="153">
        <f ca="1">IF(BC$9="",0,IF(BC$4&lt;Assumptions!$C$59,BC10*((Assumptions!$C$37/12)*'Sales Proceeds &amp; MUD'!BC$9),BC10*(((Assumptions!$C$37+Assumptions!$C$38)/12)*'Sales Proceeds &amp; MUD'!BC$9)))</f>
        <v>45000</v>
      </c>
      <c r="BD11" s="153">
        <f ca="1">IF(BD$9="",0,IF(BD$4&lt;Assumptions!$C$59,BD10*((Assumptions!$C$37/12)*'Sales Proceeds &amp; MUD'!BD$9),BD10*(((Assumptions!$C$37+Assumptions!$C$38)/12)*'Sales Proceeds &amp; MUD'!BD$9)))</f>
        <v>0</v>
      </c>
      <c r="BE11" s="153">
        <f ca="1">IF(BE$9="",0,IF(BE$4&lt;Assumptions!$C$59,BE10*((Assumptions!$C$37/12)*'Sales Proceeds &amp; MUD'!BE$9),BE10*(((Assumptions!$C$37+Assumptions!$C$38)/12)*'Sales Proceeds &amp; MUD'!BE$9)))</f>
        <v>0</v>
      </c>
      <c r="BF11" s="153">
        <f ca="1">IF(BF$9="",0,IF(BF$4&lt;Assumptions!$C$59,BF10*((Assumptions!$C$37/12)*'Sales Proceeds &amp; MUD'!BF$9),BF10*(((Assumptions!$C$37+Assumptions!$C$38)/12)*'Sales Proceeds &amp; MUD'!BF$9)))</f>
        <v>0</v>
      </c>
      <c r="BG11" s="153">
        <f ca="1">IF(BG$9="",0,IF(BG$4&lt;Assumptions!$C$59,BG10*((Assumptions!$C$37/12)*'Sales Proceeds &amp; MUD'!BG$9),BG10*(((Assumptions!$C$37+Assumptions!$C$38)/12)*'Sales Proceeds &amp; MUD'!BG$9)))</f>
        <v>0</v>
      </c>
      <c r="BH11" s="153">
        <f ca="1">IF(BH$9="",0,IF(BH$4&lt;Assumptions!$C$59,BH10*((Assumptions!$C$37/12)*'Sales Proceeds &amp; MUD'!BH$9),BH10*(((Assumptions!$C$37+Assumptions!$C$38)/12)*'Sales Proceeds &amp; MUD'!BH$9)))</f>
        <v>0</v>
      </c>
      <c r="BI11" s="153">
        <f ca="1">IF(BI$9="",0,IF(BI$4&lt;Assumptions!$C$59,BI10*((Assumptions!$C$37/12)*'Sales Proceeds &amp; MUD'!BI$9),BI10*(((Assumptions!$C$37+Assumptions!$C$38)/12)*'Sales Proceeds &amp; MUD'!BI$9)))</f>
        <v>0</v>
      </c>
      <c r="BJ11" s="153">
        <f ca="1">IF(BJ$9="",0,IF(BJ$4&lt;Assumptions!$C$59,BJ10*((Assumptions!$C$37/12)*'Sales Proceeds &amp; MUD'!BJ$9),BJ10*(((Assumptions!$C$37+Assumptions!$C$38)/12)*'Sales Proceeds &amp; MUD'!BJ$9)))</f>
        <v>0</v>
      </c>
      <c r="BK11" s="153">
        <f ca="1">IF(BK$9="",0,IF(BK$4&lt;Assumptions!$C$59,BK10*((Assumptions!$C$37/12)*'Sales Proceeds &amp; MUD'!BK$9),BK10*(((Assumptions!$C$37+Assumptions!$C$38)/12)*'Sales Proceeds &amp; MUD'!BK$9)))</f>
        <v>0</v>
      </c>
      <c r="BL11" s="153">
        <f ca="1">IF(BL$9="",0,IF(BL$4&lt;Assumptions!$C$59,BL10*((Assumptions!$C$37/12)*'Sales Proceeds &amp; MUD'!BL$9),BL10*(((Assumptions!$C$37+Assumptions!$C$38)/12)*'Sales Proceeds &amp; MUD'!BL$9)))</f>
        <v>0</v>
      </c>
      <c r="BM11" s="153">
        <f ca="1">IF(BM$9="",0,IF(BM$4&lt;Assumptions!$C$59,BM10*((Assumptions!$C$37/12)*'Sales Proceeds &amp; MUD'!BM$9),BM10*(((Assumptions!$C$37+Assumptions!$C$38)/12)*'Sales Proceeds &amp; MUD'!BM$9)))</f>
        <v>0</v>
      </c>
      <c r="BN11" s="153">
        <f ca="1">IF(BN$9="",0,IF(BN$4&lt;Assumptions!$C$59,BN10*((Assumptions!$C$37/12)*'Sales Proceeds &amp; MUD'!BN$9),BN10*(((Assumptions!$C$37+Assumptions!$C$38)/12)*'Sales Proceeds &amp; MUD'!BN$9)))</f>
        <v>0</v>
      </c>
      <c r="BO11" s="50">
        <f ca="1">IF(BO$9="",0,IF(BO$4&lt;Assumptions!$C$59,BO10*((Assumptions!$C$37/12)*'Sales Proceeds &amp; MUD'!BO$9),BO10*(((Assumptions!$C$37+Assumptions!$C$38)/12)*'Sales Proceeds &amp; MUD'!BO$9)))</f>
        <v>0</v>
      </c>
    </row>
    <row r="12" spans="2:67" ht="14.05" customHeight="1" x14ac:dyDescent="0.4">
      <c r="B12" s="113" t="s">
        <v>26</v>
      </c>
      <c r="C12" s="4"/>
      <c r="D12" s="5">
        <f ca="1">SUM(G12:BO12)</f>
        <v>8439375</v>
      </c>
      <c r="E12" s="16"/>
      <c r="F12" s="240"/>
      <c r="G12" s="135">
        <f t="shared" ref="G12:R12" ca="1" si="76">SUM(G10:G11)</f>
        <v>0</v>
      </c>
      <c r="H12" s="47">
        <f t="shared" ca="1" si="76"/>
        <v>0</v>
      </c>
      <c r="I12" s="47">
        <f t="shared" ca="1" si="76"/>
        <v>0</v>
      </c>
      <c r="J12" s="47">
        <f t="shared" ca="1" si="76"/>
        <v>0</v>
      </c>
      <c r="K12" s="47">
        <f t="shared" ca="1" si="76"/>
        <v>0</v>
      </c>
      <c r="L12" s="47">
        <f t="shared" ca="1" si="76"/>
        <v>0</v>
      </c>
      <c r="M12" s="47">
        <f t="shared" ca="1" si="76"/>
        <v>0</v>
      </c>
      <c r="N12" s="47">
        <f t="shared" ca="1" si="76"/>
        <v>0</v>
      </c>
      <c r="O12" s="47">
        <f t="shared" ca="1" si="76"/>
        <v>0</v>
      </c>
      <c r="P12" s="47">
        <f t="shared" ca="1" si="76"/>
        <v>0</v>
      </c>
      <c r="Q12" s="47">
        <f t="shared" ca="1" si="76"/>
        <v>0</v>
      </c>
      <c r="R12" s="47">
        <f t="shared" ca="1" si="76"/>
        <v>0</v>
      </c>
      <c r="S12" s="47">
        <f ca="1">SUM(S10:S11)</f>
        <v>0</v>
      </c>
      <c r="T12" s="47">
        <f t="shared" ref="T12:V12" ca="1" si="77">SUM(T10:T11)</f>
        <v>0</v>
      </c>
      <c r="U12" s="47">
        <f t="shared" ca="1" si="77"/>
        <v>0</v>
      </c>
      <c r="V12" s="47">
        <f t="shared" ca="1" si="77"/>
        <v>0</v>
      </c>
      <c r="W12" s="47">
        <f t="shared" ref="W12" ca="1" si="78">SUM(W10:W11)</f>
        <v>0</v>
      </c>
      <c r="X12" s="47">
        <f t="shared" ref="X12" ca="1" si="79">SUM(X10:X11)</f>
        <v>0</v>
      </c>
      <c r="Y12" s="47">
        <f t="shared" ref="Y12" ca="1" si="80">SUM(Y10:Y11)</f>
        <v>750000</v>
      </c>
      <c r="Z12" s="47">
        <f t="shared" ref="Z12" ca="1" si="81">SUM(Z10:Z11)</f>
        <v>0</v>
      </c>
      <c r="AA12" s="47">
        <f t="shared" ref="AA12" ca="1" si="82">SUM(AA10:AA11)</f>
        <v>0</v>
      </c>
      <c r="AB12" s="47">
        <f t="shared" ref="AB12" ca="1" si="83">SUM(AB10:AB11)</f>
        <v>764062.5</v>
      </c>
      <c r="AC12" s="47">
        <f t="shared" ref="AC12" ca="1" si="84">SUM(AC10:AC11)</f>
        <v>0</v>
      </c>
      <c r="AD12" s="47">
        <f t="shared" ref="AD12" ca="1" si="85">SUM(AD10:AD11)</f>
        <v>0</v>
      </c>
      <c r="AE12" s="47">
        <f t="shared" ref="AE12" ca="1" si="86">SUM(AE10:AE11)</f>
        <v>778125</v>
      </c>
      <c r="AF12" s="47">
        <f t="shared" ref="AF12" ca="1" si="87">SUM(AF10:AF11)</f>
        <v>0</v>
      </c>
      <c r="AG12" s="47">
        <f t="shared" ref="AG12" ca="1" si="88">SUM(AG10:AG11)</f>
        <v>0</v>
      </c>
      <c r="AH12" s="47">
        <f t="shared" ref="AH12" ca="1" si="89">SUM(AH10:AH11)</f>
        <v>792187.5</v>
      </c>
      <c r="AI12" s="47">
        <f t="shared" ref="AI12" ca="1" si="90">SUM(AI10:AI11)</f>
        <v>0</v>
      </c>
      <c r="AJ12" s="47">
        <f t="shared" ref="AJ12" ca="1" si="91">SUM(AJ10:AJ11)</f>
        <v>0</v>
      </c>
      <c r="AK12" s="47">
        <f t="shared" ref="AK12" ca="1" si="92">SUM(AK10:AK11)</f>
        <v>810000</v>
      </c>
      <c r="AL12" s="47">
        <f t="shared" ref="AL12" ca="1" si="93">SUM(AL10:AL11)</f>
        <v>0</v>
      </c>
      <c r="AM12" s="47">
        <f t="shared" ref="AM12" ca="1" si="94">SUM(AM10:AM11)</f>
        <v>0</v>
      </c>
      <c r="AN12" s="47">
        <f t="shared" ref="AN12" ca="1" si="95">SUM(AN10:AN11)</f>
        <v>825000</v>
      </c>
      <c r="AO12" s="47">
        <f t="shared" ref="AO12" ca="1" si="96">SUM(AO10:AO11)</f>
        <v>0</v>
      </c>
      <c r="AP12" s="47">
        <f t="shared" ref="AP12" ca="1" si="97">SUM(AP10:AP11)</f>
        <v>0</v>
      </c>
      <c r="AQ12" s="47">
        <f t="shared" ref="AQ12" ca="1" si="98">SUM(AQ10:AQ11)</f>
        <v>840000</v>
      </c>
      <c r="AR12" s="47">
        <f t="shared" ref="AR12" ca="1" si="99">SUM(AR10:AR11)</f>
        <v>0</v>
      </c>
      <c r="AS12" s="47">
        <f t="shared" ref="AS12" ca="1" si="100">SUM(AS10:AS11)</f>
        <v>0</v>
      </c>
      <c r="AT12" s="47">
        <f t="shared" ref="AT12" ca="1" si="101">SUM(AT10:AT11)</f>
        <v>855000</v>
      </c>
      <c r="AU12" s="47">
        <f t="shared" ref="AU12" ca="1" si="102">SUM(AU10:AU11)</f>
        <v>0</v>
      </c>
      <c r="AV12" s="47">
        <f t="shared" ref="AV12:AW12" ca="1" si="103">SUM(AV10:AV11)</f>
        <v>0</v>
      </c>
      <c r="AW12" s="47">
        <f t="shared" ca="1" si="103"/>
        <v>870000</v>
      </c>
      <c r="AX12" s="47">
        <f t="shared" ref="AX12:BO12" ca="1" si="104">SUM(AX10:AX11)</f>
        <v>0</v>
      </c>
      <c r="AY12" s="47">
        <f t="shared" ca="1" si="104"/>
        <v>0</v>
      </c>
      <c r="AZ12" s="47">
        <f t="shared" ca="1" si="104"/>
        <v>885000</v>
      </c>
      <c r="BA12" s="47">
        <f t="shared" ca="1" si="104"/>
        <v>0</v>
      </c>
      <c r="BB12" s="47">
        <f t="shared" ca="1" si="104"/>
        <v>0</v>
      </c>
      <c r="BC12" s="47">
        <f t="shared" ca="1" si="104"/>
        <v>270000</v>
      </c>
      <c r="BD12" s="47">
        <f t="shared" ca="1" si="104"/>
        <v>0</v>
      </c>
      <c r="BE12" s="47">
        <f t="shared" ca="1" si="104"/>
        <v>0</v>
      </c>
      <c r="BF12" s="47">
        <f t="shared" ca="1" si="104"/>
        <v>0</v>
      </c>
      <c r="BG12" s="47">
        <f t="shared" ca="1" si="104"/>
        <v>0</v>
      </c>
      <c r="BH12" s="47">
        <f t="shared" ca="1" si="104"/>
        <v>0</v>
      </c>
      <c r="BI12" s="47">
        <f t="shared" ca="1" si="104"/>
        <v>0</v>
      </c>
      <c r="BJ12" s="47">
        <f t="shared" ca="1" si="104"/>
        <v>0</v>
      </c>
      <c r="BK12" s="47">
        <f t="shared" ca="1" si="104"/>
        <v>0</v>
      </c>
      <c r="BL12" s="47">
        <f t="shared" ca="1" si="104"/>
        <v>0</v>
      </c>
      <c r="BM12" s="47">
        <f t="shared" ca="1" si="104"/>
        <v>0</v>
      </c>
      <c r="BN12" s="47">
        <f t="shared" ca="1" si="104"/>
        <v>0</v>
      </c>
      <c r="BO12" s="139">
        <f t="shared" ca="1" si="104"/>
        <v>0</v>
      </c>
    </row>
    <row r="13" spans="2:67" ht="14.05" customHeight="1" x14ac:dyDescent="0.4">
      <c r="B13" s="116"/>
      <c r="C13" s="4"/>
      <c r="D13" s="169"/>
      <c r="E13" s="16"/>
      <c r="F13" s="240"/>
      <c r="G13" s="134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50"/>
    </row>
    <row r="14" spans="2:67" ht="14.05" customHeight="1" x14ac:dyDescent="0.4">
      <c r="B14" s="4" t="s">
        <v>27</v>
      </c>
      <c r="C14" s="4"/>
      <c r="D14" s="187">
        <f ca="1">SUM(G14:BO14)</f>
        <v>8439375</v>
      </c>
      <c r="E14" s="16"/>
      <c r="F14" s="240"/>
      <c r="G14" s="48">
        <f ca="1">G12</f>
        <v>0</v>
      </c>
      <c r="H14" s="48">
        <f t="shared" ref="H14:BO14" ca="1" si="105">H12</f>
        <v>0</v>
      </c>
      <c r="I14" s="48">
        <f t="shared" ca="1" si="105"/>
        <v>0</v>
      </c>
      <c r="J14" s="48">
        <f t="shared" ca="1" si="105"/>
        <v>0</v>
      </c>
      <c r="K14" s="48">
        <f t="shared" ca="1" si="105"/>
        <v>0</v>
      </c>
      <c r="L14" s="48">
        <f t="shared" ca="1" si="105"/>
        <v>0</v>
      </c>
      <c r="M14" s="48">
        <f t="shared" ca="1" si="105"/>
        <v>0</v>
      </c>
      <c r="N14" s="48">
        <f t="shared" ca="1" si="105"/>
        <v>0</v>
      </c>
      <c r="O14" s="48">
        <f t="shared" ca="1" si="105"/>
        <v>0</v>
      </c>
      <c r="P14" s="48">
        <f t="shared" ca="1" si="105"/>
        <v>0</v>
      </c>
      <c r="Q14" s="48">
        <f t="shared" ca="1" si="105"/>
        <v>0</v>
      </c>
      <c r="R14" s="48">
        <f t="shared" ca="1" si="105"/>
        <v>0</v>
      </c>
      <c r="S14" s="48">
        <f t="shared" ca="1" si="105"/>
        <v>0</v>
      </c>
      <c r="T14" s="48">
        <f t="shared" ca="1" si="105"/>
        <v>0</v>
      </c>
      <c r="U14" s="48">
        <f t="shared" ca="1" si="105"/>
        <v>0</v>
      </c>
      <c r="V14" s="48">
        <f t="shared" ca="1" si="105"/>
        <v>0</v>
      </c>
      <c r="W14" s="48">
        <f t="shared" ca="1" si="105"/>
        <v>0</v>
      </c>
      <c r="X14" s="48">
        <f t="shared" ca="1" si="105"/>
        <v>0</v>
      </c>
      <c r="Y14" s="48">
        <f t="shared" ca="1" si="105"/>
        <v>750000</v>
      </c>
      <c r="Z14" s="48">
        <f t="shared" ca="1" si="105"/>
        <v>0</v>
      </c>
      <c r="AA14" s="48">
        <f t="shared" ca="1" si="105"/>
        <v>0</v>
      </c>
      <c r="AB14" s="48">
        <f t="shared" ca="1" si="105"/>
        <v>764062.5</v>
      </c>
      <c r="AC14" s="48">
        <f t="shared" ca="1" si="105"/>
        <v>0</v>
      </c>
      <c r="AD14" s="48">
        <f t="shared" ca="1" si="105"/>
        <v>0</v>
      </c>
      <c r="AE14" s="48">
        <f t="shared" ca="1" si="105"/>
        <v>778125</v>
      </c>
      <c r="AF14" s="48">
        <f t="shared" ca="1" si="105"/>
        <v>0</v>
      </c>
      <c r="AG14" s="48">
        <f t="shared" ca="1" si="105"/>
        <v>0</v>
      </c>
      <c r="AH14" s="48">
        <f t="shared" ca="1" si="105"/>
        <v>792187.5</v>
      </c>
      <c r="AI14" s="48">
        <f t="shared" ca="1" si="105"/>
        <v>0</v>
      </c>
      <c r="AJ14" s="48">
        <f t="shared" ca="1" si="105"/>
        <v>0</v>
      </c>
      <c r="AK14" s="48">
        <f t="shared" ca="1" si="105"/>
        <v>810000</v>
      </c>
      <c r="AL14" s="48">
        <f t="shared" ca="1" si="105"/>
        <v>0</v>
      </c>
      <c r="AM14" s="48">
        <f t="shared" ca="1" si="105"/>
        <v>0</v>
      </c>
      <c r="AN14" s="48">
        <f t="shared" ca="1" si="105"/>
        <v>825000</v>
      </c>
      <c r="AO14" s="48">
        <f t="shared" ca="1" si="105"/>
        <v>0</v>
      </c>
      <c r="AP14" s="48">
        <f t="shared" ca="1" si="105"/>
        <v>0</v>
      </c>
      <c r="AQ14" s="48">
        <f t="shared" ca="1" si="105"/>
        <v>840000</v>
      </c>
      <c r="AR14" s="48">
        <f t="shared" ca="1" si="105"/>
        <v>0</v>
      </c>
      <c r="AS14" s="48">
        <f t="shared" ca="1" si="105"/>
        <v>0</v>
      </c>
      <c r="AT14" s="48">
        <f t="shared" ca="1" si="105"/>
        <v>855000</v>
      </c>
      <c r="AU14" s="48">
        <f t="shared" ca="1" si="105"/>
        <v>0</v>
      </c>
      <c r="AV14" s="48">
        <f t="shared" ca="1" si="105"/>
        <v>0</v>
      </c>
      <c r="AW14" s="48">
        <f t="shared" ca="1" si="105"/>
        <v>870000</v>
      </c>
      <c r="AX14" s="48">
        <f t="shared" ca="1" si="105"/>
        <v>0</v>
      </c>
      <c r="AY14" s="48">
        <f t="shared" ca="1" si="105"/>
        <v>0</v>
      </c>
      <c r="AZ14" s="48">
        <f t="shared" ca="1" si="105"/>
        <v>885000</v>
      </c>
      <c r="BA14" s="48">
        <f t="shared" ca="1" si="105"/>
        <v>0</v>
      </c>
      <c r="BB14" s="48">
        <f t="shared" ca="1" si="105"/>
        <v>0</v>
      </c>
      <c r="BC14" s="48">
        <f t="shared" ca="1" si="105"/>
        <v>270000</v>
      </c>
      <c r="BD14" s="48">
        <f t="shared" ca="1" si="105"/>
        <v>0</v>
      </c>
      <c r="BE14" s="48">
        <f t="shared" ca="1" si="105"/>
        <v>0</v>
      </c>
      <c r="BF14" s="48">
        <f t="shared" ca="1" si="105"/>
        <v>0</v>
      </c>
      <c r="BG14" s="48">
        <f t="shared" ca="1" si="105"/>
        <v>0</v>
      </c>
      <c r="BH14" s="48">
        <f t="shared" ca="1" si="105"/>
        <v>0</v>
      </c>
      <c r="BI14" s="48">
        <f t="shared" ca="1" si="105"/>
        <v>0</v>
      </c>
      <c r="BJ14" s="48">
        <f t="shared" ca="1" si="105"/>
        <v>0</v>
      </c>
      <c r="BK14" s="48">
        <f t="shared" ca="1" si="105"/>
        <v>0</v>
      </c>
      <c r="BL14" s="48">
        <f t="shared" ca="1" si="105"/>
        <v>0</v>
      </c>
      <c r="BM14" s="48">
        <f t="shared" ca="1" si="105"/>
        <v>0</v>
      </c>
      <c r="BN14" s="48">
        <f t="shared" ca="1" si="105"/>
        <v>0</v>
      </c>
      <c r="BO14" s="140">
        <f t="shared" ca="1" si="105"/>
        <v>0</v>
      </c>
    </row>
    <row r="15" spans="2:67" ht="14.05" customHeight="1" x14ac:dyDescent="0.4">
      <c r="B15" s="6"/>
      <c r="C15" s="6"/>
      <c r="D15" s="7"/>
      <c r="E15" s="8"/>
      <c r="G15" s="3"/>
      <c r="BO15" s="2"/>
    </row>
    <row r="16" spans="2:67" ht="14.05" customHeight="1" x14ac:dyDescent="0.4">
      <c r="B16" s="3"/>
      <c r="E16" s="2"/>
      <c r="G16" s="3"/>
      <c r="BO16" s="2"/>
    </row>
    <row r="17" spans="2:67" ht="14.05" customHeight="1" x14ac:dyDescent="0.4">
      <c r="B17" s="3"/>
      <c r="E17" s="2"/>
      <c r="G17" s="3"/>
      <c r="BO17" s="2"/>
    </row>
    <row r="18" spans="2:67" ht="14.05" customHeight="1" x14ac:dyDescent="0.45">
      <c r="B18" s="3"/>
      <c r="E18" s="2"/>
      <c r="G18" s="229"/>
      <c r="H18" s="230"/>
      <c r="I18" s="230"/>
      <c r="J18" s="230"/>
      <c r="BO18" s="2"/>
    </row>
    <row r="19" spans="2:67" ht="14.05" customHeight="1" x14ac:dyDescent="0.4">
      <c r="B19" s="3" t="s">
        <v>117</v>
      </c>
      <c r="D19" s="40">
        <f>SUM(G19:BO19)</f>
        <v>2114280.5</v>
      </c>
      <c r="E19" s="188"/>
      <c r="F19" s="40"/>
      <c r="G19" s="231">
        <f>IF(LEFT(G3,3)="MUD",'Prelim Budget'!$E$35,0)</f>
        <v>0</v>
      </c>
      <c r="H19" s="190">
        <f>IF(LEFT(H3,3)="MUD",'Prelim Budget'!$E$35,0)</f>
        <v>0</v>
      </c>
      <c r="I19" s="190">
        <f>IF(LEFT(I3,3)="MUD",'Prelim Budget'!$E$35,0)</f>
        <v>0</v>
      </c>
      <c r="J19" s="190">
        <f>IF(LEFT(J3,3)="MUD",'Prelim Budget'!$E$35,0)</f>
        <v>0</v>
      </c>
      <c r="K19" s="190">
        <f>IF(LEFT(K3,3)="MUD",'Prelim Budget'!$E$35,0)</f>
        <v>0</v>
      </c>
      <c r="L19" s="190">
        <f>IF(LEFT(L3,3)="MUD",'Prelim Budget'!$E$35,0)</f>
        <v>0</v>
      </c>
      <c r="M19" s="190">
        <f>IF(LEFT(M3,3)="MUD",'Prelim Budget'!$E$35,0)</f>
        <v>0</v>
      </c>
      <c r="N19" s="190">
        <f>IF(LEFT(N3,3)="MUD",'Prelim Budget'!$E$35,0)</f>
        <v>0</v>
      </c>
      <c r="O19" s="190">
        <f>IF(LEFT(O3,3)="MUD",'Prelim Budget'!$E$35,0)</f>
        <v>0</v>
      </c>
      <c r="P19" s="190">
        <f>IF(LEFT(P3,3)="MUD",'Prelim Budget'!$E$35,0)</f>
        <v>0</v>
      </c>
      <c r="Q19" s="190">
        <f>IF(LEFT(Q3,3)="MUD",'Prelim Budget'!$E$35,0)</f>
        <v>0</v>
      </c>
      <c r="R19" s="190">
        <f>IF(LEFT(R3,3)="MUD",'Prelim Budget'!$E$35,0)</f>
        <v>0</v>
      </c>
      <c r="S19" s="190">
        <f>IF(LEFT(S3,3)="MUD",'Prelim Budget'!$E$35,0)</f>
        <v>0</v>
      </c>
      <c r="T19" s="190">
        <f>IF(LEFT(T3,3)="MUD",'Prelim Budget'!$E$35,0)</f>
        <v>0</v>
      </c>
      <c r="U19" s="190">
        <f>IF(LEFT(U3,3)="MUD",'Prelim Budget'!$E$35,0)</f>
        <v>0</v>
      </c>
      <c r="V19" s="190">
        <f>IF(LEFT(V3,3)="MUD",'Prelim Budget'!$E$35,0)</f>
        <v>0</v>
      </c>
      <c r="W19" s="190">
        <f>IF(LEFT(W3,3)="MUD",'Prelim Budget'!$E$35,0)</f>
        <v>0</v>
      </c>
      <c r="X19" s="190">
        <f>IF(LEFT(X3,3)="MUD",'Prelim Budget'!$E$35,0)</f>
        <v>0</v>
      </c>
      <c r="Y19" s="190">
        <f>IF(LEFT(Y3,3)="MUD",'Prelim Budget'!$E$35,0)</f>
        <v>0</v>
      </c>
      <c r="Z19" s="190">
        <f>IF(LEFT(Z3,3)="MUD",'Prelim Budget'!$E$35,0)</f>
        <v>0</v>
      </c>
      <c r="AA19" s="190">
        <f>IF(LEFT(AA3,3)="MUD",'Prelim Budget'!$E$35,0)</f>
        <v>0</v>
      </c>
      <c r="AB19" s="190">
        <f>IF(LEFT(AB3,3)="MUD",'Prelim Budget'!$E$35,0)</f>
        <v>0</v>
      </c>
      <c r="AC19" s="190">
        <f>IF(LEFT(AC3,3)="MUD",'Prelim Budget'!$E$35,0)</f>
        <v>0</v>
      </c>
      <c r="AD19" s="190">
        <f>IF(LEFT(AD3,3)="MUD",'Prelim Budget'!$E$35,0)</f>
        <v>0</v>
      </c>
      <c r="AE19" s="190">
        <f>IF(LEFT(AE3,3)="MUD",'Prelim Budget'!$E$35,0)</f>
        <v>0</v>
      </c>
      <c r="AF19" s="190">
        <f>IF(LEFT(AF3,3)="MUD",'Prelim Budget'!$E$35,0)</f>
        <v>0</v>
      </c>
      <c r="AG19" s="190">
        <f>IF(LEFT(AG3,3)="MUD",'Prelim Budget'!$E$35,0)</f>
        <v>0</v>
      </c>
      <c r="AH19" s="190">
        <f>IF(LEFT(AH3,3)="MUD",'Prelim Budget'!$E$35,0)</f>
        <v>0</v>
      </c>
      <c r="AI19" s="190">
        <f>IF(LEFT(AI3,3)="MUD",'Prelim Budget'!$E$35,0)</f>
        <v>0</v>
      </c>
      <c r="AJ19" s="190">
        <f>IF(LEFT(AJ3,3)="MUD",'Prelim Budget'!$E$35,0)</f>
        <v>0</v>
      </c>
      <c r="AK19" s="190">
        <f>IF(LEFT(AK3,3)="MUD",'Prelim Budget'!$E$35,0)</f>
        <v>0</v>
      </c>
      <c r="AL19" s="190">
        <f>IF(LEFT(AL3,3)="MUD",'Prelim Budget'!$E$35,0)</f>
        <v>0</v>
      </c>
      <c r="AM19" s="190">
        <f>IF(LEFT(AM3,3)="MUD",'Prelim Budget'!$E$35,0)</f>
        <v>0</v>
      </c>
      <c r="AN19" s="190">
        <f>IF(LEFT(AN3,3)="MUD",'Prelim Budget'!$E$35,0)</f>
        <v>0</v>
      </c>
      <c r="AO19" s="190">
        <f>IF(LEFT(AO3,3)="MUD",'Prelim Budget'!$E$35,0)</f>
        <v>0</v>
      </c>
      <c r="AP19" s="190">
        <f>IF(LEFT(AP3,3)="MUD",'Prelim Budget'!$E$35,0)</f>
        <v>0</v>
      </c>
      <c r="AQ19" s="190">
        <f>IF(LEFT(AQ3,3)="MUD",'Prelim Budget'!$E$35,0)</f>
        <v>0</v>
      </c>
      <c r="AR19" s="190">
        <f>IF(LEFT(AR3,3)="MUD",'Prelim Budget'!$E$35,0)</f>
        <v>0</v>
      </c>
      <c r="AS19" s="190">
        <f>IF(LEFT(AS3,3)="MUD",'Prelim Budget'!$E$35,0)</f>
        <v>0</v>
      </c>
      <c r="AT19" s="190">
        <f>IF(LEFT(AT3,3)="MUD",'Prelim Budget'!$E$35,0)</f>
        <v>0</v>
      </c>
      <c r="AU19" s="190">
        <f>IF(LEFT(AU3,3)="MUD",'Prelim Budget'!$E$35,0)</f>
        <v>0</v>
      </c>
      <c r="AV19" s="190">
        <f>IF(LEFT(AV3,3)="MUD",'Prelim Budget'!$E$35,0)</f>
        <v>0</v>
      </c>
      <c r="AW19" s="190">
        <f>IF(LEFT(AW3,3)="MUD",'Prelim Budget'!$E$35,0)</f>
        <v>0</v>
      </c>
      <c r="AX19" s="190">
        <f>IF(LEFT(AX3,3)="MUD",'Prelim Budget'!$E$35,0)</f>
        <v>0</v>
      </c>
      <c r="AY19" s="190">
        <f>IF(LEFT(AY3,3)="MUD",'Prelim Budget'!$E$35,0)</f>
        <v>0</v>
      </c>
      <c r="AZ19" s="190">
        <f>IF(LEFT(AZ3,3)="MUD",'Prelim Budget'!$E$35,0)</f>
        <v>0</v>
      </c>
      <c r="BA19" s="190">
        <f>IF(LEFT(BA3,3)="MUD",'Prelim Budget'!$E$35,0)</f>
        <v>0</v>
      </c>
      <c r="BB19" s="190">
        <f>IF(LEFT(BB3,3)="MUD",'Prelim Budget'!$E$35,0)</f>
        <v>0</v>
      </c>
      <c r="BC19" s="190">
        <f>IF(LEFT(BC3,3)="MUD",'Prelim Budget'!$E$35,0)</f>
        <v>0</v>
      </c>
      <c r="BD19" s="190">
        <f>IF(LEFT(BD3,3)="MUD",'Prelim Budget'!$E$35,0)</f>
        <v>0</v>
      </c>
      <c r="BE19" s="190">
        <f>IF(LEFT(BE3,3)="MUD",'Prelim Budget'!$E$35,0)</f>
        <v>0</v>
      </c>
      <c r="BF19" s="190">
        <f>IF(LEFT(BF3,3)="MUD",'Prelim Budget'!$E$35,0)</f>
        <v>0</v>
      </c>
      <c r="BG19" s="190">
        <f>IF(LEFT(BG3,3)="MUD",'Prelim Budget'!$E$35,0)</f>
        <v>0</v>
      </c>
      <c r="BH19" s="190">
        <f>IF(LEFT(BH3,3)="MUD",'Prelim Budget'!$E$35,0)</f>
        <v>0</v>
      </c>
      <c r="BI19" s="190">
        <f>IF(LEFT(BI3,3)="MUD",'Prelim Budget'!$E$35,0)</f>
        <v>0</v>
      </c>
      <c r="BJ19" s="190">
        <f>IF(LEFT(BJ3,3)="MUD",'Prelim Budget'!$E$35,0)</f>
        <v>0</v>
      </c>
      <c r="BK19" s="190">
        <f>IF(LEFT(BK3,3)="MUD",'Prelim Budget'!$E$35,0)</f>
        <v>0</v>
      </c>
      <c r="BL19" s="190">
        <f>IF(LEFT(BL3,3)="MUD",'Prelim Budget'!$E$35,0)</f>
        <v>0</v>
      </c>
      <c r="BM19" s="190">
        <f>IF(LEFT(BM3,3)="MUD",'Prelim Budget'!$E$35,0)</f>
        <v>0</v>
      </c>
      <c r="BN19" s="190">
        <f>IF(LEFT(BN3,3)="MUD",'Prelim Budget'!$E$35,0)</f>
        <v>0</v>
      </c>
      <c r="BO19" s="232">
        <f>IF(LEFT(BO3,3)="MUD",'Prelim Budget'!$E$35,0)</f>
        <v>2114280.5</v>
      </c>
    </row>
    <row r="20" spans="2:67" ht="14.05" customHeight="1" x14ac:dyDescent="0.4">
      <c r="B20" s="3"/>
      <c r="E20" s="2"/>
      <c r="BO20" s="2"/>
    </row>
    <row r="21" spans="2:67" ht="14.05" customHeight="1" x14ac:dyDescent="0.4">
      <c r="B21" s="3"/>
      <c r="E21" s="2"/>
      <c r="S21" s="242"/>
      <c r="T21" s="242"/>
      <c r="V21" s="242"/>
      <c r="BO21" s="2"/>
    </row>
    <row r="22" spans="2:67" ht="14.05" customHeight="1" x14ac:dyDescent="0.4">
      <c r="B22" s="3"/>
      <c r="E22" s="2"/>
      <c r="BO22" s="2"/>
    </row>
    <row r="23" spans="2:67" ht="14.05" customHeight="1" x14ac:dyDescent="0.4">
      <c r="B23" s="189" t="s">
        <v>184</v>
      </c>
      <c r="C23" s="7"/>
      <c r="D23" s="190">
        <f ca="1">D19+D14</f>
        <v>10553655.5</v>
      </c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8"/>
    </row>
  </sheetData>
  <phoneticPr fontId="23" type="noConversion"/>
  <pageMargins left="0.75" right="0.75" top="1" bottom="1" header="0.5" footer="0.5"/>
  <pageSetup paperSize="5" scale="19" fitToWidth="2" orientation="landscape" r:id="rId1"/>
  <headerFooter alignWithMargins="0">
    <oddFooter>&amp;L&amp;F&amp;CPage &amp;P of &amp;N&amp;R&amp;A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BP81"/>
  <sheetViews>
    <sheetView zoomScale="130" zoomScaleNormal="130" workbookViewId="0">
      <pane xSplit="5" ySplit="3" topLeftCell="F4" activePane="bottomRight" state="frozen"/>
      <selection activeCell="L1" sqref="L1"/>
      <selection pane="topRight" activeCell="L1" sqref="L1"/>
      <selection pane="bottomLeft" activeCell="L1" sqref="L1"/>
      <selection pane="bottomRight" activeCell="L1" sqref="L1"/>
    </sheetView>
  </sheetViews>
  <sheetFormatPr defaultColWidth="8.83203125" defaultRowHeight="12.3" x14ac:dyDescent="0.4"/>
  <cols>
    <col min="1" max="1" width="3.609375" customWidth="1"/>
    <col min="2" max="2" width="56.33203125" bestFit="1" customWidth="1"/>
    <col min="3" max="3" width="1.6640625" customWidth="1"/>
    <col min="4" max="4" width="14.38671875" bestFit="1" customWidth="1"/>
    <col min="5" max="5" width="3.5546875" bestFit="1" customWidth="1"/>
    <col min="6" max="6" width="15.5" customWidth="1"/>
    <col min="7" max="7" width="16.1640625" customWidth="1"/>
    <col min="8" max="8" width="17.5" customWidth="1"/>
    <col min="9" max="9" width="13.33203125" customWidth="1"/>
    <col min="10" max="12" width="11.6640625" customWidth="1"/>
    <col min="13" max="13" width="14.6640625" bestFit="1" customWidth="1"/>
    <col min="14" max="15" width="11.6640625" customWidth="1"/>
    <col min="16" max="16" width="12.27734375" bestFit="1" customWidth="1"/>
    <col min="17" max="17" width="12.83203125" bestFit="1" customWidth="1"/>
    <col min="18" max="18" width="12.5546875" bestFit="1" customWidth="1"/>
    <col min="19" max="19" width="11.6640625" customWidth="1"/>
    <col min="20" max="21" width="12.5546875" bestFit="1" customWidth="1"/>
    <col min="22" max="22" width="12.27734375" bestFit="1" customWidth="1"/>
    <col min="23" max="23" width="12.5546875" bestFit="1" customWidth="1"/>
    <col min="24" max="24" width="11.83203125" customWidth="1"/>
    <col min="25" max="25" width="12.5546875" bestFit="1" customWidth="1"/>
    <col min="26" max="30" width="11.83203125" customWidth="1"/>
    <col min="31" max="31" width="12.5546875" bestFit="1" customWidth="1"/>
    <col min="32" max="39" width="11.83203125" customWidth="1"/>
    <col min="40" max="40" width="12.5546875" bestFit="1" customWidth="1"/>
    <col min="41" max="42" width="11.83203125" customWidth="1"/>
    <col min="43" max="43" width="13.27734375" bestFit="1" customWidth="1"/>
    <col min="44" max="48" width="11.83203125" customWidth="1"/>
    <col min="49" max="49" width="12.83203125" bestFit="1" customWidth="1"/>
    <col min="50" max="50" width="11.609375" bestFit="1" customWidth="1"/>
    <col min="51" max="51" width="11.44140625" bestFit="1" customWidth="1"/>
    <col min="52" max="52" width="12.83203125" bestFit="1" customWidth="1"/>
    <col min="53" max="53" width="11.609375" bestFit="1" customWidth="1"/>
    <col min="54" max="54" width="11.44140625" bestFit="1" customWidth="1"/>
    <col min="55" max="55" width="11.609375" bestFit="1" customWidth="1"/>
    <col min="56" max="56" width="11.1640625" bestFit="1" customWidth="1"/>
    <col min="57" max="57" width="11.44140625" bestFit="1" customWidth="1"/>
    <col min="58" max="58" width="11.1640625" bestFit="1" customWidth="1"/>
    <col min="59" max="59" width="11.609375" bestFit="1" customWidth="1"/>
    <col min="60" max="60" width="10.77734375" bestFit="1" customWidth="1"/>
    <col min="61" max="61" width="10.21875" bestFit="1" customWidth="1"/>
    <col min="62" max="62" width="11.44140625" bestFit="1" customWidth="1"/>
    <col min="63" max="63" width="11.1640625" bestFit="1" customWidth="1"/>
    <col min="64" max="64" width="10.88671875" bestFit="1" customWidth="1"/>
    <col min="65" max="65" width="11.44140625" bestFit="1" customWidth="1"/>
    <col min="66" max="66" width="11.1640625" bestFit="1" customWidth="1"/>
    <col min="67" max="67" width="12.5546875" bestFit="1" customWidth="1"/>
    <col min="68" max="68" width="16.94140625" bestFit="1" customWidth="1"/>
  </cols>
  <sheetData>
    <row r="1" spans="2:67" ht="14.05" customHeight="1" x14ac:dyDescent="0.4">
      <c r="B1" s="117" t="s">
        <v>213</v>
      </c>
      <c r="C1" s="25"/>
      <c r="D1" s="26"/>
      <c r="E1" s="10"/>
      <c r="F1" s="10"/>
      <c r="G1" s="10"/>
      <c r="H1" s="10"/>
      <c r="I1" s="10"/>
      <c r="J1" s="10"/>
      <c r="K1" s="10"/>
      <c r="L1" s="1"/>
      <c r="M1" s="10"/>
      <c r="N1" s="10"/>
      <c r="O1" s="10"/>
      <c r="P1" s="10"/>
      <c r="Q1" s="10"/>
      <c r="R1" s="10"/>
      <c r="S1" s="10"/>
      <c r="T1" s="10"/>
      <c r="U1" s="10"/>
      <c r="V1" s="10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38"/>
    </row>
    <row r="2" spans="2:67" ht="14.05" customHeight="1" x14ac:dyDescent="0.4">
      <c r="B2" s="12"/>
      <c r="C2" s="9"/>
      <c r="D2" s="10"/>
      <c r="E2" s="11"/>
      <c r="G2" s="146" t="s">
        <v>10</v>
      </c>
      <c r="H2" s="146" t="str">
        <f>'Sales Proceeds &amp; MUD'!H3</f>
        <v/>
      </c>
      <c r="I2" s="146" t="str">
        <f>'Sales Proceeds &amp; MUD'!I3</f>
        <v>Effective Date</v>
      </c>
      <c r="J2" s="146" t="str">
        <f>'Sales Proceeds &amp; MUD'!J3</f>
        <v/>
      </c>
      <c r="K2" s="146" t="str">
        <f>'Sales Proceeds &amp; MUD'!K3</f>
        <v/>
      </c>
      <c r="L2" s="146" t="str">
        <f>'Sales Proceeds &amp; MUD'!L3</f>
        <v>End of Feasibility</v>
      </c>
      <c r="M2" s="146" t="str">
        <f>'Sales Proceeds &amp; MUD'!M3</f>
        <v>A&amp;D Loan Closing Date</v>
      </c>
      <c r="N2" s="146" t="str">
        <f>'Sales Proceeds &amp; MUD'!N3</f>
        <v/>
      </c>
      <c r="O2" s="146" t="str">
        <f>'Sales Proceeds &amp; MUD'!O3</f>
        <v/>
      </c>
      <c r="P2" s="146" t="str">
        <f>'Sales Proceeds &amp; MUD'!P3</f>
        <v/>
      </c>
      <c r="Q2" s="146" t="str">
        <f>'Sales Proceeds &amp; MUD'!Q3</f>
        <v/>
      </c>
      <c r="R2" s="146" t="str">
        <f>'Sales Proceeds &amp; MUD'!R3</f>
        <v/>
      </c>
      <c r="S2" s="146" t="str">
        <f>'Sales Proceeds &amp; MUD'!S3</f>
        <v/>
      </c>
      <c r="T2" s="146" t="str">
        <f>'Sales Proceeds &amp; MUD'!T3</f>
        <v/>
      </c>
      <c r="U2" s="146" t="str">
        <f>'Sales Proceeds &amp; MUD'!U3</f>
        <v/>
      </c>
      <c r="V2" s="146" t="str">
        <f>'Sales Proceeds &amp; MUD'!V3</f>
        <v/>
      </c>
      <c r="W2" s="146" t="str">
        <f>'Sales Proceeds &amp; MUD'!W3</f>
        <v/>
      </c>
      <c r="X2" s="146" t="str">
        <f>'Sales Proceeds &amp; MUD'!X3</f>
        <v/>
      </c>
      <c r="Y2" s="146" t="str">
        <f>'Sales Proceeds &amp; MUD'!Y3</f>
        <v>Lot Substantial Completion Date (SC)</v>
      </c>
      <c r="Z2" s="146" t="str">
        <f>'Sales Proceeds &amp; MUD'!Z3</f>
        <v/>
      </c>
      <c r="AA2" s="146" t="str">
        <f>'Sales Proceeds &amp; MUD'!AA3</f>
        <v/>
      </c>
      <c r="AB2" s="146" t="str">
        <f>'Sales Proceeds &amp; MUD'!AB3</f>
        <v/>
      </c>
      <c r="AC2" s="146" t="str">
        <f>'Sales Proceeds &amp; MUD'!AC3</f>
        <v/>
      </c>
      <c r="AD2" s="146" t="str">
        <f>'Sales Proceeds &amp; MUD'!AD3</f>
        <v/>
      </c>
      <c r="AE2" s="146" t="str">
        <f>'Sales Proceeds &amp; MUD'!AE3</f>
        <v/>
      </c>
      <c r="AF2" s="146" t="str">
        <f>'Sales Proceeds &amp; MUD'!AF3</f>
        <v/>
      </c>
      <c r="AG2" s="146" t="str">
        <f>'Sales Proceeds &amp; MUD'!AG3</f>
        <v/>
      </c>
      <c r="AH2" s="146" t="str">
        <f>'Sales Proceeds &amp; MUD'!AH3</f>
        <v/>
      </c>
      <c r="AI2" s="146" t="str">
        <f>'Sales Proceeds &amp; MUD'!AI3</f>
        <v/>
      </c>
      <c r="AJ2" s="146" t="str">
        <f>'Sales Proceeds &amp; MUD'!AJ3</f>
        <v/>
      </c>
      <c r="AK2" s="146" t="str">
        <f>'Sales Proceeds &amp; MUD'!AK3</f>
        <v>Escalation Rate Increase Date</v>
      </c>
      <c r="AL2" s="146" t="str">
        <f>'Sales Proceeds &amp; MUD'!AL3</f>
        <v/>
      </c>
      <c r="AM2" s="146" t="str">
        <f>'Sales Proceeds &amp; MUD'!AM3</f>
        <v/>
      </c>
      <c r="AN2" s="146" t="str">
        <f>'Sales Proceeds &amp; MUD'!AN3</f>
        <v/>
      </c>
      <c r="AO2" s="146" t="str">
        <f>'Sales Proceeds &amp; MUD'!AO3</f>
        <v/>
      </c>
      <c r="AP2" s="146" t="str">
        <f>'Sales Proceeds &amp; MUD'!AP3</f>
        <v/>
      </c>
      <c r="AQ2" s="146" t="str">
        <f>'Sales Proceeds &amp; MUD'!AQ3</f>
        <v/>
      </c>
      <c r="AR2" s="146" t="str">
        <f>'Sales Proceeds &amp; MUD'!AR3</f>
        <v/>
      </c>
      <c r="AS2" s="146" t="str">
        <f>'Sales Proceeds &amp; MUD'!AS3</f>
        <v/>
      </c>
      <c r="AT2" s="146" t="str">
        <f>'Sales Proceeds &amp; MUD'!AT3</f>
        <v/>
      </c>
      <c r="AU2" s="146" t="str">
        <f>'Sales Proceeds &amp; MUD'!AU3</f>
        <v/>
      </c>
      <c r="AV2" s="146" t="str">
        <f>'Sales Proceeds &amp; MUD'!AV3</f>
        <v/>
      </c>
      <c r="AW2" s="146" t="str">
        <f>'Sales Proceeds &amp; MUD'!AW3</f>
        <v/>
      </c>
      <c r="AX2" s="146" t="str">
        <f>'Sales Proceeds &amp; MUD'!AX3</f>
        <v/>
      </c>
      <c r="AY2" s="146" t="str">
        <f>'Sales Proceeds &amp; MUD'!AY3</f>
        <v/>
      </c>
      <c r="AZ2" s="146" t="str">
        <f>'Sales Proceeds &amp; MUD'!AZ3</f>
        <v/>
      </c>
      <c r="BA2" s="146" t="str">
        <f>'Sales Proceeds &amp; MUD'!BA3</f>
        <v/>
      </c>
      <c r="BB2" s="146" t="str">
        <f>'Sales Proceeds &amp; MUD'!BB3</f>
        <v/>
      </c>
      <c r="BC2" s="146" t="str">
        <f>'Sales Proceeds &amp; MUD'!BC3</f>
        <v/>
      </c>
      <c r="BD2" s="146" t="str">
        <f>'Sales Proceeds &amp; MUD'!BD3</f>
        <v/>
      </c>
      <c r="BE2" s="146" t="str">
        <f>'Sales Proceeds &amp; MUD'!BE3</f>
        <v/>
      </c>
      <c r="BF2" s="146" t="str">
        <f>'Sales Proceeds &amp; MUD'!BF3</f>
        <v/>
      </c>
      <c r="BG2" s="146" t="str">
        <f>'Sales Proceeds &amp; MUD'!BG3</f>
        <v/>
      </c>
      <c r="BH2" s="146" t="str">
        <f>'Sales Proceeds &amp; MUD'!BH3</f>
        <v/>
      </c>
      <c r="BI2" s="146" t="str">
        <f>'Sales Proceeds &amp; MUD'!BI3</f>
        <v/>
      </c>
      <c r="BJ2" s="146" t="str">
        <f>'Sales Proceeds &amp; MUD'!BJ3</f>
        <v/>
      </c>
      <c r="BK2" s="146" t="str">
        <f>'Sales Proceeds &amp; MUD'!BK3</f>
        <v/>
      </c>
      <c r="BL2" s="146" t="str">
        <f>'Sales Proceeds &amp; MUD'!BL3</f>
        <v/>
      </c>
      <c r="BM2" s="146" t="str">
        <f>'Sales Proceeds &amp; MUD'!BM3</f>
        <v/>
      </c>
      <c r="BN2" s="146" t="str">
        <f>'Sales Proceeds &amp; MUD'!BN3</f>
        <v/>
      </c>
      <c r="BO2" s="147" t="str">
        <f>'Sales Proceeds &amp; MUD'!BO3</f>
        <v>MUD Reimbursement</v>
      </c>
    </row>
    <row r="3" spans="2:67" ht="14.05" customHeight="1" x14ac:dyDescent="0.4">
      <c r="B3" s="113"/>
      <c r="C3" s="14"/>
      <c r="D3" s="148" t="s">
        <v>4</v>
      </c>
      <c r="E3" s="15"/>
      <c r="F3" s="149"/>
      <c r="G3" s="34">
        <f>'Sales Proceeds &amp; MUD'!G4</f>
        <v>44941</v>
      </c>
      <c r="H3" s="34">
        <f>'Sales Proceeds &amp; MUD'!H4</f>
        <v>44985</v>
      </c>
      <c r="I3" s="34">
        <f>'Sales Proceeds &amp; MUD'!I4</f>
        <v>45016</v>
      </c>
      <c r="J3" s="34">
        <f>'Sales Proceeds &amp; MUD'!J4</f>
        <v>45046</v>
      </c>
      <c r="K3" s="34">
        <f>'Sales Proceeds &amp; MUD'!K4</f>
        <v>45077</v>
      </c>
      <c r="L3" s="34">
        <f>'Sales Proceeds &amp; MUD'!L4</f>
        <v>45107</v>
      </c>
      <c r="M3" s="34">
        <f>'Sales Proceeds &amp; MUD'!M4</f>
        <v>45138</v>
      </c>
      <c r="N3" s="34">
        <f>'Sales Proceeds &amp; MUD'!N4</f>
        <v>45169</v>
      </c>
      <c r="O3" s="34">
        <f>'Sales Proceeds &amp; MUD'!O4</f>
        <v>45199</v>
      </c>
      <c r="P3" s="34">
        <f>'Sales Proceeds &amp; MUD'!P4</f>
        <v>45230</v>
      </c>
      <c r="Q3" s="34">
        <f>'Sales Proceeds &amp; MUD'!Q4</f>
        <v>45260</v>
      </c>
      <c r="R3" s="34">
        <f>'Sales Proceeds &amp; MUD'!R4</f>
        <v>45291</v>
      </c>
      <c r="S3" s="34">
        <f>'Sales Proceeds &amp; MUD'!S4</f>
        <v>45322</v>
      </c>
      <c r="T3" s="34">
        <f>'Sales Proceeds &amp; MUD'!T4</f>
        <v>45351</v>
      </c>
      <c r="U3" s="34">
        <f>'Sales Proceeds &amp; MUD'!U4</f>
        <v>45382</v>
      </c>
      <c r="V3" s="34">
        <f>'Sales Proceeds &amp; MUD'!V4</f>
        <v>45412</v>
      </c>
      <c r="W3" s="34">
        <f>'Sales Proceeds &amp; MUD'!W4</f>
        <v>45443</v>
      </c>
      <c r="X3" s="34">
        <f>'Sales Proceeds &amp; MUD'!X4</f>
        <v>45473</v>
      </c>
      <c r="Y3" s="34">
        <f>'Sales Proceeds &amp; MUD'!Y4</f>
        <v>45504</v>
      </c>
      <c r="Z3" s="34">
        <f>'Sales Proceeds &amp; MUD'!Z4</f>
        <v>45535</v>
      </c>
      <c r="AA3" s="34">
        <f>'Sales Proceeds &amp; MUD'!AA4</f>
        <v>45565</v>
      </c>
      <c r="AB3" s="34">
        <f>'Sales Proceeds &amp; MUD'!AB4</f>
        <v>45596</v>
      </c>
      <c r="AC3" s="34">
        <f>'Sales Proceeds &amp; MUD'!AC4</f>
        <v>45626</v>
      </c>
      <c r="AD3" s="34">
        <f>'Sales Proceeds &amp; MUD'!AD4</f>
        <v>45657</v>
      </c>
      <c r="AE3" s="34">
        <f>'Sales Proceeds &amp; MUD'!AE4</f>
        <v>45688</v>
      </c>
      <c r="AF3" s="34">
        <f>'Sales Proceeds &amp; MUD'!AF4</f>
        <v>45716</v>
      </c>
      <c r="AG3" s="34">
        <f>'Sales Proceeds &amp; MUD'!AG4</f>
        <v>45747</v>
      </c>
      <c r="AH3" s="34">
        <f>'Sales Proceeds &amp; MUD'!AH4</f>
        <v>45777</v>
      </c>
      <c r="AI3" s="34">
        <f>'Sales Proceeds &amp; MUD'!AI4</f>
        <v>45808</v>
      </c>
      <c r="AJ3" s="34">
        <f>'Sales Proceeds &amp; MUD'!AJ4</f>
        <v>45838</v>
      </c>
      <c r="AK3" s="34">
        <f>'Sales Proceeds &amp; MUD'!AK4</f>
        <v>45869</v>
      </c>
      <c r="AL3" s="34">
        <f>'Sales Proceeds &amp; MUD'!AL4</f>
        <v>45900</v>
      </c>
      <c r="AM3" s="34">
        <f>'Sales Proceeds &amp; MUD'!AM4</f>
        <v>45930</v>
      </c>
      <c r="AN3" s="34">
        <f>'Sales Proceeds &amp; MUD'!AN4</f>
        <v>45961</v>
      </c>
      <c r="AO3" s="34">
        <f>'Sales Proceeds &amp; MUD'!AO4</f>
        <v>45991</v>
      </c>
      <c r="AP3" s="34">
        <f>'Sales Proceeds &amp; MUD'!AP4</f>
        <v>46022</v>
      </c>
      <c r="AQ3" s="34">
        <f>'Sales Proceeds &amp; MUD'!AQ4</f>
        <v>46053</v>
      </c>
      <c r="AR3" s="34">
        <f>'Sales Proceeds &amp; MUD'!AR4</f>
        <v>46081</v>
      </c>
      <c r="AS3" s="34">
        <f>'Sales Proceeds &amp; MUD'!AS4</f>
        <v>46112</v>
      </c>
      <c r="AT3" s="34">
        <f>'Sales Proceeds &amp; MUD'!AT4</f>
        <v>46142</v>
      </c>
      <c r="AU3" s="34">
        <f>'Sales Proceeds &amp; MUD'!AU4</f>
        <v>46173</v>
      </c>
      <c r="AV3" s="34">
        <f>'Sales Proceeds &amp; MUD'!AV4</f>
        <v>46203</v>
      </c>
      <c r="AW3" s="34">
        <f>'Sales Proceeds &amp; MUD'!AW4</f>
        <v>46234</v>
      </c>
      <c r="AX3" s="34">
        <f>'Sales Proceeds &amp; MUD'!AX4</f>
        <v>46265</v>
      </c>
      <c r="AY3" s="34">
        <f>'Sales Proceeds &amp; MUD'!AY4</f>
        <v>46295</v>
      </c>
      <c r="AZ3" s="34">
        <f>'Sales Proceeds &amp; MUD'!AZ4</f>
        <v>46326</v>
      </c>
      <c r="BA3" s="34">
        <f>'Sales Proceeds &amp; MUD'!BA4</f>
        <v>46356</v>
      </c>
      <c r="BB3" s="34">
        <f>'Sales Proceeds &amp; MUD'!BB4</f>
        <v>46387</v>
      </c>
      <c r="BC3" s="34">
        <f>'Sales Proceeds &amp; MUD'!BC4</f>
        <v>46418</v>
      </c>
      <c r="BD3" s="34">
        <f>'Sales Proceeds &amp; MUD'!BD4</f>
        <v>46446</v>
      </c>
      <c r="BE3" s="34">
        <f>'Sales Proceeds &amp; MUD'!BE4</f>
        <v>46477</v>
      </c>
      <c r="BF3" s="34">
        <f>'Sales Proceeds &amp; MUD'!BF4</f>
        <v>46507</v>
      </c>
      <c r="BG3" s="34">
        <f>'Sales Proceeds &amp; MUD'!BG4</f>
        <v>46538</v>
      </c>
      <c r="BH3" s="34">
        <f>'Sales Proceeds &amp; MUD'!BH4</f>
        <v>46568</v>
      </c>
      <c r="BI3" s="34">
        <f>'Sales Proceeds &amp; MUD'!BI4</f>
        <v>46599</v>
      </c>
      <c r="BJ3" s="34">
        <f>'Sales Proceeds &amp; MUD'!BJ4</f>
        <v>46630</v>
      </c>
      <c r="BK3" s="34">
        <f>'Sales Proceeds &amp; MUD'!BK4</f>
        <v>46660</v>
      </c>
      <c r="BL3" s="34">
        <f>'Sales Proceeds &amp; MUD'!BL4</f>
        <v>46691</v>
      </c>
      <c r="BM3" s="34">
        <f>'Sales Proceeds &amp; MUD'!BM4</f>
        <v>46721</v>
      </c>
      <c r="BN3" s="34">
        <f>'Sales Proceeds &amp; MUD'!BN4</f>
        <v>46752</v>
      </c>
      <c r="BO3" s="34">
        <f>'Sales Proceeds &amp; MUD'!BO4</f>
        <v>46783</v>
      </c>
    </row>
    <row r="4" spans="2:67" ht="14.05" customHeight="1" x14ac:dyDescent="0.4">
      <c r="B4" s="19" t="s">
        <v>11</v>
      </c>
      <c r="C4" s="17"/>
      <c r="D4" s="150"/>
      <c r="E4" s="18"/>
      <c r="F4" s="151"/>
      <c r="G4" s="177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2"/>
      <c r="X4" s="152"/>
      <c r="BO4" s="2"/>
    </row>
    <row r="5" spans="2:67" ht="14.05" customHeight="1" x14ac:dyDescent="0.4">
      <c r="B5" s="118" t="s">
        <v>183</v>
      </c>
      <c r="C5" s="19"/>
      <c r="D5" s="153">
        <f ca="1">SUM(G5:BO5)</f>
        <v>8439375</v>
      </c>
      <c r="E5" s="50"/>
      <c r="F5" s="154"/>
      <c r="G5" s="134">
        <f ca="1">'Sales Proceeds &amp; MUD'!G14</f>
        <v>0</v>
      </c>
      <c r="H5" s="153">
        <f ca="1">'Sales Proceeds &amp; MUD'!H14</f>
        <v>0</v>
      </c>
      <c r="I5" s="153">
        <f ca="1">'Sales Proceeds &amp; MUD'!I14</f>
        <v>0</v>
      </c>
      <c r="J5" s="153">
        <f ca="1">'Sales Proceeds &amp; MUD'!J14</f>
        <v>0</v>
      </c>
      <c r="K5" s="153">
        <f ca="1">'Sales Proceeds &amp; MUD'!K14</f>
        <v>0</v>
      </c>
      <c r="L5" s="153">
        <f ca="1">'Sales Proceeds &amp; MUD'!L14</f>
        <v>0</v>
      </c>
      <c r="M5" s="153">
        <f ca="1">'Sales Proceeds &amp; MUD'!M14</f>
        <v>0</v>
      </c>
      <c r="N5" s="153">
        <f ca="1">'Sales Proceeds &amp; MUD'!N14</f>
        <v>0</v>
      </c>
      <c r="O5" s="153">
        <f ca="1">'Sales Proceeds &amp; MUD'!O14</f>
        <v>0</v>
      </c>
      <c r="P5" s="153">
        <f ca="1">'Sales Proceeds &amp; MUD'!P14</f>
        <v>0</v>
      </c>
      <c r="Q5" s="153">
        <f ca="1">'Sales Proceeds &amp; MUD'!Q14</f>
        <v>0</v>
      </c>
      <c r="R5" s="153">
        <f ca="1">'Sales Proceeds &amp; MUD'!R14</f>
        <v>0</v>
      </c>
      <c r="S5" s="153">
        <f ca="1">'Sales Proceeds &amp; MUD'!S14</f>
        <v>0</v>
      </c>
      <c r="T5" s="153">
        <f ca="1">'Sales Proceeds &amp; MUD'!T14</f>
        <v>0</v>
      </c>
      <c r="U5" s="153">
        <f ca="1">'Sales Proceeds &amp; MUD'!U14</f>
        <v>0</v>
      </c>
      <c r="V5" s="153">
        <f ca="1">'Sales Proceeds &amp; MUD'!V14</f>
        <v>0</v>
      </c>
      <c r="W5" s="153">
        <f ca="1">'Sales Proceeds &amp; MUD'!W14</f>
        <v>0</v>
      </c>
      <c r="X5" s="153">
        <f ca="1">'Sales Proceeds &amp; MUD'!X14</f>
        <v>0</v>
      </c>
      <c r="Y5" s="153">
        <f ca="1">'Sales Proceeds &amp; MUD'!Y14</f>
        <v>750000</v>
      </c>
      <c r="Z5" s="153">
        <f ca="1">'Sales Proceeds &amp; MUD'!Z14</f>
        <v>0</v>
      </c>
      <c r="AA5" s="153">
        <f ca="1">'Sales Proceeds &amp; MUD'!AA14</f>
        <v>0</v>
      </c>
      <c r="AB5" s="153">
        <f ca="1">'Sales Proceeds &amp; MUD'!AB14</f>
        <v>764062.5</v>
      </c>
      <c r="AC5" s="153">
        <f ca="1">'Sales Proceeds &amp; MUD'!AC14</f>
        <v>0</v>
      </c>
      <c r="AD5" s="153">
        <f ca="1">'Sales Proceeds &amp; MUD'!AD14</f>
        <v>0</v>
      </c>
      <c r="AE5" s="153">
        <f ca="1">'Sales Proceeds &amp; MUD'!AE14</f>
        <v>778125</v>
      </c>
      <c r="AF5" s="153">
        <f ca="1">'Sales Proceeds &amp; MUD'!AF14</f>
        <v>0</v>
      </c>
      <c r="AG5" s="153">
        <f ca="1">'Sales Proceeds &amp; MUD'!AG14</f>
        <v>0</v>
      </c>
      <c r="AH5" s="153">
        <f ca="1">'Sales Proceeds &amp; MUD'!AH14</f>
        <v>792187.5</v>
      </c>
      <c r="AI5" s="153">
        <f ca="1">'Sales Proceeds &amp; MUD'!AI14</f>
        <v>0</v>
      </c>
      <c r="AJ5" s="153">
        <f ca="1">'Sales Proceeds &amp; MUD'!AJ14</f>
        <v>0</v>
      </c>
      <c r="AK5" s="153">
        <f ca="1">'Sales Proceeds &amp; MUD'!AK14</f>
        <v>810000</v>
      </c>
      <c r="AL5" s="153">
        <f ca="1">'Sales Proceeds &amp; MUD'!AL14</f>
        <v>0</v>
      </c>
      <c r="AM5" s="153">
        <f ca="1">'Sales Proceeds &amp; MUD'!AM14</f>
        <v>0</v>
      </c>
      <c r="AN5" s="153">
        <f ca="1">'Sales Proceeds &amp; MUD'!AN14</f>
        <v>825000</v>
      </c>
      <c r="AO5" s="153">
        <f ca="1">'Sales Proceeds &amp; MUD'!AO14</f>
        <v>0</v>
      </c>
      <c r="AP5" s="153">
        <f ca="1">'Sales Proceeds &amp; MUD'!AP14</f>
        <v>0</v>
      </c>
      <c r="AQ5" s="153">
        <f ca="1">'Sales Proceeds &amp; MUD'!AQ14</f>
        <v>840000</v>
      </c>
      <c r="AR5" s="153">
        <f ca="1">'Sales Proceeds &amp; MUD'!AR14</f>
        <v>0</v>
      </c>
      <c r="AS5" s="153">
        <f ca="1">'Sales Proceeds &amp; MUD'!AS14</f>
        <v>0</v>
      </c>
      <c r="AT5" s="153">
        <f ca="1">'Sales Proceeds &amp; MUD'!AT14</f>
        <v>855000</v>
      </c>
      <c r="AU5" s="153">
        <f ca="1">'Sales Proceeds &amp; MUD'!AU14</f>
        <v>0</v>
      </c>
      <c r="AV5" s="153">
        <f ca="1">'Sales Proceeds &amp; MUD'!AV14</f>
        <v>0</v>
      </c>
      <c r="AW5" s="153">
        <f ca="1">'Sales Proceeds &amp; MUD'!AW14</f>
        <v>870000</v>
      </c>
      <c r="AX5" s="153">
        <f ca="1">'Sales Proceeds &amp; MUD'!AX14</f>
        <v>0</v>
      </c>
      <c r="AY5" s="153">
        <f ca="1">'Sales Proceeds &amp; MUD'!AY14</f>
        <v>0</v>
      </c>
      <c r="AZ5" s="153">
        <f ca="1">'Sales Proceeds &amp; MUD'!AZ14</f>
        <v>885000</v>
      </c>
      <c r="BA5" s="153">
        <f ca="1">'Sales Proceeds &amp; MUD'!BA14</f>
        <v>0</v>
      </c>
      <c r="BB5" s="153">
        <f ca="1">'Sales Proceeds &amp; MUD'!BB14</f>
        <v>0</v>
      </c>
      <c r="BC5" s="153">
        <f ca="1">'Sales Proceeds &amp; MUD'!BC14</f>
        <v>270000</v>
      </c>
      <c r="BD5" s="153">
        <f ca="1">'Sales Proceeds &amp; MUD'!BD14</f>
        <v>0</v>
      </c>
      <c r="BE5" s="153">
        <f ca="1">'Sales Proceeds &amp; MUD'!BE14</f>
        <v>0</v>
      </c>
      <c r="BF5" s="153">
        <f ca="1">'Sales Proceeds &amp; MUD'!BF14</f>
        <v>0</v>
      </c>
      <c r="BG5" s="153">
        <f ca="1">'Sales Proceeds &amp; MUD'!BG14</f>
        <v>0</v>
      </c>
      <c r="BH5" s="153">
        <f ca="1">'Sales Proceeds &amp; MUD'!BH14</f>
        <v>0</v>
      </c>
      <c r="BI5" s="153">
        <f ca="1">'Sales Proceeds &amp; MUD'!BI14</f>
        <v>0</v>
      </c>
      <c r="BJ5" s="153">
        <f ca="1">'Sales Proceeds &amp; MUD'!BJ14</f>
        <v>0</v>
      </c>
      <c r="BK5" s="153">
        <f ca="1">'Sales Proceeds &amp; MUD'!BK14</f>
        <v>0</v>
      </c>
      <c r="BL5" s="153">
        <f ca="1">'Sales Proceeds &amp; MUD'!BL14</f>
        <v>0</v>
      </c>
      <c r="BM5" s="153">
        <f ca="1">'Sales Proceeds &amp; MUD'!BM14</f>
        <v>0</v>
      </c>
      <c r="BN5" s="153">
        <f ca="1">'Sales Proceeds &amp; MUD'!BN14</f>
        <v>0</v>
      </c>
      <c r="BO5" s="50">
        <f ca="1">'Sales Proceeds &amp; MUD'!BO14</f>
        <v>0</v>
      </c>
    </row>
    <row r="6" spans="2:67" ht="14.05" customHeight="1" x14ac:dyDescent="0.4">
      <c r="B6" s="118" t="s">
        <v>85</v>
      </c>
      <c r="C6" s="19"/>
      <c r="D6" s="153">
        <f t="shared" ref="D6:D13" ca="1" si="0">SUM(G6:BO6)</f>
        <v>75000</v>
      </c>
      <c r="E6" s="50"/>
      <c r="F6" s="155"/>
      <c r="G6" s="134">
        <f ca="1">-G17</f>
        <v>0</v>
      </c>
      <c r="H6" s="153">
        <f t="shared" ref="H6:L6" ca="1" si="1">-H17</f>
        <v>0</v>
      </c>
      <c r="I6" s="153">
        <f t="shared" si="1"/>
        <v>25000</v>
      </c>
      <c r="J6" s="153">
        <f t="shared" ca="1" si="1"/>
        <v>0</v>
      </c>
      <c r="K6" s="153">
        <f t="shared" si="1"/>
        <v>0</v>
      </c>
      <c r="L6" s="153">
        <f t="shared" si="1"/>
        <v>50000</v>
      </c>
      <c r="M6" s="153">
        <v>0</v>
      </c>
      <c r="N6" s="153">
        <v>0</v>
      </c>
      <c r="O6" s="153">
        <v>0</v>
      </c>
      <c r="P6" s="153">
        <v>0</v>
      </c>
      <c r="Q6" s="153">
        <v>0</v>
      </c>
      <c r="R6" s="153">
        <v>0</v>
      </c>
      <c r="S6" s="153">
        <v>0</v>
      </c>
      <c r="T6" s="153">
        <v>0</v>
      </c>
      <c r="U6" s="153">
        <v>0</v>
      </c>
      <c r="V6" s="153">
        <v>0</v>
      </c>
      <c r="W6" s="153">
        <v>0</v>
      </c>
      <c r="X6" s="153">
        <v>0</v>
      </c>
      <c r="Y6" s="153">
        <v>0</v>
      </c>
      <c r="Z6" s="153">
        <v>0</v>
      </c>
      <c r="AA6" s="153">
        <v>0</v>
      </c>
      <c r="AB6" s="153">
        <v>0</v>
      </c>
      <c r="AC6" s="153">
        <v>0</v>
      </c>
      <c r="AD6" s="153">
        <v>0</v>
      </c>
      <c r="AE6" s="153">
        <v>0</v>
      </c>
      <c r="AF6" s="153">
        <v>0</v>
      </c>
      <c r="AG6" s="153">
        <v>0</v>
      </c>
      <c r="AH6" s="153">
        <v>0</v>
      </c>
      <c r="AI6" s="153">
        <v>0</v>
      </c>
      <c r="AJ6" s="153">
        <v>0</v>
      </c>
      <c r="AK6" s="153">
        <v>0</v>
      </c>
      <c r="AL6" s="153">
        <v>0</v>
      </c>
      <c r="AM6" s="153">
        <v>0</v>
      </c>
      <c r="AN6" s="153">
        <v>0</v>
      </c>
      <c r="AO6" s="153">
        <v>0</v>
      </c>
      <c r="AP6" s="153">
        <v>0</v>
      </c>
      <c r="AQ6" s="153">
        <v>0</v>
      </c>
      <c r="AR6" s="153">
        <v>0</v>
      </c>
      <c r="AS6" s="153">
        <v>0</v>
      </c>
      <c r="AT6" s="153">
        <v>0</v>
      </c>
      <c r="AU6" s="153">
        <v>0</v>
      </c>
      <c r="AV6" s="153">
        <v>0</v>
      </c>
      <c r="AW6" s="153">
        <v>0</v>
      </c>
      <c r="AX6" s="153">
        <v>0</v>
      </c>
      <c r="AY6" s="153">
        <v>0</v>
      </c>
      <c r="AZ6" s="153">
        <v>0</v>
      </c>
      <c r="BA6" s="153">
        <v>0</v>
      </c>
      <c r="BB6" s="153">
        <v>0</v>
      </c>
      <c r="BC6" s="153">
        <v>0</v>
      </c>
      <c r="BD6" s="153">
        <v>0</v>
      </c>
      <c r="BE6" s="153">
        <v>0</v>
      </c>
      <c r="BF6" s="153">
        <v>0</v>
      </c>
      <c r="BG6" s="153">
        <v>0</v>
      </c>
      <c r="BH6" s="153">
        <v>0</v>
      </c>
      <c r="BI6" s="153">
        <v>0</v>
      </c>
      <c r="BJ6" s="153">
        <v>0</v>
      </c>
      <c r="BK6" s="153">
        <v>0</v>
      </c>
      <c r="BL6" s="153">
        <v>0</v>
      </c>
      <c r="BM6" s="153">
        <v>0</v>
      </c>
      <c r="BN6" s="153">
        <v>0</v>
      </c>
      <c r="BO6" s="50">
        <v>0</v>
      </c>
    </row>
    <row r="7" spans="2:67" ht="14.05" customHeight="1" x14ac:dyDescent="0.4">
      <c r="B7" s="118" t="s">
        <v>117</v>
      </c>
      <c r="C7" s="19"/>
      <c r="D7" s="153">
        <f t="shared" si="0"/>
        <v>2114280.5</v>
      </c>
      <c r="E7" s="50"/>
      <c r="F7" s="155"/>
      <c r="G7" s="134">
        <f>'Sales Proceeds &amp; MUD'!G19</f>
        <v>0</v>
      </c>
      <c r="H7" s="153">
        <f>'Sales Proceeds &amp; MUD'!H19</f>
        <v>0</v>
      </c>
      <c r="I7" s="153">
        <f>'Sales Proceeds &amp; MUD'!I19</f>
        <v>0</v>
      </c>
      <c r="J7" s="153">
        <f>'Sales Proceeds &amp; MUD'!J19</f>
        <v>0</v>
      </c>
      <c r="K7" s="153">
        <f>'Sales Proceeds &amp; MUD'!K19</f>
        <v>0</v>
      </c>
      <c r="L7" s="153">
        <f>'Sales Proceeds &amp; MUD'!L19</f>
        <v>0</v>
      </c>
      <c r="M7" s="153">
        <f>'Sales Proceeds &amp; MUD'!M19</f>
        <v>0</v>
      </c>
      <c r="N7" s="153">
        <f>'Sales Proceeds &amp; MUD'!N19</f>
        <v>0</v>
      </c>
      <c r="O7" s="153">
        <f>'Sales Proceeds &amp; MUD'!O19</f>
        <v>0</v>
      </c>
      <c r="P7" s="153">
        <f>'Sales Proceeds &amp; MUD'!P19</f>
        <v>0</v>
      </c>
      <c r="Q7" s="153">
        <f>'Sales Proceeds &amp; MUD'!Q19</f>
        <v>0</v>
      </c>
      <c r="R7" s="153">
        <f>'Sales Proceeds &amp; MUD'!R19</f>
        <v>0</v>
      </c>
      <c r="S7" s="153">
        <f>'Sales Proceeds &amp; MUD'!S19</f>
        <v>0</v>
      </c>
      <c r="T7" s="153">
        <f>'Sales Proceeds &amp; MUD'!T19</f>
        <v>0</v>
      </c>
      <c r="U7" s="153">
        <f>'Sales Proceeds &amp; MUD'!U19</f>
        <v>0</v>
      </c>
      <c r="V7" s="153">
        <f>'Sales Proceeds &amp; MUD'!V19</f>
        <v>0</v>
      </c>
      <c r="W7" s="153">
        <f>'Sales Proceeds &amp; MUD'!W19</f>
        <v>0</v>
      </c>
      <c r="X7" s="153">
        <f>'Sales Proceeds &amp; MUD'!X19</f>
        <v>0</v>
      </c>
      <c r="Y7" s="153">
        <f>'Sales Proceeds &amp; MUD'!Y19</f>
        <v>0</v>
      </c>
      <c r="Z7" s="153">
        <f>'Sales Proceeds &amp; MUD'!Z19</f>
        <v>0</v>
      </c>
      <c r="AA7" s="153">
        <f>'Sales Proceeds &amp; MUD'!AA19</f>
        <v>0</v>
      </c>
      <c r="AB7" s="153">
        <f>'Sales Proceeds &amp; MUD'!AB19</f>
        <v>0</v>
      </c>
      <c r="AC7" s="153">
        <f>'Sales Proceeds &amp; MUD'!AC19</f>
        <v>0</v>
      </c>
      <c r="AD7" s="153">
        <f>'Sales Proceeds &amp; MUD'!AD19</f>
        <v>0</v>
      </c>
      <c r="AE7" s="153">
        <f>'Sales Proceeds &amp; MUD'!AE19</f>
        <v>0</v>
      </c>
      <c r="AF7" s="153">
        <f>'Sales Proceeds &amp; MUD'!AF19</f>
        <v>0</v>
      </c>
      <c r="AG7" s="153">
        <f>'Sales Proceeds &amp; MUD'!AG19</f>
        <v>0</v>
      </c>
      <c r="AH7" s="153">
        <f>'Sales Proceeds &amp; MUD'!AH19</f>
        <v>0</v>
      </c>
      <c r="AI7" s="153">
        <f>'Sales Proceeds &amp; MUD'!AI19</f>
        <v>0</v>
      </c>
      <c r="AJ7" s="153">
        <f>'Sales Proceeds &amp; MUD'!AJ19</f>
        <v>0</v>
      </c>
      <c r="AK7" s="153">
        <f>'Sales Proceeds &amp; MUD'!AK19</f>
        <v>0</v>
      </c>
      <c r="AL7" s="153">
        <f>'Sales Proceeds &amp; MUD'!AL19</f>
        <v>0</v>
      </c>
      <c r="AM7" s="153">
        <f>'Sales Proceeds &amp; MUD'!AM19</f>
        <v>0</v>
      </c>
      <c r="AN7" s="153">
        <f>'Sales Proceeds &amp; MUD'!AN19</f>
        <v>0</v>
      </c>
      <c r="AO7" s="153">
        <f>'Sales Proceeds &amp; MUD'!AO19</f>
        <v>0</v>
      </c>
      <c r="AP7" s="153">
        <f>'Sales Proceeds &amp; MUD'!AP19</f>
        <v>0</v>
      </c>
      <c r="AQ7" s="153">
        <f>'Sales Proceeds &amp; MUD'!AQ19</f>
        <v>0</v>
      </c>
      <c r="AR7" s="153">
        <f>'Sales Proceeds &amp; MUD'!AR19</f>
        <v>0</v>
      </c>
      <c r="AS7" s="153">
        <f>'Sales Proceeds &amp; MUD'!AS19</f>
        <v>0</v>
      </c>
      <c r="AT7" s="153">
        <f>'Sales Proceeds &amp; MUD'!AT19</f>
        <v>0</v>
      </c>
      <c r="AU7" s="153">
        <f>'Sales Proceeds &amp; MUD'!AU19</f>
        <v>0</v>
      </c>
      <c r="AV7" s="153">
        <f>'Sales Proceeds &amp; MUD'!AV19</f>
        <v>0</v>
      </c>
      <c r="AW7" s="153">
        <f>'Sales Proceeds &amp; MUD'!AW19</f>
        <v>0</v>
      </c>
      <c r="AX7" s="153">
        <f>'Sales Proceeds &amp; MUD'!AX19</f>
        <v>0</v>
      </c>
      <c r="AY7" s="153">
        <f>'Sales Proceeds &amp; MUD'!AY19</f>
        <v>0</v>
      </c>
      <c r="AZ7" s="153">
        <f>'Sales Proceeds &amp; MUD'!AZ19</f>
        <v>0</v>
      </c>
      <c r="BA7" s="153">
        <f>'Sales Proceeds &amp; MUD'!BA19</f>
        <v>0</v>
      </c>
      <c r="BB7" s="153">
        <f>'Sales Proceeds &amp; MUD'!BB19</f>
        <v>0</v>
      </c>
      <c r="BC7" s="153">
        <f>'Sales Proceeds &amp; MUD'!BC19</f>
        <v>0</v>
      </c>
      <c r="BD7" s="153">
        <f>'Sales Proceeds &amp; MUD'!BD19</f>
        <v>0</v>
      </c>
      <c r="BE7" s="153">
        <f>'Sales Proceeds &amp; MUD'!BE19</f>
        <v>0</v>
      </c>
      <c r="BF7" s="153">
        <f>'Sales Proceeds &amp; MUD'!BF19</f>
        <v>0</v>
      </c>
      <c r="BG7" s="153">
        <f>'Sales Proceeds &amp; MUD'!BG19</f>
        <v>0</v>
      </c>
      <c r="BH7" s="153">
        <f>'Sales Proceeds &amp; MUD'!BH19</f>
        <v>0</v>
      </c>
      <c r="BI7" s="153">
        <f>'Sales Proceeds &amp; MUD'!BI19</f>
        <v>0</v>
      </c>
      <c r="BJ7" s="153">
        <f>'Sales Proceeds &amp; MUD'!BJ19</f>
        <v>0</v>
      </c>
      <c r="BK7" s="153">
        <f>'Sales Proceeds &amp; MUD'!BK19</f>
        <v>0</v>
      </c>
      <c r="BL7" s="153">
        <f>'Sales Proceeds &amp; MUD'!BL19</f>
        <v>0</v>
      </c>
      <c r="BM7" s="153">
        <f>'Sales Proceeds &amp; MUD'!BM19</f>
        <v>0</v>
      </c>
      <c r="BN7" s="153">
        <f>'Sales Proceeds &amp; MUD'!BN19</f>
        <v>0</v>
      </c>
      <c r="BO7" s="50">
        <f>'Sales Proceeds &amp; MUD'!BO19</f>
        <v>2114280.5</v>
      </c>
    </row>
    <row r="8" spans="2:67" ht="14.05" customHeight="1" x14ac:dyDescent="0.4">
      <c r="B8" s="118" t="s">
        <v>186</v>
      </c>
      <c r="C8" s="19"/>
      <c r="D8" s="153">
        <f t="shared" ca="1" si="0"/>
        <v>2532792.9204108389</v>
      </c>
      <c r="E8" s="50"/>
      <c r="F8" s="155"/>
      <c r="G8" s="134">
        <v>0</v>
      </c>
      <c r="H8" s="153">
        <v>0</v>
      </c>
      <c r="I8" s="153">
        <v>0</v>
      </c>
      <c r="J8" s="153">
        <v>0</v>
      </c>
      <c r="K8" s="153">
        <v>0</v>
      </c>
      <c r="L8" s="153">
        <v>0</v>
      </c>
      <c r="M8" s="153">
        <f ca="1">Assumptions!K13-SUM(I6:L6)</f>
        <v>2532792.9204108389</v>
      </c>
      <c r="N8" s="153">
        <f t="shared" ref="N8:AW8" ca="1" si="2">-N17</f>
        <v>0</v>
      </c>
      <c r="O8" s="153">
        <f t="shared" ca="1" si="2"/>
        <v>0</v>
      </c>
      <c r="P8" s="153">
        <f t="shared" ca="1" si="2"/>
        <v>0</v>
      </c>
      <c r="Q8" s="153">
        <f t="shared" ca="1" si="2"/>
        <v>0</v>
      </c>
      <c r="R8" s="153">
        <f t="shared" ca="1" si="2"/>
        <v>0</v>
      </c>
      <c r="S8" s="153">
        <f t="shared" ca="1" si="2"/>
        <v>0</v>
      </c>
      <c r="T8" s="153">
        <f t="shared" ca="1" si="2"/>
        <v>0</v>
      </c>
      <c r="U8" s="153">
        <f t="shared" ca="1" si="2"/>
        <v>0</v>
      </c>
      <c r="V8" s="153">
        <f t="shared" ca="1" si="2"/>
        <v>0</v>
      </c>
      <c r="W8" s="153">
        <f t="shared" ca="1" si="2"/>
        <v>0</v>
      </c>
      <c r="X8" s="153">
        <f t="shared" ca="1" si="2"/>
        <v>0</v>
      </c>
      <c r="Y8" s="153">
        <f t="shared" ca="1" si="2"/>
        <v>0</v>
      </c>
      <c r="Z8" s="153">
        <f t="shared" ca="1" si="2"/>
        <v>0</v>
      </c>
      <c r="AA8" s="153">
        <f t="shared" ca="1" si="2"/>
        <v>0</v>
      </c>
      <c r="AB8" s="153">
        <f t="shared" ca="1" si="2"/>
        <v>0</v>
      </c>
      <c r="AC8" s="153">
        <f t="shared" ca="1" si="2"/>
        <v>0</v>
      </c>
      <c r="AD8" s="153">
        <f t="shared" ca="1" si="2"/>
        <v>0</v>
      </c>
      <c r="AE8" s="153">
        <f t="shared" ca="1" si="2"/>
        <v>0</v>
      </c>
      <c r="AF8" s="153">
        <f t="shared" ca="1" si="2"/>
        <v>0</v>
      </c>
      <c r="AG8" s="153">
        <f t="shared" ca="1" si="2"/>
        <v>0</v>
      </c>
      <c r="AH8" s="153">
        <f t="shared" ca="1" si="2"/>
        <v>0</v>
      </c>
      <c r="AI8" s="153">
        <f t="shared" ca="1" si="2"/>
        <v>0</v>
      </c>
      <c r="AJ8" s="153">
        <f t="shared" ca="1" si="2"/>
        <v>0</v>
      </c>
      <c r="AK8" s="153">
        <f t="shared" ca="1" si="2"/>
        <v>0</v>
      </c>
      <c r="AL8" s="153">
        <f t="shared" ca="1" si="2"/>
        <v>0</v>
      </c>
      <c r="AM8" s="153">
        <f t="shared" ca="1" si="2"/>
        <v>0</v>
      </c>
      <c r="AN8" s="153">
        <f t="shared" ca="1" si="2"/>
        <v>0</v>
      </c>
      <c r="AO8" s="153">
        <f t="shared" ca="1" si="2"/>
        <v>0</v>
      </c>
      <c r="AP8" s="153">
        <f t="shared" ca="1" si="2"/>
        <v>0</v>
      </c>
      <c r="AQ8" s="153">
        <f t="shared" ca="1" si="2"/>
        <v>0</v>
      </c>
      <c r="AR8" s="153">
        <f t="shared" ca="1" si="2"/>
        <v>0</v>
      </c>
      <c r="AS8" s="153">
        <f t="shared" ca="1" si="2"/>
        <v>0</v>
      </c>
      <c r="AT8" s="153">
        <f t="shared" ca="1" si="2"/>
        <v>0</v>
      </c>
      <c r="AU8" s="153">
        <f t="shared" ca="1" si="2"/>
        <v>0</v>
      </c>
      <c r="AV8" s="153">
        <f t="shared" ca="1" si="2"/>
        <v>0</v>
      </c>
      <c r="AW8" s="153">
        <f t="shared" ca="1" si="2"/>
        <v>0</v>
      </c>
      <c r="AX8" s="153">
        <f t="shared" ref="AX8:BO8" ca="1" si="3">-AX17</f>
        <v>0</v>
      </c>
      <c r="AY8" s="153">
        <f t="shared" ca="1" si="3"/>
        <v>0</v>
      </c>
      <c r="AZ8" s="153">
        <f t="shared" ca="1" si="3"/>
        <v>0</v>
      </c>
      <c r="BA8" s="153">
        <f t="shared" ca="1" si="3"/>
        <v>0</v>
      </c>
      <c r="BB8" s="153">
        <f t="shared" ca="1" si="3"/>
        <v>0</v>
      </c>
      <c r="BC8" s="153">
        <f t="shared" ca="1" si="3"/>
        <v>0</v>
      </c>
      <c r="BD8" s="153">
        <f t="shared" ca="1" si="3"/>
        <v>0</v>
      </c>
      <c r="BE8" s="153">
        <f t="shared" ca="1" si="3"/>
        <v>0</v>
      </c>
      <c r="BF8" s="153">
        <f t="shared" ca="1" si="3"/>
        <v>0</v>
      </c>
      <c r="BG8" s="153">
        <f t="shared" ca="1" si="3"/>
        <v>0</v>
      </c>
      <c r="BH8" s="153">
        <f t="shared" ca="1" si="3"/>
        <v>0</v>
      </c>
      <c r="BI8" s="153">
        <f t="shared" ca="1" si="3"/>
        <v>0</v>
      </c>
      <c r="BJ8" s="153">
        <f t="shared" ca="1" si="3"/>
        <v>0</v>
      </c>
      <c r="BK8" s="153">
        <f t="shared" ca="1" si="3"/>
        <v>0</v>
      </c>
      <c r="BL8" s="153">
        <f t="shared" ca="1" si="3"/>
        <v>0</v>
      </c>
      <c r="BM8" s="153">
        <f t="shared" ca="1" si="3"/>
        <v>0</v>
      </c>
      <c r="BN8" s="153">
        <f t="shared" ca="1" si="3"/>
        <v>0</v>
      </c>
      <c r="BO8" s="50">
        <f t="shared" ca="1" si="3"/>
        <v>0</v>
      </c>
    </row>
    <row r="9" spans="2:67" ht="14.05" customHeight="1" x14ac:dyDescent="0.4">
      <c r="B9" s="119" t="s">
        <v>12</v>
      </c>
      <c r="C9" s="17"/>
      <c r="D9" s="47">
        <f ca="1">SUM(D5:D8)</f>
        <v>13161448.420410838</v>
      </c>
      <c r="E9" s="50"/>
      <c r="F9" s="153"/>
      <c r="G9" s="135">
        <f ca="1">SUM(G5:G8)</f>
        <v>0</v>
      </c>
      <c r="H9" s="47">
        <f t="shared" ref="H9:AV9" ca="1" si="4">SUM(H5:H8)</f>
        <v>0</v>
      </c>
      <c r="I9" s="47">
        <f t="shared" ca="1" si="4"/>
        <v>25000</v>
      </c>
      <c r="J9" s="47">
        <f t="shared" ca="1" si="4"/>
        <v>0</v>
      </c>
      <c r="K9" s="47">
        <f t="shared" ca="1" si="4"/>
        <v>0</v>
      </c>
      <c r="L9" s="47">
        <f t="shared" ca="1" si="4"/>
        <v>50000</v>
      </c>
      <c r="M9" s="47">
        <f t="shared" ca="1" si="4"/>
        <v>2532792.9204108389</v>
      </c>
      <c r="N9" s="47">
        <f t="shared" ca="1" si="4"/>
        <v>0</v>
      </c>
      <c r="O9" s="47">
        <f t="shared" ca="1" si="4"/>
        <v>0</v>
      </c>
      <c r="P9" s="47">
        <f t="shared" ca="1" si="4"/>
        <v>0</v>
      </c>
      <c r="Q9" s="47">
        <f t="shared" ca="1" si="4"/>
        <v>0</v>
      </c>
      <c r="R9" s="47">
        <f t="shared" ca="1" si="4"/>
        <v>0</v>
      </c>
      <c r="S9" s="47">
        <f t="shared" ca="1" si="4"/>
        <v>0</v>
      </c>
      <c r="T9" s="47">
        <f t="shared" ca="1" si="4"/>
        <v>0</v>
      </c>
      <c r="U9" s="47">
        <f t="shared" ca="1" si="4"/>
        <v>0</v>
      </c>
      <c r="V9" s="47">
        <f t="shared" ca="1" si="4"/>
        <v>0</v>
      </c>
      <c r="W9" s="47">
        <f t="shared" ca="1" si="4"/>
        <v>0</v>
      </c>
      <c r="X9" s="47">
        <f t="shared" ca="1" si="4"/>
        <v>0</v>
      </c>
      <c r="Y9" s="47">
        <f t="shared" ca="1" si="4"/>
        <v>750000</v>
      </c>
      <c r="Z9" s="47">
        <f t="shared" ca="1" si="4"/>
        <v>0</v>
      </c>
      <c r="AA9" s="47">
        <f t="shared" ca="1" si="4"/>
        <v>0</v>
      </c>
      <c r="AB9" s="47">
        <f t="shared" ca="1" si="4"/>
        <v>764062.5</v>
      </c>
      <c r="AC9" s="47">
        <f t="shared" ca="1" si="4"/>
        <v>0</v>
      </c>
      <c r="AD9" s="47">
        <f t="shared" ca="1" si="4"/>
        <v>0</v>
      </c>
      <c r="AE9" s="47">
        <f t="shared" ca="1" si="4"/>
        <v>778125</v>
      </c>
      <c r="AF9" s="47">
        <f t="shared" ca="1" si="4"/>
        <v>0</v>
      </c>
      <c r="AG9" s="47">
        <f t="shared" ca="1" si="4"/>
        <v>0</v>
      </c>
      <c r="AH9" s="47">
        <f t="shared" ca="1" si="4"/>
        <v>792187.5</v>
      </c>
      <c r="AI9" s="47">
        <f t="shared" ca="1" si="4"/>
        <v>0</v>
      </c>
      <c r="AJ9" s="47">
        <f t="shared" ca="1" si="4"/>
        <v>0</v>
      </c>
      <c r="AK9" s="47">
        <f t="shared" ca="1" si="4"/>
        <v>810000</v>
      </c>
      <c r="AL9" s="47">
        <f t="shared" ca="1" si="4"/>
        <v>0</v>
      </c>
      <c r="AM9" s="47">
        <f t="shared" ca="1" si="4"/>
        <v>0</v>
      </c>
      <c r="AN9" s="47">
        <f t="shared" ca="1" si="4"/>
        <v>825000</v>
      </c>
      <c r="AO9" s="47">
        <f t="shared" ca="1" si="4"/>
        <v>0</v>
      </c>
      <c r="AP9" s="47">
        <f t="shared" ca="1" si="4"/>
        <v>0</v>
      </c>
      <c r="AQ9" s="47">
        <f t="shared" ca="1" si="4"/>
        <v>840000</v>
      </c>
      <c r="AR9" s="47">
        <f t="shared" ca="1" si="4"/>
        <v>0</v>
      </c>
      <c r="AS9" s="47">
        <f t="shared" ca="1" si="4"/>
        <v>0</v>
      </c>
      <c r="AT9" s="47">
        <f t="shared" ca="1" si="4"/>
        <v>855000</v>
      </c>
      <c r="AU9" s="47">
        <f t="shared" ca="1" si="4"/>
        <v>0</v>
      </c>
      <c r="AV9" s="47">
        <f t="shared" ca="1" si="4"/>
        <v>0</v>
      </c>
      <c r="AW9" s="47">
        <f t="shared" ref="AW9:BO9" ca="1" si="5">SUM(AW5:AW8)</f>
        <v>870000</v>
      </c>
      <c r="AX9" s="47">
        <f t="shared" ca="1" si="5"/>
        <v>0</v>
      </c>
      <c r="AY9" s="47">
        <f t="shared" ca="1" si="5"/>
        <v>0</v>
      </c>
      <c r="AZ9" s="47">
        <f t="shared" ca="1" si="5"/>
        <v>885000</v>
      </c>
      <c r="BA9" s="47">
        <f t="shared" ca="1" si="5"/>
        <v>0</v>
      </c>
      <c r="BB9" s="47">
        <f t="shared" ca="1" si="5"/>
        <v>0</v>
      </c>
      <c r="BC9" s="47">
        <f t="shared" ca="1" si="5"/>
        <v>270000</v>
      </c>
      <c r="BD9" s="47">
        <f t="shared" ca="1" si="5"/>
        <v>0</v>
      </c>
      <c r="BE9" s="47">
        <f t="shared" ca="1" si="5"/>
        <v>0</v>
      </c>
      <c r="BF9" s="47">
        <f t="shared" ca="1" si="5"/>
        <v>0</v>
      </c>
      <c r="BG9" s="47">
        <f t="shared" ca="1" si="5"/>
        <v>0</v>
      </c>
      <c r="BH9" s="47">
        <f t="shared" ca="1" si="5"/>
        <v>0</v>
      </c>
      <c r="BI9" s="47">
        <f t="shared" ca="1" si="5"/>
        <v>0</v>
      </c>
      <c r="BJ9" s="47">
        <f t="shared" ca="1" si="5"/>
        <v>0</v>
      </c>
      <c r="BK9" s="47">
        <f t="shared" ca="1" si="5"/>
        <v>0</v>
      </c>
      <c r="BL9" s="47">
        <f t="shared" ca="1" si="5"/>
        <v>0</v>
      </c>
      <c r="BM9" s="47">
        <f t="shared" ca="1" si="5"/>
        <v>0</v>
      </c>
      <c r="BN9" s="47">
        <f t="shared" ca="1" si="5"/>
        <v>0</v>
      </c>
      <c r="BO9" s="139">
        <f t="shared" ca="1" si="5"/>
        <v>2114280.5</v>
      </c>
    </row>
    <row r="10" spans="2:67" ht="14.05" customHeight="1" x14ac:dyDescent="0.4">
      <c r="B10" s="12"/>
      <c r="C10" s="12"/>
      <c r="D10" s="153"/>
      <c r="E10" s="50"/>
      <c r="F10" s="153"/>
      <c r="G10" s="134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50"/>
    </row>
    <row r="11" spans="2:67" ht="14.05" customHeight="1" x14ac:dyDescent="0.4">
      <c r="B11" s="120" t="s">
        <v>48</v>
      </c>
      <c r="C11" s="4"/>
      <c r="D11" s="156">
        <f t="shared" ca="1" si="0"/>
        <v>6191332.7024000026</v>
      </c>
      <c r="E11" s="50"/>
      <c r="F11" s="157"/>
      <c r="G11" s="134">
        <f ca="1">SUM('Debt Schedule'!G7:G9)</f>
        <v>0</v>
      </c>
      <c r="H11" s="153">
        <f ca="1">SUM('Debt Schedule'!H7:H9)</f>
        <v>0</v>
      </c>
      <c r="I11" s="153">
        <f ca="1">SUM('Debt Schedule'!I7:I9)</f>
        <v>0</v>
      </c>
      <c r="J11" s="153">
        <f ca="1">SUM('Debt Schedule'!J7:J9)</f>
        <v>0</v>
      </c>
      <c r="K11" s="153">
        <f ca="1">SUM('Debt Schedule'!K7:K9)</f>
        <v>0</v>
      </c>
      <c r="L11" s="153">
        <f ca="1">SUM('Debt Schedule'!L7:L9)</f>
        <v>0</v>
      </c>
      <c r="M11" s="153">
        <f ca="1">SUM('Debt Schedule'!M7:M9)</f>
        <v>119637.3795891609</v>
      </c>
      <c r="N11" s="153">
        <f ca="1">SUM('Debt Schedule'!N7:N9)</f>
        <v>196245.3272720899</v>
      </c>
      <c r="O11" s="153">
        <f ca="1">SUM('Debt Schedule'!O7:O9)</f>
        <v>118130.39834026719</v>
      </c>
      <c r="P11" s="153">
        <f ca="1">SUM('Debt Schedule'!P7:P9)</f>
        <v>419113.40532851068</v>
      </c>
      <c r="Q11" s="153">
        <f ca="1">SUM('Debt Schedule'!Q7:Q9)</f>
        <v>422082.12528292096</v>
      </c>
      <c r="R11" s="153">
        <f ca="1">SUM('Debt Schedule'!R7:R9)</f>
        <v>745396.87367034168</v>
      </c>
      <c r="S11" s="153">
        <f ca="1">SUM('Debt Schedule'!S7:S9)</f>
        <v>765756.14319217321</v>
      </c>
      <c r="T11" s="153">
        <f ca="1">SUM('Debt Schedule'!T7:T9)</f>
        <v>756100.87420645112</v>
      </c>
      <c r="U11" s="153">
        <f ca="1">SUM('Debt Schedule'!U7:U9)</f>
        <v>761456.58873208018</v>
      </c>
      <c r="V11" s="153">
        <f ca="1">SUM('Debt Schedule'!V7:V9)</f>
        <v>384940.67706893245</v>
      </c>
      <c r="W11" s="153">
        <f ca="1">SUM('Debt Schedule'!W7:W9)</f>
        <v>456334.00686483743</v>
      </c>
      <c r="X11" s="153">
        <f ca="1">SUM('Debt Schedule'!X7:X9)</f>
        <v>139241.37274679667</v>
      </c>
      <c r="Y11" s="153">
        <f ca="1">SUM('Debt Schedule'!Y7:Y9)</f>
        <v>216227.66580375313</v>
      </c>
      <c r="Z11" s="153">
        <f ca="1">SUM('Debt Schedule'!Z7:Z9)</f>
        <v>63462.403436529727</v>
      </c>
      <c r="AA11" s="153">
        <f ca="1">SUM('Debt Schedule'!AA7:AA9)</f>
        <v>63911.928794205138</v>
      </c>
      <c r="AB11" s="153">
        <f ca="1">SUM('Debt Schedule'!AB7:AB9)</f>
        <v>35818.388289830757</v>
      </c>
      <c r="AC11" s="153">
        <f ca="1">SUM('Debt Schedule'!AC7:AC9)</f>
        <v>29930.597967300393</v>
      </c>
      <c r="AD11" s="153">
        <f ca="1">SUM('Debt Schedule'!AD7:AD9)</f>
        <v>30142.606369568774</v>
      </c>
      <c r="AE11" s="153">
        <f ca="1">SUM('Debt Schedule'!AE7:AE9)</f>
        <v>61514.866498019881</v>
      </c>
      <c r="AF11" s="153">
        <f ca="1">SUM('Debt Schedule'!AF7:AF9)</f>
        <v>25555.713989880856</v>
      </c>
      <c r="AG11" s="153">
        <f ca="1">SUM('Debt Schedule'!AG7:AG9)</f>
        <v>25736.733630642513</v>
      </c>
      <c r="AH11" s="153">
        <f ca="1">SUM('Debt Schedule'!AH7:AH9)</f>
        <v>26919.035493859566</v>
      </c>
      <c r="AI11" s="153">
        <f ca="1">SUM('Debt Schedule'!AI7:AI9)</f>
        <v>20778.950276524403</v>
      </c>
      <c r="AJ11" s="153">
        <f ca="1">SUM('Debt Schedule'!AJ7:AJ9)</f>
        <v>20926.134507649782</v>
      </c>
      <c r="AK11" s="153">
        <f ca="1">SUM('Debt Schedule'!AK7:AK9)</f>
        <v>22694.195449444036</v>
      </c>
      <c r="AL11" s="153">
        <f ca="1">SUM('Debt Schedule'!AL7:AL9)</f>
        <v>16248.736457929563</v>
      </c>
      <c r="AM11" s="153">
        <f ca="1">SUM('Debt Schedule'!AM7:AM9)</f>
        <v>16367.216827935299</v>
      </c>
      <c r="AN11" s="153">
        <f ca="1">SUM('Debt Schedule'!AN7:AN9)</f>
        <v>17486.56111730566</v>
      </c>
      <c r="AO11" s="153">
        <f ca="1">SUM('Debt Schedule'!AO7:AO9)</f>
        <v>10899.223542119349</v>
      </c>
      <c r="AP11" s="153">
        <f ca="1">SUM('Debt Schedule'!AP7:AP9)</f>
        <v>10978.69704711397</v>
      </c>
      <c r="AQ11" s="153">
        <f ca="1">SUM('Debt Schedule'!AQ7:AQ9)</f>
        <v>167683.75004641584</v>
      </c>
      <c r="AR11" s="153">
        <f ca="1">SUM('Debt Schedule'!AR7:AR9)</f>
        <v>6462.6940571709565</v>
      </c>
      <c r="AS11" s="153">
        <f ca="1">SUM('Debt Schedule'!AS7:AS9)</f>
        <v>6509.8178680044957</v>
      </c>
      <c r="AT11" s="153">
        <f ca="1">SUM('Debt Schedule'!AT7:AT9)</f>
        <v>7557.2852899586951</v>
      </c>
      <c r="AU11" s="153">
        <f ca="1">SUM('Debt Schedule'!AU7:AU9)</f>
        <v>689.73424519797697</v>
      </c>
      <c r="AV11" s="153">
        <f ca="1">SUM('Debt Schedule'!AV7:AV9)</f>
        <v>694.76355740254564</v>
      </c>
      <c r="AW11" s="153">
        <f ca="1">SUM('Debt Schedule'!AW7:AW9)</f>
        <v>1699.8295416752726</v>
      </c>
      <c r="AX11" s="153">
        <f ca="1">SUM('Debt Schedule'!AX7:AX9)</f>
        <v>0</v>
      </c>
      <c r="AY11" s="153">
        <f ca="1">SUM('Debt Schedule'!AY7:AY9)</f>
        <v>0</v>
      </c>
      <c r="AZ11" s="153">
        <f ca="1">SUM('Debt Schedule'!AZ7:AZ9)</f>
        <v>0</v>
      </c>
      <c r="BA11" s="153">
        <f ca="1">SUM('Debt Schedule'!BA7:BA9)</f>
        <v>0</v>
      </c>
      <c r="BB11" s="153">
        <f ca="1">SUM('Debt Schedule'!BB7:BB9)</f>
        <v>0</v>
      </c>
      <c r="BC11" s="153">
        <f ca="1">SUM('Debt Schedule'!BC7:BC9)</f>
        <v>0</v>
      </c>
      <c r="BD11" s="153">
        <f ca="1">SUM('Debt Schedule'!BD7:BD9)</f>
        <v>0</v>
      </c>
      <c r="BE11" s="153">
        <f ca="1">SUM('Debt Schedule'!BE7:BE9)</f>
        <v>0</v>
      </c>
      <c r="BF11" s="153">
        <f ca="1">SUM('Debt Schedule'!BF7:BF9)</f>
        <v>0</v>
      </c>
      <c r="BG11" s="153">
        <f ca="1">SUM('Debt Schedule'!BG7:BG9)</f>
        <v>0</v>
      </c>
      <c r="BH11" s="153">
        <f ca="1">SUM('Debt Schedule'!BH7:BH9)</f>
        <v>0</v>
      </c>
      <c r="BI11" s="153">
        <f ca="1">SUM('Debt Schedule'!BI7:BI9)</f>
        <v>0</v>
      </c>
      <c r="BJ11" s="153">
        <f ca="1">SUM('Debt Schedule'!BJ7:BJ9)</f>
        <v>0</v>
      </c>
      <c r="BK11" s="153">
        <f ca="1">SUM('Debt Schedule'!BK7:BK9)</f>
        <v>0</v>
      </c>
      <c r="BL11" s="153">
        <f ca="1">SUM('Debt Schedule'!BL7:BL9)</f>
        <v>0</v>
      </c>
      <c r="BM11" s="153">
        <f ca="1">SUM('Debt Schedule'!BM7:BM9)</f>
        <v>0</v>
      </c>
      <c r="BN11" s="153">
        <f ca="1">SUM('Debt Schedule'!BN7:BN9)</f>
        <v>0</v>
      </c>
      <c r="BO11" s="50">
        <f ca="1">SUM('Debt Schedule'!BO7:BO9)</f>
        <v>0</v>
      </c>
    </row>
    <row r="12" spans="2:67" ht="14.05" customHeight="1" x14ac:dyDescent="0.4">
      <c r="B12" s="12"/>
      <c r="C12" s="12"/>
      <c r="D12" s="153"/>
      <c r="E12" s="50"/>
      <c r="F12" s="153"/>
      <c r="G12" s="134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50"/>
    </row>
    <row r="13" spans="2:67" ht="14.05" customHeight="1" x14ac:dyDescent="0.4">
      <c r="B13" s="120" t="s">
        <v>39</v>
      </c>
      <c r="C13" s="12"/>
      <c r="D13" s="156">
        <f t="shared" ca="1" si="0"/>
        <v>19352781.122810833</v>
      </c>
      <c r="E13" s="50"/>
      <c r="F13" s="153"/>
      <c r="G13" s="48">
        <f ca="1">+G9+G11</f>
        <v>0</v>
      </c>
      <c r="H13" s="49">
        <f t="shared" ref="H13:AW13" ca="1" si="6">+H9+H11</f>
        <v>0</v>
      </c>
      <c r="I13" s="49">
        <f t="shared" ca="1" si="6"/>
        <v>25000</v>
      </c>
      <c r="J13" s="49">
        <f t="shared" ca="1" si="6"/>
        <v>0</v>
      </c>
      <c r="K13" s="49">
        <f t="shared" ca="1" si="6"/>
        <v>0</v>
      </c>
      <c r="L13" s="49">
        <f t="shared" ca="1" si="6"/>
        <v>50000</v>
      </c>
      <c r="M13" s="49">
        <f ca="1">+M9+M11</f>
        <v>2652430.2999999998</v>
      </c>
      <c r="N13" s="49">
        <f t="shared" ca="1" si="6"/>
        <v>196245.3272720899</v>
      </c>
      <c r="O13" s="49">
        <f t="shared" ca="1" si="6"/>
        <v>118130.39834026719</v>
      </c>
      <c r="P13" s="49">
        <f t="shared" ca="1" si="6"/>
        <v>419113.40532851068</v>
      </c>
      <c r="Q13" s="49">
        <f t="shared" ca="1" si="6"/>
        <v>422082.12528292096</v>
      </c>
      <c r="R13" s="49">
        <f t="shared" ca="1" si="6"/>
        <v>745396.87367034168</v>
      </c>
      <c r="S13" s="49">
        <f t="shared" ca="1" si="6"/>
        <v>765756.14319217321</v>
      </c>
      <c r="T13" s="49">
        <f t="shared" ca="1" si="6"/>
        <v>756100.87420645112</v>
      </c>
      <c r="U13" s="49">
        <f t="shared" ca="1" si="6"/>
        <v>761456.58873208018</v>
      </c>
      <c r="V13" s="49">
        <f t="shared" ca="1" si="6"/>
        <v>384940.67706893245</v>
      </c>
      <c r="W13" s="49">
        <f t="shared" ca="1" si="6"/>
        <v>456334.00686483743</v>
      </c>
      <c r="X13" s="49">
        <f t="shared" ca="1" si="6"/>
        <v>139241.37274679667</v>
      </c>
      <c r="Y13" s="49">
        <f t="shared" ca="1" si="6"/>
        <v>966227.66580375307</v>
      </c>
      <c r="Z13" s="49">
        <f t="shared" ca="1" si="6"/>
        <v>63462.403436529727</v>
      </c>
      <c r="AA13" s="49">
        <f t="shared" ca="1" si="6"/>
        <v>63911.928794205138</v>
      </c>
      <c r="AB13" s="49">
        <f t="shared" ca="1" si="6"/>
        <v>799880.88828983076</v>
      </c>
      <c r="AC13" s="49">
        <f t="shared" ca="1" si="6"/>
        <v>29930.597967300393</v>
      </c>
      <c r="AD13" s="49">
        <f t="shared" ca="1" si="6"/>
        <v>30142.606369568774</v>
      </c>
      <c r="AE13" s="49">
        <f t="shared" ca="1" si="6"/>
        <v>839639.8664980199</v>
      </c>
      <c r="AF13" s="49">
        <f t="shared" ca="1" si="6"/>
        <v>25555.713989880856</v>
      </c>
      <c r="AG13" s="49">
        <f t="shared" ca="1" si="6"/>
        <v>25736.733630642513</v>
      </c>
      <c r="AH13" s="49">
        <f t="shared" ca="1" si="6"/>
        <v>819106.53549385956</v>
      </c>
      <c r="AI13" s="49">
        <f t="shared" ca="1" si="6"/>
        <v>20778.950276524403</v>
      </c>
      <c r="AJ13" s="49">
        <f t="shared" ca="1" si="6"/>
        <v>20926.134507649782</v>
      </c>
      <c r="AK13" s="49">
        <f t="shared" ca="1" si="6"/>
        <v>832694.195449444</v>
      </c>
      <c r="AL13" s="49">
        <f t="shared" ca="1" si="6"/>
        <v>16248.736457929563</v>
      </c>
      <c r="AM13" s="49">
        <f t="shared" ca="1" si="6"/>
        <v>16367.216827935299</v>
      </c>
      <c r="AN13" s="49">
        <f t="shared" ca="1" si="6"/>
        <v>842486.56111730565</v>
      </c>
      <c r="AO13" s="49">
        <f t="shared" ca="1" si="6"/>
        <v>10899.223542119349</v>
      </c>
      <c r="AP13" s="49">
        <f t="shared" ca="1" si="6"/>
        <v>10978.69704711397</v>
      </c>
      <c r="AQ13" s="49">
        <f t="shared" ca="1" si="6"/>
        <v>1007683.7500464158</v>
      </c>
      <c r="AR13" s="49">
        <f t="shared" ca="1" si="6"/>
        <v>6462.6940571709565</v>
      </c>
      <c r="AS13" s="49">
        <f t="shared" ca="1" si="6"/>
        <v>6509.8178680044957</v>
      </c>
      <c r="AT13" s="49">
        <f t="shared" ca="1" si="6"/>
        <v>862557.2852899587</v>
      </c>
      <c r="AU13" s="49">
        <f t="shared" ca="1" si="6"/>
        <v>689.73424519797697</v>
      </c>
      <c r="AV13" s="49">
        <f t="shared" ca="1" si="6"/>
        <v>694.76355740254564</v>
      </c>
      <c r="AW13" s="49">
        <f t="shared" ca="1" si="6"/>
        <v>871699.82954167528</v>
      </c>
      <c r="AX13" s="49">
        <f t="shared" ref="AX13:BO13" ca="1" si="7">+AX9+AX11</f>
        <v>0</v>
      </c>
      <c r="AY13" s="49">
        <f t="shared" ca="1" si="7"/>
        <v>0</v>
      </c>
      <c r="AZ13" s="49">
        <f t="shared" ca="1" si="7"/>
        <v>885000</v>
      </c>
      <c r="BA13" s="49">
        <f t="shared" ca="1" si="7"/>
        <v>0</v>
      </c>
      <c r="BB13" s="49">
        <f t="shared" ca="1" si="7"/>
        <v>0</v>
      </c>
      <c r="BC13" s="49">
        <f t="shared" ca="1" si="7"/>
        <v>270000</v>
      </c>
      <c r="BD13" s="49">
        <f t="shared" ca="1" si="7"/>
        <v>0</v>
      </c>
      <c r="BE13" s="49">
        <f t="shared" ca="1" si="7"/>
        <v>0</v>
      </c>
      <c r="BF13" s="49">
        <f t="shared" ca="1" si="7"/>
        <v>0</v>
      </c>
      <c r="BG13" s="49">
        <f t="shared" ca="1" si="7"/>
        <v>0</v>
      </c>
      <c r="BH13" s="49">
        <f t="shared" ca="1" si="7"/>
        <v>0</v>
      </c>
      <c r="BI13" s="49">
        <f t="shared" ca="1" si="7"/>
        <v>0</v>
      </c>
      <c r="BJ13" s="49">
        <f t="shared" ca="1" si="7"/>
        <v>0</v>
      </c>
      <c r="BK13" s="49">
        <f t="shared" ca="1" si="7"/>
        <v>0</v>
      </c>
      <c r="BL13" s="49">
        <f t="shared" ca="1" si="7"/>
        <v>0</v>
      </c>
      <c r="BM13" s="49">
        <f t="shared" ca="1" si="7"/>
        <v>0</v>
      </c>
      <c r="BN13" s="49">
        <f t="shared" ca="1" si="7"/>
        <v>0</v>
      </c>
      <c r="BO13" s="158">
        <f t="shared" ca="1" si="7"/>
        <v>2114280.5</v>
      </c>
    </row>
    <row r="14" spans="2:67" ht="14.05" customHeight="1" x14ac:dyDescent="0.4">
      <c r="B14" s="12"/>
      <c r="C14" s="12"/>
      <c r="D14" s="153"/>
      <c r="E14" s="50"/>
      <c r="F14" s="153"/>
      <c r="G14" s="134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50"/>
    </row>
    <row r="15" spans="2:67" ht="14.05" customHeight="1" x14ac:dyDescent="0.4">
      <c r="B15" s="20" t="s">
        <v>37</v>
      </c>
      <c r="C15" s="4"/>
      <c r="D15" s="156"/>
      <c r="E15" s="50"/>
      <c r="F15" s="157"/>
      <c r="G15" s="133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38"/>
    </row>
    <row r="16" spans="2:67" ht="14.05" customHeight="1" x14ac:dyDescent="0.4">
      <c r="B16" s="120" t="s">
        <v>36</v>
      </c>
      <c r="C16" s="4"/>
      <c r="D16" s="153"/>
      <c r="E16" s="50"/>
      <c r="F16" s="157"/>
      <c r="G16" s="133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38"/>
    </row>
    <row r="17" spans="2:67" ht="14.05" customHeight="1" x14ac:dyDescent="0.4">
      <c r="B17" s="121" t="s">
        <v>36</v>
      </c>
      <c r="C17" s="4"/>
      <c r="D17" s="153">
        <f t="shared" ref="D17" ca="1" si="8">SUM(G17:BO17)</f>
        <v>-2627430.2999999998</v>
      </c>
      <c r="E17" s="50"/>
      <c r="F17" s="155"/>
      <c r="G17" s="134">
        <f ca="1">IF(LEFT(G$2,3)="A&amp;D",-Assumptions!$G$31+Assumptions!$C$43,IF(LEFT(OFFSET('Cash Flow'!G$2,0,2),3)="A&amp;D",-Assumptions!$C$43,0))</f>
        <v>0</v>
      </c>
      <c r="H17" s="153">
        <f ca="1">IF(LEFT(H$2,3)="A&amp;D",-Assumptions!$G$31+Assumptions!$C$43,IF(LEFT(OFFSET('Cash Flow'!H$2,0,2),3)="A&amp;D",-Assumptions!$C$43,0))</f>
        <v>0</v>
      </c>
      <c r="I17" s="159">
        <f>-Assumptions!C43</f>
        <v>-25000</v>
      </c>
      <c r="J17" s="159">
        <f ca="1">IF(LEFT(J$2,3)="A&amp;D",-Assumptions!$G$31+Assumptions!$C$43,IF(LEFT(OFFSET('Cash Flow'!J$2,0,2),3)="A&amp;D",-Assumptions!$C$43,0))</f>
        <v>0</v>
      </c>
      <c r="K17" s="159">
        <v>0</v>
      </c>
      <c r="L17" s="159">
        <f>-Assumptions!C44</f>
        <v>-50000</v>
      </c>
      <c r="M17" s="159">
        <f ca="1">-(Assumptions!G31+SUM('Cash Flow'!G17:L17))</f>
        <v>-2552430.2999999998</v>
      </c>
      <c r="N17" s="153">
        <f ca="1">IF(LEFT(N$2,3)="A&amp;D",-Assumptions!$G$31+Assumptions!$C$43,IF(LEFT(OFFSET('Cash Flow'!N$2,0,2),3)="A&amp;D",-Assumptions!$C$43,0))</f>
        <v>0</v>
      </c>
      <c r="O17" s="153">
        <f ca="1">IF(LEFT(O$2,3)="A&amp;D",-Assumptions!$G$31+Assumptions!$C$43,IF(LEFT(OFFSET('Cash Flow'!O$2,0,2),3)="A&amp;D",-Assumptions!$C$43,0))</f>
        <v>0</v>
      </c>
      <c r="P17" s="153">
        <f ca="1">IF(LEFT(P$2,3)="A&amp;D",-Assumptions!$G$31+Assumptions!$C$43,IF(LEFT(OFFSET('Cash Flow'!P$2,0,2),3)="A&amp;D",-Assumptions!$C$43,0))</f>
        <v>0</v>
      </c>
      <c r="Q17" s="153">
        <f ca="1">IF(LEFT(Q$2,3)="A&amp;D",-Assumptions!$G$31+Assumptions!$C$43,IF(LEFT(OFFSET('Cash Flow'!Q$2,0,2),3)="A&amp;D",-Assumptions!$C$43,0))</f>
        <v>0</v>
      </c>
      <c r="R17" s="153">
        <f ca="1">IF(LEFT(R$2,3)="A&amp;D",-Assumptions!$G$31+Assumptions!$C$43,IF(LEFT(OFFSET('Cash Flow'!R$2,0,2),3)="A&amp;D",-Assumptions!$C$43,0))</f>
        <v>0</v>
      </c>
      <c r="S17" s="153">
        <f ca="1">IF(LEFT(S$2,3)="A&amp;D",-Assumptions!$G$31+Assumptions!$C$43,IF(LEFT(OFFSET('Cash Flow'!S$2,0,2),3)="A&amp;D",-Assumptions!$C$43,0))</f>
        <v>0</v>
      </c>
      <c r="T17" s="153">
        <f ca="1">IF(LEFT(T$2,3)="A&amp;D",-Assumptions!$G$31+Assumptions!$C$43,IF(LEFT(OFFSET('Cash Flow'!T$2,0,2),3)="A&amp;D",-Assumptions!$C$43,0))</f>
        <v>0</v>
      </c>
      <c r="U17" s="153">
        <f ca="1">IF(LEFT(U$2,3)="A&amp;D",-Assumptions!$G$31+Assumptions!$C$43,IF(LEFT(OFFSET('Cash Flow'!U$2,0,2),3)="A&amp;D",-Assumptions!$C$43,0))</f>
        <v>0</v>
      </c>
      <c r="V17" s="153">
        <f ca="1">IF(LEFT(V$2,3)="A&amp;D",-Assumptions!$G$31+Assumptions!$C$43,IF(LEFT(OFFSET('Cash Flow'!V$2,0,2),3)="A&amp;D",-Assumptions!$C$43,0))</f>
        <v>0</v>
      </c>
      <c r="W17" s="153">
        <f ca="1">IF(LEFT(W$2,3)="A&amp;D",-Assumptions!$G$31+Assumptions!$C$43,IF(LEFT(OFFSET('Cash Flow'!W$2,0,2),3)="A&amp;D",-Assumptions!$C$43,0))</f>
        <v>0</v>
      </c>
      <c r="X17" s="153">
        <f ca="1">IF(LEFT(X$2,3)="A&amp;D",-Assumptions!$G$31+Assumptions!$C$43,IF(LEFT(OFFSET('Cash Flow'!X$2,0,2),3)="A&amp;D",-Assumptions!$C$43,0))</f>
        <v>0</v>
      </c>
      <c r="Y17" s="153">
        <f ca="1">IF(LEFT(Y$2,3)="A&amp;D",-Assumptions!$G$31+Assumptions!$C$43,IF(LEFT(OFFSET('Cash Flow'!Y$2,0,2),3)="A&amp;D",-Assumptions!$C$43,0))</f>
        <v>0</v>
      </c>
      <c r="Z17" s="153">
        <f ca="1">IF(LEFT(Z$2,3)="A&amp;D",-Assumptions!$G$31+Assumptions!$C$43,IF(LEFT(OFFSET('Cash Flow'!Z$2,0,2),3)="A&amp;D",-Assumptions!$C$43,0))</f>
        <v>0</v>
      </c>
      <c r="AA17" s="153">
        <f ca="1">IF(LEFT(AA$2,3)="A&amp;D",-Assumptions!$G$31+Assumptions!$C$43,IF(LEFT(OFFSET('Cash Flow'!AA$2,0,2),3)="A&amp;D",-Assumptions!$C$43,0))</f>
        <v>0</v>
      </c>
      <c r="AB17" s="153">
        <f ca="1">IF(LEFT(AB$2,3)="A&amp;D",-Assumptions!$G$31+Assumptions!$C$43,IF(LEFT(OFFSET('Cash Flow'!AB$2,0,2),3)="A&amp;D",-Assumptions!$C$43,0))</f>
        <v>0</v>
      </c>
      <c r="AC17" s="153">
        <f ca="1">IF(LEFT(AC$2,3)="A&amp;D",-Assumptions!$G$31+Assumptions!$C$43,IF(LEFT(OFFSET('Cash Flow'!AC$2,0,2),3)="A&amp;D",-Assumptions!$C$43,0))</f>
        <v>0</v>
      </c>
      <c r="AD17" s="153">
        <f ca="1">IF(LEFT(AD$2,3)="A&amp;D",-Assumptions!$G$31+Assumptions!$C$43,IF(LEFT(OFFSET('Cash Flow'!AD$2,0,2),3)="A&amp;D",-Assumptions!$C$43,0))</f>
        <v>0</v>
      </c>
      <c r="AE17" s="153">
        <f ca="1">IF(LEFT(AE$2,3)="A&amp;D",-Assumptions!$G$31+Assumptions!$C$43,IF(LEFT(OFFSET('Cash Flow'!AE$2,0,2),3)="A&amp;D",-Assumptions!$C$43,0))</f>
        <v>0</v>
      </c>
      <c r="AF17" s="153">
        <f ca="1">IF(LEFT(AF$2,3)="A&amp;D",-Assumptions!$G$31+Assumptions!$C$43,IF(LEFT(OFFSET('Cash Flow'!AF$2,0,2),3)="A&amp;D",-Assumptions!$C$43,0))</f>
        <v>0</v>
      </c>
      <c r="AG17" s="153">
        <f ca="1">IF(LEFT(AG$2,3)="A&amp;D",-Assumptions!$G$31+Assumptions!$C$43,IF(LEFT(OFFSET('Cash Flow'!AG$2,0,2),3)="A&amp;D",-Assumptions!$C$43,0))</f>
        <v>0</v>
      </c>
      <c r="AH17" s="153">
        <f ca="1">IF(LEFT(AH$2,3)="A&amp;D",-Assumptions!$G$31+Assumptions!$C$43,IF(LEFT(OFFSET('Cash Flow'!AH$2,0,2),3)="A&amp;D",-Assumptions!$C$43,0))</f>
        <v>0</v>
      </c>
      <c r="AI17" s="153">
        <f ca="1">IF(LEFT(AI$2,3)="A&amp;D",-Assumptions!$G$31+Assumptions!$C$43,IF(LEFT(OFFSET('Cash Flow'!AI$2,0,2),3)="A&amp;D",-Assumptions!$C$43,0))</f>
        <v>0</v>
      </c>
      <c r="AJ17" s="153">
        <f ca="1">IF(LEFT(AJ$2,3)="A&amp;D",-Assumptions!$G$31+Assumptions!$C$43,IF(LEFT(OFFSET('Cash Flow'!AJ$2,0,2),3)="A&amp;D",-Assumptions!$C$43,0))</f>
        <v>0</v>
      </c>
      <c r="AK17" s="153">
        <f ca="1">IF(LEFT(AK$2,3)="A&amp;D",-Assumptions!$G$31+Assumptions!$C$43,IF(LEFT(OFFSET('Cash Flow'!AK$2,0,2),3)="A&amp;D",-Assumptions!$C$43,0))</f>
        <v>0</v>
      </c>
      <c r="AL17" s="153">
        <f ca="1">IF(LEFT(AL$2,3)="A&amp;D",-Assumptions!$G$31+Assumptions!$C$43,IF(LEFT(OFFSET('Cash Flow'!AL$2,0,2),3)="A&amp;D",-Assumptions!$C$43,0))</f>
        <v>0</v>
      </c>
      <c r="AM17" s="153">
        <f ca="1">IF(LEFT(AM$2,3)="A&amp;D",-Assumptions!$G$31+Assumptions!$C$43,IF(LEFT(OFFSET('Cash Flow'!AM$2,0,2),3)="A&amp;D",-Assumptions!$C$43,0))</f>
        <v>0</v>
      </c>
      <c r="AN17" s="153">
        <f ca="1">IF(LEFT(AN$2,3)="A&amp;D",-Assumptions!$G$31+Assumptions!$C$43,IF(LEFT(OFFSET('Cash Flow'!AN$2,0,2),3)="A&amp;D",-Assumptions!$C$43,0))</f>
        <v>0</v>
      </c>
      <c r="AO17" s="153">
        <f ca="1">IF(LEFT(AO$2,3)="A&amp;D",-Assumptions!$G$31+Assumptions!$C$43,IF(LEFT(OFFSET('Cash Flow'!AO$2,0,2),3)="A&amp;D",-Assumptions!$C$43,0))</f>
        <v>0</v>
      </c>
      <c r="AP17" s="153">
        <f ca="1">IF(LEFT(AP$2,3)="A&amp;D",-Assumptions!$G$31+Assumptions!$C$43,IF(LEFT(OFFSET('Cash Flow'!AP$2,0,2),3)="A&amp;D",-Assumptions!$C$43,0))</f>
        <v>0</v>
      </c>
      <c r="AQ17" s="153">
        <f ca="1">IF(LEFT(AQ$2,3)="A&amp;D",-Assumptions!$G$31+Assumptions!$C$43,IF(LEFT(OFFSET('Cash Flow'!AQ$2,0,2),3)="A&amp;D",-Assumptions!$C$43,0))</f>
        <v>0</v>
      </c>
      <c r="AR17" s="153">
        <f ca="1">IF(LEFT(AR$2,3)="A&amp;D",-Assumptions!$G$31+Assumptions!$C$43,IF(LEFT(OFFSET('Cash Flow'!AR$2,0,2),3)="A&amp;D",-Assumptions!$C$43,0))</f>
        <v>0</v>
      </c>
      <c r="AS17" s="153">
        <f ca="1">IF(LEFT(AS$2,3)="A&amp;D",-Assumptions!$G$31+Assumptions!$C$43,IF(LEFT(OFFSET('Cash Flow'!AS$2,0,2),3)="A&amp;D",-Assumptions!$C$43,0))</f>
        <v>0</v>
      </c>
      <c r="AT17" s="153">
        <f ca="1">IF(LEFT(AT$2,3)="A&amp;D",-Assumptions!$G$31+Assumptions!$C$43,IF(LEFT(OFFSET('Cash Flow'!AT$2,0,2),3)="A&amp;D",-Assumptions!$C$43,0))</f>
        <v>0</v>
      </c>
      <c r="AU17" s="153">
        <f ca="1">IF(LEFT(AU$2,3)="A&amp;D",-Assumptions!$G$31+Assumptions!$C$43,IF(LEFT(OFFSET('Cash Flow'!AU$2,0,2),3)="A&amp;D",-Assumptions!$C$43,0))</f>
        <v>0</v>
      </c>
      <c r="AV17" s="153">
        <f ca="1">IF(LEFT(AV$2,3)="A&amp;D",-Assumptions!$G$31+Assumptions!$C$43,IF(LEFT(OFFSET('Cash Flow'!AV$2,0,2),3)="A&amp;D",-Assumptions!$C$43,0))</f>
        <v>0</v>
      </c>
      <c r="AW17" s="153">
        <f ca="1">IF(LEFT(AW$2,3)="A&amp;D",-Assumptions!$G$31+Assumptions!$C$43,IF(LEFT(OFFSET('Cash Flow'!AW$2,0,2),3)="A&amp;D",-Assumptions!$C$43,0))</f>
        <v>0</v>
      </c>
      <c r="AX17" s="153">
        <f ca="1">IF(LEFT(AX$2,3)="A&amp;D",-Assumptions!$G$31+Assumptions!$C$43,IF(LEFT(OFFSET('Cash Flow'!AX$2,0,2),3)="A&amp;D",-Assumptions!$C$43,0))</f>
        <v>0</v>
      </c>
      <c r="AY17" s="153">
        <f ca="1">IF(LEFT(AY$2,3)="A&amp;D",-Assumptions!$G$31+Assumptions!$C$43,IF(LEFT(OFFSET('Cash Flow'!AY$2,0,2),3)="A&amp;D",-Assumptions!$C$43,0))</f>
        <v>0</v>
      </c>
      <c r="AZ17" s="153">
        <f ca="1">IF(LEFT(AZ$2,3)="A&amp;D",-Assumptions!$G$31+Assumptions!$C$43,IF(LEFT(OFFSET('Cash Flow'!AZ$2,0,2),3)="A&amp;D",-Assumptions!$C$43,0))</f>
        <v>0</v>
      </c>
      <c r="BA17" s="153">
        <f ca="1">IF(LEFT(BA$2,3)="A&amp;D",-Assumptions!$G$31+Assumptions!$C$43,IF(LEFT(OFFSET('Cash Flow'!BA$2,0,2),3)="A&amp;D",-Assumptions!$C$43,0))</f>
        <v>0</v>
      </c>
      <c r="BB17" s="153">
        <f ca="1">IF(LEFT(BB$2,3)="A&amp;D",-Assumptions!$G$31+Assumptions!$C$43,IF(LEFT(OFFSET('Cash Flow'!BB$2,0,2),3)="A&amp;D",-Assumptions!$C$43,0))</f>
        <v>0</v>
      </c>
      <c r="BC17" s="153">
        <f ca="1">IF(LEFT(BC$2,3)="A&amp;D",-Assumptions!$G$31+Assumptions!$C$43,IF(LEFT(OFFSET('Cash Flow'!BC$2,0,2),3)="A&amp;D",-Assumptions!$C$43,0))</f>
        <v>0</v>
      </c>
      <c r="BD17" s="153">
        <f ca="1">IF(LEFT(BD$2,3)="A&amp;D",-Assumptions!$G$31+Assumptions!$C$43,IF(LEFT(OFFSET('Cash Flow'!BD$2,0,2),3)="A&amp;D",-Assumptions!$C$43,0))</f>
        <v>0</v>
      </c>
      <c r="BE17" s="153">
        <f ca="1">IF(LEFT(BE$2,3)="A&amp;D",-Assumptions!$G$31+Assumptions!$C$43,IF(LEFT(OFFSET('Cash Flow'!BE$2,0,2),3)="A&amp;D",-Assumptions!$C$43,0))</f>
        <v>0</v>
      </c>
      <c r="BF17" s="153">
        <f ca="1">IF(LEFT(BF$2,3)="A&amp;D",-Assumptions!$G$31+Assumptions!$C$43,IF(LEFT(OFFSET('Cash Flow'!BF$2,0,2),3)="A&amp;D",-Assumptions!$C$43,0))</f>
        <v>0</v>
      </c>
      <c r="BG17" s="153">
        <f ca="1">IF(LEFT(BG$2,3)="A&amp;D",-Assumptions!$G$31+Assumptions!$C$43,IF(LEFT(OFFSET('Cash Flow'!BG$2,0,2),3)="A&amp;D",-Assumptions!$C$43,0))</f>
        <v>0</v>
      </c>
      <c r="BH17" s="153">
        <f ca="1">IF(LEFT(BH$2,3)="A&amp;D",-Assumptions!$G$31+Assumptions!$C$43,IF(LEFT(OFFSET('Cash Flow'!BH$2,0,2),3)="A&amp;D",-Assumptions!$C$43,0))</f>
        <v>0</v>
      </c>
      <c r="BI17" s="153">
        <f ca="1">IF(LEFT(BI$2,3)="A&amp;D",-Assumptions!$G$31+Assumptions!$C$43,IF(LEFT(OFFSET('Cash Flow'!BI$2,0,2),3)="A&amp;D",-Assumptions!$C$43,0))</f>
        <v>0</v>
      </c>
      <c r="BJ17" s="153">
        <f ca="1">IF(LEFT(BJ$2,3)="A&amp;D",-Assumptions!$G$31+Assumptions!$C$43,IF(LEFT(OFFSET('Cash Flow'!BJ$2,0,2),3)="A&amp;D",-Assumptions!$C$43,0))</f>
        <v>0</v>
      </c>
      <c r="BK17" s="153">
        <f ca="1">IF(LEFT(BK$2,3)="A&amp;D",-Assumptions!$G$31+Assumptions!$C$43,IF(LEFT(OFFSET('Cash Flow'!BK$2,0,2),3)="A&amp;D",-Assumptions!$C$43,0))</f>
        <v>0</v>
      </c>
      <c r="BL17" s="153">
        <f ca="1">IF(LEFT(BL$2,3)="A&amp;D",-Assumptions!$G$31+Assumptions!$C$43,IF(LEFT(OFFSET('Cash Flow'!BL$2,0,2),3)="A&amp;D",-Assumptions!$C$43,0))</f>
        <v>0</v>
      </c>
      <c r="BM17" s="153">
        <f ca="1">IF(LEFT(BM$2,3)="A&amp;D",-Assumptions!$G$31+Assumptions!$C$43,IF(LEFT(OFFSET('Cash Flow'!BM$2,0,2),3)="A&amp;D",-Assumptions!$C$43,0))</f>
        <v>0</v>
      </c>
      <c r="BN17" s="153">
        <f ca="1">IF(LEFT(BN$2,3)="A&amp;D",-Assumptions!$G$31+Assumptions!$C$43,IF(LEFT(OFFSET('Cash Flow'!BN$2,0,2),3)="A&amp;D",-Assumptions!$C$43,0))</f>
        <v>0</v>
      </c>
      <c r="BO17" s="50">
        <f ca="1">IF(LEFT(BO$2,3)="A&amp;D",-Assumptions!$G$31+Assumptions!$C$43,IF(LEFT(OFFSET('Cash Flow'!BO$2,0,2),3)="A&amp;D",-Assumptions!$C$43,0))</f>
        <v>0</v>
      </c>
    </row>
    <row r="18" spans="2:67" ht="14.05" customHeight="1" x14ac:dyDescent="0.4">
      <c r="B18" s="122" t="s">
        <v>4</v>
      </c>
      <c r="C18" s="4"/>
      <c r="D18" s="47">
        <f ca="1">D17</f>
        <v>-2627430.2999999998</v>
      </c>
      <c r="E18" s="50"/>
      <c r="F18" s="155"/>
      <c r="G18" s="135">
        <f ca="1">SUM(G17)</f>
        <v>0</v>
      </c>
      <c r="H18" s="47">
        <f t="shared" ref="H18:AV18" ca="1" si="9">SUM(H17)</f>
        <v>0</v>
      </c>
      <c r="I18" s="47">
        <f t="shared" si="9"/>
        <v>-25000</v>
      </c>
      <c r="J18" s="47">
        <f t="shared" ca="1" si="9"/>
        <v>0</v>
      </c>
      <c r="K18" s="47">
        <f t="shared" si="9"/>
        <v>0</v>
      </c>
      <c r="L18" s="47">
        <f t="shared" si="9"/>
        <v>-50000</v>
      </c>
      <c r="M18" s="47">
        <f t="shared" ca="1" si="9"/>
        <v>-2552430.2999999998</v>
      </c>
      <c r="N18" s="47">
        <f t="shared" ca="1" si="9"/>
        <v>0</v>
      </c>
      <c r="O18" s="47">
        <f t="shared" ca="1" si="9"/>
        <v>0</v>
      </c>
      <c r="P18" s="47">
        <f t="shared" ca="1" si="9"/>
        <v>0</v>
      </c>
      <c r="Q18" s="47">
        <f t="shared" ca="1" si="9"/>
        <v>0</v>
      </c>
      <c r="R18" s="47">
        <f t="shared" ca="1" si="9"/>
        <v>0</v>
      </c>
      <c r="S18" s="47">
        <f t="shared" ca="1" si="9"/>
        <v>0</v>
      </c>
      <c r="T18" s="47">
        <f t="shared" ca="1" si="9"/>
        <v>0</v>
      </c>
      <c r="U18" s="47">
        <f t="shared" ca="1" si="9"/>
        <v>0</v>
      </c>
      <c r="V18" s="47">
        <f t="shared" ca="1" si="9"/>
        <v>0</v>
      </c>
      <c r="W18" s="47">
        <f t="shared" ca="1" si="9"/>
        <v>0</v>
      </c>
      <c r="X18" s="47">
        <f t="shared" ca="1" si="9"/>
        <v>0</v>
      </c>
      <c r="Y18" s="47">
        <f t="shared" ca="1" si="9"/>
        <v>0</v>
      </c>
      <c r="Z18" s="47">
        <f t="shared" ca="1" si="9"/>
        <v>0</v>
      </c>
      <c r="AA18" s="47">
        <f t="shared" ca="1" si="9"/>
        <v>0</v>
      </c>
      <c r="AB18" s="47">
        <f t="shared" ca="1" si="9"/>
        <v>0</v>
      </c>
      <c r="AC18" s="47">
        <f t="shared" ca="1" si="9"/>
        <v>0</v>
      </c>
      <c r="AD18" s="47">
        <f t="shared" ca="1" si="9"/>
        <v>0</v>
      </c>
      <c r="AE18" s="47">
        <f t="shared" ca="1" si="9"/>
        <v>0</v>
      </c>
      <c r="AF18" s="47">
        <f t="shared" ca="1" si="9"/>
        <v>0</v>
      </c>
      <c r="AG18" s="47">
        <f t="shared" ca="1" si="9"/>
        <v>0</v>
      </c>
      <c r="AH18" s="47">
        <f t="shared" ca="1" si="9"/>
        <v>0</v>
      </c>
      <c r="AI18" s="47">
        <f t="shared" ca="1" si="9"/>
        <v>0</v>
      </c>
      <c r="AJ18" s="47">
        <f t="shared" ca="1" si="9"/>
        <v>0</v>
      </c>
      <c r="AK18" s="47">
        <f t="shared" ca="1" si="9"/>
        <v>0</v>
      </c>
      <c r="AL18" s="47">
        <f t="shared" ca="1" si="9"/>
        <v>0</v>
      </c>
      <c r="AM18" s="47">
        <f t="shared" ca="1" si="9"/>
        <v>0</v>
      </c>
      <c r="AN18" s="47">
        <f t="shared" ca="1" si="9"/>
        <v>0</v>
      </c>
      <c r="AO18" s="47">
        <f t="shared" ca="1" si="9"/>
        <v>0</v>
      </c>
      <c r="AP18" s="47">
        <f t="shared" ca="1" si="9"/>
        <v>0</v>
      </c>
      <c r="AQ18" s="47">
        <f t="shared" ca="1" si="9"/>
        <v>0</v>
      </c>
      <c r="AR18" s="47">
        <f t="shared" ca="1" si="9"/>
        <v>0</v>
      </c>
      <c r="AS18" s="47">
        <f t="shared" ca="1" si="9"/>
        <v>0</v>
      </c>
      <c r="AT18" s="47">
        <f t="shared" ca="1" si="9"/>
        <v>0</v>
      </c>
      <c r="AU18" s="47">
        <f t="shared" ca="1" si="9"/>
        <v>0</v>
      </c>
      <c r="AV18" s="47">
        <f t="shared" ca="1" si="9"/>
        <v>0</v>
      </c>
      <c r="AW18" s="47">
        <f t="shared" ref="AW18:BO18" ca="1" si="10">SUM(AW17)</f>
        <v>0</v>
      </c>
      <c r="AX18" s="47">
        <f t="shared" ca="1" si="10"/>
        <v>0</v>
      </c>
      <c r="AY18" s="47">
        <f t="shared" ca="1" si="10"/>
        <v>0</v>
      </c>
      <c r="AZ18" s="47">
        <f t="shared" ca="1" si="10"/>
        <v>0</v>
      </c>
      <c r="BA18" s="47">
        <f t="shared" ca="1" si="10"/>
        <v>0</v>
      </c>
      <c r="BB18" s="47">
        <f t="shared" ca="1" si="10"/>
        <v>0</v>
      </c>
      <c r="BC18" s="47">
        <f t="shared" ca="1" si="10"/>
        <v>0</v>
      </c>
      <c r="BD18" s="47">
        <f t="shared" ca="1" si="10"/>
        <v>0</v>
      </c>
      <c r="BE18" s="47">
        <f t="shared" ca="1" si="10"/>
        <v>0</v>
      </c>
      <c r="BF18" s="47">
        <f t="shared" ca="1" si="10"/>
        <v>0</v>
      </c>
      <c r="BG18" s="47">
        <f t="shared" ca="1" si="10"/>
        <v>0</v>
      </c>
      <c r="BH18" s="47">
        <f t="shared" ca="1" si="10"/>
        <v>0</v>
      </c>
      <c r="BI18" s="47">
        <f t="shared" ca="1" si="10"/>
        <v>0</v>
      </c>
      <c r="BJ18" s="47">
        <f t="shared" ca="1" si="10"/>
        <v>0</v>
      </c>
      <c r="BK18" s="47">
        <f t="shared" ca="1" si="10"/>
        <v>0</v>
      </c>
      <c r="BL18" s="47">
        <f t="shared" ca="1" si="10"/>
        <v>0</v>
      </c>
      <c r="BM18" s="47">
        <f t="shared" ca="1" si="10"/>
        <v>0</v>
      </c>
      <c r="BN18" s="47">
        <f t="shared" ca="1" si="10"/>
        <v>0</v>
      </c>
      <c r="BO18" s="139">
        <f t="shared" ca="1" si="10"/>
        <v>0</v>
      </c>
    </row>
    <row r="19" spans="2:67" ht="14.05" customHeight="1" x14ac:dyDescent="0.4">
      <c r="B19" s="20"/>
      <c r="C19" s="4"/>
      <c r="D19" s="156"/>
      <c r="E19" s="50"/>
      <c r="F19" s="157"/>
      <c r="G19" s="133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38"/>
    </row>
    <row r="20" spans="2:67" ht="14.05" customHeight="1" x14ac:dyDescent="0.4">
      <c r="B20" s="120" t="s">
        <v>185</v>
      </c>
      <c r="C20" s="4"/>
      <c r="D20" s="153"/>
      <c r="E20" s="50"/>
      <c r="F20" s="157"/>
      <c r="G20" s="134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50"/>
    </row>
    <row r="21" spans="2:67" ht="14.05" customHeight="1" x14ac:dyDescent="0.4">
      <c r="B21" s="3" t="s">
        <v>136</v>
      </c>
      <c r="C21" s="80">
        <v>0</v>
      </c>
      <c r="D21" s="153">
        <f t="shared" ref="D21:D45" ca="1" si="11">SUM(G21:BO21)</f>
        <v>0</v>
      </c>
      <c r="E21" s="81">
        <v>0</v>
      </c>
      <c r="F21" s="155"/>
      <c r="G21" s="134">
        <f ca="1">IFERROR(IF(LEFT(OFFSET(G$2,0,-$C21),3)="A&amp;D",-INDEX('Prelim Budget'!$C$9:$C$33,MATCH('Cash Flow'!$B21,'Prelim Budget'!$B$9:$B$33,0))/'Cash Flow'!$E21,IF(SUM('Cash Flow'!$F21:F21)=-INDEX('Prelim Budget'!$C$9:$C$33,MATCH('Cash Flow'!$B21,'Prelim Budget'!$B$9:$B$33,0)),0,IF('Cash Flow'!F21&lt;&gt;0,'Cash Flow'!F21,0))),0)</f>
        <v>0</v>
      </c>
      <c r="H21" s="153">
        <f ca="1">IFERROR(IF(LEFT(OFFSET(H$2,0,-$C21),3)="A&amp;D",-INDEX('Prelim Budget'!$C$9:$C$33,MATCH('Cash Flow'!$B21,'Prelim Budget'!$B$9:$B$33,0))/'Cash Flow'!$E21,IF(SUM('Cash Flow'!$F21:G21)=-INDEX('Prelim Budget'!$C$9:$C$33,MATCH('Cash Flow'!$B21,'Prelim Budget'!$B$9:$B$33,0)),0,IF('Cash Flow'!G21&lt;&gt;0,'Cash Flow'!G21,0))),0)</f>
        <v>0</v>
      </c>
      <c r="I21" s="153">
        <f ca="1">IFERROR(IF(LEFT(OFFSET(I$2,0,-$C21),3)="A&amp;D",-INDEX('Prelim Budget'!$C$9:$C$33,MATCH('Cash Flow'!$B21,'Prelim Budget'!$B$9:$B$33,0))/'Cash Flow'!$E21,IF(SUM('Cash Flow'!$F21:H21)=-INDEX('Prelim Budget'!$C$9:$C$33,MATCH('Cash Flow'!$B21,'Prelim Budget'!$B$9:$B$33,0)),0,IF('Cash Flow'!H21&lt;&gt;0,'Cash Flow'!H21,0))),0)</f>
        <v>0</v>
      </c>
      <c r="J21" s="153">
        <f ca="1">IFERROR(IF(LEFT(OFFSET(J$2,0,-$C21),3)="A&amp;D",-INDEX('Prelim Budget'!$C$9:$C$33,MATCH('Cash Flow'!$B21,'Prelim Budget'!$B$9:$B$33,0))/'Cash Flow'!$E21,IF(SUM('Cash Flow'!$F21:I21)=-INDEX('Prelim Budget'!$C$9:$C$33,MATCH('Cash Flow'!$B21,'Prelim Budget'!$B$9:$B$33,0)),0,IF('Cash Flow'!I21&lt;&gt;0,'Cash Flow'!I21,0))),0)</f>
        <v>0</v>
      </c>
      <c r="K21" s="153">
        <f ca="1">IFERROR(IF(LEFT(OFFSET(K$2,0,-$C21),3)="A&amp;D",-INDEX('Prelim Budget'!$C$9:$C$33,MATCH('Cash Flow'!$B21,'Prelim Budget'!$B$9:$B$33,0))/'Cash Flow'!$E21,IF(SUM('Cash Flow'!$F21:J21)=-INDEX('Prelim Budget'!$C$9:$C$33,MATCH('Cash Flow'!$B21,'Prelim Budget'!$B$9:$B$33,0)),0,IF('Cash Flow'!J21&lt;&gt;0,'Cash Flow'!J21,0))),0)</f>
        <v>0</v>
      </c>
      <c r="L21" s="153">
        <f ca="1">IFERROR(IF(LEFT(OFFSET(L$2,0,-$C21),3)="A&amp;D",-INDEX('Prelim Budget'!$C$9:$C$33,MATCH('Cash Flow'!$B21,'Prelim Budget'!$B$9:$B$33,0))/'Cash Flow'!$E21,IF(SUM('Cash Flow'!$F21:K21)=-INDEX('Prelim Budget'!$C$9:$C$33,MATCH('Cash Flow'!$B21,'Prelim Budget'!$B$9:$B$33,0)),0,IF('Cash Flow'!K21&lt;&gt;0,'Cash Flow'!K21,0))),0)</f>
        <v>0</v>
      </c>
      <c r="M21" s="153">
        <f ca="1">IFERROR(IF(LEFT(OFFSET(M$2,0,-$C21),3)="A&amp;D",-INDEX('Prelim Budget'!$C$9:$C$33,MATCH('Cash Flow'!$B21,'Prelim Budget'!$B$9:$B$33,0))/'Cash Flow'!$E21,IF(SUM('Cash Flow'!$F21:L21)=-INDEX('Prelim Budget'!$C$9:$C$33,MATCH('Cash Flow'!$B21,'Prelim Budget'!$B$9:$B$33,0)),0,IF('Cash Flow'!L21&lt;&gt;0,'Cash Flow'!L21,0))),0)</f>
        <v>0</v>
      </c>
      <c r="N21" s="153">
        <f ca="1">IFERROR(IF(LEFT(OFFSET(N$2,0,-$C21),3)="A&amp;D",-INDEX('Prelim Budget'!$C$9:$C$33,MATCH('Cash Flow'!$B21,'Prelim Budget'!$B$9:$B$33,0))/'Cash Flow'!$E21,IF(SUM('Cash Flow'!$F21:M21)=-INDEX('Prelim Budget'!$C$9:$C$33,MATCH('Cash Flow'!$B21,'Prelim Budget'!$B$9:$B$33,0)),0,IF('Cash Flow'!M21&lt;&gt;0,'Cash Flow'!M21,0))),0)</f>
        <v>0</v>
      </c>
      <c r="O21" s="153">
        <f ca="1">IFERROR(IF(LEFT(OFFSET(O$2,0,-$C21),3)="A&amp;D",-INDEX('Prelim Budget'!$C$9:$C$33,MATCH('Cash Flow'!$B21,'Prelim Budget'!$B$9:$B$33,0))/'Cash Flow'!$E21,IF(SUM('Cash Flow'!$F21:N21)=-INDEX('Prelim Budget'!$C$9:$C$33,MATCH('Cash Flow'!$B21,'Prelim Budget'!$B$9:$B$33,0)),0,IF('Cash Flow'!N21&lt;&gt;0,'Cash Flow'!N21,0))),0)</f>
        <v>0</v>
      </c>
      <c r="P21" s="153">
        <f ca="1">IFERROR(IF(LEFT(OFFSET(P$2,0,-$C21),3)="A&amp;D",-INDEX('Prelim Budget'!$C$9:$C$33,MATCH('Cash Flow'!$B21,'Prelim Budget'!$B$9:$B$33,0))/'Cash Flow'!$E21,IF(SUM('Cash Flow'!$F21:O21)=-INDEX('Prelim Budget'!$C$9:$C$33,MATCH('Cash Flow'!$B21,'Prelim Budget'!$B$9:$B$33,0)),0,IF('Cash Flow'!O21&lt;&gt;0,'Cash Flow'!O21,0))),0)</f>
        <v>0</v>
      </c>
      <c r="Q21" s="153">
        <f ca="1">IFERROR(IF(LEFT(OFFSET(Q$2,0,-$C21),3)="A&amp;D",-INDEX('Prelim Budget'!$C$9:$C$33,MATCH('Cash Flow'!$B21,'Prelim Budget'!$B$9:$B$33,0))/'Cash Flow'!$E21,IF(SUM('Cash Flow'!$F21:P21)=-INDEX('Prelim Budget'!$C$9:$C$33,MATCH('Cash Flow'!$B21,'Prelim Budget'!$B$9:$B$33,0)),0,IF('Cash Flow'!P21&lt;&gt;0,'Cash Flow'!P21,0))),0)</f>
        <v>0</v>
      </c>
      <c r="R21" s="153">
        <f ca="1">IFERROR(IF(LEFT(OFFSET(R$2,0,-$C21),3)="A&amp;D",-INDEX('Prelim Budget'!$C$9:$C$33,MATCH('Cash Flow'!$B21,'Prelim Budget'!$B$9:$B$33,0))/'Cash Flow'!$E21,IF(SUM('Cash Flow'!$F21:Q21)=-INDEX('Prelim Budget'!$C$9:$C$33,MATCH('Cash Flow'!$B21,'Prelim Budget'!$B$9:$B$33,0)),0,IF('Cash Flow'!Q21&lt;&gt;0,'Cash Flow'!Q21,0))),0)</f>
        <v>0</v>
      </c>
      <c r="S21" s="153">
        <f ca="1">IFERROR(IF(LEFT(OFFSET(S$2,0,-$C21),3)="A&amp;D",-INDEX('Prelim Budget'!$C$9:$C$33,MATCH('Cash Flow'!$B21,'Prelim Budget'!$B$9:$B$33,0))/'Cash Flow'!$E21,IF(SUM('Cash Flow'!$F21:R21)=-INDEX('Prelim Budget'!$C$9:$C$33,MATCH('Cash Flow'!$B21,'Prelim Budget'!$B$9:$B$33,0)),0,IF('Cash Flow'!R21&lt;&gt;0,'Cash Flow'!R21,0))),0)</f>
        <v>0</v>
      </c>
      <c r="T21" s="153">
        <f ca="1">IFERROR(IF(LEFT(OFFSET(T$2,0,-$C21),3)="A&amp;D",-INDEX('Prelim Budget'!$C$9:$C$33,MATCH('Cash Flow'!$B21,'Prelim Budget'!$B$9:$B$33,0))/'Cash Flow'!$E21,IF(SUM('Cash Flow'!$F21:S21)=-INDEX('Prelim Budget'!$C$9:$C$33,MATCH('Cash Flow'!$B21,'Prelim Budget'!$B$9:$B$33,0)),0,IF('Cash Flow'!S21&lt;&gt;0,'Cash Flow'!S21,0))),0)</f>
        <v>0</v>
      </c>
      <c r="U21" s="153">
        <f ca="1">IFERROR(IF(LEFT(OFFSET(U$2,0,-$C21),3)="A&amp;D",-INDEX('Prelim Budget'!$C$9:$C$33,MATCH('Cash Flow'!$B21,'Prelim Budget'!$B$9:$B$33,0))/'Cash Flow'!$E21,IF(SUM('Cash Flow'!$F21:T21)=-INDEX('Prelim Budget'!$C$9:$C$33,MATCH('Cash Flow'!$B21,'Prelim Budget'!$B$9:$B$33,0)),0,IF('Cash Flow'!T21&lt;&gt;0,'Cash Flow'!T21,0))),0)</f>
        <v>0</v>
      </c>
      <c r="V21" s="153">
        <f ca="1">IFERROR(IF(LEFT(OFFSET(V$2,0,-$C21),3)="A&amp;D",-INDEX('Prelim Budget'!$C$9:$C$33,MATCH('Cash Flow'!$B21,'Prelim Budget'!$B$9:$B$33,0))/'Cash Flow'!$E21,IF(SUM('Cash Flow'!$F21:U21)=-INDEX('Prelim Budget'!$C$9:$C$33,MATCH('Cash Flow'!$B21,'Prelim Budget'!$B$9:$B$33,0)),0,IF('Cash Flow'!U21&lt;&gt;0,'Cash Flow'!U21,0))),0)</f>
        <v>0</v>
      </c>
      <c r="W21" s="153">
        <f ca="1">IFERROR(IF(LEFT(OFFSET(W$2,0,-$C21),3)="A&amp;D",-INDEX('Prelim Budget'!$C$9:$C$33,MATCH('Cash Flow'!$B21,'Prelim Budget'!$B$9:$B$33,0))/'Cash Flow'!$E21,IF(SUM('Cash Flow'!$F21:V21)=-INDEX('Prelim Budget'!$C$9:$C$33,MATCH('Cash Flow'!$B21,'Prelim Budget'!$B$9:$B$33,0)),0,IF('Cash Flow'!V21&lt;&gt;0,'Cash Flow'!V21,0))),0)</f>
        <v>0</v>
      </c>
      <c r="X21" s="153">
        <f ca="1">IFERROR(IF(LEFT(OFFSET(X$2,0,-$C21),3)="A&amp;D",-INDEX('Prelim Budget'!$C$9:$C$33,MATCH('Cash Flow'!$B21,'Prelim Budget'!$B$9:$B$33,0))/'Cash Flow'!$E21,IF(SUM('Cash Flow'!$F21:W21)=-INDEX('Prelim Budget'!$C$9:$C$33,MATCH('Cash Flow'!$B21,'Prelim Budget'!$B$9:$B$33,0)),0,IF('Cash Flow'!W21&lt;&gt;0,'Cash Flow'!W21,0))),0)</f>
        <v>0</v>
      </c>
      <c r="Y21" s="153">
        <f ca="1">IFERROR(IF(LEFT(OFFSET(Y$2,0,-$C21),3)="A&amp;D",-INDEX('Prelim Budget'!$C$9:$C$33,MATCH('Cash Flow'!$B21,'Prelim Budget'!$B$9:$B$33,0))/'Cash Flow'!$E21,IF(SUM('Cash Flow'!$F21:X21)=-INDEX('Prelim Budget'!$C$9:$C$33,MATCH('Cash Flow'!$B21,'Prelim Budget'!$B$9:$B$33,0)),0,IF('Cash Flow'!X21&lt;&gt;0,'Cash Flow'!X21,0))),0)</f>
        <v>0</v>
      </c>
      <c r="Z21" s="153">
        <f ca="1">IFERROR(IF(LEFT(OFFSET(Z$2,0,-$C21),3)="A&amp;D",-INDEX('Prelim Budget'!$C$9:$C$33,MATCH('Cash Flow'!$B21,'Prelim Budget'!$B$9:$B$33,0))/'Cash Flow'!$E21,IF(SUM('Cash Flow'!$F21:Y21)=-INDEX('Prelim Budget'!$C$9:$C$33,MATCH('Cash Flow'!$B21,'Prelim Budget'!$B$9:$B$33,0)),0,IF('Cash Flow'!Y21&lt;&gt;0,'Cash Flow'!Y21,0))),0)</f>
        <v>0</v>
      </c>
      <c r="AA21" s="153">
        <f ca="1">IFERROR(IF(LEFT(OFFSET(AA$2,0,-$C21),3)="A&amp;D",-INDEX('Prelim Budget'!$C$9:$C$33,MATCH('Cash Flow'!$B21,'Prelim Budget'!$B$9:$B$33,0))/'Cash Flow'!$E21,IF(SUM('Cash Flow'!$F21:Z21)=-INDEX('Prelim Budget'!$C$9:$C$33,MATCH('Cash Flow'!$B21,'Prelim Budget'!$B$9:$B$33,0)),0,IF('Cash Flow'!Z21&lt;&gt;0,'Cash Flow'!Z21,0))),0)</f>
        <v>0</v>
      </c>
      <c r="AB21" s="153">
        <f ca="1">IFERROR(IF(LEFT(OFFSET(AB$2,0,-$C21),3)="A&amp;D",-INDEX('Prelim Budget'!$C$9:$C$33,MATCH('Cash Flow'!$B21,'Prelim Budget'!$B$9:$B$33,0))/'Cash Flow'!$E21,IF(SUM('Cash Flow'!$F21:AA21)=-INDEX('Prelim Budget'!$C$9:$C$33,MATCH('Cash Flow'!$B21,'Prelim Budget'!$B$9:$B$33,0)),0,IF('Cash Flow'!AA21&lt;&gt;0,'Cash Flow'!AA21,0))),0)</f>
        <v>0</v>
      </c>
      <c r="AC21" s="153">
        <f ca="1">IFERROR(IF(LEFT(OFFSET(AC$2,0,-$C21),3)="A&amp;D",-INDEX('Prelim Budget'!$C$9:$C$33,MATCH('Cash Flow'!$B21,'Prelim Budget'!$B$9:$B$33,0))/'Cash Flow'!$E21,IF(SUM('Cash Flow'!$F21:AB21)=-INDEX('Prelim Budget'!$C$9:$C$33,MATCH('Cash Flow'!$B21,'Prelim Budget'!$B$9:$B$33,0)),0,IF('Cash Flow'!AB21&lt;&gt;0,'Cash Flow'!AB21,0))),0)</f>
        <v>0</v>
      </c>
      <c r="AD21" s="153">
        <f ca="1">IFERROR(IF(LEFT(OFFSET(AD$2,0,-$C21),3)="A&amp;D",-INDEX('Prelim Budget'!$C$9:$C$33,MATCH('Cash Flow'!$B21,'Prelim Budget'!$B$9:$B$33,0))/'Cash Flow'!$E21,IF(SUM('Cash Flow'!$F21:AC21)=-INDEX('Prelim Budget'!$C$9:$C$33,MATCH('Cash Flow'!$B21,'Prelim Budget'!$B$9:$B$33,0)),0,IF('Cash Flow'!AC21&lt;&gt;0,'Cash Flow'!AC21,0))),0)</f>
        <v>0</v>
      </c>
      <c r="AE21" s="153">
        <f ca="1">IFERROR(IF(LEFT(OFFSET(AE$2,0,-$C21),3)="A&amp;D",-INDEX('Prelim Budget'!$C$9:$C$33,MATCH('Cash Flow'!$B21,'Prelim Budget'!$B$9:$B$33,0))/'Cash Flow'!$E21,IF(SUM('Cash Flow'!$F21:AD21)=-INDEX('Prelim Budget'!$C$9:$C$33,MATCH('Cash Flow'!$B21,'Prelim Budget'!$B$9:$B$33,0)),0,IF('Cash Flow'!AD21&lt;&gt;0,'Cash Flow'!AD21,0))),0)</f>
        <v>0</v>
      </c>
      <c r="AF21" s="153">
        <f ca="1">IFERROR(IF(LEFT(OFFSET(AF$2,0,-$C21),3)="A&amp;D",-INDEX('Prelim Budget'!$C$9:$C$33,MATCH('Cash Flow'!$B21,'Prelim Budget'!$B$9:$B$33,0))/'Cash Flow'!$E21,IF(SUM('Cash Flow'!$F21:AE21)=-INDEX('Prelim Budget'!$C$9:$C$33,MATCH('Cash Flow'!$B21,'Prelim Budget'!$B$9:$B$33,0)),0,IF('Cash Flow'!AE21&lt;&gt;0,'Cash Flow'!AE21,0))),0)</f>
        <v>0</v>
      </c>
      <c r="AG21" s="153">
        <f ca="1">IFERROR(IF(LEFT(OFFSET(AG$2,0,-$C21),3)="A&amp;D",-INDEX('Prelim Budget'!$C$9:$C$33,MATCH('Cash Flow'!$B21,'Prelim Budget'!$B$9:$B$33,0))/'Cash Flow'!$E21,IF(SUM('Cash Flow'!$F21:AF21)=-INDEX('Prelim Budget'!$C$9:$C$33,MATCH('Cash Flow'!$B21,'Prelim Budget'!$B$9:$B$33,0)),0,IF('Cash Flow'!AF21&lt;&gt;0,'Cash Flow'!AF21,0))),0)</f>
        <v>0</v>
      </c>
      <c r="AH21" s="153">
        <f ca="1">IFERROR(IF(LEFT(OFFSET(AH$2,0,-$C21),3)="A&amp;D",-INDEX('Prelim Budget'!$C$9:$C$33,MATCH('Cash Flow'!$B21,'Prelim Budget'!$B$9:$B$33,0))/'Cash Flow'!$E21,IF(SUM('Cash Flow'!$F21:AG21)=-INDEX('Prelim Budget'!$C$9:$C$33,MATCH('Cash Flow'!$B21,'Prelim Budget'!$B$9:$B$33,0)),0,IF('Cash Flow'!AG21&lt;&gt;0,'Cash Flow'!AG21,0))),0)</f>
        <v>0</v>
      </c>
      <c r="AI21" s="153">
        <f ca="1">IFERROR(IF(LEFT(OFFSET(AI$2,0,-$C21),3)="A&amp;D",-INDEX('Prelim Budget'!$C$9:$C$33,MATCH('Cash Flow'!$B21,'Prelim Budget'!$B$9:$B$33,0))/'Cash Flow'!$E21,IF(SUM('Cash Flow'!$F21:AH21)=-INDEX('Prelim Budget'!$C$9:$C$33,MATCH('Cash Flow'!$B21,'Prelim Budget'!$B$9:$B$33,0)),0,IF('Cash Flow'!AH21&lt;&gt;0,'Cash Flow'!AH21,0))),0)</f>
        <v>0</v>
      </c>
      <c r="AJ21" s="153">
        <f ca="1">IFERROR(IF(LEFT(OFFSET(AJ$2,0,-$C21),3)="A&amp;D",-INDEX('Prelim Budget'!$C$9:$C$33,MATCH('Cash Flow'!$B21,'Prelim Budget'!$B$9:$B$33,0))/'Cash Flow'!$E21,IF(SUM('Cash Flow'!$F21:AI21)=-INDEX('Prelim Budget'!$C$9:$C$33,MATCH('Cash Flow'!$B21,'Prelim Budget'!$B$9:$B$33,0)),0,IF('Cash Flow'!AI21&lt;&gt;0,'Cash Flow'!AI21,0))),0)</f>
        <v>0</v>
      </c>
      <c r="AK21" s="153">
        <f ca="1">IFERROR(IF(LEFT(OFFSET(AK$2,0,-$C21),3)="A&amp;D",-INDEX('Prelim Budget'!$C$9:$C$33,MATCH('Cash Flow'!$B21,'Prelim Budget'!$B$9:$B$33,0))/'Cash Flow'!$E21,IF(SUM('Cash Flow'!$F21:AJ21)=-INDEX('Prelim Budget'!$C$9:$C$33,MATCH('Cash Flow'!$B21,'Prelim Budget'!$B$9:$B$33,0)),0,IF('Cash Flow'!AJ21&lt;&gt;0,'Cash Flow'!AJ21,0))),0)</f>
        <v>0</v>
      </c>
      <c r="AL21" s="153">
        <f ca="1">IFERROR(IF(LEFT(OFFSET(AL$2,0,-$C21),3)="A&amp;D",-INDEX('Prelim Budget'!$C$9:$C$33,MATCH('Cash Flow'!$B21,'Prelim Budget'!$B$9:$B$33,0))/'Cash Flow'!$E21,IF(SUM('Cash Flow'!$F21:AK21)=-INDEX('Prelim Budget'!$C$9:$C$33,MATCH('Cash Flow'!$B21,'Prelim Budget'!$B$9:$B$33,0)),0,IF('Cash Flow'!AK21&lt;&gt;0,'Cash Flow'!AK21,0))),0)</f>
        <v>0</v>
      </c>
      <c r="AM21" s="153">
        <f ca="1">IFERROR(IF(LEFT(OFFSET(AM$2,0,-$C21),3)="A&amp;D",-INDEX('Prelim Budget'!$C$9:$C$33,MATCH('Cash Flow'!$B21,'Prelim Budget'!$B$9:$B$33,0))/'Cash Flow'!$E21,IF(SUM('Cash Flow'!$F21:AL21)=-INDEX('Prelim Budget'!$C$9:$C$33,MATCH('Cash Flow'!$B21,'Prelim Budget'!$B$9:$B$33,0)),0,IF('Cash Flow'!AL21&lt;&gt;0,'Cash Flow'!AL21,0))),0)</f>
        <v>0</v>
      </c>
      <c r="AN21" s="153">
        <f ca="1">IFERROR(IF(LEFT(OFFSET(AN$2,0,-$C21),3)="A&amp;D",-INDEX('Prelim Budget'!$C$9:$C$33,MATCH('Cash Flow'!$B21,'Prelim Budget'!$B$9:$B$33,0))/'Cash Flow'!$E21,IF(SUM('Cash Flow'!$F21:AM21)=-INDEX('Prelim Budget'!$C$9:$C$33,MATCH('Cash Flow'!$B21,'Prelim Budget'!$B$9:$B$33,0)),0,IF('Cash Flow'!AM21&lt;&gt;0,'Cash Flow'!AM21,0))),0)</f>
        <v>0</v>
      </c>
      <c r="AO21" s="153">
        <f ca="1">IFERROR(IF(LEFT(OFFSET(AO$2,0,-$C21),3)="A&amp;D",-INDEX('Prelim Budget'!$C$9:$C$33,MATCH('Cash Flow'!$B21,'Prelim Budget'!$B$9:$B$33,0))/'Cash Flow'!$E21,IF(SUM('Cash Flow'!$F21:AN21)=-INDEX('Prelim Budget'!$C$9:$C$33,MATCH('Cash Flow'!$B21,'Prelim Budget'!$B$9:$B$33,0)),0,IF('Cash Flow'!AN21&lt;&gt;0,'Cash Flow'!AN21,0))),0)</f>
        <v>0</v>
      </c>
      <c r="AP21" s="153">
        <f ca="1">IFERROR(IF(LEFT(OFFSET(AP$2,0,-$C21),3)="A&amp;D",-INDEX('Prelim Budget'!$C$9:$C$33,MATCH('Cash Flow'!$B21,'Prelim Budget'!$B$9:$B$33,0))/'Cash Flow'!$E21,IF(SUM('Cash Flow'!$F21:AO21)=-INDEX('Prelim Budget'!$C$9:$C$33,MATCH('Cash Flow'!$B21,'Prelim Budget'!$B$9:$B$33,0)),0,IF('Cash Flow'!AO21&lt;&gt;0,'Cash Flow'!AO21,0))),0)</f>
        <v>0</v>
      </c>
      <c r="AQ21" s="153">
        <f ca="1">IFERROR(IF(LEFT(OFFSET(AQ$2,0,-$C21),3)="A&amp;D",-INDEX('Prelim Budget'!$C$9:$C$33,MATCH('Cash Flow'!$B21,'Prelim Budget'!$B$9:$B$33,0))/'Cash Flow'!$E21,IF(SUM('Cash Flow'!$F21:AP21)=-INDEX('Prelim Budget'!$C$9:$C$33,MATCH('Cash Flow'!$B21,'Prelim Budget'!$B$9:$B$33,0)),0,IF('Cash Flow'!AP21&lt;&gt;0,'Cash Flow'!AP21,0))),0)</f>
        <v>0</v>
      </c>
      <c r="AR21" s="153">
        <f ca="1">IFERROR(IF(LEFT(OFFSET(AR$2,0,-$C21),3)="A&amp;D",-INDEX('Prelim Budget'!$C$9:$C$33,MATCH('Cash Flow'!$B21,'Prelim Budget'!$B$9:$B$33,0))/'Cash Flow'!$E21,IF(SUM('Cash Flow'!$F21:AQ21)=-INDEX('Prelim Budget'!$C$9:$C$33,MATCH('Cash Flow'!$B21,'Prelim Budget'!$B$9:$B$33,0)),0,IF('Cash Flow'!AQ21&lt;&gt;0,'Cash Flow'!AQ21,0))),0)</f>
        <v>0</v>
      </c>
      <c r="AS21" s="153">
        <f ca="1">IFERROR(IF(LEFT(OFFSET(AS$2,0,-$C21),3)="A&amp;D",-INDEX('Prelim Budget'!$C$9:$C$33,MATCH('Cash Flow'!$B21,'Prelim Budget'!$B$9:$B$33,0))/'Cash Flow'!$E21,IF(SUM('Cash Flow'!$F21:AR21)=-INDEX('Prelim Budget'!$C$9:$C$33,MATCH('Cash Flow'!$B21,'Prelim Budget'!$B$9:$B$33,0)),0,IF('Cash Flow'!AR21&lt;&gt;0,'Cash Flow'!AR21,0))),0)</f>
        <v>0</v>
      </c>
      <c r="AT21" s="153">
        <f ca="1">IFERROR(IF(LEFT(OFFSET(AT$2,0,-$C21),3)="A&amp;D",-INDEX('Prelim Budget'!$C$9:$C$33,MATCH('Cash Flow'!$B21,'Prelim Budget'!$B$9:$B$33,0))/'Cash Flow'!$E21,IF(SUM('Cash Flow'!$F21:AS21)=-INDEX('Prelim Budget'!$C$9:$C$33,MATCH('Cash Flow'!$B21,'Prelim Budget'!$B$9:$B$33,0)),0,IF('Cash Flow'!AS21&lt;&gt;0,'Cash Flow'!AS21,0))),0)</f>
        <v>0</v>
      </c>
      <c r="AU21" s="153">
        <f ca="1">IFERROR(IF(LEFT(OFFSET(AU$2,0,-$C21),3)="A&amp;D",-INDEX('Prelim Budget'!$C$9:$C$33,MATCH('Cash Flow'!$B21,'Prelim Budget'!$B$9:$B$33,0))/'Cash Flow'!$E21,IF(SUM('Cash Flow'!$F21:AT21)=-INDEX('Prelim Budget'!$C$9:$C$33,MATCH('Cash Flow'!$B21,'Prelim Budget'!$B$9:$B$33,0)),0,IF('Cash Flow'!AT21&lt;&gt;0,'Cash Flow'!AT21,0))),0)</f>
        <v>0</v>
      </c>
      <c r="AV21" s="153">
        <f ca="1">IFERROR(IF(LEFT(OFFSET(AV$2,0,-$C21),3)="A&amp;D",-INDEX('Prelim Budget'!$C$9:$C$33,MATCH('Cash Flow'!$B21,'Prelim Budget'!$B$9:$B$33,0))/'Cash Flow'!$E21,IF(SUM('Cash Flow'!$F21:AU21)=-INDEX('Prelim Budget'!$C$9:$C$33,MATCH('Cash Flow'!$B21,'Prelim Budget'!$B$9:$B$33,0)),0,IF('Cash Flow'!AU21&lt;&gt;0,'Cash Flow'!AU21,0))),0)</f>
        <v>0</v>
      </c>
      <c r="AW21" s="153">
        <f ca="1">IFERROR(IF(LEFT(OFFSET(AW$2,0,-$C21),3)="A&amp;D",-INDEX('Prelim Budget'!$C$9:$C$33,MATCH('Cash Flow'!$B21,'Prelim Budget'!$B$9:$B$33,0))/'Cash Flow'!$E21,IF(SUM('Cash Flow'!$F21:AV21)=-INDEX('Prelim Budget'!$C$9:$C$33,MATCH('Cash Flow'!$B21,'Prelim Budget'!$B$9:$B$33,0)),0,IF('Cash Flow'!AV21&lt;&gt;0,'Cash Flow'!AV21,0))),0)</f>
        <v>0</v>
      </c>
      <c r="AX21" s="153">
        <f ca="1">IFERROR(IF(LEFT(OFFSET(AX$2,0,-$C21),3)="A&amp;D",-INDEX('Prelim Budget'!$C$9:$C$33,MATCH('Cash Flow'!$B21,'Prelim Budget'!$B$9:$B$33,0))/'Cash Flow'!$E21,IF(SUM('Cash Flow'!$F21:AW21)=-INDEX('Prelim Budget'!$C$9:$C$33,MATCH('Cash Flow'!$B21,'Prelim Budget'!$B$9:$B$33,0)),0,IF('Cash Flow'!AW21&lt;&gt;0,'Cash Flow'!AW21,0))),0)</f>
        <v>0</v>
      </c>
      <c r="AY21" s="153">
        <f ca="1">IFERROR(IF(LEFT(OFFSET(AY$2,0,-$C21),3)="A&amp;D",-INDEX('Prelim Budget'!$C$9:$C$33,MATCH('Cash Flow'!$B21,'Prelim Budget'!$B$9:$B$33,0))/'Cash Flow'!$E21,IF(SUM('Cash Flow'!$F21:AX21)=-INDEX('Prelim Budget'!$C$9:$C$33,MATCH('Cash Flow'!$B21,'Prelim Budget'!$B$9:$B$33,0)),0,IF('Cash Flow'!AX21&lt;&gt;0,'Cash Flow'!AX21,0))),0)</f>
        <v>0</v>
      </c>
      <c r="AZ21" s="153">
        <f ca="1">IFERROR(IF(LEFT(OFFSET(AZ$2,0,-$C21),3)="A&amp;D",-INDEX('Prelim Budget'!$C$9:$C$33,MATCH('Cash Flow'!$B21,'Prelim Budget'!$B$9:$B$33,0))/'Cash Flow'!$E21,IF(SUM('Cash Flow'!$F21:AY21)=-INDEX('Prelim Budget'!$C$9:$C$33,MATCH('Cash Flow'!$B21,'Prelim Budget'!$B$9:$B$33,0)),0,IF('Cash Flow'!AY21&lt;&gt;0,'Cash Flow'!AY21,0))),0)</f>
        <v>0</v>
      </c>
      <c r="BA21" s="153">
        <f ca="1">IFERROR(IF(LEFT(OFFSET(BA$2,0,-$C21),3)="A&amp;D",-INDEX('Prelim Budget'!$C$9:$C$33,MATCH('Cash Flow'!$B21,'Prelim Budget'!$B$9:$B$33,0))/'Cash Flow'!$E21,IF(SUM('Cash Flow'!$F21:AZ21)=-INDEX('Prelim Budget'!$C$9:$C$33,MATCH('Cash Flow'!$B21,'Prelim Budget'!$B$9:$B$33,0)),0,IF('Cash Flow'!AZ21&lt;&gt;0,'Cash Flow'!AZ21,0))),0)</f>
        <v>0</v>
      </c>
      <c r="BB21" s="153">
        <f ca="1">IFERROR(IF(LEFT(OFFSET(BB$2,0,-$C21),3)="A&amp;D",-INDEX('Prelim Budget'!$C$9:$C$33,MATCH('Cash Flow'!$B21,'Prelim Budget'!$B$9:$B$33,0))/'Cash Flow'!$E21,IF(SUM('Cash Flow'!$F21:BA21)=-INDEX('Prelim Budget'!$C$9:$C$33,MATCH('Cash Flow'!$B21,'Prelim Budget'!$B$9:$B$33,0)),0,IF('Cash Flow'!BA21&lt;&gt;0,'Cash Flow'!BA21,0))),0)</f>
        <v>0</v>
      </c>
      <c r="BC21" s="153">
        <f ca="1">IFERROR(IF(LEFT(OFFSET(BC$2,0,-$C21),3)="A&amp;D",-INDEX('Prelim Budget'!$C$9:$C$33,MATCH('Cash Flow'!$B21,'Prelim Budget'!$B$9:$B$33,0))/'Cash Flow'!$E21,IF(SUM('Cash Flow'!$F21:BB21)=-INDEX('Prelim Budget'!$C$9:$C$33,MATCH('Cash Flow'!$B21,'Prelim Budget'!$B$9:$B$33,0)),0,IF('Cash Flow'!BB21&lt;&gt;0,'Cash Flow'!BB21,0))),0)</f>
        <v>0</v>
      </c>
      <c r="BD21" s="153">
        <f ca="1">IFERROR(IF(LEFT(OFFSET(BD$2,0,-$C21),3)="A&amp;D",-INDEX('Prelim Budget'!$C$9:$C$33,MATCH('Cash Flow'!$B21,'Prelim Budget'!$B$9:$B$33,0))/'Cash Flow'!$E21,IF(SUM('Cash Flow'!$F21:BC21)=-INDEX('Prelim Budget'!$C$9:$C$33,MATCH('Cash Flow'!$B21,'Prelim Budget'!$B$9:$B$33,0)),0,IF('Cash Flow'!BC21&lt;&gt;0,'Cash Flow'!BC21,0))),0)</f>
        <v>0</v>
      </c>
      <c r="BE21" s="153">
        <f ca="1">IFERROR(IF(LEFT(OFFSET(BE$2,0,-$C21),3)="A&amp;D",-INDEX('Prelim Budget'!$C$9:$C$33,MATCH('Cash Flow'!$B21,'Prelim Budget'!$B$9:$B$33,0))/'Cash Flow'!$E21,IF(SUM('Cash Flow'!$F21:BD21)=-INDEX('Prelim Budget'!$C$9:$C$33,MATCH('Cash Flow'!$B21,'Prelim Budget'!$B$9:$B$33,0)),0,IF('Cash Flow'!BD21&lt;&gt;0,'Cash Flow'!BD21,0))),0)</f>
        <v>0</v>
      </c>
      <c r="BF21" s="153">
        <f ca="1">IFERROR(IF(LEFT(OFFSET(BF$2,0,-$C21),3)="A&amp;D",-INDEX('Prelim Budget'!$C$9:$C$33,MATCH('Cash Flow'!$B21,'Prelim Budget'!$B$9:$B$33,0))/'Cash Flow'!$E21,IF(SUM('Cash Flow'!$F21:BE21)=-INDEX('Prelim Budget'!$C$9:$C$33,MATCH('Cash Flow'!$B21,'Prelim Budget'!$B$9:$B$33,0)),0,IF('Cash Flow'!BE21&lt;&gt;0,'Cash Flow'!BE21,0))),0)</f>
        <v>0</v>
      </c>
      <c r="BG21" s="153">
        <f ca="1">IFERROR(IF(LEFT(OFFSET(BG$2,0,-$C21),3)="A&amp;D",-INDEX('Prelim Budget'!$C$9:$C$33,MATCH('Cash Flow'!$B21,'Prelim Budget'!$B$9:$B$33,0))/'Cash Flow'!$E21,IF(SUM('Cash Flow'!$F21:BF21)=-INDEX('Prelim Budget'!$C$9:$C$33,MATCH('Cash Flow'!$B21,'Prelim Budget'!$B$9:$B$33,0)),0,IF('Cash Flow'!BF21&lt;&gt;0,'Cash Flow'!BF21,0))),0)</f>
        <v>0</v>
      </c>
      <c r="BH21" s="153">
        <f ca="1">IFERROR(IF(LEFT(OFFSET(BH$2,0,-$C21),3)="A&amp;D",-INDEX('Prelim Budget'!$C$9:$C$33,MATCH('Cash Flow'!$B21,'Prelim Budget'!$B$9:$B$33,0))/'Cash Flow'!$E21,IF(SUM('Cash Flow'!$F21:BG21)=-INDEX('Prelim Budget'!$C$9:$C$33,MATCH('Cash Flow'!$B21,'Prelim Budget'!$B$9:$B$33,0)),0,IF('Cash Flow'!BG21&lt;&gt;0,'Cash Flow'!BG21,0))),0)</f>
        <v>0</v>
      </c>
      <c r="BI21" s="153">
        <f ca="1">IFERROR(IF(LEFT(OFFSET(BI$2,0,-$C21),3)="A&amp;D",-INDEX('Prelim Budget'!$C$9:$C$33,MATCH('Cash Flow'!$B21,'Prelim Budget'!$B$9:$B$33,0))/'Cash Flow'!$E21,IF(SUM('Cash Flow'!$F21:BH21)=-INDEX('Prelim Budget'!$C$9:$C$33,MATCH('Cash Flow'!$B21,'Prelim Budget'!$B$9:$B$33,0)),0,IF('Cash Flow'!BH21&lt;&gt;0,'Cash Flow'!BH21,0))),0)</f>
        <v>0</v>
      </c>
      <c r="BJ21" s="153">
        <f ca="1">IFERROR(IF(LEFT(OFFSET(BJ$2,0,-$C21),3)="A&amp;D",-INDEX('Prelim Budget'!$C$9:$C$33,MATCH('Cash Flow'!$B21,'Prelim Budget'!$B$9:$B$33,0))/'Cash Flow'!$E21,IF(SUM('Cash Flow'!$F21:BI21)=-INDEX('Prelim Budget'!$C$9:$C$33,MATCH('Cash Flow'!$B21,'Prelim Budget'!$B$9:$B$33,0)),0,IF('Cash Flow'!BI21&lt;&gt;0,'Cash Flow'!BI21,0))),0)</f>
        <v>0</v>
      </c>
      <c r="BK21" s="153">
        <f ca="1">IFERROR(IF(LEFT(OFFSET(BK$2,0,-$C21),3)="A&amp;D",-INDEX('Prelim Budget'!$C$9:$C$33,MATCH('Cash Flow'!$B21,'Prelim Budget'!$B$9:$B$33,0))/'Cash Flow'!$E21,IF(SUM('Cash Flow'!$F21:BJ21)=-INDEX('Prelim Budget'!$C$9:$C$33,MATCH('Cash Flow'!$B21,'Prelim Budget'!$B$9:$B$33,0)),0,IF('Cash Flow'!BJ21&lt;&gt;0,'Cash Flow'!BJ21,0))),0)</f>
        <v>0</v>
      </c>
      <c r="BL21" s="153">
        <f ca="1">IFERROR(IF(LEFT(OFFSET(BL$2,0,-$C21),3)="A&amp;D",-INDEX('Prelim Budget'!$C$9:$C$33,MATCH('Cash Flow'!$B21,'Prelim Budget'!$B$9:$B$33,0))/'Cash Flow'!$E21,IF(SUM('Cash Flow'!$F21:BK21)=-INDEX('Prelim Budget'!$C$9:$C$33,MATCH('Cash Flow'!$B21,'Prelim Budget'!$B$9:$B$33,0)),0,IF('Cash Flow'!BK21&lt;&gt;0,'Cash Flow'!BK21,0))),0)</f>
        <v>0</v>
      </c>
      <c r="BM21" s="153">
        <f ca="1">IFERROR(IF(LEFT(OFFSET(BM$2,0,-$C21),3)="A&amp;D",-INDEX('Prelim Budget'!$C$9:$C$33,MATCH('Cash Flow'!$B21,'Prelim Budget'!$B$9:$B$33,0))/'Cash Flow'!$E21,IF(SUM('Cash Flow'!$F21:BL21)=-INDEX('Prelim Budget'!$C$9:$C$33,MATCH('Cash Flow'!$B21,'Prelim Budget'!$B$9:$B$33,0)),0,IF('Cash Flow'!BL21&lt;&gt;0,'Cash Flow'!BL21,0))),0)</f>
        <v>0</v>
      </c>
      <c r="BN21" s="153">
        <f ca="1">IFERROR(IF(LEFT(OFFSET(BN$2,0,-$C21),3)="A&amp;D",-INDEX('Prelim Budget'!$C$9:$C$33,MATCH('Cash Flow'!$B21,'Prelim Budget'!$B$9:$B$33,0))/'Cash Flow'!$E21,IF(SUM('Cash Flow'!$F21:BM21)=-INDEX('Prelim Budget'!$C$9:$C$33,MATCH('Cash Flow'!$B21,'Prelim Budget'!$B$9:$B$33,0)),0,IF('Cash Flow'!BM21&lt;&gt;0,'Cash Flow'!BM21,0))),0)</f>
        <v>0</v>
      </c>
      <c r="BO21" s="50">
        <f ca="1">IFERROR(IF(LEFT(OFFSET(BO$2,0,-$C21),3)="A&amp;D",-INDEX('Prelim Budget'!$C$9:$C$33,MATCH('Cash Flow'!$B21,'Prelim Budget'!$B$9:$B$33,0))/'Cash Flow'!$E21,IF(SUM('Cash Flow'!$F21:BN21)=-INDEX('Prelim Budget'!$C$9:$C$33,MATCH('Cash Flow'!$B21,'Prelim Budget'!$B$9:$B$33,0)),0,IF('Cash Flow'!BN21&lt;&gt;0,'Cash Flow'!BN21,0))),0)</f>
        <v>0</v>
      </c>
    </row>
    <row r="22" spans="2:67" ht="14.05" customHeight="1" x14ac:dyDescent="0.4">
      <c r="B22" s="123" t="s">
        <v>138</v>
      </c>
      <c r="C22" s="80">
        <v>0</v>
      </c>
      <c r="D22" s="153">
        <f t="shared" ca="1" si="11"/>
        <v>-50000</v>
      </c>
      <c r="E22" s="81">
        <v>1</v>
      </c>
      <c r="F22" s="155"/>
      <c r="G22" s="134">
        <f ca="1">IFERROR(IF(LEFT(OFFSET(G$2,0,-$C22),3)="A&amp;D",-INDEX('Prelim Budget'!$C$9:$C$33,MATCH('Cash Flow'!$B22,'Prelim Budget'!$B$9:$B$33,0))/'Cash Flow'!$E22,IF(SUM('Cash Flow'!$F22:F22)=-INDEX('Prelim Budget'!$C$9:$C$33,MATCH('Cash Flow'!$B22,'Prelim Budget'!$B$9:$B$33,0)),0,IF('Cash Flow'!F22&lt;&gt;0,'Cash Flow'!F22,0))),0)</f>
        <v>0</v>
      </c>
      <c r="H22" s="153">
        <f ca="1">IFERROR(IF(LEFT(OFFSET(H$2,0,-$C22),3)="A&amp;D",-INDEX('Prelim Budget'!$C$9:$C$33,MATCH('Cash Flow'!$B22,'Prelim Budget'!$B$9:$B$33,0))/'Cash Flow'!$E22,IF(SUM('Cash Flow'!$F22:G22)=-INDEX('Prelim Budget'!$C$9:$C$33,MATCH('Cash Flow'!$B22,'Prelim Budget'!$B$9:$B$33,0)),0,IF('Cash Flow'!G22&lt;&gt;0,'Cash Flow'!G22,0))),0)</f>
        <v>0</v>
      </c>
      <c r="I22" s="153">
        <f ca="1">IFERROR(IF(LEFT(OFFSET(I$2,0,-$C22),3)="A&amp;D",-INDEX('Prelim Budget'!$C$9:$C$33,MATCH('Cash Flow'!$B22,'Prelim Budget'!$B$9:$B$33,0))/'Cash Flow'!$E22,IF(SUM('Cash Flow'!$F22:H22)=-INDEX('Prelim Budget'!$C$9:$C$33,MATCH('Cash Flow'!$B22,'Prelim Budget'!$B$9:$B$33,0)),0,IF('Cash Flow'!H22&lt;&gt;0,'Cash Flow'!H22,0))),0)</f>
        <v>0</v>
      </c>
      <c r="J22" s="153">
        <f ca="1">IFERROR(IF(LEFT(OFFSET(J$2,0,-$C22),3)="A&amp;D",-INDEX('Prelim Budget'!$C$9:$C$33,MATCH('Cash Flow'!$B22,'Prelim Budget'!$B$9:$B$33,0))/'Cash Flow'!$E22,IF(SUM('Cash Flow'!$F22:I22)=-INDEX('Prelim Budget'!$C$9:$C$33,MATCH('Cash Flow'!$B22,'Prelim Budget'!$B$9:$B$33,0)),0,IF('Cash Flow'!I22&lt;&gt;0,'Cash Flow'!I22,0))),0)</f>
        <v>0</v>
      </c>
      <c r="K22" s="153">
        <f ca="1">IFERROR(IF(LEFT(OFFSET(K$2,0,-$C22),3)="A&amp;D",-INDEX('Prelim Budget'!$C$9:$C$33,MATCH('Cash Flow'!$B22,'Prelim Budget'!$B$9:$B$33,0))/'Cash Flow'!$E22,IF(SUM('Cash Flow'!$F22:J22)=-INDEX('Prelim Budget'!$C$9:$C$33,MATCH('Cash Flow'!$B22,'Prelim Budget'!$B$9:$B$33,0)),0,IF('Cash Flow'!J22&lt;&gt;0,'Cash Flow'!J22,0))),0)</f>
        <v>0</v>
      </c>
      <c r="L22" s="153">
        <f ca="1">IFERROR(IF(LEFT(OFFSET(L$2,0,-$C22),3)="A&amp;D",-INDEX('Prelim Budget'!$C$9:$C$33,MATCH('Cash Flow'!$B22,'Prelim Budget'!$B$9:$B$33,0))/'Cash Flow'!$E22,IF(SUM('Cash Flow'!$F22:K22)=-INDEX('Prelim Budget'!$C$9:$C$33,MATCH('Cash Flow'!$B22,'Prelim Budget'!$B$9:$B$33,0)),0,IF('Cash Flow'!K22&lt;&gt;0,'Cash Flow'!K22,0))),0)</f>
        <v>0</v>
      </c>
      <c r="M22" s="153">
        <f ca="1">IFERROR(IF(LEFT(OFFSET(M$2,0,-$C22),3)="A&amp;D",-INDEX('Prelim Budget'!$C$9:$C$33,MATCH('Cash Flow'!$B22,'Prelim Budget'!$B$9:$B$33,0))/'Cash Flow'!$E22,IF(SUM('Cash Flow'!$F22:L22)=-INDEX('Prelim Budget'!$C$9:$C$33,MATCH('Cash Flow'!$B22,'Prelim Budget'!$B$9:$B$33,0)),0,IF('Cash Flow'!L22&lt;&gt;0,'Cash Flow'!L22,0))),0)</f>
        <v>-50000</v>
      </c>
      <c r="N22" s="153">
        <f ca="1">IFERROR(IF(LEFT(OFFSET(N$2,0,-$C22),3)="A&amp;D",-INDEX('Prelim Budget'!$C$9:$C$33,MATCH('Cash Flow'!$B22,'Prelim Budget'!$B$9:$B$33,0))/'Cash Flow'!$E22,IF(SUM('Cash Flow'!$F22:M22)=-INDEX('Prelim Budget'!$C$9:$C$33,MATCH('Cash Flow'!$B22,'Prelim Budget'!$B$9:$B$33,0)),0,IF('Cash Flow'!M22&lt;&gt;0,'Cash Flow'!M22,0))),0)</f>
        <v>0</v>
      </c>
      <c r="O22" s="153">
        <f ca="1">IFERROR(IF(LEFT(OFFSET(O$2,0,-$C22),3)="A&amp;D",-INDEX('Prelim Budget'!$C$9:$C$33,MATCH('Cash Flow'!$B22,'Prelim Budget'!$B$9:$B$33,0))/'Cash Flow'!$E22,IF(SUM('Cash Flow'!$F22:N22)=-INDEX('Prelim Budget'!$C$9:$C$33,MATCH('Cash Flow'!$B22,'Prelim Budget'!$B$9:$B$33,0)),0,IF('Cash Flow'!N22&lt;&gt;0,'Cash Flow'!N22,0))),0)</f>
        <v>0</v>
      </c>
      <c r="P22" s="153">
        <f ca="1">IFERROR(IF(LEFT(OFFSET(P$2,0,-$C22),3)="A&amp;D",-INDEX('Prelim Budget'!$C$9:$C$33,MATCH('Cash Flow'!$B22,'Prelim Budget'!$B$9:$B$33,0))/'Cash Flow'!$E22,IF(SUM('Cash Flow'!$F22:O22)=-INDEX('Prelim Budget'!$C$9:$C$33,MATCH('Cash Flow'!$B22,'Prelim Budget'!$B$9:$B$33,0)),0,IF('Cash Flow'!O22&lt;&gt;0,'Cash Flow'!O22,0))),0)</f>
        <v>0</v>
      </c>
      <c r="Q22" s="153">
        <f ca="1">IFERROR(IF(LEFT(OFFSET(Q$2,0,-$C22),3)="A&amp;D",-INDEX('Prelim Budget'!$C$9:$C$33,MATCH('Cash Flow'!$B22,'Prelim Budget'!$B$9:$B$33,0))/'Cash Flow'!$E22,IF(SUM('Cash Flow'!$F22:P22)=-INDEX('Prelim Budget'!$C$9:$C$33,MATCH('Cash Flow'!$B22,'Prelim Budget'!$B$9:$B$33,0)),0,IF('Cash Flow'!P22&lt;&gt;0,'Cash Flow'!P22,0))),0)</f>
        <v>0</v>
      </c>
      <c r="R22" s="153">
        <f ca="1">IFERROR(IF(LEFT(OFFSET(R$2,0,-$C22),3)="A&amp;D",-INDEX('Prelim Budget'!$C$9:$C$33,MATCH('Cash Flow'!$B22,'Prelim Budget'!$B$9:$B$33,0))/'Cash Flow'!$E22,IF(SUM('Cash Flow'!$F22:Q22)=-INDEX('Prelim Budget'!$C$9:$C$33,MATCH('Cash Flow'!$B22,'Prelim Budget'!$B$9:$B$33,0)),0,IF('Cash Flow'!Q22&lt;&gt;0,'Cash Flow'!Q22,0))),0)</f>
        <v>0</v>
      </c>
      <c r="S22" s="153">
        <f ca="1">IFERROR(IF(LEFT(OFFSET(S$2,0,-$C22),3)="A&amp;D",-INDEX('Prelim Budget'!$C$9:$C$33,MATCH('Cash Flow'!$B22,'Prelim Budget'!$B$9:$B$33,0))/'Cash Flow'!$E22,IF(SUM('Cash Flow'!$F22:R22)=-INDEX('Prelim Budget'!$C$9:$C$33,MATCH('Cash Flow'!$B22,'Prelim Budget'!$B$9:$B$33,0)),0,IF('Cash Flow'!R22&lt;&gt;0,'Cash Flow'!R22,0))),0)</f>
        <v>0</v>
      </c>
      <c r="T22" s="153">
        <f ca="1">IFERROR(IF(LEFT(OFFSET(T$2,0,-$C22),3)="A&amp;D",-INDEX('Prelim Budget'!$C$9:$C$33,MATCH('Cash Flow'!$B22,'Prelim Budget'!$B$9:$B$33,0))/'Cash Flow'!$E22,IF(SUM('Cash Flow'!$F22:S22)=-INDEX('Prelim Budget'!$C$9:$C$33,MATCH('Cash Flow'!$B22,'Prelim Budget'!$B$9:$B$33,0)),0,IF('Cash Flow'!S22&lt;&gt;0,'Cash Flow'!S22,0))),0)</f>
        <v>0</v>
      </c>
      <c r="U22" s="153">
        <f ca="1">IFERROR(IF(LEFT(OFFSET(U$2,0,-$C22),3)="A&amp;D",-INDEX('Prelim Budget'!$C$9:$C$33,MATCH('Cash Flow'!$B22,'Prelim Budget'!$B$9:$B$33,0))/'Cash Flow'!$E22,IF(SUM('Cash Flow'!$F22:T22)=-INDEX('Prelim Budget'!$C$9:$C$33,MATCH('Cash Flow'!$B22,'Prelim Budget'!$B$9:$B$33,0)),0,IF('Cash Flow'!T22&lt;&gt;0,'Cash Flow'!T22,0))),0)</f>
        <v>0</v>
      </c>
      <c r="V22" s="153">
        <f ca="1">IFERROR(IF(LEFT(OFFSET(V$2,0,-$C22),3)="A&amp;D",-INDEX('Prelim Budget'!$C$9:$C$33,MATCH('Cash Flow'!$B22,'Prelim Budget'!$B$9:$B$33,0))/'Cash Flow'!$E22,IF(SUM('Cash Flow'!$F22:U22)=-INDEX('Prelim Budget'!$C$9:$C$33,MATCH('Cash Flow'!$B22,'Prelim Budget'!$B$9:$B$33,0)),0,IF('Cash Flow'!U22&lt;&gt;0,'Cash Flow'!U22,0))),0)</f>
        <v>0</v>
      </c>
      <c r="W22" s="153">
        <f ca="1">IFERROR(IF(LEFT(OFFSET(W$2,0,-$C22),3)="A&amp;D",-INDEX('Prelim Budget'!$C$9:$C$33,MATCH('Cash Flow'!$B22,'Prelim Budget'!$B$9:$B$33,0))/'Cash Flow'!$E22,IF(SUM('Cash Flow'!$F22:V22)=-INDEX('Prelim Budget'!$C$9:$C$33,MATCH('Cash Flow'!$B22,'Prelim Budget'!$B$9:$B$33,0)),0,IF('Cash Flow'!V22&lt;&gt;0,'Cash Flow'!V22,0))),0)</f>
        <v>0</v>
      </c>
      <c r="X22" s="153">
        <f ca="1">IFERROR(IF(LEFT(OFFSET(X$2,0,-$C22),3)="A&amp;D",-INDEX('Prelim Budget'!$C$9:$C$33,MATCH('Cash Flow'!$B22,'Prelim Budget'!$B$9:$B$33,0))/'Cash Flow'!$E22,IF(SUM('Cash Flow'!$F22:W22)=-INDEX('Prelim Budget'!$C$9:$C$33,MATCH('Cash Flow'!$B22,'Prelim Budget'!$B$9:$B$33,0)),0,IF('Cash Flow'!W22&lt;&gt;0,'Cash Flow'!W22,0))),0)</f>
        <v>0</v>
      </c>
      <c r="Y22" s="153">
        <f ca="1">IFERROR(IF(LEFT(OFFSET(Y$2,0,-$C22),3)="A&amp;D",-INDEX('Prelim Budget'!$C$9:$C$33,MATCH('Cash Flow'!$B22,'Prelim Budget'!$B$9:$B$33,0))/'Cash Flow'!$E22,IF(SUM('Cash Flow'!$F22:X22)=-INDEX('Prelim Budget'!$C$9:$C$33,MATCH('Cash Flow'!$B22,'Prelim Budget'!$B$9:$B$33,0)),0,IF('Cash Flow'!X22&lt;&gt;0,'Cash Flow'!X22,0))),0)</f>
        <v>0</v>
      </c>
      <c r="Z22" s="153">
        <f ca="1">IFERROR(IF(LEFT(OFFSET(Z$2,0,-$C22),3)="A&amp;D",-INDEX('Prelim Budget'!$C$9:$C$33,MATCH('Cash Flow'!$B22,'Prelim Budget'!$B$9:$B$33,0))/'Cash Flow'!$E22,IF(SUM('Cash Flow'!$F22:Y22)=-INDEX('Prelim Budget'!$C$9:$C$33,MATCH('Cash Flow'!$B22,'Prelim Budget'!$B$9:$B$33,0)),0,IF('Cash Flow'!Y22&lt;&gt;0,'Cash Flow'!Y22,0))),0)</f>
        <v>0</v>
      </c>
      <c r="AA22" s="153">
        <f ca="1">IFERROR(IF(LEFT(OFFSET(AA$2,0,-$C22),3)="A&amp;D",-INDEX('Prelim Budget'!$C$9:$C$33,MATCH('Cash Flow'!$B22,'Prelim Budget'!$B$9:$B$33,0))/'Cash Flow'!$E22,IF(SUM('Cash Flow'!$F22:Z22)=-INDEX('Prelim Budget'!$C$9:$C$33,MATCH('Cash Flow'!$B22,'Prelim Budget'!$B$9:$B$33,0)),0,IF('Cash Flow'!Z22&lt;&gt;0,'Cash Flow'!Z22,0))),0)</f>
        <v>0</v>
      </c>
      <c r="AB22" s="153">
        <f ca="1">IFERROR(IF(LEFT(OFFSET(AB$2,0,-$C22),3)="A&amp;D",-INDEX('Prelim Budget'!$C$9:$C$33,MATCH('Cash Flow'!$B22,'Prelim Budget'!$B$9:$B$33,0))/'Cash Flow'!$E22,IF(SUM('Cash Flow'!$F22:AA22)=-INDEX('Prelim Budget'!$C$9:$C$33,MATCH('Cash Flow'!$B22,'Prelim Budget'!$B$9:$B$33,0)),0,IF('Cash Flow'!AA22&lt;&gt;0,'Cash Flow'!AA22,0))),0)</f>
        <v>0</v>
      </c>
      <c r="AC22" s="153">
        <f ca="1">IFERROR(IF(LEFT(OFFSET(AC$2,0,-$C22),3)="A&amp;D",-INDEX('Prelim Budget'!$C$9:$C$33,MATCH('Cash Flow'!$B22,'Prelim Budget'!$B$9:$B$33,0))/'Cash Flow'!$E22,IF(SUM('Cash Flow'!$F22:AB22)=-INDEX('Prelim Budget'!$C$9:$C$33,MATCH('Cash Flow'!$B22,'Prelim Budget'!$B$9:$B$33,0)),0,IF('Cash Flow'!AB22&lt;&gt;0,'Cash Flow'!AB22,0))),0)</f>
        <v>0</v>
      </c>
      <c r="AD22" s="153">
        <f ca="1">IFERROR(IF(LEFT(OFFSET(AD$2,0,-$C22),3)="A&amp;D",-INDEX('Prelim Budget'!$C$9:$C$33,MATCH('Cash Flow'!$B22,'Prelim Budget'!$B$9:$B$33,0))/'Cash Flow'!$E22,IF(SUM('Cash Flow'!$F22:AC22)=-INDEX('Prelim Budget'!$C$9:$C$33,MATCH('Cash Flow'!$B22,'Prelim Budget'!$B$9:$B$33,0)),0,IF('Cash Flow'!AC22&lt;&gt;0,'Cash Flow'!AC22,0))),0)</f>
        <v>0</v>
      </c>
      <c r="AE22" s="153">
        <f ca="1">IFERROR(IF(LEFT(OFFSET(AE$2,0,-$C22),3)="A&amp;D",-INDEX('Prelim Budget'!$C$9:$C$33,MATCH('Cash Flow'!$B22,'Prelim Budget'!$B$9:$B$33,0))/'Cash Flow'!$E22,IF(SUM('Cash Flow'!$F22:AD22)=-INDEX('Prelim Budget'!$C$9:$C$33,MATCH('Cash Flow'!$B22,'Prelim Budget'!$B$9:$B$33,0)),0,IF('Cash Flow'!AD22&lt;&gt;0,'Cash Flow'!AD22,0))),0)</f>
        <v>0</v>
      </c>
      <c r="AF22" s="153">
        <f ca="1">IFERROR(IF(LEFT(OFFSET(AF$2,0,-$C22),3)="A&amp;D",-INDEX('Prelim Budget'!$C$9:$C$33,MATCH('Cash Flow'!$B22,'Prelim Budget'!$B$9:$B$33,0))/'Cash Flow'!$E22,IF(SUM('Cash Flow'!$F22:AE22)=-INDEX('Prelim Budget'!$C$9:$C$33,MATCH('Cash Flow'!$B22,'Prelim Budget'!$B$9:$B$33,0)),0,IF('Cash Flow'!AE22&lt;&gt;0,'Cash Flow'!AE22,0))),0)</f>
        <v>0</v>
      </c>
      <c r="AG22" s="153">
        <f ca="1">IFERROR(IF(LEFT(OFFSET(AG$2,0,-$C22),3)="A&amp;D",-INDEX('Prelim Budget'!$C$9:$C$33,MATCH('Cash Flow'!$B22,'Prelim Budget'!$B$9:$B$33,0))/'Cash Flow'!$E22,IF(SUM('Cash Flow'!$F22:AF22)=-INDEX('Prelim Budget'!$C$9:$C$33,MATCH('Cash Flow'!$B22,'Prelim Budget'!$B$9:$B$33,0)),0,IF('Cash Flow'!AF22&lt;&gt;0,'Cash Flow'!AF22,0))),0)</f>
        <v>0</v>
      </c>
      <c r="AH22" s="153">
        <f ca="1">IFERROR(IF(LEFT(OFFSET(AH$2,0,-$C22),3)="A&amp;D",-INDEX('Prelim Budget'!$C$9:$C$33,MATCH('Cash Flow'!$B22,'Prelim Budget'!$B$9:$B$33,0))/'Cash Flow'!$E22,IF(SUM('Cash Flow'!$F22:AG22)=-INDEX('Prelim Budget'!$C$9:$C$33,MATCH('Cash Flow'!$B22,'Prelim Budget'!$B$9:$B$33,0)),0,IF('Cash Flow'!AG22&lt;&gt;0,'Cash Flow'!AG22,0))),0)</f>
        <v>0</v>
      </c>
      <c r="AI22" s="153">
        <f ca="1">IFERROR(IF(LEFT(OFFSET(AI$2,0,-$C22),3)="A&amp;D",-INDEX('Prelim Budget'!$C$9:$C$33,MATCH('Cash Flow'!$B22,'Prelim Budget'!$B$9:$B$33,0))/'Cash Flow'!$E22,IF(SUM('Cash Flow'!$F22:AH22)=-INDEX('Prelim Budget'!$C$9:$C$33,MATCH('Cash Flow'!$B22,'Prelim Budget'!$B$9:$B$33,0)),0,IF('Cash Flow'!AH22&lt;&gt;0,'Cash Flow'!AH22,0))),0)</f>
        <v>0</v>
      </c>
      <c r="AJ22" s="153">
        <f ca="1">IFERROR(IF(LEFT(OFFSET(AJ$2,0,-$C22),3)="A&amp;D",-INDEX('Prelim Budget'!$C$9:$C$33,MATCH('Cash Flow'!$B22,'Prelim Budget'!$B$9:$B$33,0))/'Cash Flow'!$E22,IF(SUM('Cash Flow'!$F22:AI22)=-INDEX('Prelim Budget'!$C$9:$C$33,MATCH('Cash Flow'!$B22,'Prelim Budget'!$B$9:$B$33,0)),0,IF('Cash Flow'!AI22&lt;&gt;0,'Cash Flow'!AI22,0))),0)</f>
        <v>0</v>
      </c>
      <c r="AK22" s="153">
        <f ca="1">IFERROR(IF(LEFT(OFFSET(AK$2,0,-$C22),3)="A&amp;D",-INDEX('Prelim Budget'!$C$9:$C$33,MATCH('Cash Flow'!$B22,'Prelim Budget'!$B$9:$B$33,0))/'Cash Flow'!$E22,IF(SUM('Cash Flow'!$F22:AJ22)=-INDEX('Prelim Budget'!$C$9:$C$33,MATCH('Cash Flow'!$B22,'Prelim Budget'!$B$9:$B$33,0)),0,IF('Cash Flow'!AJ22&lt;&gt;0,'Cash Flow'!AJ22,0))),0)</f>
        <v>0</v>
      </c>
      <c r="AL22" s="153">
        <f ca="1">IFERROR(IF(LEFT(OFFSET(AL$2,0,-$C22),3)="A&amp;D",-INDEX('Prelim Budget'!$C$9:$C$33,MATCH('Cash Flow'!$B22,'Prelim Budget'!$B$9:$B$33,0))/'Cash Flow'!$E22,IF(SUM('Cash Flow'!$F22:AK22)=-INDEX('Prelim Budget'!$C$9:$C$33,MATCH('Cash Flow'!$B22,'Prelim Budget'!$B$9:$B$33,0)),0,IF('Cash Flow'!AK22&lt;&gt;0,'Cash Flow'!AK22,0))),0)</f>
        <v>0</v>
      </c>
      <c r="AM22" s="153">
        <f ca="1">IFERROR(IF(LEFT(OFFSET(AM$2,0,-$C22),3)="A&amp;D",-INDEX('Prelim Budget'!$C$9:$C$33,MATCH('Cash Flow'!$B22,'Prelim Budget'!$B$9:$B$33,0))/'Cash Flow'!$E22,IF(SUM('Cash Flow'!$F22:AL22)=-INDEX('Prelim Budget'!$C$9:$C$33,MATCH('Cash Flow'!$B22,'Prelim Budget'!$B$9:$B$33,0)),0,IF('Cash Flow'!AL22&lt;&gt;0,'Cash Flow'!AL22,0))),0)</f>
        <v>0</v>
      </c>
      <c r="AN22" s="153">
        <f ca="1">IFERROR(IF(LEFT(OFFSET(AN$2,0,-$C22),3)="A&amp;D",-INDEX('Prelim Budget'!$C$9:$C$33,MATCH('Cash Flow'!$B22,'Prelim Budget'!$B$9:$B$33,0))/'Cash Flow'!$E22,IF(SUM('Cash Flow'!$F22:AM22)=-INDEX('Prelim Budget'!$C$9:$C$33,MATCH('Cash Flow'!$B22,'Prelim Budget'!$B$9:$B$33,0)),0,IF('Cash Flow'!AM22&lt;&gt;0,'Cash Flow'!AM22,0))),0)</f>
        <v>0</v>
      </c>
      <c r="AO22" s="153">
        <f ca="1">IFERROR(IF(LEFT(OFFSET(AO$2,0,-$C22),3)="A&amp;D",-INDEX('Prelim Budget'!$C$9:$C$33,MATCH('Cash Flow'!$B22,'Prelim Budget'!$B$9:$B$33,0))/'Cash Flow'!$E22,IF(SUM('Cash Flow'!$F22:AN22)=-INDEX('Prelim Budget'!$C$9:$C$33,MATCH('Cash Flow'!$B22,'Prelim Budget'!$B$9:$B$33,0)),0,IF('Cash Flow'!AN22&lt;&gt;0,'Cash Flow'!AN22,0))),0)</f>
        <v>0</v>
      </c>
      <c r="AP22" s="153">
        <f ca="1">IFERROR(IF(LEFT(OFFSET(AP$2,0,-$C22),3)="A&amp;D",-INDEX('Prelim Budget'!$C$9:$C$33,MATCH('Cash Flow'!$B22,'Prelim Budget'!$B$9:$B$33,0))/'Cash Flow'!$E22,IF(SUM('Cash Flow'!$F22:AO22)=-INDEX('Prelim Budget'!$C$9:$C$33,MATCH('Cash Flow'!$B22,'Prelim Budget'!$B$9:$B$33,0)),0,IF('Cash Flow'!AO22&lt;&gt;0,'Cash Flow'!AO22,0))),0)</f>
        <v>0</v>
      </c>
      <c r="AQ22" s="153">
        <f ca="1">IFERROR(IF(LEFT(OFFSET(AQ$2,0,-$C22),3)="A&amp;D",-INDEX('Prelim Budget'!$C$9:$C$33,MATCH('Cash Flow'!$B22,'Prelim Budget'!$B$9:$B$33,0))/'Cash Flow'!$E22,IF(SUM('Cash Flow'!$F22:AP22)=-INDEX('Prelim Budget'!$C$9:$C$33,MATCH('Cash Flow'!$B22,'Prelim Budget'!$B$9:$B$33,0)),0,IF('Cash Flow'!AP22&lt;&gt;0,'Cash Flow'!AP22,0))),0)</f>
        <v>0</v>
      </c>
      <c r="AR22" s="153">
        <f ca="1">IFERROR(IF(LEFT(OFFSET(AR$2,0,-$C22),3)="A&amp;D",-INDEX('Prelim Budget'!$C$9:$C$33,MATCH('Cash Flow'!$B22,'Prelim Budget'!$B$9:$B$33,0))/'Cash Flow'!$E22,IF(SUM('Cash Flow'!$F22:AQ22)=-INDEX('Prelim Budget'!$C$9:$C$33,MATCH('Cash Flow'!$B22,'Prelim Budget'!$B$9:$B$33,0)),0,IF('Cash Flow'!AQ22&lt;&gt;0,'Cash Flow'!AQ22,0))),0)</f>
        <v>0</v>
      </c>
      <c r="AS22" s="153">
        <f ca="1">IFERROR(IF(LEFT(OFFSET(AS$2,0,-$C22),3)="A&amp;D",-INDEX('Prelim Budget'!$C$9:$C$33,MATCH('Cash Flow'!$B22,'Prelim Budget'!$B$9:$B$33,0))/'Cash Flow'!$E22,IF(SUM('Cash Flow'!$F22:AR22)=-INDEX('Prelim Budget'!$C$9:$C$33,MATCH('Cash Flow'!$B22,'Prelim Budget'!$B$9:$B$33,0)),0,IF('Cash Flow'!AR22&lt;&gt;0,'Cash Flow'!AR22,0))),0)</f>
        <v>0</v>
      </c>
      <c r="AT22" s="153">
        <f ca="1">IFERROR(IF(LEFT(OFFSET(AT$2,0,-$C22),3)="A&amp;D",-INDEX('Prelim Budget'!$C$9:$C$33,MATCH('Cash Flow'!$B22,'Prelim Budget'!$B$9:$B$33,0))/'Cash Flow'!$E22,IF(SUM('Cash Flow'!$F22:AS22)=-INDEX('Prelim Budget'!$C$9:$C$33,MATCH('Cash Flow'!$B22,'Prelim Budget'!$B$9:$B$33,0)),0,IF('Cash Flow'!AS22&lt;&gt;0,'Cash Flow'!AS22,0))),0)</f>
        <v>0</v>
      </c>
      <c r="AU22" s="153">
        <f ca="1">IFERROR(IF(LEFT(OFFSET(AU$2,0,-$C22),3)="A&amp;D",-INDEX('Prelim Budget'!$C$9:$C$33,MATCH('Cash Flow'!$B22,'Prelim Budget'!$B$9:$B$33,0))/'Cash Flow'!$E22,IF(SUM('Cash Flow'!$F22:AT22)=-INDEX('Prelim Budget'!$C$9:$C$33,MATCH('Cash Flow'!$B22,'Prelim Budget'!$B$9:$B$33,0)),0,IF('Cash Flow'!AT22&lt;&gt;0,'Cash Flow'!AT22,0))),0)</f>
        <v>0</v>
      </c>
      <c r="AV22" s="153">
        <f ca="1">IFERROR(IF(LEFT(OFFSET(AV$2,0,-$C22),3)="A&amp;D",-INDEX('Prelim Budget'!$C$9:$C$33,MATCH('Cash Flow'!$B22,'Prelim Budget'!$B$9:$B$33,0))/'Cash Flow'!$E22,IF(SUM('Cash Flow'!$F22:AU22)=-INDEX('Prelim Budget'!$C$9:$C$33,MATCH('Cash Flow'!$B22,'Prelim Budget'!$B$9:$B$33,0)),0,IF('Cash Flow'!AU22&lt;&gt;0,'Cash Flow'!AU22,0))),0)</f>
        <v>0</v>
      </c>
      <c r="AW22" s="153">
        <f ca="1">IFERROR(IF(LEFT(OFFSET(AW$2,0,-$C22),3)="A&amp;D",-INDEX('Prelim Budget'!$C$9:$C$33,MATCH('Cash Flow'!$B22,'Prelim Budget'!$B$9:$B$33,0))/'Cash Flow'!$E22,IF(SUM('Cash Flow'!$F22:AV22)=-INDEX('Prelim Budget'!$C$9:$C$33,MATCH('Cash Flow'!$B22,'Prelim Budget'!$B$9:$B$33,0)),0,IF('Cash Flow'!AV22&lt;&gt;0,'Cash Flow'!AV22,0))),0)</f>
        <v>0</v>
      </c>
      <c r="AX22" s="153">
        <f ca="1">IFERROR(IF(LEFT(OFFSET(AX$2,0,-$C22),3)="A&amp;D",-INDEX('Prelim Budget'!$C$9:$C$33,MATCH('Cash Flow'!$B22,'Prelim Budget'!$B$9:$B$33,0))/'Cash Flow'!$E22,IF(SUM('Cash Flow'!$F22:AW22)=-INDEX('Prelim Budget'!$C$9:$C$33,MATCH('Cash Flow'!$B22,'Prelim Budget'!$B$9:$B$33,0)),0,IF('Cash Flow'!AW22&lt;&gt;0,'Cash Flow'!AW22,0))),0)</f>
        <v>0</v>
      </c>
      <c r="AY22" s="153">
        <f ca="1">IFERROR(IF(LEFT(OFFSET(AY$2,0,-$C22),3)="A&amp;D",-INDEX('Prelim Budget'!$C$9:$C$33,MATCH('Cash Flow'!$B22,'Prelim Budget'!$B$9:$B$33,0))/'Cash Flow'!$E22,IF(SUM('Cash Flow'!$F22:AX22)=-INDEX('Prelim Budget'!$C$9:$C$33,MATCH('Cash Flow'!$B22,'Prelim Budget'!$B$9:$B$33,0)),0,IF('Cash Flow'!AX22&lt;&gt;0,'Cash Flow'!AX22,0))),0)</f>
        <v>0</v>
      </c>
      <c r="AZ22" s="153">
        <f ca="1">IFERROR(IF(LEFT(OFFSET(AZ$2,0,-$C22),3)="A&amp;D",-INDEX('Prelim Budget'!$C$9:$C$33,MATCH('Cash Flow'!$B22,'Prelim Budget'!$B$9:$B$33,0))/'Cash Flow'!$E22,IF(SUM('Cash Flow'!$F22:AY22)=-INDEX('Prelim Budget'!$C$9:$C$33,MATCH('Cash Flow'!$B22,'Prelim Budget'!$B$9:$B$33,0)),0,IF('Cash Flow'!AY22&lt;&gt;0,'Cash Flow'!AY22,0))),0)</f>
        <v>0</v>
      </c>
      <c r="BA22" s="153">
        <f ca="1">IFERROR(IF(LEFT(OFFSET(BA$2,0,-$C22),3)="A&amp;D",-INDEX('Prelim Budget'!$C$9:$C$33,MATCH('Cash Flow'!$B22,'Prelim Budget'!$B$9:$B$33,0))/'Cash Flow'!$E22,IF(SUM('Cash Flow'!$F22:AZ22)=-INDEX('Prelim Budget'!$C$9:$C$33,MATCH('Cash Flow'!$B22,'Prelim Budget'!$B$9:$B$33,0)),0,IF('Cash Flow'!AZ22&lt;&gt;0,'Cash Flow'!AZ22,0))),0)</f>
        <v>0</v>
      </c>
      <c r="BB22" s="153">
        <f ca="1">IFERROR(IF(LEFT(OFFSET(BB$2,0,-$C22),3)="A&amp;D",-INDEX('Prelim Budget'!$C$9:$C$33,MATCH('Cash Flow'!$B22,'Prelim Budget'!$B$9:$B$33,0))/'Cash Flow'!$E22,IF(SUM('Cash Flow'!$F22:BA22)=-INDEX('Prelim Budget'!$C$9:$C$33,MATCH('Cash Flow'!$B22,'Prelim Budget'!$B$9:$B$33,0)),0,IF('Cash Flow'!BA22&lt;&gt;0,'Cash Flow'!BA22,0))),0)</f>
        <v>0</v>
      </c>
      <c r="BC22" s="153">
        <f ca="1">IFERROR(IF(LEFT(OFFSET(BC$2,0,-$C22),3)="A&amp;D",-INDEX('Prelim Budget'!$C$9:$C$33,MATCH('Cash Flow'!$B22,'Prelim Budget'!$B$9:$B$33,0))/'Cash Flow'!$E22,IF(SUM('Cash Flow'!$F22:BB22)=-INDEX('Prelim Budget'!$C$9:$C$33,MATCH('Cash Flow'!$B22,'Prelim Budget'!$B$9:$B$33,0)),0,IF('Cash Flow'!BB22&lt;&gt;0,'Cash Flow'!BB22,0))),0)</f>
        <v>0</v>
      </c>
      <c r="BD22" s="153">
        <f ca="1">IFERROR(IF(LEFT(OFFSET(BD$2,0,-$C22),3)="A&amp;D",-INDEX('Prelim Budget'!$C$9:$C$33,MATCH('Cash Flow'!$B22,'Prelim Budget'!$B$9:$B$33,0))/'Cash Flow'!$E22,IF(SUM('Cash Flow'!$F22:BC22)=-INDEX('Prelim Budget'!$C$9:$C$33,MATCH('Cash Flow'!$B22,'Prelim Budget'!$B$9:$B$33,0)),0,IF('Cash Flow'!BC22&lt;&gt;0,'Cash Flow'!BC22,0))),0)</f>
        <v>0</v>
      </c>
      <c r="BE22" s="153">
        <f ca="1">IFERROR(IF(LEFT(OFFSET(BE$2,0,-$C22),3)="A&amp;D",-INDEX('Prelim Budget'!$C$9:$C$33,MATCH('Cash Flow'!$B22,'Prelim Budget'!$B$9:$B$33,0))/'Cash Flow'!$E22,IF(SUM('Cash Flow'!$F22:BD22)=-INDEX('Prelim Budget'!$C$9:$C$33,MATCH('Cash Flow'!$B22,'Prelim Budget'!$B$9:$B$33,0)),0,IF('Cash Flow'!BD22&lt;&gt;0,'Cash Flow'!BD22,0))),0)</f>
        <v>0</v>
      </c>
      <c r="BF22" s="153">
        <f ca="1">IFERROR(IF(LEFT(OFFSET(BF$2,0,-$C22),3)="A&amp;D",-INDEX('Prelim Budget'!$C$9:$C$33,MATCH('Cash Flow'!$B22,'Prelim Budget'!$B$9:$B$33,0))/'Cash Flow'!$E22,IF(SUM('Cash Flow'!$F22:BE22)=-INDEX('Prelim Budget'!$C$9:$C$33,MATCH('Cash Flow'!$B22,'Prelim Budget'!$B$9:$B$33,0)),0,IF('Cash Flow'!BE22&lt;&gt;0,'Cash Flow'!BE22,0))),0)</f>
        <v>0</v>
      </c>
      <c r="BG22" s="153">
        <f ca="1">IFERROR(IF(LEFT(OFFSET(BG$2,0,-$C22),3)="A&amp;D",-INDEX('Prelim Budget'!$C$9:$C$33,MATCH('Cash Flow'!$B22,'Prelim Budget'!$B$9:$B$33,0))/'Cash Flow'!$E22,IF(SUM('Cash Flow'!$F22:BF22)=-INDEX('Prelim Budget'!$C$9:$C$33,MATCH('Cash Flow'!$B22,'Prelim Budget'!$B$9:$B$33,0)),0,IF('Cash Flow'!BF22&lt;&gt;0,'Cash Flow'!BF22,0))),0)</f>
        <v>0</v>
      </c>
      <c r="BH22" s="153">
        <f ca="1">IFERROR(IF(LEFT(OFFSET(BH$2,0,-$C22),3)="A&amp;D",-INDEX('Prelim Budget'!$C$9:$C$33,MATCH('Cash Flow'!$B22,'Prelim Budget'!$B$9:$B$33,0))/'Cash Flow'!$E22,IF(SUM('Cash Flow'!$F22:BG22)=-INDEX('Prelim Budget'!$C$9:$C$33,MATCH('Cash Flow'!$B22,'Prelim Budget'!$B$9:$B$33,0)),0,IF('Cash Flow'!BG22&lt;&gt;0,'Cash Flow'!BG22,0))),0)</f>
        <v>0</v>
      </c>
      <c r="BI22" s="153">
        <f ca="1">IFERROR(IF(LEFT(OFFSET(BI$2,0,-$C22),3)="A&amp;D",-INDEX('Prelim Budget'!$C$9:$C$33,MATCH('Cash Flow'!$B22,'Prelim Budget'!$B$9:$B$33,0))/'Cash Flow'!$E22,IF(SUM('Cash Flow'!$F22:BH22)=-INDEX('Prelim Budget'!$C$9:$C$33,MATCH('Cash Flow'!$B22,'Prelim Budget'!$B$9:$B$33,0)),0,IF('Cash Flow'!BH22&lt;&gt;0,'Cash Flow'!BH22,0))),0)</f>
        <v>0</v>
      </c>
      <c r="BJ22" s="153">
        <f ca="1">IFERROR(IF(LEFT(OFFSET(BJ$2,0,-$C22),3)="A&amp;D",-INDEX('Prelim Budget'!$C$9:$C$33,MATCH('Cash Flow'!$B22,'Prelim Budget'!$B$9:$B$33,0))/'Cash Flow'!$E22,IF(SUM('Cash Flow'!$F22:BI22)=-INDEX('Prelim Budget'!$C$9:$C$33,MATCH('Cash Flow'!$B22,'Prelim Budget'!$B$9:$B$33,0)),0,IF('Cash Flow'!BI22&lt;&gt;0,'Cash Flow'!BI22,0))),0)</f>
        <v>0</v>
      </c>
      <c r="BK22" s="153">
        <f ca="1">IFERROR(IF(LEFT(OFFSET(BK$2,0,-$C22),3)="A&amp;D",-INDEX('Prelim Budget'!$C$9:$C$33,MATCH('Cash Flow'!$B22,'Prelim Budget'!$B$9:$B$33,0))/'Cash Flow'!$E22,IF(SUM('Cash Flow'!$F22:BJ22)=-INDEX('Prelim Budget'!$C$9:$C$33,MATCH('Cash Flow'!$B22,'Prelim Budget'!$B$9:$B$33,0)),0,IF('Cash Flow'!BJ22&lt;&gt;0,'Cash Flow'!BJ22,0))),0)</f>
        <v>0</v>
      </c>
      <c r="BL22" s="153">
        <f ca="1">IFERROR(IF(LEFT(OFFSET(BL$2,0,-$C22),3)="A&amp;D",-INDEX('Prelim Budget'!$C$9:$C$33,MATCH('Cash Flow'!$B22,'Prelim Budget'!$B$9:$B$33,0))/'Cash Flow'!$E22,IF(SUM('Cash Flow'!$F22:BK22)=-INDEX('Prelim Budget'!$C$9:$C$33,MATCH('Cash Flow'!$B22,'Prelim Budget'!$B$9:$B$33,0)),0,IF('Cash Flow'!BK22&lt;&gt;0,'Cash Flow'!BK22,0))),0)</f>
        <v>0</v>
      </c>
      <c r="BM22" s="153">
        <f ca="1">IFERROR(IF(LEFT(OFFSET(BM$2,0,-$C22),3)="A&amp;D",-INDEX('Prelim Budget'!$C$9:$C$33,MATCH('Cash Flow'!$B22,'Prelim Budget'!$B$9:$B$33,0))/'Cash Flow'!$E22,IF(SUM('Cash Flow'!$F22:BL22)=-INDEX('Prelim Budget'!$C$9:$C$33,MATCH('Cash Flow'!$B22,'Prelim Budget'!$B$9:$B$33,0)),0,IF('Cash Flow'!BL22&lt;&gt;0,'Cash Flow'!BL22,0))),0)</f>
        <v>0</v>
      </c>
      <c r="BN22" s="153">
        <f ca="1">IFERROR(IF(LEFT(OFFSET(BN$2,0,-$C22),3)="A&amp;D",-INDEX('Prelim Budget'!$C$9:$C$33,MATCH('Cash Flow'!$B22,'Prelim Budget'!$B$9:$B$33,0))/'Cash Flow'!$E22,IF(SUM('Cash Flow'!$F22:BM22)=-INDEX('Prelim Budget'!$C$9:$C$33,MATCH('Cash Flow'!$B22,'Prelim Budget'!$B$9:$B$33,0)),0,IF('Cash Flow'!BM22&lt;&gt;0,'Cash Flow'!BM22,0))),0)</f>
        <v>0</v>
      </c>
      <c r="BO22" s="50">
        <f ca="1">IFERROR(IF(LEFT(OFFSET(BO$2,0,-$C22),3)="A&amp;D",-INDEX('Prelim Budget'!$C$9:$C$33,MATCH('Cash Flow'!$B22,'Prelim Budget'!$B$9:$B$33,0))/'Cash Flow'!$E22,IF(SUM('Cash Flow'!$F22:BN22)=-INDEX('Prelim Budget'!$C$9:$C$33,MATCH('Cash Flow'!$B22,'Prelim Budget'!$B$9:$B$33,0)),0,IF('Cash Flow'!BN22&lt;&gt;0,'Cash Flow'!BN22,0))),0)</f>
        <v>0</v>
      </c>
    </row>
    <row r="23" spans="2:67" ht="14.05" customHeight="1" x14ac:dyDescent="0.4">
      <c r="B23" s="3" t="s">
        <v>140</v>
      </c>
      <c r="C23" s="80">
        <v>1</v>
      </c>
      <c r="D23" s="153">
        <f t="shared" ca="1" si="11"/>
        <v>-29504.999999999996</v>
      </c>
      <c r="E23" s="81">
        <v>1</v>
      </c>
      <c r="F23" s="157"/>
      <c r="G23" s="134">
        <f ca="1">IFERROR(IF(LEFT(OFFSET(G$2,0,-$C23),3)="A&amp;D",-INDEX('Prelim Budget'!$C$9:$C$33,MATCH('Cash Flow'!$B23,'Prelim Budget'!$B$9:$B$33,0))/'Cash Flow'!$E23,IF(SUM('Cash Flow'!$F23:F23)=-INDEX('Prelim Budget'!$C$9:$C$33,MATCH('Cash Flow'!$B23,'Prelim Budget'!$B$9:$B$33,0)),0,IF('Cash Flow'!F23&lt;&gt;0,'Cash Flow'!F23,0))),0)</f>
        <v>0</v>
      </c>
      <c r="H23" s="153">
        <f ca="1">IFERROR(IF(LEFT(OFFSET(H$2,0,-$C23),3)="A&amp;D",-INDEX('Prelim Budget'!$C$9:$C$33,MATCH('Cash Flow'!$B23,'Prelim Budget'!$B$9:$B$33,0))/'Cash Flow'!$E23,IF(SUM('Cash Flow'!$F23:G23)=-INDEX('Prelim Budget'!$C$9:$C$33,MATCH('Cash Flow'!$B23,'Prelim Budget'!$B$9:$B$33,0)),0,IF('Cash Flow'!G23&lt;&gt;0,'Cash Flow'!G23,0))),0)</f>
        <v>0</v>
      </c>
      <c r="I23" s="153">
        <f ca="1">IFERROR(IF(LEFT(OFFSET(I$2,0,-$C23),3)="A&amp;D",-INDEX('Prelim Budget'!$C$9:$C$33,MATCH('Cash Flow'!$B23,'Prelim Budget'!$B$9:$B$33,0))/'Cash Flow'!$E23,IF(SUM('Cash Flow'!$F23:H23)=-INDEX('Prelim Budget'!$C$9:$C$33,MATCH('Cash Flow'!$B23,'Prelim Budget'!$B$9:$B$33,0)),0,IF('Cash Flow'!H23&lt;&gt;0,'Cash Flow'!H23,0))),0)</f>
        <v>0</v>
      </c>
      <c r="J23" s="153">
        <f ca="1">IFERROR(IF(LEFT(OFFSET(J$2,0,-$C23),3)="A&amp;D",-INDEX('Prelim Budget'!$C$9:$C$33,MATCH('Cash Flow'!$B23,'Prelim Budget'!$B$9:$B$33,0))/'Cash Flow'!$E23,IF(SUM('Cash Flow'!$F23:I23)=-INDEX('Prelim Budget'!$C$9:$C$33,MATCH('Cash Flow'!$B23,'Prelim Budget'!$B$9:$B$33,0)),0,IF('Cash Flow'!I23&lt;&gt;0,'Cash Flow'!I23,0))),0)</f>
        <v>0</v>
      </c>
      <c r="K23" s="153">
        <f ca="1">IFERROR(IF(LEFT(OFFSET(K$2,0,-$C23),3)="A&amp;D",-INDEX('Prelim Budget'!$C$9:$C$33,MATCH('Cash Flow'!$B23,'Prelim Budget'!$B$9:$B$33,0))/'Cash Flow'!$E23,IF(SUM('Cash Flow'!$F23:J23)=-INDEX('Prelim Budget'!$C$9:$C$33,MATCH('Cash Flow'!$B23,'Prelim Budget'!$B$9:$B$33,0)),0,IF('Cash Flow'!J23&lt;&gt;0,'Cash Flow'!J23,0))),0)</f>
        <v>0</v>
      </c>
      <c r="L23" s="153">
        <f ca="1">IFERROR(IF(LEFT(OFFSET(L$2,0,-$C23),3)="A&amp;D",-INDEX('Prelim Budget'!$C$9:$C$33,MATCH('Cash Flow'!$B23,'Prelim Budget'!$B$9:$B$33,0))/'Cash Flow'!$E23,IF(SUM('Cash Flow'!$F23:K23)=-INDEX('Prelim Budget'!$C$9:$C$33,MATCH('Cash Flow'!$B23,'Prelim Budget'!$B$9:$B$33,0)),0,IF('Cash Flow'!K23&lt;&gt;0,'Cash Flow'!K23,0))),0)</f>
        <v>0</v>
      </c>
      <c r="M23" s="153">
        <f ca="1">IFERROR(IF(LEFT(OFFSET(M$2,0,-$C23),3)="A&amp;D",-INDEX('Prelim Budget'!$C$9:$C$33,MATCH('Cash Flow'!$B23,'Prelim Budget'!$B$9:$B$33,0))/'Cash Flow'!$E23,IF(SUM('Cash Flow'!$F23:L23)=-INDEX('Prelim Budget'!$C$9:$C$33,MATCH('Cash Flow'!$B23,'Prelim Budget'!$B$9:$B$33,0)),0,IF('Cash Flow'!L23&lt;&gt;0,'Cash Flow'!L23,0))),0)</f>
        <v>0</v>
      </c>
      <c r="N23" s="153">
        <f ca="1">IFERROR(IF(LEFT(OFFSET(N$2,0,-$C23),3)="A&amp;D",-INDEX('Prelim Budget'!$C$9:$C$33,MATCH('Cash Flow'!$B23,'Prelim Budget'!$B$9:$B$33,0))/'Cash Flow'!$E23,IF(SUM('Cash Flow'!$F23:M23)=-INDEX('Prelim Budget'!$C$9:$C$33,MATCH('Cash Flow'!$B23,'Prelim Budget'!$B$9:$B$33,0)),0,IF('Cash Flow'!M23&lt;&gt;0,'Cash Flow'!M23,0))),0)</f>
        <v>-29504.999999999996</v>
      </c>
      <c r="O23" s="153">
        <f ca="1">IFERROR(IF(LEFT(OFFSET(O$2,0,-$C23),3)="A&amp;D",-INDEX('Prelim Budget'!$C$9:$C$33,MATCH('Cash Flow'!$B23,'Prelim Budget'!$B$9:$B$33,0))/'Cash Flow'!$E23,IF(SUM('Cash Flow'!$F23:N23)=-INDEX('Prelim Budget'!$C$9:$C$33,MATCH('Cash Flow'!$B23,'Prelim Budget'!$B$9:$B$33,0)),0,IF('Cash Flow'!N23&lt;&gt;0,'Cash Flow'!N23,0))),0)</f>
        <v>0</v>
      </c>
      <c r="P23" s="153">
        <f ca="1">IFERROR(IF(LEFT(OFFSET(P$2,0,-$C23),3)="A&amp;D",-INDEX('Prelim Budget'!$C$9:$C$33,MATCH('Cash Flow'!$B23,'Prelim Budget'!$B$9:$B$33,0))/'Cash Flow'!$E23,IF(SUM('Cash Flow'!$F23:O23)=-INDEX('Prelim Budget'!$C$9:$C$33,MATCH('Cash Flow'!$B23,'Prelim Budget'!$B$9:$B$33,0)),0,IF('Cash Flow'!O23&lt;&gt;0,'Cash Flow'!O23,0))),0)</f>
        <v>0</v>
      </c>
      <c r="Q23" s="153">
        <f ca="1">IFERROR(IF(LEFT(OFFSET(Q$2,0,-$C23),3)="A&amp;D",-INDEX('Prelim Budget'!$C$9:$C$33,MATCH('Cash Flow'!$B23,'Prelim Budget'!$B$9:$B$33,0))/'Cash Flow'!$E23,IF(SUM('Cash Flow'!$F23:P23)=-INDEX('Prelim Budget'!$C$9:$C$33,MATCH('Cash Flow'!$B23,'Prelim Budget'!$B$9:$B$33,0)),0,IF('Cash Flow'!P23&lt;&gt;0,'Cash Flow'!P23,0))),0)</f>
        <v>0</v>
      </c>
      <c r="R23" s="153">
        <f ca="1">IFERROR(IF(LEFT(OFFSET(R$2,0,-$C23),3)="A&amp;D",-INDEX('Prelim Budget'!$C$9:$C$33,MATCH('Cash Flow'!$B23,'Prelim Budget'!$B$9:$B$33,0))/'Cash Flow'!$E23,IF(SUM('Cash Flow'!$F23:Q23)=-INDEX('Prelim Budget'!$C$9:$C$33,MATCH('Cash Flow'!$B23,'Prelim Budget'!$B$9:$B$33,0)),0,IF('Cash Flow'!Q23&lt;&gt;0,'Cash Flow'!Q23,0))),0)</f>
        <v>0</v>
      </c>
      <c r="S23" s="153">
        <f ca="1">IFERROR(IF(LEFT(OFFSET(S$2,0,-$C23),3)="A&amp;D",-INDEX('Prelim Budget'!$C$9:$C$33,MATCH('Cash Flow'!$B23,'Prelim Budget'!$B$9:$B$33,0))/'Cash Flow'!$E23,IF(SUM('Cash Flow'!$F23:R23)=-INDEX('Prelim Budget'!$C$9:$C$33,MATCH('Cash Flow'!$B23,'Prelim Budget'!$B$9:$B$33,0)),0,IF('Cash Flow'!R23&lt;&gt;0,'Cash Flow'!R23,0))),0)</f>
        <v>0</v>
      </c>
      <c r="T23" s="153">
        <f ca="1">IFERROR(IF(LEFT(OFFSET(T$2,0,-$C23),3)="A&amp;D",-INDEX('Prelim Budget'!$C$9:$C$33,MATCH('Cash Flow'!$B23,'Prelim Budget'!$B$9:$B$33,0))/'Cash Flow'!$E23,IF(SUM('Cash Flow'!$F23:S23)=-INDEX('Prelim Budget'!$C$9:$C$33,MATCH('Cash Flow'!$B23,'Prelim Budget'!$B$9:$B$33,0)),0,IF('Cash Flow'!S23&lt;&gt;0,'Cash Flow'!S23,0))),0)</f>
        <v>0</v>
      </c>
      <c r="U23" s="153">
        <f ca="1">IFERROR(IF(LEFT(OFFSET(U$2,0,-$C23),3)="A&amp;D",-INDEX('Prelim Budget'!$C$9:$C$33,MATCH('Cash Flow'!$B23,'Prelim Budget'!$B$9:$B$33,0))/'Cash Flow'!$E23,IF(SUM('Cash Flow'!$F23:T23)=-INDEX('Prelim Budget'!$C$9:$C$33,MATCH('Cash Flow'!$B23,'Prelim Budget'!$B$9:$B$33,0)),0,IF('Cash Flow'!T23&lt;&gt;0,'Cash Flow'!T23,0))),0)</f>
        <v>0</v>
      </c>
      <c r="V23" s="153">
        <f ca="1">IFERROR(IF(LEFT(OFFSET(V$2,0,-$C23),3)="A&amp;D",-INDEX('Prelim Budget'!$C$9:$C$33,MATCH('Cash Flow'!$B23,'Prelim Budget'!$B$9:$B$33,0))/'Cash Flow'!$E23,IF(SUM('Cash Flow'!$F23:U23)=-INDEX('Prelim Budget'!$C$9:$C$33,MATCH('Cash Flow'!$B23,'Prelim Budget'!$B$9:$B$33,0)),0,IF('Cash Flow'!U23&lt;&gt;0,'Cash Flow'!U23,0))),0)</f>
        <v>0</v>
      </c>
      <c r="W23" s="153">
        <f ca="1">IFERROR(IF(LEFT(OFFSET(W$2,0,-$C23),3)="A&amp;D",-INDEX('Prelim Budget'!$C$9:$C$33,MATCH('Cash Flow'!$B23,'Prelim Budget'!$B$9:$B$33,0))/'Cash Flow'!$E23,IF(SUM('Cash Flow'!$F23:V23)=-INDEX('Prelim Budget'!$C$9:$C$33,MATCH('Cash Flow'!$B23,'Prelim Budget'!$B$9:$B$33,0)),0,IF('Cash Flow'!V23&lt;&gt;0,'Cash Flow'!V23,0))),0)</f>
        <v>0</v>
      </c>
      <c r="X23" s="153">
        <f ca="1">IFERROR(IF(LEFT(OFFSET(X$2,0,-$C23),3)="A&amp;D",-INDEX('Prelim Budget'!$C$9:$C$33,MATCH('Cash Flow'!$B23,'Prelim Budget'!$B$9:$B$33,0))/'Cash Flow'!$E23,IF(SUM('Cash Flow'!$F23:W23)=-INDEX('Prelim Budget'!$C$9:$C$33,MATCH('Cash Flow'!$B23,'Prelim Budget'!$B$9:$B$33,0)),0,IF('Cash Flow'!W23&lt;&gt;0,'Cash Flow'!W23,0))),0)</f>
        <v>0</v>
      </c>
      <c r="Y23" s="153">
        <f ca="1">IFERROR(IF(LEFT(OFFSET(Y$2,0,-$C23),3)="A&amp;D",-INDEX('Prelim Budget'!$C$9:$C$33,MATCH('Cash Flow'!$B23,'Prelim Budget'!$B$9:$B$33,0))/'Cash Flow'!$E23,IF(SUM('Cash Flow'!$F23:X23)=-INDEX('Prelim Budget'!$C$9:$C$33,MATCH('Cash Flow'!$B23,'Prelim Budget'!$B$9:$B$33,0)),0,IF('Cash Flow'!X23&lt;&gt;0,'Cash Flow'!X23,0))),0)</f>
        <v>0</v>
      </c>
      <c r="Z23" s="153">
        <f ca="1">IFERROR(IF(LEFT(OFFSET(Z$2,0,-$C23),3)="A&amp;D",-INDEX('Prelim Budget'!$C$9:$C$33,MATCH('Cash Flow'!$B23,'Prelim Budget'!$B$9:$B$33,0))/'Cash Flow'!$E23,IF(SUM('Cash Flow'!$F23:Y23)=-INDEX('Prelim Budget'!$C$9:$C$33,MATCH('Cash Flow'!$B23,'Prelim Budget'!$B$9:$B$33,0)),0,IF('Cash Flow'!Y23&lt;&gt;0,'Cash Flow'!Y23,0))),0)</f>
        <v>0</v>
      </c>
      <c r="AA23" s="153">
        <f ca="1">IFERROR(IF(LEFT(OFFSET(AA$2,0,-$C23),3)="A&amp;D",-INDEX('Prelim Budget'!$C$9:$C$33,MATCH('Cash Flow'!$B23,'Prelim Budget'!$B$9:$B$33,0))/'Cash Flow'!$E23,IF(SUM('Cash Flow'!$F23:Z23)=-INDEX('Prelim Budget'!$C$9:$C$33,MATCH('Cash Flow'!$B23,'Prelim Budget'!$B$9:$B$33,0)),0,IF('Cash Flow'!Z23&lt;&gt;0,'Cash Flow'!Z23,0))),0)</f>
        <v>0</v>
      </c>
      <c r="AB23" s="153">
        <f ca="1">IFERROR(IF(LEFT(OFFSET(AB$2,0,-$C23),3)="A&amp;D",-INDEX('Prelim Budget'!$C$9:$C$33,MATCH('Cash Flow'!$B23,'Prelim Budget'!$B$9:$B$33,0))/'Cash Flow'!$E23,IF(SUM('Cash Flow'!$F23:AA23)=-INDEX('Prelim Budget'!$C$9:$C$33,MATCH('Cash Flow'!$B23,'Prelim Budget'!$B$9:$B$33,0)),0,IF('Cash Flow'!AA23&lt;&gt;0,'Cash Flow'!AA23,0))),0)</f>
        <v>0</v>
      </c>
      <c r="AC23" s="153">
        <f ca="1">IFERROR(IF(LEFT(OFFSET(AC$2,0,-$C23),3)="A&amp;D",-INDEX('Prelim Budget'!$C$9:$C$33,MATCH('Cash Flow'!$B23,'Prelim Budget'!$B$9:$B$33,0))/'Cash Flow'!$E23,IF(SUM('Cash Flow'!$F23:AB23)=-INDEX('Prelim Budget'!$C$9:$C$33,MATCH('Cash Flow'!$B23,'Prelim Budget'!$B$9:$B$33,0)),0,IF('Cash Flow'!AB23&lt;&gt;0,'Cash Flow'!AB23,0))),0)</f>
        <v>0</v>
      </c>
      <c r="AD23" s="153">
        <f ca="1">IFERROR(IF(LEFT(OFFSET(AD$2,0,-$C23),3)="A&amp;D",-INDEX('Prelim Budget'!$C$9:$C$33,MATCH('Cash Flow'!$B23,'Prelim Budget'!$B$9:$B$33,0))/'Cash Flow'!$E23,IF(SUM('Cash Flow'!$F23:AC23)=-INDEX('Prelim Budget'!$C$9:$C$33,MATCH('Cash Flow'!$B23,'Prelim Budget'!$B$9:$B$33,0)),0,IF('Cash Flow'!AC23&lt;&gt;0,'Cash Flow'!AC23,0))),0)</f>
        <v>0</v>
      </c>
      <c r="AE23" s="153">
        <f ca="1">IFERROR(IF(LEFT(OFFSET(AE$2,0,-$C23),3)="A&amp;D",-INDEX('Prelim Budget'!$C$9:$C$33,MATCH('Cash Flow'!$B23,'Prelim Budget'!$B$9:$B$33,0))/'Cash Flow'!$E23,IF(SUM('Cash Flow'!$F23:AD23)=-INDEX('Prelim Budget'!$C$9:$C$33,MATCH('Cash Flow'!$B23,'Prelim Budget'!$B$9:$B$33,0)),0,IF('Cash Flow'!AD23&lt;&gt;0,'Cash Flow'!AD23,0))),0)</f>
        <v>0</v>
      </c>
      <c r="AF23" s="153">
        <f ca="1">IFERROR(IF(LEFT(OFFSET(AF$2,0,-$C23),3)="A&amp;D",-INDEX('Prelim Budget'!$C$9:$C$33,MATCH('Cash Flow'!$B23,'Prelim Budget'!$B$9:$B$33,0))/'Cash Flow'!$E23,IF(SUM('Cash Flow'!$F23:AE23)=-INDEX('Prelim Budget'!$C$9:$C$33,MATCH('Cash Flow'!$B23,'Prelim Budget'!$B$9:$B$33,0)),0,IF('Cash Flow'!AE23&lt;&gt;0,'Cash Flow'!AE23,0))),0)</f>
        <v>0</v>
      </c>
      <c r="AG23" s="153">
        <f ca="1">IFERROR(IF(LEFT(OFFSET(AG$2,0,-$C23),3)="A&amp;D",-INDEX('Prelim Budget'!$C$9:$C$33,MATCH('Cash Flow'!$B23,'Prelim Budget'!$B$9:$B$33,0))/'Cash Flow'!$E23,IF(SUM('Cash Flow'!$F23:AF23)=-INDEX('Prelim Budget'!$C$9:$C$33,MATCH('Cash Flow'!$B23,'Prelim Budget'!$B$9:$B$33,0)),0,IF('Cash Flow'!AF23&lt;&gt;0,'Cash Flow'!AF23,0))),0)</f>
        <v>0</v>
      </c>
      <c r="AH23" s="153">
        <f ca="1">IFERROR(IF(LEFT(OFFSET(AH$2,0,-$C23),3)="A&amp;D",-INDEX('Prelim Budget'!$C$9:$C$33,MATCH('Cash Flow'!$B23,'Prelim Budget'!$B$9:$B$33,0))/'Cash Flow'!$E23,IF(SUM('Cash Flow'!$F23:AG23)=-INDEX('Prelim Budget'!$C$9:$C$33,MATCH('Cash Flow'!$B23,'Prelim Budget'!$B$9:$B$33,0)),0,IF('Cash Flow'!AG23&lt;&gt;0,'Cash Flow'!AG23,0))),0)</f>
        <v>0</v>
      </c>
      <c r="AI23" s="153">
        <f ca="1">IFERROR(IF(LEFT(OFFSET(AI$2,0,-$C23),3)="A&amp;D",-INDEX('Prelim Budget'!$C$9:$C$33,MATCH('Cash Flow'!$B23,'Prelim Budget'!$B$9:$B$33,0))/'Cash Flow'!$E23,IF(SUM('Cash Flow'!$F23:AH23)=-INDEX('Prelim Budget'!$C$9:$C$33,MATCH('Cash Flow'!$B23,'Prelim Budget'!$B$9:$B$33,0)),0,IF('Cash Flow'!AH23&lt;&gt;0,'Cash Flow'!AH23,0))),0)</f>
        <v>0</v>
      </c>
      <c r="AJ23" s="153">
        <f ca="1">IFERROR(IF(LEFT(OFFSET(AJ$2,0,-$C23),3)="A&amp;D",-INDEX('Prelim Budget'!$C$9:$C$33,MATCH('Cash Flow'!$B23,'Prelim Budget'!$B$9:$B$33,0))/'Cash Flow'!$E23,IF(SUM('Cash Flow'!$F23:AI23)=-INDEX('Prelim Budget'!$C$9:$C$33,MATCH('Cash Flow'!$B23,'Prelim Budget'!$B$9:$B$33,0)),0,IF('Cash Flow'!AI23&lt;&gt;0,'Cash Flow'!AI23,0))),0)</f>
        <v>0</v>
      </c>
      <c r="AK23" s="153">
        <f ca="1">IFERROR(IF(LEFT(OFFSET(AK$2,0,-$C23),3)="A&amp;D",-INDEX('Prelim Budget'!$C$9:$C$33,MATCH('Cash Flow'!$B23,'Prelim Budget'!$B$9:$B$33,0))/'Cash Flow'!$E23,IF(SUM('Cash Flow'!$F23:AJ23)=-INDEX('Prelim Budget'!$C$9:$C$33,MATCH('Cash Flow'!$B23,'Prelim Budget'!$B$9:$B$33,0)),0,IF('Cash Flow'!AJ23&lt;&gt;0,'Cash Flow'!AJ23,0))),0)</f>
        <v>0</v>
      </c>
      <c r="AL23" s="153">
        <f ca="1">IFERROR(IF(LEFT(OFFSET(AL$2,0,-$C23),3)="A&amp;D",-INDEX('Prelim Budget'!$C$9:$C$33,MATCH('Cash Flow'!$B23,'Prelim Budget'!$B$9:$B$33,0))/'Cash Flow'!$E23,IF(SUM('Cash Flow'!$F23:AK23)=-INDEX('Prelim Budget'!$C$9:$C$33,MATCH('Cash Flow'!$B23,'Prelim Budget'!$B$9:$B$33,0)),0,IF('Cash Flow'!AK23&lt;&gt;0,'Cash Flow'!AK23,0))),0)</f>
        <v>0</v>
      </c>
      <c r="AM23" s="153">
        <f ca="1">IFERROR(IF(LEFT(OFFSET(AM$2,0,-$C23),3)="A&amp;D",-INDEX('Prelim Budget'!$C$9:$C$33,MATCH('Cash Flow'!$B23,'Prelim Budget'!$B$9:$B$33,0))/'Cash Flow'!$E23,IF(SUM('Cash Flow'!$F23:AL23)=-INDEX('Prelim Budget'!$C$9:$C$33,MATCH('Cash Flow'!$B23,'Prelim Budget'!$B$9:$B$33,0)),0,IF('Cash Flow'!AL23&lt;&gt;0,'Cash Flow'!AL23,0))),0)</f>
        <v>0</v>
      </c>
      <c r="AN23" s="153">
        <f ca="1">IFERROR(IF(LEFT(OFFSET(AN$2,0,-$C23),3)="A&amp;D",-INDEX('Prelim Budget'!$C$9:$C$33,MATCH('Cash Flow'!$B23,'Prelim Budget'!$B$9:$B$33,0))/'Cash Flow'!$E23,IF(SUM('Cash Flow'!$F23:AM23)=-INDEX('Prelim Budget'!$C$9:$C$33,MATCH('Cash Flow'!$B23,'Prelim Budget'!$B$9:$B$33,0)),0,IF('Cash Flow'!AM23&lt;&gt;0,'Cash Flow'!AM23,0))),0)</f>
        <v>0</v>
      </c>
      <c r="AO23" s="153">
        <f ca="1">IFERROR(IF(LEFT(OFFSET(AO$2,0,-$C23),3)="A&amp;D",-INDEX('Prelim Budget'!$C$9:$C$33,MATCH('Cash Flow'!$B23,'Prelim Budget'!$B$9:$B$33,0))/'Cash Flow'!$E23,IF(SUM('Cash Flow'!$F23:AN23)=-INDEX('Prelim Budget'!$C$9:$C$33,MATCH('Cash Flow'!$B23,'Prelim Budget'!$B$9:$B$33,0)),0,IF('Cash Flow'!AN23&lt;&gt;0,'Cash Flow'!AN23,0))),0)</f>
        <v>0</v>
      </c>
      <c r="AP23" s="153">
        <f ca="1">IFERROR(IF(LEFT(OFFSET(AP$2,0,-$C23),3)="A&amp;D",-INDEX('Prelim Budget'!$C$9:$C$33,MATCH('Cash Flow'!$B23,'Prelim Budget'!$B$9:$B$33,0))/'Cash Flow'!$E23,IF(SUM('Cash Flow'!$F23:AO23)=-INDEX('Prelim Budget'!$C$9:$C$33,MATCH('Cash Flow'!$B23,'Prelim Budget'!$B$9:$B$33,0)),0,IF('Cash Flow'!AO23&lt;&gt;0,'Cash Flow'!AO23,0))),0)</f>
        <v>0</v>
      </c>
      <c r="AQ23" s="153">
        <f ca="1">IFERROR(IF(LEFT(OFFSET(AQ$2,0,-$C23),3)="A&amp;D",-INDEX('Prelim Budget'!$C$9:$C$33,MATCH('Cash Flow'!$B23,'Prelim Budget'!$B$9:$B$33,0))/'Cash Flow'!$E23,IF(SUM('Cash Flow'!$F23:AP23)=-INDEX('Prelim Budget'!$C$9:$C$33,MATCH('Cash Flow'!$B23,'Prelim Budget'!$B$9:$B$33,0)),0,IF('Cash Flow'!AP23&lt;&gt;0,'Cash Flow'!AP23,0))),0)</f>
        <v>0</v>
      </c>
      <c r="AR23" s="153">
        <f ca="1">IFERROR(IF(LEFT(OFFSET(AR$2,0,-$C23),3)="A&amp;D",-INDEX('Prelim Budget'!$C$9:$C$33,MATCH('Cash Flow'!$B23,'Prelim Budget'!$B$9:$B$33,0))/'Cash Flow'!$E23,IF(SUM('Cash Flow'!$F23:AQ23)=-INDEX('Prelim Budget'!$C$9:$C$33,MATCH('Cash Flow'!$B23,'Prelim Budget'!$B$9:$B$33,0)),0,IF('Cash Flow'!AQ23&lt;&gt;0,'Cash Flow'!AQ23,0))),0)</f>
        <v>0</v>
      </c>
      <c r="AS23" s="153">
        <f ca="1">IFERROR(IF(LEFT(OFFSET(AS$2,0,-$C23),3)="A&amp;D",-INDEX('Prelim Budget'!$C$9:$C$33,MATCH('Cash Flow'!$B23,'Prelim Budget'!$B$9:$B$33,0))/'Cash Flow'!$E23,IF(SUM('Cash Flow'!$F23:AR23)=-INDEX('Prelim Budget'!$C$9:$C$33,MATCH('Cash Flow'!$B23,'Prelim Budget'!$B$9:$B$33,0)),0,IF('Cash Flow'!AR23&lt;&gt;0,'Cash Flow'!AR23,0))),0)</f>
        <v>0</v>
      </c>
      <c r="AT23" s="153">
        <f ca="1">IFERROR(IF(LEFT(OFFSET(AT$2,0,-$C23),3)="A&amp;D",-INDEX('Prelim Budget'!$C$9:$C$33,MATCH('Cash Flow'!$B23,'Prelim Budget'!$B$9:$B$33,0))/'Cash Flow'!$E23,IF(SUM('Cash Flow'!$F23:AS23)=-INDEX('Prelim Budget'!$C$9:$C$33,MATCH('Cash Flow'!$B23,'Prelim Budget'!$B$9:$B$33,0)),0,IF('Cash Flow'!AS23&lt;&gt;0,'Cash Flow'!AS23,0))),0)</f>
        <v>0</v>
      </c>
      <c r="AU23" s="153">
        <f ca="1">IFERROR(IF(LEFT(OFFSET(AU$2,0,-$C23),3)="A&amp;D",-INDEX('Prelim Budget'!$C$9:$C$33,MATCH('Cash Flow'!$B23,'Prelim Budget'!$B$9:$B$33,0))/'Cash Flow'!$E23,IF(SUM('Cash Flow'!$F23:AT23)=-INDEX('Prelim Budget'!$C$9:$C$33,MATCH('Cash Flow'!$B23,'Prelim Budget'!$B$9:$B$33,0)),0,IF('Cash Flow'!AT23&lt;&gt;0,'Cash Flow'!AT23,0))),0)</f>
        <v>0</v>
      </c>
      <c r="AV23" s="153">
        <f ca="1">IFERROR(IF(LEFT(OFFSET(AV$2,0,-$C23),3)="A&amp;D",-INDEX('Prelim Budget'!$C$9:$C$33,MATCH('Cash Flow'!$B23,'Prelim Budget'!$B$9:$B$33,0))/'Cash Flow'!$E23,IF(SUM('Cash Flow'!$F23:AU23)=-INDEX('Prelim Budget'!$C$9:$C$33,MATCH('Cash Flow'!$B23,'Prelim Budget'!$B$9:$B$33,0)),0,IF('Cash Flow'!AU23&lt;&gt;0,'Cash Flow'!AU23,0))),0)</f>
        <v>0</v>
      </c>
      <c r="AW23" s="153">
        <f ca="1">IFERROR(IF(LEFT(OFFSET(AW$2,0,-$C23),3)="A&amp;D",-INDEX('Prelim Budget'!$C$9:$C$33,MATCH('Cash Flow'!$B23,'Prelim Budget'!$B$9:$B$33,0))/'Cash Flow'!$E23,IF(SUM('Cash Flow'!$F23:AV23)=-INDEX('Prelim Budget'!$C$9:$C$33,MATCH('Cash Flow'!$B23,'Prelim Budget'!$B$9:$B$33,0)),0,IF('Cash Flow'!AV23&lt;&gt;0,'Cash Flow'!AV23,0))),0)</f>
        <v>0</v>
      </c>
      <c r="AX23" s="153">
        <f ca="1">IFERROR(IF(LEFT(OFFSET(AX$2,0,-$C23),3)="A&amp;D",-INDEX('Prelim Budget'!$C$9:$C$33,MATCH('Cash Flow'!$B23,'Prelim Budget'!$B$9:$B$33,0))/'Cash Flow'!$E23,IF(SUM('Cash Flow'!$F23:AW23)=-INDEX('Prelim Budget'!$C$9:$C$33,MATCH('Cash Flow'!$B23,'Prelim Budget'!$B$9:$B$33,0)),0,IF('Cash Flow'!AW23&lt;&gt;0,'Cash Flow'!AW23,0))),0)</f>
        <v>0</v>
      </c>
      <c r="AY23" s="153">
        <f ca="1">IFERROR(IF(LEFT(OFFSET(AY$2,0,-$C23),3)="A&amp;D",-INDEX('Prelim Budget'!$C$9:$C$33,MATCH('Cash Flow'!$B23,'Prelim Budget'!$B$9:$B$33,0))/'Cash Flow'!$E23,IF(SUM('Cash Flow'!$F23:AX23)=-INDEX('Prelim Budget'!$C$9:$C$33,MATCH('Cash Flow'!$B23,'Prelim Budget'!$B$9:$B$33,0)),0,IF('Cash Flow'!AX23&lt;&gt;0,'Cash Flow'!AX23,0))),0)</f>
        <v>0</v>
      </c>
      <c r="AZ23" s="153">
        <f ca="1">IFERROR(IF(LEFT(OFFSET(AZ$2,0,-$C23),3)="A&amp;D",-INDEX('Prelim Budget'!$C$9:$C$33,MATCH('Cash Flow'!$B23,'Prelim Budget'!$B$9:$B$33,0))/'Cash Flow'!$E23,IF(SUM('Cash Flow'!$F23:AY23)=-INDEX('Prelim Budget'!$C$9:$C$33,MATCH('Cash Flow'!$B23,'Prelim Budget'!$B$9:$B$33,0)),0,IF('Cash Flow'!AY23&lt;&gt;0,'Cash Flow'!AY23,0))),0)</f>
        <v>0</v>
      </c>
      <c r="BA23" s="153">
        <f ca="1">IFERROR(IF(LEFT(OFFSET(BA$2,0,-$C23),3)="A&amp;D",-INDEX('Prelim Budget'!$C$9:$C$33,MATCH('Cash Flow'!$B23,'Prelim Budget'!$B$9:$B$33,0))/'Cash Flow'!$E23,IF(SUM('Cash Flow'!$F23:AZ23)=-INDEX('Prelim Budget'!$C$9:$C$33,MATCH('Cash Flow'!$B23,'Prelim Budget'!$B$9:$B$33,0)),0,IF('Cash Flow'!AZ23&lt;&gt;0,'Cash Flow'!AZ23,0))),0)</f>
        <v>0</v>
      </c>
      <c r="BB23" s="153">
        <f ca="1">IFERROR(IF(LEFT(OFFSET(BB$2,0,-$C23),3)="A&amp;D",-INDEX('Prelim Budget'!$C$9:$C$33,MATCH('Cash Flow'!$B23,'Prelim Budget'!$B$9:$B$33,0))/'Cash Flow'!$E23,IF(SUM('Cash Flow'!$F23:BA23)=-INDEX('Prelim Budget'!$C$9:$C$33,MATCH('Cash Flow'!$B23,'Prelim Budget'!$B$9:$B$33,0)),0,IF('Cash Flow'!BA23&lt;&gt;0,'Cash Flow'!BA23,0))),0)</f>
        <v>0</v>
      </c>
      <c r="BC23" s="153">
        <f ca="1">IFERROR(IF(LEFT(OFFSET(BC$2,0,-$C23),3)="A&amp;D",-INDEX('Prelim Budget'!$C$9:$C$33,MATCH('Cash Flow'!$B23,'Prelim Budget'!$B$9:$B$33,0))/'Cash Flow'!$E23,IF(SUM('Cash Flow'!$F23:BB23)=-INDEX('Prelim Budget'!$C$9:$C$33,MATCH('Cash Flow'!$B23,'Prelim Budget'!$B$9:$B$33,0)),0,IF('Cash Flow'!BB23&lt;&gt;0,'Cash Flow'!BB23,0))),0)</f>
        <v>0</v>
      </c>
      <c r="BD23" s="153">
        <f ca="1">IFERROR(IF(LEFT(OFFSET(BD$2,0,-$C23),3)="A&amp;D",-INDEX('Prelim Budget'!$C$9:$C$33,MATCH('Cash Flow'!$B23,'Prelim Budget'!$B$9:$B$33,0))/'Cash Flow'!$E23,IF(SUM('Cash Flow'!$F23:BC23)=-INDEX('Prelim Budget'!$C$9:$C$33,MATCH('Cash Flow'!$B23,'Prelim Budget'!$B$9:$B$33,0)),0,IF('Cash Flow'!BC23&lt;&gt;0,'Cash Flow'!BC23,0))),0)</f>
        <v>0</v>
      </c>
      <c r="BE23" s="153">
        <f ca="1">IFERROR(IF(LEFT(OFFSET(BE$2,0,-$C23),3)="A&amp;D",-INDEX('Prelim Budget'!$C$9:$C$33,MATCH('Cash Flow'!$B23,'Prelim Budget'!$B$9:$B$33,0))/'Cash Flow'!$E23,IF(SUM('Cash Flow'!$F23:BD23)=-INDEX('Prelim Budget'!$C$9:$C$33,MATCH('Cash Flow'!$B23,'Prelim Budget'!$B$9:$B$33,0)),0,IF('Cash Flow'!BD23&lt;&gt;0,'Cash Flow'!BD23,0))),0)</f>
        <v>0</v>
      </c>
      <c r="BF23" s="153">
        <f ca="1">IFERROR(IF(LEFT(OFFSET(BF$2,0,-$C23),3)="A&amp;D",-INDEX('Prelim Budget'!$C$9:$C$33,MATCH('Cash Flow'!$B23,'Prelim Budget'!$B$9:$B$33,0))/'Cash Flow'!$E23,IF(SUM('Cash Flow'!$F23:BE23)=-INDEX('Prelim Budget'!$C$9:$C$33,MATCH('Cash Flow'!$B23,'Prelim Budget'!$B$9:$B$33,0)),0,IF('Cash Flow'!BE23&lt;&gt;0,'Cash Flow'!BE23,0))),0)</f>
        <v>0</v>
      </c>
      <c r="BG23" s="153">
        <f ca="1">IFERROR(IF(LEFT(OFFSET(BG$2,0,-$C23),3)="A&amp;D",-INDEX('Prelim Budget'!$C$9:$C$33,MATCH('Cash Flow'!$B23,'Prelim Budget'!$B$9:$B$33,0))/'Cash Flow'!$E23,IF(SUM('Cash Flow'!$F23:BF23)=-INDEX('Prelim Budget'!$C$9:$C$33,MATCH('Cash Flow'!$B23,'Prelim Budget'!$B$9:$B$33,0)),0,IF('Cash Flow'!BF23&lt;&gt;0,'Cash Flow'!BF23,0))),0)</f>
        <v>0</v>
      </c>
      <c r="BH23" s="153">
        <f ca="1">IFERROR(IF(LEFT(OFFSET(BH$2,0,-$C23),3)="A&amp;D",-INDEX('Prelim Budget'!$C$9:$C$33,MATCH('Cash Flow'!$B23,'Prelim Budget'!$B$9:$B$33,0))/'Cash Flow'!$E23,IF(SUM('Cash Flow'!$F23:BG23)=-INDEX('Prelim Budget'!$C$9:$C$33,MATCH('Cash Flow'!$B23,'Prelim Budget'!$B$9:$B$33,0)),0,IF('Cash Flow'!BG23&lt;&gt;0,'Cash Flow'!BG23,0))),0)</f>
        <v>0</v>
      </c>
      <c r="BI23" s="153">
        <f ca="1">IFERROR(IF(LEFT(OFFSET(BI$2,0,-$C23),3)="A&amp;D",-INDEX('Prelim Budget'!$C$9:$C$33,MATCH('Cash Flow'!$B23,'Prelim Budget'!$B$9:$B$33,0))/'Cash Flow'!$E23,IF(SUM('Cash Flow'!$F23:BH23)=-INDEX('Prelim Budget'!$C$9:$C$33,MATCH('Cash Flow'!$B23,'Prelim Budget'!$B$9:$B$33,0)),0,IF('Cash Flow'!BH23&lt;&gt;0,'Cash Flow'!BH23,0))),0)</f>
        <v>0</v>
      </c>
      <c r="BJ23" s="153">
        <f ca="1">IFERROR(IF(LEFT(OFFSET(BJ$2,0,-$C23),3)="A&amp;D",-INDEX('Prelim Budget'!$C$9:$C$33,MATCH('Cash Flow'!$B23,'Prelim Budget'!$B$9:$B$33,0))/'Cash Flow'!$E23,IF(SUM('Cash Flow'!$F23:BI23)=-INDEX('Prelim Budget'!$C$9:$C$33,MATCH('Cash Flow'!$B23,'Prelim Budget'!$B$9:$B$33,0)),0,IF('Cash Flow'!BI23&lt;&gt;0,'Cash Flow'!BI23,0))),0)</f>
        <v>0</v>
      </c>
      <c r="BK23" s="153">
        <f ca="1">IFERROR(IF(LEFT(OFFSET(BK$2,0,-$C23),3)="A&amp;D",-INDEX('Prelim Budget'!$C$9:$C$33,MATCH('Cash Flow'!$B23,'Prelim Budget'!$B$9:$B$33,0))/'Cash Flow'!$E23,IF(SUM('Cash Flow'!$F23:BJ23)=-INDEX('Prelim Budget'!$C$9:$C$33,MATCH('Cash Flow'!$B23,'Prelim Budget'!$B$9:$B$33,0)),0,IF('Cash Flow'!BJ23&lt;&gt;0,'Cash Flow'!BJ23,0))),0)</f>
        <v>0</v>
      </c>
      <c r="BL23" s="153">
        <f ca="1">IFERROR(IF(LEFT(OFFSET(BL$2,0,-$C23),3)="A&amp;D",-INDEX('Prelim Budget'!$C$9:$C$33,MATCH('Cash Flow'!$B23,'Prelim Budget'!$B$9:$B$33,0))/'Cash Flow'!$E23,IF(SUM('Cash Flow'!$F23:BK23)=-INDEX('Prelim Budget'!$C$9:$C$33,MATCH('Cash Flow'!$B23,'Prelim Budget'!$B$9:$B$33,0)),0,IF('Cash Flow'!BK23&lt;&gt;0,'Cash Flow'!BK23,0))),0)</f>
        <v>0</v>
      </c>
      <c r="BM23" s="153">
        <f ca="1">IFERROR(IF(LEFT(OFFSET(BM$2,0,-$C23),3)="A&amp;D",-INDEX('Prelim Budget'!$C$9:$C$33,MATCH('Cash Flow'!$B23,'Prelim Budget'!$B$9:$B$33,0))/'Cash Flow'!$E23,IF(SUM('Cash Flow'!$F23:BL23)=-INDEX('Prelim Budget'!$C$9:$C$33,MATCH('Cash Flow'!$B23,'Prelim Budget'!$B$9:$B$33,0)),0,IF('Cash Flow'!BL23&lt;&gt;0,'Cash Flow'!BL23,0))),0)</f>
        <v>0</v>
      </c>
      <c r="BN23" s="153">
        <f ca="1">IFERROR(IF(LEFT(OFFSET(BN$2,0,-$C23),3)="A&amp;D",-INDEX('Prelim Budget'!$C$9:$C$33,MATCH('Cash Flow'!$B23,'Prelim Budget'!$B$9:$B$33,0))/'Cash Flow'!$E23,IF(SUM('Cash Flow'!$F23:BM23)=-INDEX('Prelim Budget'!$C$9:$C$33,MATCH('Cash Flow'!$B23,'Prelim Budget'!$B$9:$B$33,0)),0,IF('Cash Flow'!BM23&lt;&gt;0,'Cash Flow'!BM23,0))),0)</f>
        <v>0</v>
      </c>
      <c r="BO23" s="50">
        <f ca="1">IFERROR(IF(LEFT(OFFSET(BO$2,0,-$C23),3)="A&amp;D",-INDEX('Prelim Budget'!$C$9:$C$33,MATCH('Cash Flow'!$B23,'Prelim Budget'!$B$9:$B$33,0))/'Cash Flow'!$E23,IF(SUM('Cash Flow'!$F23:BN23)=-INDEX('Prelim Budget'!$C$9:$C$33,MATCH('Cash Flow'!$B23,'Prelim Budget'!$B$9:$B$33,0)),0,IF('Cash Flow'!BN23&lt;&gt;0,'Cash Flow'!BN23,0))),0)</f>
        <v>0</v>
      </c>
    </row>
    <row r="24" spans="2:67" ht="14.05" customHeight="1" x14ac:dyDescent="0.4">
      <c r="B24" s="3" t="s">
        <v>144</v>
      </c>
      <c r="C24" s="80">
        <v>3</v>
      </c>
      <c r="D24" s="153">
        <f t="shared" ca="1" si="11"/>
        <v>-1573599.9999999995</v>
      </c>
      <c r="E24" s="81">
        <v>6</v>
      </c>
      <c r="F24" s="157"/>
      <c r="G24" s="134">
        <f ca="1">IFERROR(IF(LEFT(OFFSET(G$2,0,-$C24),3)="A&amp;D",-INDEX('Prelim Budget'!$C$9:$C$33,MATCH('Cash Flow'!$B24,'Prelim Budget'!$B$9:$B$33,0))/'Cash Flow'!$E24,IF(SUM('Cash Flow'!$F24:F24)=-INDEX('Prelim Budget'!$C$9:$C$33,MATCH('Cash Flow'!$B24,'Prelim Budget'!$B$9:$B$33,0)),0,IF('Cash Flow'!F24&lt;&gt;0,'Cash Flow'!F24,0))),0)</f>
        <v>0</v>
      </c>
      <c r="H24" s="153">
        <f ca="1">IFERROR(IF(LEFT(OFFSET(H$2,0,-$C24),3)="A&amp;D",-INDEX('Prelim Budget'!$C$9:$C$33,MATCH('Cash Flow'!$B24,'Prelim Budget'!$B$9:$B$33,0))/'Cash Flow'!$E24,IF(SUM('Cash Flow'!$F24:G24)=-INDEX('Prelim Budget'!$C$9:$C$33,MATCH('Cash Flow'!$B24,'Prelim Budget'!$B$9:$B$33,0)),0,IF('Cash Flow'!G24&lt;&gt;0,'Cash Flow'!G24,0))),0)</f>
        <v>0</v>
      </c>
      <c r="I24" s="153">
        <f ca="1">IFERROR(IF(LEFT(OFFSET(I$2,0,-$C24),3)="A&amp;D",-INDEX('Prelim Budget'!$C$9:$C$33,MATCH('Cash Flow'!$B24,'Prelim Budget'!$B$9:$B$33,0))/'Cash Flow'!$E24,IF(SUM('Cash Flow'!$F24:H24)=-INDEX('Prelim Budget'!$C$9:$C$33,MATCH('Cash Flow'!$B24,'Prelim Budget'!$B$9:$B$33,0)),0,IF('Cash Flow'!H24&lt;&gt;0,'Cash Flow'!H24,0))),0)</f>
        <v>0</v>
      </c>
      <c r="J24" s="153">
        <f ca="1">IFERROR(IF(LEFT(OFFSET(J$2,0,-$C24),3)="A&amp;D",-INDEX('Prelim Budget'!$C$9:$C$33,MATCH('Cash Flow'!$B24,'Prelim Budget'!$B$9:$B$33,0))/'Cash Flow'!$E24,IF(SUM('Cash Flow'!$F24:I24)=-INDEX('Prelim Budget'!$C$9:$C$33,MATCH('Cash Flow'!$B24,'Prelim Budget'!$B$9:$B$33,0)),0,IF('Cash Flow'!I24&lt;&gt;0,'Cash Flow'!I24,0))),0)</f>
        <v>0</v>
      </c>
      <c r="K24" s="153">
        <f ca="1">IFERROR(IF(LEFT(OFFSET(K$2,0,-$C24),3)="A&amp;D",-INDEX('Prelim Budget'!$C$9:$C$33,MATCH('Cash Flow'!$B24,'Prelim Budget'!$B$9:$B$33,0))/'Cash Flow'!$E24,IF(SUM('Cash Flow'!$F24:J24)=-INDEX('Prelim Budget'!$C$9:$C$33,MATCH('Cash Flow'!$B24,'Prelim Budget'!$B$9:$B$33,0)),0,IF('Cash Flow'!J24&lt;&gt;0,'Cash Flow'!J24,0))),0)</f>
        <v>0</v>
      </c>
      <c r="L24" s="153">
        <f ca="1">IFERROR(IF(LEFT(OFFSET(L$2,0,-$C24),3)="A&amp;D",-INDEX('Prelim Budget'!$C$9:$C$33,MATCH('Cash Flow'!$B24,'Prelim Budget'!$B$9:$B$33,0))/'Cash Flow'!$E24,IF(SUM('Cash Flow'!$F24:K24)=-INDEX('Prelim Budget'!$C$9:$C$33,MATCH('Cash Flow'!$B24,'Prelim Budget'!$B$9:$B$33,0)),0,IF('Cash Flow'!K24&lt;&gt;0,'Cash Flow'!K24,0))),0)</f>
        <v>0</v>
      </c>
      <c r="M24" s="153">
        <f ca="1">IFERROR(IF(LEFT(OFFSET(M$2,0,-$C24),3)="A&amp;D",-INDEX('Prelim Budget'!$C$9:$C$33,MATCH('Cash Flow'!$B24,'Prelim Budget'!$B$9:$B$33,0))/'Cash Flow'!$E24,IF(SUM('Cash Flow'!$F24:L24)=-INDEX('Prelim Budget'!$C$9:$C$33,MATCH('Cash Flow'!$B24,'Prelim Budget'!$B$9:$B$33,0)),0,IF('Cash Flow'!L24&lt;&gt;0,'Cash Flow'!L24,0))),0)</f>
        <v>0</v>
      </c>
      <c r="N24" s="153">
        <f ca="1">IFERROR(IF(LEFT(OFFSET(N$2,0,-$C24),3)="A&amp;D",-INDEX('Prelim Budget'!$C$9:$C$33,MATCH('Cash Flow'!$B24,'Prelim Budget'!$B$9:$B$33,0))/'Cash Flow'!$E24,IF(SUM('Cash Flow'!$F24:M24)=-INDEX('Prelim Budget'!$C$9:$C$33,MATCH('Cash Flow'!$B24,'Prelim Budget'!$B$9:$B$33,0)),0,IF('Cash Flow'!M24&lt;&gt;0,'Cash Flow'!M24,0))),0)</f>
        <v>0</v>
      </c>
      <c r="O24" s="153">
        <f ca="1">IFERROR(IF(LEFT(OFFSET(O$2,0,-$C24),3)="A&amp;D",-INDEX('Prelim Budget'!$C$9:$C$33,MATCH('Cash Flow'!$B24,'Prelim Budget'!$B$9:$B$33,0))/'Cash Flow'!$E24,IF(SUM('Cash Flow'!$F24:N24)=-INDEX('Prelim Budget'!$C$9:$C$33,MATCH('Cash Flow'!$B24,'Prelim Budget'!$B$9:$B$33,0)),0,IF('Cash Flow'!N24&lt;&gt;0,'Cash Flow'!N24,0))),0)</f>
        <v>0</v>
      </c>
      <c r="P24" s="153">
        <f ca="1">IFERROR(IF(LEFT(OFFSET(P$2,0,-$C24),3)="A&amp;D",-INDEX('Prelim Budget'!$C$9:$C$33,MATCH('Cash Flow'!$B24,'Prelim Budget'!$B$9:$B$33,0))/'Cash Flow'!$E24,IF(SUM('Cash Flow'!$F24:O24)=-INDEX('Prelim Budget'!$C$9:$C$33,MATCH('Cash Flow'!$B24,'Prelim Budget'!$B$9:$B$33,0)),0,IF('Cash Flow'!O24&lt;&gt;0,'Cash Flow'!O24,0))),0)</f>
        <v>-262266.66666666663</v>
      </c>
      <c r="Q24" s="153">
        <f ca="1">IFERROR(IF(LEFT(OFFSET(Q$2,0,-$C24),3)="A&amp;D",-INDEX('Prelim Budget'!$C$9:$C$33,MATCH('Cash Flow'!$B24,'Prelim Budget'!$B$9:$B$33,0))/'Cash Flow'!$E24,IF(SUM('Cash Flow'!$F24:P24)=-INDEX('Prelim Budget'!$C$9:$C$33,MATCH('Cash Flow'!$B24,'Prelim Budget'!$B$9:$B$33,0)),0,IF('Cash Flow'!P24&lt;&gt;0,'Cash Flow'!P24,0))),0)</f>
        <v>-262266.66666666663</v>
      </c>
      <c r="R24" s="153">
        <f ca="1">IFERROR(IF(LEFT(OFFSET(R$2,0,-$C24),3)="A&amp;D",-INDEX('Prelim Budget'!$C$9:$C$33,MATCH('Cash Flow'!$B24,'Prelim Budget'!$B$9:$B$33,0))/'Cash Flow'!$E24,IF(SUM('Cash Flow'!$F24:Q24)=-INDEX('Prelim Budget'!$C$9:$C$33,MATCH('Cash Flow'!$B24,'Prelim Budget'!$B$9:$B$33,0)),0,IF('Cash Flow'!Q24&lt;&gt;0,'Cash Flow'!Q24,0))),0)</f>
        <v>-262266.66666666663</v>
      </c>
      <c r="S24" s="153">
        <f ca="1">IFERROR(IF(LEFT(OFFSET(S$2,0,-$C24),3)="A&amp;D",-INDEX('Prelim Budget'!$C$9:$C$33,MATCH('Cash Flow'!$B24,'Prelim Budget'!$B$9:$B$33,0))/'Cash Flow'!$E24,IF(SUM('Cash Flow'!$F24:R24)=-INDEX('Prelim Budget'!$C$9:$C$33,MATCH('Cash Flow'!$B24,'Prelim Budget'!$B$9:$B$33,0)),0,IF('Cash Flow'!R24&lt;&gt;0,'Cash Flow'!R24,0))),0)</f>
        <v>-262266.66666666663</v>
      </c>
      <c r="T24" s="153">
        <f ca="1">IFERROR(IF(LEFT(OFFSET(T$2,0,-$C24),3)="A&amp;D",-INDEX('Prelim Budget'!$C$9:$C$33,MATCH('Cash Flow'!$B24,'Prelim Budget'!$B$9:$B$33,0))/'Cash Flow'!$E24,IF(SUM('Cash Flow'!$F24:S24)=-INDEX('Prelim Budget'!$C$9:$C$33,MATCH('Cash Flow'!$B24,'Prelim Budget'!$B$9:$B$33,0)),0,IF('Cash Flow'!S24&lt;&gt;0,'Cash Flow'!S24,0))),0)</f>
        <v>-262266.66666666663</v>
      </c>
      <c r="U24" s="153">
        <f ca="1">IFERROR(IF(LEFT(OFFSET(U$2,0,-$C24),3)="A&amp;D",-INDEX('Prelim Budget'!$C$9:$C$33,MATCH('Cash Flow'!$B24,'Prelim Budget'!$B$9:$B$33,0))/'Cash Flow'!$E24,IF(SUM('Cash Flow'!$F24:T24)=-INDEX('Prelim Budget'!$C$9:$C$33,MATCH('Cash Flow'!$B24,'Prelim Budget'!$B$9:$B$33,0)),0,IF('Cash Flow'!T24&lt;&gt;0,'Cash Flow'!T24,0))),0)</f>
        <v>-262266.66666666663</v>
      </c>
      <c r="V24" s="153">
        <f ca="1">IFERROR(IF(LEFT(OFFSET(V$2,0,-$C24),3)="A&amp;D",-INDEX('Prelim Budget'!$C$9:$C$33,MATCH('Cash Flow'!$B24,'Prelim Budget'!$B$9:$B$33,0))/'Cash Flow'!$E24,IF(SUM('Cash Flow'!$F24:U24)=-INDEX('Prelim Budget'!$C$9:$C$33,MATCH('Cash Flow'!$B24,'Prelim Budget'!$B$9:$B$33,0)),0,IF('Cash Flow'!U24&lt;&gt;0,'Cash Flow'!U24,0))),0)</f>
        <v>0</v>
      </c>
      <c r="W24" s="153">
        <f ca="1">IFERROR(IF(LEFT(OFFSET(W$2,0,-$C24),3)="A&amp;D",-INDEX('Prelim Budget'!$C$9:$C$33,MATCH('Cash Flow'!$B24,'Prelim Budget'!$B$9:$B$33,0))/'Cash Flow'!$E24,IF(SUM('Cash Flow'!$F24:V24)=-INDEX('Prelim Budget'!$C$9:$C$33,MATCH('Cash Flow'!$B24,'Prelim Budget'!$B$9:$B$33,0)),0,IF('Cash Flow'!V24&lt;&gt;0,'Cash Flow'!V24,0))),0)</f>
        <v>0</v>
      </c>
      <c r="X24" s="153">
        <f ca="1">IFERROR(IF(LEFT(OFFSET(X$2,0,-$C24),3)="A&amp;D",-INDEX('Prelim Budget'!$C$9:$C$33,MATCH('Cash Flow'!$B24,'Prelim Budget'!$B$9:$B$33,0))/'Cash Flow'!$E24,IF(SUM('Cash Flow'!$F24:W24)=-INDEX('Prelim Budget'!$C$9:$C$33,MATCH('Cash Flow'!$B24,'Prelim Budget'!$B$9:$B$33,0)),0,IF('Cash Flow'!W24&lt;&gt;0,'Cash Flow'!W24,0))),0)</f>
        <v>0</v>
      </c>
      <c r="Y24" s="153">
        <f ca="1">IFERROR(IF(LEFT(OFFSET(Y$2,0,-$C24),3)="A&amp;D",-INDEX('Prelim Budget'!$C$9:$C$33,MATCH('Cash Flow'!$B24,'Prelim Budget'!$B$9:$B$33,0))/'Cash Flow'!$E24,IF(SUM('Cash Flow'!$F24:X24)=-INDEX('Prelim Budget'!$C$9:$C$33,MATCH('Cash Flow'!$B24,'Prelim Budget'!$B$9:$B$33,0)),0,IF('Cash Flow'!X24&lt;&gt;0,'Cash Flow'!X24,0))),0)</f>
        <v>0</v>
      </c>
      <c r="Z24" s="153">
        <f ca="1">IFERROR(IF(LEFT(OFFSET(Z$2,0,-$C24),3)="A&amp;D",-INDEX('Prelim Budget'!$C$9:$C$33,MATCH('Cash Flow'!$B24,'Prelim Budget'!$B$9:$B$33,0))/'Cash Flow'!$E24,IF(SUM('Cash Flow'!$F24:Y24)=-INDEX('Prelim Budget'!$C$9:$C$33,MATCH('Cash Flow'!$B24,'Prelim Budget'!$B$9:$B$33,0)),0,IF('Cash Flow'!Y24&lt;&gt;0,'Cash Flow'!Y24,0))),0)</f>
        <v>0</v>
      </c>
      <c r="AA24" s="153">
        <f ca="1">IFERROR(IF(LEFT(OFFSET(AA$2,0,-$C24),3)="A&amp;D",-INDEX('Prelim Budget'!$C$9:$C$33,MATCH('Cash Flow'!$B24,'Prelim Budget'!$B$9:$B$33,0))/'Cash Flow'!$E24,IF(SUM('Cash Flow'!$F24:Z24)=-INDEX('Prelim Budget'!$C$9:$C$33,MATCH('Cash Flow'!$B24,'Prelim Budget'!$B$9:$B$33,0)),0,IF('Cash Flow'!Z24&lt;&gt;0,'Cash Flow'!Z24,0))),0)</f>
        <v>0</v>
      </c>
      <c r="AB24" s="153">
        <f ca="1">IFERROR(IF(LEFT(OFFSET(AB$2,0,-$C24),3)="A&amp;D",-INDEX('Prelim Budget'!$C$9:$C$33,MATCH('Cash Flow'!$B24,'Prelim Budget'!$B$9:$B$33,0))/'Cash Flow'!$E24,IF(SUM('Cash Flow'!$F24:AA24)=-INDEX('Prelim Budget'!$C$9:$C$33,MATCH('Cash Flow'!$B24,'Prelim Budget'!$B$9:$B$33,0)),0,IF('Cash Flow'!AA24&lt;&gt;0,'Cash Flow'!AA24,0))),0)</f>
        <v>0</v>
      </c>
      <c r="AC24" s="153">
        <f ca="1">IFERROR(IF(LEFT(OFFSET(AC$2,0,-$C24),3)="A&amp;D",-INDEX('Prelim Budget'!$C$9:$C$33,MATCH('Cash Flow'!$B24,'Prelim Budget'!$B$9:$B$33,0))/'Cash Flow'!$E24,IF(SUM('Cash Flow'!$F24:AB24)=-INDEX('Prelim Budget'!$C$9:$C$33,MATCH('Cash Flow'!$B24,'Prelim Budget'!$B$9:$B$33,0)),0,IF('Cash Flow'!AB24&lt;&gt;0,'Cash Flow'!AB24,0))),0)</f>
        <v>0</v>
      </c>
      <c r="AD24" s="153">
        <f ca="1">IFERROR(IF(LEFT(OFFSET(AD$2,0,-$C24),3)="A&amp;D",-INDEX('Prelim Budget'!$C$9:$C$33,MATCH('Cash Flow'!$B24,'Prelim Budget'!$B$9:$B$33,0))/'Cash Flow'!$E24,IF(SUM('Cash Flow'!$F24:AC24)=-INDEX('Prelim Budget'!$C$9:$C$33,MATCH('Cash Flow'!$B24,'Prelim Budget'!$B$9:$B$33,0)),0,IF('Cash Flow'!AC24&lt;&gt;0,'Cash Flow'!AC24,0))),0)</f>
        <v>0</v>
      </c>
      <c r="AE24" s="153">
        <f ca="1">IFERROR(IF(LEFT(OFFSET(AE$2,0,-$C24),3)="A&amp;D",-INDEX('Prelim Budget'!$C$9:$C$33,MATCH('Cash Flow'!$B24,'Prelim Budget'!$B$9:$B$33,0))/'Cash Flow'!$E24,IF(SUM('Cash Flow'!$F24:AD24)=-INDEX('Prelim Budget'!$C$9:$C$33,MATCH('Cash Flow'!$B24,'Prelim Budget'!$B$9:$B$33,0)),0,IF('Cash Flow'!AD24&lt;&gt;0,'Cash Flow'!AD24,0))),0)</f>
        <v>0</v>
      </c>
      <c r="AF24" s="153">
        <f ca="1">IFERROR(IF(LEFT(OFFSET(AF$2,0,-$C24),3)="A&amp;D",-INDEX('Prelim Budget'!$C$9:$C$33,MATCH('Cash Flow'!$B24,'Prelim Budget'!$B$9:$B$33,0))/'Cash Flow'!$E24,IF(SUM('Cash Flow'!$F24:AE24)=-INDEX('Prelim Budget'!$C$9:$C$33,MATCH('Cash Flow'!$B24,'Prelim Budget'!$B$9:$B$33,0)),0,IF('Cash Flow'!AE24&lt;&gt;0,'Cash Flow'!AE24,0))),0)</f>
        <v>0</v>
      </c>
      <c r="AG24" s="153">
        <f ca="1">IFERROR(IF(LEFT(OFFSET(AG$2,0,-$C24),3)="A&amp;D",-INDEX('Prelim Budget'!$C$9:$C$33,MATCH('Cash Flow'!$B24,'Prelim Budget'!$B$9:$B$33,0))/'Cash Flow'!$E24,IF(SUM('Cash Flow'!$F24:AF24)=-INDEX('Prelim Budget'!$C$9:$C$33,MATCH('Cash Flow'!$B24,'Prelim Budget'!$B$9:$B$33,0)),0,IF('Cash Flow'!AF24&lt;&gt;0,'Cash Flow'!AF24,0))),0)</f>
        <v>0</v>
      </c>
      <c r="AH24" s="153">
        <f ca="1">IFERROR(IF(LEFT(OFFSET(AH$2,0,-$C24),3)="A&amp;D",-INDEX('Prelim Budget'!$C$9:$C$33,MATCH('Cash Flow'!$B24,'Prelim Budget'!$B$9:$B$33,0))/'Cash Flow'!$E24,IF(SUM('Cash Flow'!$F24:AG24)=-INDEX('Prelim Budget'!$C$9:$C$33,MATCH('Cash Flow'!$B24,'Prelim Budget'!$B$9:$B$33,0)),0,IF('Cash Flow'!AG24&lt;&gt;0,'Cash Flow'!AG24,0))),0)</f>
        <v>0</v>
      </c>
      <c r="AI24" s="153">
        <f ca="1">IFERROR(IF(LEFT(OFFSET(AI$2,0,-$C24),3)="A&amp;D",-INDEX('Prelim Budget'!$C$9:$C$33,MATCH('Cash Flow'!$B24,'Prelim Budget'!$B$9:$B$33,0))/'Cash Flow'!$E24,IF(SUM('Cash Flow'!$F24:AH24)=-INDEX('Prelim Budget'!$C$9:$C$33,MATCH('Cash Flow'!$B24,'Prelim Budget'!$B$9:$B$33,0)),0,IF('Cash Flow'!AH24&lt;&gt;0,'Cash Flow'!AH24,0))),0)</f>
        <v>0</v>
      </c>
      <c r="AJ24" s="153">
        <f ca="1">IFERROR(IF(LEFT(OFFSET(AJ$2,0,-$C24),3)="A&amp;D",-INDEX('Prelim Budget'!$C$9:$C$33,MATCH('Cash Flow'!$B24,'Prelim Budget'!$B$9:$B$33,0))/'Cash Flow'!$E24,IF(SUM('Cash Flow'!$F24:AI24)=-INDEX('Prelim Budget'!$C$9:$C$33,MATCH('Cash Flow'!$B24,'Prelim Budget'!$B$9:$B$33,0)),0,IF('Cash Flow'!AI24&lt;&gt;0,'Cash Flow'!AI24,0))),0)</f>
        <v>0</v>
      </c>
      <c r="AK24" s="153">
        <f ca="1">IFERROR(IF(LEFT(OFFSET(AK$2,0,-$C24),3)="A&amp;D",-INDEX('Prelim Budget'!$C$9:$C$33,MATCH('Cash Flow'!$B24,'Prelim Budget'!$B$9:$B$33,0))/'Cash Flow'!$E24,IF(SUM('Cash Flow'!$F24:AJ24)=-INDEX('Prelim Budget'!$C$9:$C$33,MATCH('Cash Flow'!$B24,'Prelim Budget'!$B$9:$B$33,0)),0,IF('Cash Flow'!AJ24&lt;&gt;0,'Cash Flow'!AJ24,0))),0)</f>
        <v>0</v>
      </c>
      <c r="AL24" s="153">
        <f ca="1">IFERROR(IF(LEFT(OFFSET(AL$2,0,-$C24),3)="A&amp;D",-INDEX('Prelim Budget'!$C$9:$C$33,MATCH('Cash Flow'!$B24,'Prelim Budget'!$B$9:$B$33,0))/'Cash Flow'!$E24,IF(SUM('Cash Flow'!$F24:AK24)=-INDEX('Prelim Budget'!$C$9:$C$33,MATCH('Cash Flow'!$B24,'Prelim Budget'!$B$9:$B$33,0)),0,IF('Cash Flow'!AK24&lt;&gt;0,'Cash Flow'!AK24,0))),0)</f>
        <v>0</v>
      </c>
      <c r="AM24" s="153">
        <f ca="1">IFERROR(IF(LEFT(OFFSET(AM$2,0,-$C24),3)="A&amp;D",-INDEX('Prelim Budget'!$C$9:$C$33,MATCH('Cash Flow'!$B24,'Prelim Budget'!$B$9:$B$33,0))/'Cash Flow'!$E24,IF(SUM('Cash Flow'!$F24:AL24)=-INDEX('Prelim Budget'!$C$9:$C$33,MATCH('Cash Flow'!$B24,'Prelim Budget'!$B$9:$B$33,0)),0,IF('Cash Flow'!AL24&lt;&gt;0,'Cash Flow'!AL24,0))),0)</f>
        <v>0</v>
      </c>
      <c r="AN24" s="153">
        <f ca="1">IFERROR(IF(LEFT(OFFSET(AN$2,0,-$C24),3)="A&amp;D",-INDEX('Prelim Budget'!$C$9:$C$33,MATCH('Cash Flow'!$B24,'Prelim Budget'!$B$9:$B$33,0))/'Cash Flow'!$E24,IF(SUM('Cash Flow'!$F24:AM24)=-INDEX('Prelim Budget'!$C$9:$C$33,MATCH('Cash Flow'!$B24,'Prelim Budget'!$B$9:$B$33,0)),0,IF('Cash Flow'!AM24&lt;&gt;0,'Cash Flow'!AM24,0))),0)</f>
        <v>0</v>
      </c>
      <c r="AO24" s="153">
        <f ca="1">IFERROR(IF(LEFT(OFFSET(AO$2,0,-$C24),3)="A&amp;D",-INDEX('Prelim Budget'!$C$9:$C$33,MATCH('Cash Flow'!$B24,'Prelim Budget'!$B$9:$B$33,0))/'Cash Flow'!$E24,IF(SUM('Cash Flow'!$F24:AN24)=-INDEX('Prelim Budget'!$C$9:$C$33,MATCH('Cash Flow'!$B24,'Prelim Budget'!$B$9:$B$33,0)),0,IF('Cash Flow'!AN24&lt;&gt;0,'Cash Flow'!AN24,0))),0)</f>
        <v>0</v>
      </c>
      <c r="AP24" s="153">
        <f ca="1">IFERROR(IF(LEFT(OFFSET(AP$2,0,-$C24),3)="A&amp;D",-INDEX('Prelim Budget'!$C$9:$C$33,MATCH('Cash Flow'!$B24,'Prelim Budget'!$B$9:$B$33,0))/'Cash Flow'!$E24,IF(SUM('Cash Flow'!$F24:AO24)=-INDEX('Prelim Budget'!$C$9:$C$33,MATCH('Cash Flow'!$B24,'Prelim Budget'!$B$9:$B$33,0)),0,IF('Cash Flow'!AO24&lt;&gt;0,'Cash Flow'!AO24,0))),0)</f>
        <v>0</v>
      </c>
      <c r="AQ24" s="153">
        <f ca="1">IFERROR(IF(LEFT(OFFSET(AQ$2,0,-$C24),3)="A&amp;D",-INDEX('Prelim Budget'!$C$9:$C$33,MATCH('Cash Flow'!$B24,'Prelim Budget'!$B$9:$B$33,0))/'Cash Flow'!$E24,IF(SUM('Cash Flow'!$F24:AP24)=-INDEX('Prelim Budget'!$C$9:$C$33,MATCH('Cash Flow'!$B24,'Prelim Budget'!$B$9:$B$33,0)),0,IF('Cash Flow'!AP24&lt;&gt;0,'Cash Flow'!AP24,0))),0)</f>
        <v>0</v>
      </c>
      <c r="AR24" s="153">
        <f ca="1">IFERROR(IF(LEFT(OFFSET(AR$2,0,-$C24),3)="A&amp;D",-INDEX('Prelim Budget'!$C$9:$C$33,MATCH('Cash Flow'!$B24,'Prelim Budget'!$B$9:$B$33,0))/'Cash Flow'!$E24,IF(SUM('Cash Flow'!$F24:AQ24)=-INDEX('Prelim Budget'!$C$9:$C$33,MATCH('Cash Flow'!$B24,'Prelim Budget'!$B$9:$B$33,0)),0,IF('Cash Flow'!AQ24&lt;&gt;0,'Cash Flow'!AQ24,0))),0)</f>
        <v>0</v>
      </c>
      <c r="AS24" s="153">
        <f ca="1">IFERROR(IF(LEFT(OFFSET(AS$2,0,-$C24),3)="A&amp;D",-INDEX('Prelim Budget'!$C$9:$C$33,MATCH('Cash Flow'!$B24,'Prelim Budget'!$B$9:$B$33,0))/'Cash Flow'!$E24,IF(SUM('Cash Flow'!$F24:AR24)=-INDEX('Prelim Budget'!$C$9:$C$33,MATCH('Cash Flow'!$B24,'Prelim Budget'!$B$9:$B$33,0)),0,IF('Cash Flow'!AR24&lt;&gt;0,'Cash Flow'!AR24,0))),0)</f>
        <v>0</v>
      </c>
      <c r="AT24" s="153">
        <f ca="1">IFERROR(IF(LEFT(OFFSET(AT$2,0,-$C24),3)="A&amp;D",-INDEX('Prelim Budget'!$C$9:$C$33,MATCH('Cash Flow'!$B24,'Prelim Budget'!$B$9:$B$33,0))/'Cash Flow'!$E24,IF(SUM('Cash Flow'!$F24:AS24)=-INDEX('Prelim Budget'!$C$9:$C$33,MATCH('Cash Flow'!$B24,'Prelim Budget'!$B$9:$B$33,0)),0,IF('Cash Flow'!AS24&lt;&gt;0,'Cash Flow'!AS24,0))),0)</f>
        <v>0</v>
      </c>
      <c r="AU24" s="153">
        <f ca="1">IFERROR(IF(LEFT(OFFSET(AU$2,0,-$C24),3)="A&amp;D",-INDEX('Prelim Budget'!$C$9:$C$33,MATCH('Cash Flow'!$B24,'Prelim Budget'!$B$9:$B$33,0))/'Cash Flow'!$E24,IF(SUM('Cash Flow'!$F24:AT24)=-INDEX('Prelim Budget'!$C$9:$C$33,MATCH('Cash Flow'!$B24,'Prelim Budget'!$B$9:$B$33,0)),0,IF('Cash Flow'!AT24&lt;&gt;0,'Cash Flow'!AT24,0))),0)</f>
        <v>0</v>
      </c>
      <c r="AV24" s="153">
        <f ca="1">IFERROR(IF(LEFT(OFFSET(AV$2,0,-$C24),3)="A&amp;D",-INDEX('Prelim Budget'!$C$9:$C$33,MATCH('Cash Flow'!$B24,'Prelim Budget'!$B$9:$B$33,0))/'Cash Flow'!$E24,IF(SUM('Cash Flow'!$F24:AU24)=-INDEX('Prelim Budget'!$C$9:$C$33,MATCH('Cash Flow'!$B24,'Prelim Budget'!$B$9:$B$33,0)),0,IF('Cash Flow'!AU24&lt;&gt;0,'Cash Flow'!AU24,0))),0)</f>
        <v>0</v>
      </c>
      <c r="AW24" s="153">
        <f ca="1">IFERROR(IF(LEFT(OFFSET(AW$2,0,-$C24),3)="A&amp;D",-INDEX('Prelim Budget'!$C$9:$C$33,MATCH('Cash Flow'!$B24,'Prelim Budget'!$B$9:$B$33,0))/'Cash Flow'!$E24,IF(SUM('Cash Flow'!$F24:AV24)=-INDEX('Prelim Budget'!$C$9:$C$33,MATCH('Cash Flow'!$B24,'Prelim Budget'!$B$9:$B$33,0)),0,IF('Cash Flow'!AV24&lt;&gt;0,'Cash Flow'!AV24,0))),0)</f>
        <v>0</v>
      </c>
      <c r="AX24" s="153">
        <f ca="1">IFERROR(IF(LEFT(OFFSET(AX$2,0,-$C24),3)="A&amp;D",-INDEX('Prelim Budget'!$C$9:$C$33,MATCH('Cash Flow'!$B24,'Prelim Budget'!$B$9:$B$33,0))/'Cash Flow'!$E24,IF(SUM('Cash Flow'!$F24:AW24)=-INDEX('Prelim Budget'!$C$9:$C$33,MATCH('Cash Flow'!$B24,'Prelim Budget'!$B$9:$B$33,0)),0,IF('Cash Flow'!AW24&lt;&gt;0,'Cash Flow'!AW24,0))),0)</f>
        <v>0</v>
      </c>
      <c r="AY24" s="153">
        <f ca="1">IFERROR(IF(LEFT(OFFSET(AY$2,0,-$C24),3)="A&amp;D",-INDEX('Prelim Budget'!$C$9:$C$33,MATCH('Cash Flow'!$B24,'Prelim Budget'!$B$9:$B$33,0))/'Cash Flow'!$E24,IF(SUM('Cash Flow'!$F24:AX24)=-INDEX('Prelim Budget'!$C$9:$C$33,MATCH('Cash Flow'!$B24,'Prelim Budget'!$B$9:$B$33,0)),0,IF('Cash Flow'!AX24&lt;&gt;0,'Cash Flow'!AX24,0))),0)</f>
        <v>0</v>
      </c>
      <c r="AZ24" s="153">
        <f ca="1">IFERROR(IF(LEFT(OFFSET(AZ$2,0,-$C24),3)="A&amp;D",-INDEX('Prelim Budget'!$C$9:$C$33,MATCH('Cash Flow'!$B24,'Prelim Budget'!$B$9:$B$33,0))/'Cash Flow'!$E24,IF(SUM('Cash Flow'!$F24:AY24)=-INDEX('Prelim Budget'!$C$9:$C$33,MATCH('Cash Flow'!$B24,'Prelim Budget'!$B$9:$B$33,0)),0,IF('Cash Flow'!AY24&lt;&gt;0,'Cash Flow'!AY24,0))),0)</f>
        <v>0</v>
      </c>
      <c r="BA24" s="153">
        <f ca="1">IFERROR(IF(LEFT(OFFSET(BA$2,0,-$C24),3)="A&amp;D",-INDEX('Prelim Budget'!$C$9:$C$33,MATCH('Cash Flow'!$B24,'Prelim Budget'!$B$9:$B$33,0))/'Cash Flow'!$E24,IF(SUM('Cash Flow'!$F24:AZ24)=-INDEX('Prelim Budget'!$C$9:$C$33,MATCH('Cash Flow'!$B24,'Prelim Budget'!$B$9:$B$33,0)),0,IF('Cash Flow'!AZ24&lt;&gt;0,'Cash Flow'!AZ24,0))),0)</f>
        <v>0</v>
      </c>
      <c r="BB24" s="153">
        <f ca="1">IFERROR(IF(LEFT(OFFSET(BB$2,0,-$C24),3)="A&amp;D",-INDEX('Prelim Budget'!$C$9:$C$33,MATCH('Cash Flow'!$B24,'Prelim Budget'!$B$9:$B$33,0))/'Cash Flow'!$E24,IF(SUM('Cash Flow'!$F24:BA24)=-INDEX('Prelim Budget'!$C$9:$C$33,MATCH('Cash Flow'!$B24,'Prelim Budget'!$B$9:$B$33,0)),0,IF('Cash Flow'!BA24&lt;&gt;0,'Cash Flow'!BA24,0))),0)</f>
        <v>0</v>
      </c>
      <c r="BC24" s="153">
        <f ca="1">IFERROR(IF(LEFT(OFFSET(BC$2,0,-$C24),3)="A&amp;D",-INDEX('Prelim Budget'!$C$9:$C$33,MATCH('Cash Flow'!$B24,'Prelim Budget'!$B$9:$B$33,0))/'Cash Flow'!$E24,IF(SUM('Cash Flow'!$F24:BB24)=-INDEX('Prelim Budget'!$C$9:$C$33,MATCH('Cash Flow'!$B24,'Prelim Budget'!$B$9:$B$33,0)),0,IF('Cash Flow'!BB24&lt;&gt;0,'Cash Flow'!BB24,0))),0)</f>
        <v>0</v>
      </c>
      <c r="BD24" s="153">
        <f ca="1">IFERROR(IF(LEFT(OFFSET(BD$2,0,-$C24),3)="A&amp;D",-INDEX('Prelim Budget'!$C$9:$C$33,MATCH('Cash Flow'!$B24,'Prelim Budget'!$B$9:$B$33,0))/'Cash Flow'!$E24,IF(SUM('Cash Flow'!$F24:BC24)=-INDEX('Prelim Budget'!$C$9:$C$33,MATCH('Cash Flow'!$B24,'Prelim Budget'!$B$9:$B$33,0)),0,IF('Cash Flow'!BC24&lt;&gt;0,'Cash Flow'!BC24,0))),0)</f>
        <v>0</v>
      </c>
      <c r="BE24" s="153">
        <f ca="1">IFERROR(IF(LEFT(OFFSET(BE$2,0,-$C24),3)="A&amp;D",-INDEX('Prelim Budget'!$C$9:$C$33,MATCH('Cash Flow'!$B24,'Prelim Budget'!$B$9:$B$33,0))/'Cash Flow'!$E24,IF(SUM('Cash Flow'!$F24:BD24)=-INDEX('Prelim Budget'!$C$9:$C$33,MATCH('Cash Flow'!$B24,'Prelim Budget'!$B$9:$B$33,0)),0,IF('Cash Flow'!BD24&lt;&gt;0,'Cash Flow'!BD24,0))),0)</f>
        <v>0</v>
      </c>
      <c r="BF24" s="153">
        <f ca="1">IFERROR(IF(LEFT(OFFSET(BF$2,0,-$C24),3)="A&amp;D",-INDEX('Prelim Budget'!$C$9:$C$33,MATCH('Cash Flow'!$B24,'Prelim Budget'!$B$9:$B$33,0))/'Cash Flow'!$E24,IF(SUM('Cash Flow'!$F24:BE24)=-INDEX('Prelim Budget'!$C$9:$C$33,MATCH('Cash Flow'!$B24,'Prelim Budget'!$B$9:$B$33,0)),0,IF('Cash Flow'!BE24&lt;&gt;0,'Cash Flow'!BE24,0))),0)</f>
        <v>0</v>
      </c>
      <c r="BG24" s="153">
        <f ca="1">IFERROR(IF(LEFT(OFFSET(BG$2,0,-$C24),3)="A&amp;D",-INDEX('Prelim Budget'!$C$9:$C$33,MATCH('Cash Flow'!$B24,'Prelim Budget'!$B$9:$B$33,0))/'Cash Flow'!$E24,IF(SUM('Cash Flow'!$F24:BF24)=-INDEX('Prelim Budget'!$C$9:$C$33,MATCH('Cash Flow'!$B24,'Prelim Budget'!$B$9:$B$33,0)),0,IF('Cash Flow'!BF24&lt;&gt;0,'Cash Flow'!BF24,0))),0)</f>
        <v>0</v>
      </c>
      <c r="BH24" s="153">
        <f ca="1">IFERROR(IF(LEFT(OFFSET(BH$2,0,-$C24),3)="A&amp;D",-INDEX('Prelim Budget'!$C$9:$C$33,MATCH('Cash Flow'!$B24,'Prelim Budget'!$B$9:$B$33,0))/'Cash Flow'!$E24,IF(SUM('Cash Flow'!$F24:BG24)=-INDEX('Prelim Budget'!$C$9:$C$33,MATCH('Cash Flow'!$B24,'Prelim Budget'!$B$9:$B$33,0)),0,IF('Cash Flow'!BG24&lt;&gt;0,'Cash Flow'!BG24,0))),0)</f>
        <v>0</v>
      </c>
      <c r="BI24" s="153">
        <f ca="1">IFERROR(IF(LEFT(OFFSET(BI$2,0,-$C24),3)="A&amp;D",-INDEX('Prelim Budget'!$C$9:$C$33,MATCH('Cash Flow'!$B24,'Prelim Budget'!$B$9:$B$33,0))/'Cash Flow'!$E24,IF(SUM('Cash Flow'!$F24:BH24)=-INDEX('Prelim Budget'!$C$9:$C$33,MATCH('Cash Flow'!$B24,'Prelim Budget'!$B$9:$B$33,0)),0,IF('Cash Flow'!BH24&lt;&gt;0,'Cash Flow'!BH24,0))),0)</f>
        <v>0</v>
      </c>
      <c r="BJ24" s="153">
        <f ca="1">IFERROR(IF(LEFT(OFFSET(BJ$2,0,-$C24),3)="A&amp;D",-INDEX('Prelim Budget'!$C$9:$C$33,MATCH('Cash Flow'!$B24,'Prelim Budget'!$B$9:$B$33,0))/'Cash Flow'!$E24,IF(SUM('Cash Flow'!$F24:BI24)=-INDEX('Prelim Budget'!$C$9:$C$33,MATCH('Cash Flow'!$B24,'Prelim Budget'!$B$9:$B$33,0)),0,IF('Cash Flow'!BI24&lt;&gt;0,'Cash Flow'!BI24,0))),0)</f>
        <v>0</v>
      </c>
      <c r="BK24" s="153">
        <f ca="1">IFERROR(IF(LEFT(OFFSET(BK$2,0,-$C24),3)="A&amp;D",-INDEX('Prelim Budget'!$C$9:$C$33,MATCH('Cash Flow'!$B24,'Prelim Budget'!$B$9:$B$33,0))/'Cash Flow'!$E24,IF(SUM('Cash Flow'!$F24:BJ24)=-INDEX('Prelim Budget'!$C$9:$C$33,MATCH('Cash Flow'!$B24,'Prelim Budget'!$B$9:$B$33,0)),0,IF('Cash Flow'!BJ24&lt;&gt;0,'Cash Flow'!BJ24,0))),0)</f>
        <v>0</v>
      </c>
      <c r="BL24" s="153">
        <f ca="1">IFERROR(IF(LEFT(OFFSET(BL$2,0,-$C24),3)="A&amp;D",-INDEX('Prelim Budget'!$C$9:$C$33,MATCH('Cash Flow'!$B24,'Prelim Budget'!$B$9:$B$33,0))/'Cash Flow'!$E24,IF(SUM('Cash Flow'!$F24:BK24)=-INDEX('Prelim Budget'!$C$9:$C$33,MATCH('Cash Flow'!$B24,'Prelim Budget'!$B$9:$B$33,0)),0,IF('Cash Flow'!BK24&lt;&gt;0,'Cash Flow'!BK24,0))),0)</f>
        <v>0</v>
      </c>
      <c r="BM24" s="153">
        <f ca="1">IFERROR(IF(LEFT(OFFSET(BM$2,0,-$C24),3)="A&amp;D",-INDEX('Prelim Budget'!$C$9:$C$33,MATCH('Cash Flow'!$B24,'Prelim Budget'!$B$9:$B$33,0))/'Cash Flow'!$E24,IF(SUM('Cash Flow'!$F24:BL24)=-INDEX('Prelim Budget'!$C$9:$C$33,MATCH('Cash Flow'!$B24,'Prelim Budget'!$B$9:$B$33,0)),0,IF('Cash Flow'!BL24&lt;&gt;0,'Cash Flow'!BL24,0))),0)</f>
        <v>0</v>
      </c>
      <c r="BN24" s="153">
        <f ca="1">IFERROR(IF(LEFT(OFFSET(BN$2,0,-$C24),3)="A&amp;D",-INDEX('Prelim Budget'!$C$9:$C$33,MATCH('Cash Flow'!$B24,'Prelim Budget'!$B$9:$B$33,0))/'Cash Flow'!$E24,IF(SUM('Cash Flow'!$F24:BM24)=-INDEX('Prelim Budget'!$C$9:$C$33,MATCH('Cash Flow'!$B24,'Prelim Budget'!$B$9:$B$33,0)),0,IF('Cash Flow'!BM24&lt;&gt;0,'Cash Flow'!BM24,0))),0)</f>
        <v>0</v>
      </c>
      <c r="BO24" s="50">
        <f ca="1">IFERROR(IF(LEFT(OFFSET(BO$2,0,-$C24),3)="A&amp;D",-INDEX('Prelim Budget'!$C$9:$C$33,MATCH('Cash Flow'!$B24,'Prelim Budget'!$B$9:$B$33,0))/'Cash Flow'!$E24,IF(SUM('Cash Flow'!$F24:BN24)=-INDEX('Prelim Budget'!$C$9:$C$33,MATCH('Cash Flow'!$B24,'Prelim Budget'!$B$9:$B$33,0)),0,IF('Cash Flow'!BN24&lt;&gt;0,'Cash Flow'!BN24,0))),0)</f>
        <v>0</v>
      </c>
    </row>
    <row r="25" spans="2:67" ht="14.05" customHeight="1" x14ac:dyDescent="0.4">
      <c r="B25" s="3" t="s">
        <v>146</v>
      </c>
      <c r="C25" s="80">
        <v>0</v>
      </c>
      <c r="D25" s="153">
        <f t="shared" ca="1" si="11"/>
        <v>0</v>
      </c>
      <c r="E25" s="81">
        <v>0</v>
      </c>
      <c r="F25" s="157"/>
      <c r="G25" s="134">
        <f ca="1">IFERROR(IF(LEFT(OFFSET(G$2,0,-$C25),3)="A&amp;D",-INDEX('Prelim Budget'!$C$9:$C$33,MATCH('Cash Flow'!$B25,'Prelim Budget'!$B$9:$B$33,0))/'Cash Flow'!$E25,IF(SUM('Cash Flow'!$F25:F25)=-INDEX('Prelim Budget'!$C$9:$C$33,MATCH('Cash Flow'!$B25,'Prelim Budget'!$B$9:$B$33,0)),0,IF('Cash Flow'!F25&lt;&gt;0,'Cash Flow'!F25,0))),0)</f>
        <v>0</v>
      </c>
      <c r="H25" s="153">
        <f ca="1">IFERROR(IF(LEFT(OFFSET(H$2,0,-$C25),3)="A&amp;D",-INDEX('Prelim Budget'!$C$9:$C$33,MATCH('Cash Flow'!$B25,'Prelim Budget'!$B$9:$B$33,0))/'Cash Flow'!$E25,IF(SUM('Cash Flow'!$F25:G25)=-INDEX('Prelim Budget'!$C$9:$C$33,MATCH('Cash Flow'!$B25,'Prelim Budget'!$B$9:$B$33,0)),0,IF('Cash Flow'!G25&lt;&gt;0,'Cash Flow'!G25,0))),0)</f>
        <v>0</v>
      </c>
      <c r="I25" s="153">
        <f ca="1">IFERROR(IF(LEFT(OFFSET(I$2,0,-$C25),3)="A&amp;D",-INDEX('Prelim Budget'!$C$9:$C$33,MATCH('Cash Flow'!$B25,'Prelim Budget'!$B$9:$B$33,0))/'Cash Flow'!$E25,IF(SUM('Cash Flow'!$F25:H25)=-INDEX('Prelim Budget'!$C$9:$C$33,MATCH('Cash Flow'!$B25,'Prelim Budget'!$B$9:$B$33,0)),0,IF('Cash Flow'!H25&lt;&gt;0,'Cash Flow'!H25,0))),0)</f>
        <v>0</v>
      </c>
      <c r="J25" s="153">
        <f ca="1">IFERROR(IF(LEFT(OFFSET(J$2,0,-$C25),3)="A&amp;D",-INDEX('Prelim Budget'!$C$9:$C$33,MATCH('Cash Flow'!$B25,'Prelim Budget'!$B$9:$B$33,0))/'Cash Flow'!$E25,IF(SUM('Cash Flow'!$F25:I25)=-INDEX('Prelim Budget'!$C$9:$C$33,MATCH('Cash Flow'!$B25,'Prelim Budget'!$B$9:$B$33,0)),0,IF('Cash Flow'!I25&lt;&gt;0,'Cash Flow'!I25,0))),0)</f>
        <v>0</v>
      </c>
      <c r="K25" s="153">
        <f ca="1">IFERROR(IF(LEFT(OFFSET(K$2,0,-$C25),3)="A&amp;D",-INDEX('Prelim Budget'!$C$9:$C$33,MATCH('Cash Flow'!$B25,'Prelim Budget'!$B$9:$B$33,0))/'Cash Flow'!$E25,IF(SUM('Cash Flow'!$F25:J25)=-INDEX('Prelim Budget'!$C$9:$C$33,MATCH('Cash Flow'!$B25,'Prelim Budget'!$B$9:$B$33,0)),0,IF('Cash Flow'!J25&lt;&gt;0,'Cash Flow'!J25,0))),0)</f>
        <v>0</v>
      </c>
      <c r="L25" s="153">
        <f ca="1">IFERROR(IF(LEFT(OFFSET(L$2,0,-$C25),3)="A&amp;D",-INDEX('Prelim Budget'!$C$9:$C$33,MATCH('Cash Flow'!$B25,'Prelim Budget'!$B$9:$B$33,0))/'Cash Flow'!$E25,IF(SUM('Cash Flow'!$F25:K25)=-INDEX('Prelim Budget'!$C$9:$C$33,MATCH('Cash Flow'!$B25,'Prelim Budget'!$B$9:$B$33,0)),0,IF('Cash Flow'!K25&lt;&gt;0,'Cash Flow'!K25,0))),0)</f>
        <v>0</v>
      </c>
      <c r="M25" s="153">
        <f ca="1">IFERROR(IF(LEFT(OFFSET(M$2,0,-$C25),3)="A&amp;D",-INDEX('Prelim Budget'!$C$9:$C$33,MATCH('Cash Flow'!$B25,'Prelim Budget'!$B$9:$B$33,0))/'Cash Flow'!$E25,IF(SUM('Cash Flow'!$F25:L25)=-INDEX('Prelim Budget'!$C$9:$C$33,MATCH('Cash Flow'!$B25,'Prelim Budget'!$B$9:$B$33,0)),0,IF('Cash Flow'!L25&lt;&gt;0,'Cash Flow'!L25,0))),0)</f>
        <v>0</v>
      </c>
      <c r="N25" s="153">
        <f ca="1">IFERROR(IF(LEFT(OFFSET(N$2,0,-$C25),3)="A&amp;D",-INDEX('Prelim Budget'!$C$9:$C$33,MATCH('Cash Flow'!$B25,'Prelim Budget'!$B$9:$B$33,0))/'Cash Flow'!$E25,IF(SUM('Cash Flow'!$F25:M25)=-INDEX('Prelim Budget'!$C$9:$C$33,MATCH('Cash Flow'!$B25,'Prelim Budget'!$B$9:$B$33,0)),0,IF('Cash Flow'!M25&lt;&gt;0,'Cash Flow'!M25,0))),0)</f>
        <v>0</v>
      </c>
      <c r="O25" s="153">
        <f ca="1">IFERROR(IF(LEFT(OFFSET(O$2,0,-$C25),3)="A&amp;D",-INDEX('Prelim Budget'!$C$9:$C$33,MATCH('Cash Flow'!$B25,'Prelim Budget'!$B$9:$B$33,0))/'Cash Flow'!$E25,IF(SUM('Cash Flow'!$F25:N25)=-INDEX('Prelim Budget'!$C$9:$C$33,MATCH('Cash Flow'!$B25,'Prelim Budget'!$B$9:$B$33,0)),0,IF('Cash Flow'!N25&lt;&gt;0,'Cash Flow'!N25,0))),0)</f>
        <v>0</v>
      </c>
      <c r="P25" s="153">
        <f ca="1">IFERROR(IF(LEFT(OFFSET(P$2,0,-$C25),3)="A&amp;D",-INDEX('Prelim Budget'!$C$9:$C$33,MATCH('Cash Flow'!$B25,'Prelim Budget'!$B$9:$B$33,0))/'Cash Flow'!$E25,IF(SUM('Cash Flow'!$F25:O25)=-INDEX('Prelim Budget'!$C$9:$C$33,MATCH('Cash Flow'!$B25,'Prelim Budget'!$B$9:$B$33,0)),0,IF('Cash Flow'!O25&lt;&gt;0,'Cash Flow'!O25,0))),0)</f>
        <v>0</v>
      </c>
      <c r="Q25" s="153">
        <f ca="1">IFERROR(IF(LEFT(OFFSET(Q$2,0,-$C25),3)="A&amp;D",-INDEX('Prelim Budget'!$C$9:$C$33,MATCH('Cash Flow'!$B25,'Prelim Budget'!$B$9:$B$33,0))/'Cash Flow'!$E25,IF(SUM('Cash Flow'!$F25:P25)=-INDEX('Prelim Budget'!$C$9:$C$33,MATCH('Cash Flow'!$B25,'Prelim Budget'!$B$9:$B$33,0)),0,IF('Cash Flow'!P25&lt;&gt;0,'Cash Flow'!P25,0))),0)</f>
        <v>0</v>
      </c>
      <c r="R25" s="153">
        <f ca="1">IFERROR(IF(LEFT(OFFSET(R$2,0,-$C25),3)="A&amp;D",-INDEX('Prelim Budget'!$C$9:$C$33,MATCH('Cash Flow'!$B25,'Prelim Budget'!$B$9:$B$33,0))/'Cash Flow'!$E25,IF(SUM('Cash Flow'!$F25:Q25)=-INDEX('Prelim Budget'!$C$9:$C$33,MATCH('Cash Flow'!$B25,'Prelim Budget'!$B$9:$B$33,0)),0,IF('Cash Flow'!Q25&lt;&gt;0,'Cash Flow'!Q25,0))),0)</f>
        <v>0</v>
      </c>
      <c r="S25" s="153">
        <f ca="1">IFERROR(IF(LEFT(OFFSET(S$2,0,-$C25),3)="A&amp;D",-INDEX('Prelim Budget'!$C$9:$C$33,MATCH('Cash Flow'!$B25,'Prelim Budget'!$B$9:$B$33,0))/'Cash Flow'!$E25,IF(SUM('Cash Flow'!$F25:R25)=-INDEX('Prelim Budget'!$C$9:$C$33,MATCH('Cash Flow'!$B25,'Prelim Budget'!$B$9:$B$33,0)),0,IF('Cash Flow'!R25&lt;&gt;0,'Cash Flow'!R25,0))),0)</f>
        <v>0</v>
      </c>
      <c r="T25" s="153">
        <f ca="1">IFERROR(IF(LEFT(OFFSET(T$2,0,-$C25),3)="A&amp;D",-INDEX('Prelim Budget'!$C$9:$C$33,MATCH('Cash Flow'!$B25,'Prelim Budget'!$B$9:$B$33,0))/'Cash Flow'!$E25,IF(SUM('Cash Flow'!$F25:S25)=-INDEX('Prelim Budget'!$C$9:$C$33,MATCH('Cash Flow'!$B25,'Prelim Budget'!$B$9:$B$33,0)),0,IF('Cash Flow'!S25&lt;&gt;0,'Cash Flow'!S25,0))),0)</f>
        <v>0</v>
      </c>
      <c r="U25" s="153">
        <f ca="1">IFERROR(IF(LEFT(OFFSET(U$2,0,-$C25),3)="A&amp;D",-INDEX('Prelim Budget'!$C$9:$C$33,MATCH('Cash Flow'!$B25,'Prelim Budget'!$B$9:$B$33,0))/'Cash Flow'!$E25,IF(SUM('Cash Flow'!$F25:T25)=-INDEX('Prelim Budget'!$C$9:$C$33,MATCH('Cash Flow'!$B25,'Prelim Budget'!$B$9:$B$33,0)),0,IF('Cash Flow'!T25&lt;&gt;0,'Cash Flow'!T25,0))),0)</f>
        <v>0</v>
      </c>
      <c r="V25" s="153">
        <f ca="1">IFERROR(IF(LEFT(OFFSET(V$2,0,-$C25),3)="A&amp;D",-INDEX('Prelim Budget'!$C$9:$C$33,MATCH('Cash Flow'!$B25,'Prelim Budget'!$B$9:$B$33,0))/'Cash Flow'!$E25,IF(SUM('Cash Flow'!$F25:U25)=-INDEX('Prelim Budget'!$C$9:$C$33,MATCH('Cash Flow'!$B25,'Prelim Budget'!$B$9:$B$33,0)),0,IF('Cash Flow'!U25&lt;&gt;0,'Cash Flow'!U25,0))),0)</f>
        <v>0</v>
      </c>
      <c r="W25" s="153">
        <f ca="1">IFERROR(IF(LEFT(OFFSET(W$2,0,-$C25),3)="A&amp;D",-INDEX('Prelim Budget'!$C$9:$C$33,MATCH('Cash Flow'!$B25,'Prelim Budget'!$B$9:$B$33,0))/'Cash Flow'!$E25,IF(SUM('Cash Flow'!$F25:V25)=-INDEX('Prelim Budget'!$C$9:$C$33,MATCH('Cash Flow'!$B25,'Prelim Budget'!$B$9:$B$33,0)),0,IF('Cash Flow'!V25&lt;&gt;0,'Cash Flow'!V25,0))),0)</f>
        <v>0</v>
      </c>
      <c r="X25" s="153">
        <f ca="1">IFERROR(IF(LEFT(OFFSET(X$2,0,-$C25),3)="A&amp;D",-INDEX('Prelim Budget'!$C$9:$C$33,MATCH('Cash Flow'!$B25,'Prelim Budget'!$B$9:$B$33,0))/'Cash Flow'!$E25,IF(SUM('Cash Flow'!$F25:W25)=-INDEX('Prelim Budget'!$C$9:$C$33,MATCH('Cash Flow'!$B25,'Prelim Budget'!$B$9:$B$33,0)),0,IF('Cash Flow'!W25&lt;&gt;0,'Cash Flow'!W25,0))),0)</f>
        <v>0</v>
      </c>
      <c r="Y25" s="153">
        <f ca="1">IFERROR(IF(LEFT(OFFSET(Y$2,0,-$C25),3)="A&amp;D",-INDEX('Prelim Budget'!$C$9:$C$33,MATCH('Cash Flow'!$B25,'Prelim Budget'!$B$9:$B$33,0))/'Cash Flow'!$E25,IF(SUM('Cash Flow'!$F25:X25)=-INDEX('Prelim Budget'!$C$9:$C$33,MATCH('Cash Flow'!$B25,'Prelim Budget'!$B$9:$B$33,0)),0,IF('Cash Flow'!X25&lt;&gt;0,'Cash Flow'!X25,0))),0)</f>
        <v>0</v>
      </c>
      <c r="Z25" s="153">
        <f ca="1">IFERROR(IF(LEFT(OFFSET(Z$2,0,-$C25),3)="A&amp;D",-INDEX('Prelim Budget'!$C$9:$C$33,MATCH('Cash Flow'!$B25,'Prelim Budget'!$B$9:$B$33,0))/'Cash Flow'!$E25,IF(SUM('Cash Flow'!$F25:Y25)=-INDEX('Prelim Budget'!$C$9:$C$33,MATCH('Cash Flow'!$B25,'Prelim Budget'!$B$9:$B$33,0)),0,IF('Cash Flow'!Y25&lt;&gt;0,'Cash Flow'!Y25,0))),0)</f>
        <v>0</v>
      </c>
      <c r="AA25" s="153">
        <f ca="1">IFERROR(IF(LEFT(OFFSET(AA$2,0,-$C25),3)="A&amp;D",-INDEX('Prelim Budget'!$C$9:$C$33,MATCH('Cash Flow'!$B25,'Prelim Budget'!$B$9:$B$33,0))/'Cash Flow'!$E25,IF(SUM('Cash Flow'!$F25:Z25)=-INDEX('Prelim Budget'!$C$9:$C$33,MATCH('Cash Flow'!$B25,'Prelim Budget'!$B$9:$B$33,0)),0,IF('Cash Flow'!Z25&lt;&gt;0,'Cash Flow'!Z25,0))),0)</f>
        <v>0</v>
      </c>
      <c r="AB25" s="153">
        <f ca="1">IFERROR(IF(LEFT(OFFSET(AB$2,0,-$C25),3)="A&amp;D",-INDEX('Prelim Budget'!$C$9:$C$33,MATCH('Cash Flow'!$B25,'Prelim Budget'!$B$9:$B$33,0))/'Cash Flow'!$E25,IF(SUM('Cash Flow'!$F25:AA25)=-INDEX('Prelim Budget'!$C$9:$C$33,MATCH('Cash Flow'!$B25,'Prelim Budget'!$B$9:$B$33,0)),0,IF('Cash Flow'!AA25&lt;&gt;0,'Cash Flow'!AA25,0))),0)</f>
        <v>0</v>
      </c>
      <c r="AC25" s="153">
        <f ca="1">IFERROR(IF(LEFT(OFFSET(AC$2,0,-$C25),3)="A&amp;D",-INDEX('Prelim Budget'!$C$9:$C$33,MATCH('Cash Flow'!$B25,'Prelim Budget'!$B$9:$B$33,0))/'Cash Flow'!$E25,IF(SUM('Cash Flow'!$F25:AB25)=-INDEX('Prelim Budget'!$C$9:$C$33,MATCH('Cash Flow'!$B25,'Prelim Budget'!$B$9:$B$33,0)),0,IF('Cash Flow'!AB25&lt;&gt;0,'Cash Flow'!AB25,0))),0)</f>
        <v>0</v>
      </c>
      <c r="AD25" s="153">
        <f ca="1">IFERROR(IF(LEFT(OFFSET(AD$2,0,-$C25),3)="A&amp;D",-INDEX('Prelim Budget'!$C$9:$C$33,MATCH('Cash Flow'!$B25,'Prelim Budget'!$B$9:$B$33,0))/'Cash Flow'!$E25,IF(SUM('Cash Flow'!$F25:AC25)=-INDEX('Prelim Budget'!$C$9:$C$33,MATCH('Cash Flow'!$B25,'Prelim Budget'!$B$9:$B$33,0)),0,IF('Cash Flow'!AC25&lt;&gt;0,'Cash Flow'!AC25,0))),0)</f>
        <v>0</v>
      </c>
      <c r="AE25" s="153">
        <f ca="1">IFERROR(IF(LEFT(OFFSET(AE$2,0,-$C25),3)="A&amp;D",-INDEX('Prelim Budget'!$C$9:$C$33,MATCH('Cash Flow'!$B25,'Prelim Budget'!$B$9:$B$33,0))/'Cash Flow'!$E25,IF(SUM('Cash Flow'!$F25:AD25)=-INDEX('Prelim Budget'!$C$9:$C$33,MATCH('Cash Flow'!$B25,'Prelim Budget'!$B$9:$B$33,0)),0,IF('Cash Flow'!AD25&lt;&gt;0,'Cash Flow'!AD25,0))),0)</f>
        <v>0</v>
      </c>
      <c r="AF25" s="153">
        <f ca="1">IFERROR(IF(LEFT(OFFSET(AF$2,0,-$C25),3)="A&amp;D",-INDEX('Prelim Budget'!$C$9:$C$33,MATCH('Cash Flow'!$B25,'Prelim Budget'!$B$9:$B$33,0))/'Cash Flow'!$E25,IF(SUM('Cash Flow'!$F25:AE25)=-INDEX('Prelim Budget'!$C$9:$C$33,MATCH('Cash Flow'!$B25,'Prelim Budget'!$B$9:$B$33,0)),0,IF('Cash Flow'!AE25&lt;&gt;0,'Cash Flow'!AE25,0))),0)</f>
        <v>0</v>
      </c>
      <c r="AG25" s="153">
        <f ca="1">IFERROR(IF(LEFT(OFFSET(AG$2,0,-$C25),3)="A&amp;D",-INDEX('Prelim Budget'!$C$9:$C$33,MATCH('Cash Flow'!$B25,'Prelim Budget'!$B$9:$B$33,0))/'Cash Flow'!$E25,IF(SUM('Cash Flow'!$F25:AF25)=-INDEX('Prelim Budget'!$C$9:$C$33,MATCH('Cash Flow'!$B25,'Prelim Budget'!$B$9:$B$33,0)),0,IF('Cash Flow'!AF25&lt;&gt;0,'Cash Flow'!AF25,0))),0)</f>
        <v>0</v>
      </c>
      <c r="AH25" s="153">
        <f ca="1">IFERROR(IF(LEFT(OFFSET(AH$2,0,-$C25),3)="A&amp;D",-INDEX('Prelim Budget'!$C$9:$C$33,MATCH('Cash Flow'!$B25,'Prelim Budget'!$B$9:$B$33,0))/'Cash Flow'!$E25,IF(SUM('Cash Flow'!$F25:AG25)=-INDEX('Prelim Budget'!$C$9:$C$33,MATCH('Cash Flow'!$B25,'Prelim Budget'!$B$9:$B$33,0)),0,IF('Cash Flow'!AG25&lt;&gt;0,'Cash Flow'!AG25,0))),0)</f>
        <v>0</v>
      </c>
      <c r="AI25" s="153">
        <f ca="1">IFERROR(IF(LEFT(OFFSET(AI$2,0,-$C25),3)="A&amp;D",-INDEX('Prelim Budget'!$C$9:$C$33,MATCH('Cash Flow'!$B25,'Prelim Budget'!$B$9:$B$33,0))/'Cash Flow'!$E25,IF(SUM('Cash Flow'!$F25:AH25)=-INDEX('Prelim Budget'!$C$9:$C$33,MATCH('Cash Flow'!$B25,'Prelim Budget'!$B$9:$B$33,0)),0,IF('Cash Flow'!AH25&lt;&gt;0,'Cash Flow'!AH25,0))),0)</f>
        <v>0</v>
      </c>
      <c r="AJ25" s="153">
        <f ca="1">IFERROR(IF(LEFT(OFFSET(AJ$2,0,-$C25),3)="A&amp;D",-INDEX('Prelim Budget'!$C$9:$C$33,MATCH('Cash Flow'!$B25,'Prelim Budget'!$B$9:$B$33,0))/'Cash Flow'!$E25,IF(SUM('Cash Flow'!$F25:AI25)=-INDEX('Prelim Budget'!$C$9:$C$33,MATCH('Cash Flow'!$B25,'Prelim Budget'!$B$9:$B$33,0)),0,IF('Cash Flow'!AI25&lt;&gt;0,'Cash Flow'!AI25,0))),0)</f>
        <v>0</v>
      </c>
      <c r="AK25" s="153">
        <f ca="1">IFERROR(IF(LEFT(OFFSET(AK$2,0,-$C25),3)="A&amp;D",-INDEX('Prelim Budget'!$C$9:$C$33,MATCH('Cash Flow'!$B25,'Prelim Budget'!$B$9:$B$33,0))/'Cash Flow'!$E25,IF(SUM('Cash Flow'!$F25:AJ25)=-INDEX('Prelim Budget'!$C$9:$C$33,MATCH('Cash Flow'!$B25,'Prelim Budget'!$B$9:$B$33,0)),0,IF('Cash Flow'!AJ25&lt;&gt;0,'Cash Flow'!AJ25,0))),0)</f>
        <v>0</v>
      </c>
      <c r="AL25" s="153">
        <f ca="1">IFERROR(IF(LEFT(OFFSET(AL$2,0,-$C25),3)="A&amp;D",-INDEX('Prelim Budget'!$C$9:$C$33,MATCH('Cash Flow'!$B25,'Prelim Budget'!$B$9:$B$33,0))/'Cash Flow'!$E25,IF(SUM('Cash Flow'!$F25:AK25)=-INDEX('Prelim Budget'!$C$9:$C$33,MATCH('Cash Flow'!$B25,'Prelim Budget'!$B$9:$B$33,0)),0,IF('Cash Flow'!AK25&lt;&gt;0,'Cash Flow'!AK25,0))),0)</f>
        <v>0</v>
      </c>
      <c r="AM25" s="153">
        <f ca="1">IFERROR(IF(LEFT(OFFSET(AM$2,0,-$C25),3)="A&amp;D",-INDEX('Prelim Budget'!$C$9:$C$33,MATCH('Cash Flow'!$B25,'Prelim Budget'!$B$9:$B$33,0))/'Cash Flow'!$E25,IF(SUM('Cash Flow'!$F25:AL25)=-INDEX('Prelim Budget'!$C$9:$C$33,MATCH('Cash Flow'!$B25,'Prelim Budget'!$B$9:$B$33,0)),0,IF('Cash Flow'!AL25&lt;&gt;0,'Cash Flow'!AL25,0))),0)</f>
        <v>0</v>
      </c>
      <c r="AN25" s="153">
        <f ca="1">IFERROR(IF(LEFT(OFFSET(AN$2,0,-$C25),3)="A&amp;D",-INDEX('Prelim Budget'!$C$9:$C$33,MATCH('Cash Flow'!$B25,'Prelim Budget'!$B$9:$B$33,0))/'Cash Flow'!$E25,IF(SUM('Cash Flow'!$F25:AM25)=-INDEX('Prelim Budget'!$C$9:$C$33,MATCH('Cash Flow'!$B25,'Prelim Budget'!$B$9:$B$33,0)),0,IF('Cash Flow'!AM25&lt;&gt;0,'Cash Flow'!AM25,0))),0)</f>
        <v>0</v>
      </c>
      <c r="AO25" s="153">
        <f ca="1">IFERROR(IF(LEFT(OFFSET(AO$2,0,-$C25),3)="A&amp;D",-INDEX('Prelim Budget'!$C$9:$C$33,MATCH('Cash Flow'!$B25,'Prelim Budget'!$B$9:$B$33,0))/'Cash Flow'!$E25,IF(SUM('Cash Flow'!$F25:AN25)=-INDEX('Prelim Budget'!$C$9:$C$33,MATCH('Cash Flow'!$B25,'Prelim Budget'!$B$9:$B$33,0)),0,IF('Cash Flow'!AN25&lt;&gt;0,'Cash Flow'!AN25,0))),0)</f>
        <v>0</v>
      </c>
      <c r="AP25" s="153">
        <f ca="1">IFERROR(IF(LEFT(OFFSET(AP$2,0,-$C25),3)="A&amp;D",-INDEX('Prelim Budget'!$C$9:$C$33,MATCH('Cash Flow'!$B25,'Prelim Budget'!$B$9:$B$33,0))/'Cash Flow'!$E25,IF(SUM('Cash Flow'!$F25:AO25)=-INDEX('Prelim Budget'!$C$9:$C$33,MATCH('Cash Flow'!$B25,'Prelim Budget'!$B$9:$B$33,0)),0,IF('Cash Flow'!AO25&lt;&gt;0,'Cash Flow'!AO25,0))),0)</f>
        <v>0</v>
      </c>
      <c r="AQ25" s="153">
        <f ca="1">IFERROR(IF(LEFT(OFFSET(AQ$2,0,-$C25),3)="A&amp;D",-INDEX('Prelim Budget'!$C$9:$C$33,MATCH('Cash Flow'!$B25,'Prelim Budget'!$B$9:$B$33,0))/'Cash Flow'!$E25,IF(SUM('Cash Flow'!$F25:AP25)=-INDEX('Prelim Budget'!$C$9:$C$33,MATCH('Cash Flow'!$B25,'Prelim Budget'!$B$9:$B$33,0)),0,IF('Cash Flow'!AP25&lt;&gt;0,'Cash Flow'!AP25,0))),0)</f>
        <v>0</v>
      </c>
      <c r="AR25" s="153">
        <f ca="1">IFERROR(IF(LEFT(OFFSET(AR$2,0,-$C25),3)="A&amp;D",-INDEX('Prelim Budget'!$C$9:$C$33,MATCH('Cash Flow'!$B25,'Prelim Budget'!$B$9:$B$33,0))/'Cash Flow'!$E25,IF(SUM('Cash Flow'!$F25:AQ25)=-INDEX('Prelim Budget'!$C$9:$C$33,MATCH('Cash Flow'!$B25,'Prelim Budget'!$B$9:$B$33,0)),0,IF('Cash Flow'!AQ25&lt;&gt;0,'Cash Flow'!AQ25,0))),0)</f>
        <v>0</v>
      </c>
      <c r="AS25" s="153">
        <f ca="1">IFERROR(IF(LEFT(OFFSET(AS$2,0,-$C25),3)="A&amp;D",-INDEX('Prelim Budget'!$C$9:$C$33,MATCH('Cash Flow'!$B25,'Prelim Budget'!$B$9:$B$33,0))/'Cash Flow'!$E25,IF(SUM('Cash Flow'!$F25:AR25)=-INDEX('Prelim Budget'!$C$9:$C$33,MATCH('Cash Flow'!$B25,'Prelim Budget'!$B$9:$B$33,0)),0,IF('Cash Flow'!AR25&lt;&gt;0,'Cash Flow'!AR25,0))),0)</f>
        <v>0</v>
      </c>
      <c r="AT25" s="153">
        <f ca="1">IFERROR(IF(LEFT(OFFSET(AT$2,0,-$C25),3)="A&amp;D",-INDEX('Prelim Budget'!$C$9:$C$33,MATCH('Cash Flow'!$B25,'Prelim Budget'!$B$9:$B$33,0))/'Cash Flow'!$E25,IF(SUM('Cash Flow'!$F25:AS25)=-INDEX('Prelim Budget'!$C$9:$C$33,MATCH('Cash Flow'!$B25,'Prelim Budget'!$B$9:$B$33,0)),0,IF('Cash Flow'!AS25&lt;&gt;0,'Cash Flow'!AS25,0))),0)</f>
        <v>0</v>
      </c>
      <c r="AU25" s="153">
        <f ca="1">IFERROR(IF(LEFT(OFFSET(AU$2,0,-$C25),3)="A&amp;D",-INDEX('Prelim Budget'!$C$9:$C$33,MATCH('Cash Flow'!$B25,'Prelim Budget'!$B$9:$B$33,0))/'Cash Flow'!$E25,IF(SUM('Cash Flow'!$F25:AT25)=-INDEX('Prelim Budget'!$C$9:$C$33,MATCH('Cash Flow'!$B25,'Prelim Budget'!$B$9:$B$33,0)),0,IF('Cash Flow'!AT25&lt;&gt;0,'Cash Flow'!AT25,0))),0)</f>
        <v>0</v>
      </c>
      <c r="AV25" s="153">
        <f ca="1">IFERROR(IF(LEFT(OFFSET(AV$2,0,-$C25),3)="A&amp;D",-INDEX('Prelim Budget'!$C$9:$C$33,MATCH('Cash Flow'!$B25,'Prelim Budget'!$B$9:$B$33,0))/'Cash Flow'!$E25,IF(SUM('Cash Flow'!$F25:AU25)=-INDEX('Prelim Budget'!$C$9:$C$33,MATCH('Cash Flow'!$B25,'Prelim Budget'!$B$9:$B$33,0)),0,IF('Cash Flow'!AU25&lt;&gt;0,'Cash Flow'!AU25,0))),0)</f>
        <v>0</v>
      </c>
      <c r="AW25" s="153">
        <f ca="1">IFERROR(IF(LEFT(OFFSET(AW$2,0,-$C25),3)="A&amp;D",-INDEX('Prelim Budget'!$C$9:$C$33,MATCH('Cash Flow'!$B25,'Prelim Budget'!$B$9:$B$33,0))/'Cash Flow'!$E25,IF(SUM('Cash Flow'!$F25:AV25)=-INDEX('Prelim Budget'!$C$9:$C$33,MATCH('Cash Flow'!$B25,'Prelim Budget'!$B$9:$B$33,0)),0,IF('Cash Flow'!AV25&lt;&gt;0,'Cash Flow'!AV25,0))),0)</f>
        <v>0</v>
      </c>
      <c r="AX25" s="153">
        <f ca="1">IFERROR(IF(LEFT(OFFSET(AX$2,0,-$C25),3)="A&amp;D",-INDEX('Prelim Budget'!$C$9:$C$33,MATCH('Cash Flow'!$B25,'Prelim Budget'!$B$9:$B$33,0))/'Cash Flow'!$E25,IF(SUM('Cash Flow'!$F25:AW25)=-INDEX('Prelim Budget'!$C$9:$C$33,MATCH('Cash Flow'!$B25,'Prelim Budget'!$B$9:$B$33,0)),0,IF('Cash Flow'!AW25&lt;&gt;0,'Cash Flow'!AW25,0))),0)</f>
        <v>0</v>
      </c>
      <c r="AY25" s="153">
        <f ca="1">IFERROR(IF(LEFT(OFFSET(AY$2,0,-$C25),3)="A&amp;D",-INDEX('Prelim Budget'!$C$9:$C$33,MATCH('Cash Flow'!$B25,'Prelim Budget'!$B$9:$B$33,0))/'Cash Flow'!$E25,IF(SUM('Cash Flow'!$F25:AX25)=-INDEX('Prelim Budget'!$C$9:$C$33,MATCH('Cash Flow'!$B25,'Prelim Budget'!$B$9:$B$33,0)),0,IF('Cash Flow'!AX25&lt;&gt;0,'Cash Flow'!AX25,0))),0)</f>
        <v>0</v>
      </c>
      <c r="AZ25" s="153">
        <f ca="1">IFERROR(IF(LEFT(OFFSET(AZ$2,0,-$C25),3)="A&amp;D",-INDEX('Prelim Budget'!$C$9:$C$33,MATCH('Cash Flow'!$B25,'Prelim Budget'!$B$9:$B$33,0))/'Cash Flow'!$E25,IF(SUM('Cash Flow'!$F25:AY25)=-INDEX('Prelim Budget'!$C$9:$C$33,MATCH('Cash Flow'!$B25,'Prelim Budget'!$B$9:$B$33,0)),0,IF('Cash Flow'!AY25&lt;&gt;0,'Cash Flow'!AY25,0))),0)</f>
        <v>0</v>
      </c>
      <c r="BA25" s="153">
        <f ca="1">IFERROR(IF(LEFT(OFFSET(BA$2,0,-$C25),3)="A&amp;D",-INDEX('Prelim Budget'!$C$9:$C$33,MATCH('Cash Flow'!$B25,'Prelim Budget'!$B$9:$B$33,0))/'Cash Flow'!$E25,IF(SUM('Cash Flow'!$F25:AZ25)=-INDEX('Prelim Budget'!$C$9:$C$33,MATCH('Cash Flow'!$B25,'Prelim Budget'!$B$9:$B$33,0)),0,IF('Cash Flow'!AZ25&lt;&gt;0,'Cash Flow'!AZ25,0))),0)</f>
        <v>0</v>
      </c>
      <c r="BB25" s="153">
        <f ca="1">IFERROR(IF(LEFT(OFFSET(BB$2,0,-$C25),3)="A&amp;D",-INDEX('Prelim Budget'!$C$9:$C$33,MATCH('Cash Flow'!$B25,'Prelim Budget'!$B$9:$B$33,0))/'Cash Flow'!$E25,IF(SUM('Cash Flow'!$F25:BA25)=-INDEX('Prelim Budget'!$C$9:$C$33,MATCH('Cash Flow'!$B25,'Prelim Budget'!$B$9:$B$33,0)),0,IF('Cash Flow'!BA25&lt;&gt;0,'Cash Flow'!BA25,0))),0)</f>
        <v>0</v>
      </c>
      <c r="BC25" s="153">
        <f ca="1">IFERROR(IF(LEFT(OFFSET(BC$2,0,-$C25),3)="A&amp;D",-INDEX('Prelim Budget'!$C$9:$C$33,MATCH('Cash Flow'!$B25,'Prelim Budget'!$B$9:$B$33,0))/'Cash Flow'!$E25,IF(SUM('Cash Flow'!$F25:BB25)=-INDEX('Prelim Budget'!$C$9:$C$33,MATCH('Cash Flow'!$B25,'Prelim Budget'!$B$9:$B$33,0)),0,IF('Cash Flow'!BB25&lt;&gt;0,'Cash Flow'!BB25,0))),0)</f>
        <v>0</v>
      </c>
      <c r="BD25" s="153">
        <f ca="1">IFERROR(IF(LEFT(OFFSET(BD$2,0,-$C25),3)="A&amp;D",-INDEX('Prelim Budget'!$C$9:$C$33,MATCH('Cash Flow'!$B25,'Prelim Budget'!$B$9:$B$33,0))/'Cash Flow'!$E25,IF(SUM('Cash Flow'!$F25:BC25)=-INDEX('Prelim Budget'!$C$9:$C$33,MATCH('Cash Flow'!$B25,'Prelim Budget'!$B$9:$B$33,0)),0,IF('Cash Flow'!BC25&lt;&gt;0,'Cash Flow'!BC25,0))),0)</f>
        <v>0</v>
      </c>
      <c r="BE25" s="153">
        <f ca="1">IFERROR(IF(LEFT(OFFSET(BE$2,0,-$C25),3)="A&amp;D",-INDEX('Prelim Budget'!$C$9:$C$33,MATCH('Cash Flow'!$B25,'Prelim Budget'!$B$9:$B$33,0))/'Cash Flow'!$E25,IF(SUM('Cash Flow'!$F25:BD25)=-INDEX('Prelim Budget'!$C$9:$C$33,MATCH('Cash Flow'!$B25,'Prelim Budget'!$B$9:$B$33,0)),0,IF('Cash Flow'!BD25&lt;&gt;0,'Cash Flow'!BD25,0))),0)</f>
        <v>0</v>
      </c>
      <c r="BF25" s="153">
        <f ca="1">IFERROR(IF(LEFT(OFFSET(BF$2,0,-$C25),3)="A&amp;D",-INDEX('Prelim Budget'!$C$9:$C$33,MATCH('Cash Flow'!$B25,'Prelim Budget'!$B$9:$B$33,0))/'Cash Flow'!$E25,IF(SUM('Cash Flow'!$F25:BE25)=-INDEX('Prelim Budget'!$C$9:$C$33,MATCH('Cash Flow'!$B25,'Prelim Budget'!$B$9:$B$33,0)),0,IF('Cash Flow'!BE25&lt;&gt;0,'Cash Flow'!BE25,0))),0)</f>
        <v>0</v>
      </c>
      <c r="BG25" s="153">
        <f ca="1">IFERROR(IF(LEFT(OFFSET(BG$2,0,-$C25),3)="A&amp;D",-INDEX('Prelim Budget'!$C$9:$C$33,MATCH('Cash Flow'!$B25,'Prelim Budget'!$B$9:$B$33,0))/'Cash Flow'!$E25,IF(SUM('Cash Flow'!$F25:BF25)=-INDEX('Prelim Budget'!$C$9:$C$33,MATCH('Cash Flow'!$B25,'Prelim Budget'!$B$9:$B$33,0)),0,IF('Cash Flow'!BF25&lt;&gt;0,'Cash Flow'!BF25,0))),0)</f>
        <v>0</v>
      </c>
      <c r="BH25" s="153">
        <f ca="1">IFERROR(IF(LEFT(OFFSET(BH$2,0,-$C25),3)="A&amp;D",-INDEX('Prelim Budget'!$C$9:$C$33,MATCH('Cash Flow'!$B25,'Prelim Budget'!$B$9:$B$33,0))/'Cash Flow'!$E25,IF(SUM('Cash Flow'!$F25:BG25)=-INDEX('Prelim Budget'!$C$9:$C$33,MATCH('Cash Flow'!$B25,'Prelim Budget'!$B$9:$B$33,0)),0,IF('Cash Flow'!BG25&lt;&gt;0,'Cash Flow'!BG25,0))),0)</f>
        <v>0</v>
      </c>
      <c r="BI25" s="153">
        <f ca="1">IFERROR(IF(LEFT(OFFSET(BI$2,0,-$C25),3)="A&amp;D",-INDEX('Prelim Budget'!$C$9:$C$33,MATCH('Cash Flow'!$B25,'Prelim Budget'!$B$9:$B$33,0))/'Cash Flow'!$E25,IF(SUM('Cash Flow'!$F25:BH25)=-INDEX('Prelim Budget'!$C$9:$C$33,MATCH('Cash Flow'!$B25,'Prelim Budget'!$B$9:$B$33,0)),0,IF('Cash Flow'!BH25&lt;&gt;0,'Cash Flow'!BH25,0))),0)</f>
        <v>0</v>
      </c>
      <c r="BJ25" s="153">
        <f ca="1">IFERROR(IF(LEFT(OFFSET(BJ$2,0,-$C25),3)="A&amp;D",-INDEX('Prelim Budget'!$C$9:$C$33,MATCH('Cash Flow'!$B25,'Prelim Budget'!$B$9:$B$33,0))/'Cash Flow'!$E25,IF(SUM('Cash Flow'!$F25:BI25)=-INDEX('Prelim Budget'!$C$9:$C$33,MATCH('Cash Flow'!$B25,'Prelim Budget'!$B$9:$B$33,0)),0,IF('Cash Flow'!BI25&lt;&gt;0,'Cash Flow'!BI25,0))),0)</f>
        <v>0</v>
      </c>
      <c r="BK25" s="153">
        <f ca="1">IFERROR(IF(LEFT(OFFSET(BK$2,0,-$C25),3)="A&amp;D",-INDEX('Prelim Budget'!$C$9:$C$33,MATCH('Cash Flow'!$B25,'Prelim Budget'!$B$9:$B$33,0))/'Cash Flow'!$E25,IF(SUM('Cash Flow'!$F25:BJ25)=-INDEX('Prelim Budget'!$C$9:$C$33,MATCH('Cash Flow'!$B25,'Prelim Budget'!$B$9:$B$33,0)),0,IF('Cash Flow'!BJ25&lt;&gt;0,'Cash Flow'!BJ25,0))),0)</f>
        <v>0</v>
      </c>
      <c r="BL25" s="153">
        <f ca="1">IFERROR(IF(LEFT(OFFSET(BL$2,0,-$C25),3)="A&amp;D",-INDEX('Prelim Budget'!$C$9:$C$33,MATCH('Cash Flow'!$B25,'Prelim Budget'!$B$9:$B$33,0))/'Cash Flow'!$E25,IF(SUM('Cash Flow'!$F25:BK25)=-INDEX('Prelim Budget'!$C$9:$C$33,MATCH('Cash Flow'!$B25,'Prelim Budget'!$B$9:$B$33,0)),0,IF('Cash Flow'!BK25&lt;&gt;0,'Cash Flow'!BK25,0))),0)</f>
        <v>0</v>
      </c>
      <c r="BM25" s="153">
        <f ca="1">IFERROR(IF(LEFT(OFFSET(BM$2,0,-$C25),3)="A&amp;D",-INDEX('Prelim Budget'!$C$9:$C$33,MATCH('Cash Flow'!$B25,'Prelim Budget'!$B$9:$B$33,0))/'Cash Flow'!$E25,IF(SUM('Cash Flow'!$F25:BL25)=-INDEX('Prelim Budget'!$C$9:$C$33,MATCH('Cash Flow'!$B25,'Prelim Budget'!$B$9:$B$33,0)),0,IF('Cash Flow'!BL25&lt;&gt;0,'Cash Flow'!BL25,0))),0)</f>
        <v>0</v>
      </c>
      <c r="BN25" s="153">
        <f ca="1">IFERROR(IF(LEFT(OFFSET(BN$2,0,-$C25),3)="A&amp;D",-INDEX('Prelim Budget'!$C$9:$C$33,MATCH('Cash Flow'!$B25,'Prelim Budget'!$B$9:$B$33,0))/'Cash Flow'!$E25,IF(SUM('Cash Flow'!$F25:BM25)=-INDEX('Prelim Budget'!$C$9:$C$33,MATCH('Cash Flow'!$B25,'Prelim Budget'!$B$9:$B$33,0)),0,IF('Cash Flow'!BM25&lt;&gt;0,'Cash Flow'!BM25,0))),0)</f>
        <v>0</v>
      </c>
      <c r="BO25" s="50">
        <f ca="1">IFERROR(IF(LEFT(OFFSET(BO$2,0,-$C25),3)="A&amp;D",-INDEX('Prelim Budget'!$C$9:$C$33,MATCH('Cash Flow'!$B25,'Prelim Budget'!$B$9:$B$33,0))/'Cash Flow'!$E25,IF(SUM('Cash Flow'!$F25:BN25)=-INDEX('Prelim Budget'!$C$9:$C$33,MATCH('Cash Flow'!$B25,'Prelim Budget'!$B$9:$B$33,0)),0,IF('Cash Flow'!BN25&lt;&gt;0,'Cash Flow'!BN25,0))),0)</f>
        <v>0</v>
      </c>
    </row>
    <row r="26" spans="2:67" ht="14.05" customHeight="1" x14ac:dyDescent="0.4">
      <c r="B26" s="3" t="s">
        <v>148</v>
      </c>
      <c r="C26" s="80">
        <v>3</v>
      </c>
      <c r="D26" s="153">
        <f t="shared" ca="1" si="11"/>
        <v>-50000.000000000007</v>
      </c>
      <c r="E26" s="81">
        <v>6</v>
      </c>
      <c r="F26" s="157"/>
      <c r="G26" s="134">
        <f ca="1">IFERROR(IF(LEFT(OFFSET(G$2,0,-$C26),3)="A&amp;D",-INDEX('Prelim Budget'!$C$9:$C$33,MATCH('Cash Flow'!$B26,'Prelim Budget'!$B$9:$B$33,0))/'Cash Flow'!$E26,IF(SUM('Cash Flow'!$F26:F26)=-INDEX('Prelim Budget'!$C$9:$C$33,MATCH('Cash Flow'!$B26,'Prelim Budget'!$B$9:$B$33,0)),0,IF('Cash Flow'!F26&lt;&gt;0,'Cash Flow'!F26,0))),0)</f>
        <v>0</v>
      </c>
      <c r="H26" s="153">
        <f ca="1">IFERROR(IF(LEFT(OFFSET(H$2,0,-$C26),3)="A&amp;D",-INDEX('Prelim Budget'!$C$9:$C$33,MATCH('Cash Flow'!$B26,'Prelim Budget'!$B$9:$B$33,0))/'Cash Flow'!$E26,IF(SUM('Cash Flow'!$F26:G26)=-INDEX('Prelim Budget'!$C$9:$C$33,MATCH('Cash Flow'!$B26,'Prelim Budget'!$B$9:$B$33,0)),0,IF('Cash Flow'!G26&lt;&gt;0,'Cash Flow'!G26,0))),0)</f>
        <v>0</v>
      </c>
      <c r="I26" s="153">
        <f ca="1">IFERROR(IF(LEFT(OFFSET(I$2,0,-$C26),3)="A&amp;D",-INDEX('Prelim Budget'!$C$9:$C$33,MATCH('Cash Flow'!$B26,'Prelim Budget'!$B$9:$B$33,0))/'Cash Flow'!$E26,IF(SUM('Cash Flow'!$F26:H26)=-INDEX('Prelim Budget'!$C$9:$C$33,MATCH('Cash Flow'!$B26,'Prelim Budget'!$B$9:$B$33,0)),0,IF('Cash Flow'!H26&lt;&gt;0,'Cash Flow'!H26,0))),0)</f>
        <v>0</v>
      </c>
      <c r="J26" s="153">
        <f ca="1">IFERROR(IF(LEFT(OFFSET(J$2,0,-$C26),3)="A&amp;D",-INDEX('Prelim Budget'!$C$9:$C$33,MATCH('Cash Flow'!$B26,'Prelim Budget'!$B$9:$B$33,0))/'Cash Flow'!$E26,IF(SUM('Cash Flow'!$F26:I26)=-INDEX('Prelim Budget'!$C$9:$C$33,MATCH('Cash Flow'!$B26,'Prelim Budget'!$B$9:$B$33,0)),0,IF('Cash Flow'!I26&lt;&gt;0,'Cash Flow'!I26,0))),0)</f>
        <v>0</v>
      </c>
      <c r="K26" s="153">
        <f ca="1">IFERROR(IF(LEFT(OFFSET(K$2,0,-$C26),3)="A&amp;D",-INDEX('Prelim Budget'!$C$9:$C$33,MATCH('Cash Flow'!$B26,'Prelim Budget'!$B$9:$B$33,0))/'Cash Flow'!$E26,IF(SUM('Cash Flow'!$F26:J26)=-INDEX('Prelim Budget'!$C$9:$C$33,MATCH('Cash Flow'!$B26,'Prelim Budget'!$B$9:$B$33,0)),0,IF('Cash Flow'!J26&lt;&gt;0,'Cash Flow'!J26,0))),0)</f>
        <v>0</v>
      </c>
      <c r="L26" s="153">
        <f ca="1">IFERROR(IF(LEFT(OFFSET(L$2,0,-$C26),3)="A&amp;D",-INDEX('Prelim Budget'!$C$9:$C$33,MATCH('Cash Flow'!$B26,'Prelim Budget'!$B$9:$B$33,0))/'Cash Flow'!$E26,IF(SUM('Cash Flow'!$F26:K26)=-INDEX('Prelim Budget'!$C$9:$C$33,MATCH('Cash Flow'!$B26,'Prelim Budget'!$B$9:$B$33,0)),0,IF('Cash Flow'!K26&lt;&gt;0,'Cash Flow'!K26,0))),0)</f>
        <v>0</v>
      </c>
      <c r="M26" s="153">
        <f ca="1">IFERROR(IF(LEFT(OFFSET(M$2,0,-$C26),3)="A&amp;D",-INDEX('Prelim Budget'!$C$9:$C$33,MATCH('Cash Flow'!$B26,'Prelim Budget'!$B$9:$B$33,0))/'Cash Flow'!$E26,IF(SUM('Cash Flow'!$F26:L26)=-INDEX('Prelim Budget'!$C$9:$C$33,MATCH('Cash Flow'!$B26,'Prelim Budget'!$B$9:$B$33,0)),0,IF('Cash Flow'!L26&lt;&gt;0,'Cash Flow'!L26,0))),0)</f>
        <v>0</v>
      </c>
      <c r="N26" s="153">
        <f ca="1">IFERROR(IF(LEFT(OFFSET(N$2,0,-$C26),3)="A&amp;D",-INDEX('Prelim Budget'!$C$9:$C$33,MATCH('Cash Flow'!$B26,'Prelim Budget'!$B$9:$B$33,0))/'Cash Flow'!$E26,IF(SUM('Cash Flow'!$F26:M26)=-INDEX('Prelim Budget'!$C$9:$C$33,MATCH('Cash Flow'!$B26,'Prelim Budget'!$B$9:$B$33,0)),0,IF('Cash Flow'!M26&lt;&gt;0,'Cash Flow'!M26,0))),0)</f>
        <v>0</v>
      </c>
      <c r="O26" s="153">
        <f ca="1">IFERROR(IF(LEFT(OFFSET(O$2,0,-$C26),3)="A&amp;D",-INDEX('Prelim Budget'!$C$9:$C$33,MATCH('Cash Flow'!$B26,'Prelim Budget'!$B$9:$B$33,0))/'Cash Flow'!$E26,IF(SUM('Cash Flow'!$F26:N26)=-INDEX('Prelim Budget'!$C$9:$C$33,MATCH('Cash Flow'!$B26,'Prelim Budget'!$B$9:$B$33,0)),0,IF('Cash Flow'!N26&lt;&gt;0,'Cash Flow'!N26,0))),0)</f>
        <v>0</v>
      </c>
      <c r="P26" s="153">
        <f ca="1">IFERROR(IF(LEFT(OFFSET(P$2,0,-$C26),3)="A&amp;D",-INDEX('Prelim Budget'!$C$9:$C$33,MATCH('Cash Flow'!$B26,'Prelim Budget'!$B$9:$B$33,0))/'Cash Flow'!$E26,IF(SUM('Cash Flow'!$F26:O26)=-INDEX('Prelim Budget'!$C$9:$C$33,MATCH('Cash Flow'!$B26,'Prelim Budget'!$B$9:$B$33,0)),0,IF('Cash Flow'!O26&lt;&gt;0,'Cash Flow'!O26,0))),0)</f>
        <v>-8333.3333333333339</v>
      </c>
      <c r="Q26" s="153">
        <f ca="1">IFERROR(IF(LEFT(OFFSET(Q$2,0,-$C26),3)="A&amp;D",-INDEX('Prelim Budget'!$C$9:$C$33,MATCH('Cash Flow'!$B26,'Prelim Budget'!$B$9:$B$33,0))/'Cash Flow'!$E26,IF(SUM('Cash Flow'!$F26:P26)=-INDEX('Prelim Budget'!$C$9:$C$33,MATCH('Cash Flow'!$B26,'Prelim Budget'!$B$9:$B$33,0)),0,IF('Cash Flow'!P26&lt;&gt;0,'Cash Flow'!P26,0))),0)</f>
        <v>-8333.3333333333339</v>
      </c>
      <c r="R26" s="153">
        <f ca="1">IFERROR(IF(LEFT(OFFSET(R$2,0,-$C26),3)="A&amp;D",-INDEX('Prelim Budget'!$C$9:$C$33,MATCH('Cash Flow'!$B26,'Prelim Budget'!$B$9:$B$33,0))/'Cash Flow'!$E26,IF(SUM('Cash Flow'!$F26:Q26)=-INDEX('Prelim Budget'!$C$9:$C$33,MATCH('Cash Flow'!$B26,'Prelim Budget'!$B$9:$B$33,0)),0,IF('Cash Flow'!Q26&lt;&gt;0,'Cash Flow'!Q26,0))),0)</f>
        <v>-8333.3333333333339</v>
      </c>
      <c r="S26" s="153">
        <f ca="1">IFERROR(IF(LEFT(OFFSET(S$2,0,-$C26),3)="A&amp;D",-INDEX('Prelim Budget'!$C$9:$C$33,MATCH('Cash Flow'!$B26,'Prelim Budget'!$B$9:$B$33,0))/'Cash Flow'!$E26,IF(SUM('Cash Flow'!$F26:R26)=-INDEX('Prelim Budget'!$C$9:$C$33,MATCH('Cash Flow'!$B26,'Prelim Budget'!$B$9:$B$33,0)),0,IF('Cash Flow'!R26&lt;&gt;0,'Cash Flow'!R26,0))),0)</f>
        <v>-8333.3333333333339</v>
      </c>
      <c r="T26" s="153">
        <f ca="1">IFERROR(IF(LEFT(OFFSET(T$2,0,-$C26),3)="A&amp;D",-INDEX('Prelim Budget'!$C$9:$C$33,MATCH('Cash Flow'!$B26,'Prelim Budget'!$B$9:$B$33,0))/'Cash Flow'!$E26,IF(SUM('Cash Flow'!$F26:S26)=-INDEX('Prelim Budget'!$C$9:$C$33,MATCH('Cash Flow'!$B26,'Prelim Budget'!$B$9:$B$33,0)),0,IF('Cash Flow'!S26&lt;&gt;0,'Cash Flow'!S26,0))),0)</f>
        <v>-8333.3333333333339</v>
      </c>
      <c r="U26" s="153">
        <f ca="1">IFERROR(IF(LEFT(OFFSET(U$2,0,-$C26),3)="A&amp;D",-INDEX('Prelim Budget'!$C$9:$C$33,MATCH('Cash Flow'!$B26,'Prelim Budget'!$B$9:$B$33,0))/'Cash Flow'!$E26,IF(SUM('Cash Flow'!$F26:T26)=-INDEX('Prelim Budget'!$C$9:$C$33,MATCH('Cash Flow'!$B26,'Prelim Budget'!$B$9:$B$33,0)),0,IF('Cash Flow'!T26&lt;&gt;0,'Cash Flow'!T26,0))),0)</f>
        <v>-8333.3333333333339</v>
      </c>
      <c r="V26" s="153">
        <f ca="1">IFERROR(IF(LEFT(OFFSET(V$2,0,-$C26),3)="A&amp;D",-INDEX('Prelim Budget'!$C$9:$C$33,MATCH('Cash Flow'!$B26,'Prelim Budget'!$B$9:$B$33,0))/'Cash Flow'!$E26,IF(SUM('Cash Flow'!$F26:U26)=-INDEX('Prelim Budget'!$C$9:$C$33,MATCH('Cash Flow'!$B26,'Prelim Budget'!$B$9:$B$33,0)),0,IF('Cash Flow'!U26&lt;&gt;0,'Cash Flow'!U26,0))),0)</f>
        <v>0</v>
      </c>
      <c r="W26" s="153">
        <f ca="1">IFERROR(IF(LEFT(OFFSET(W$2,0,-$C26),3)="A&amp;D",-INDEX('Prelim Budget'!$C$9:$C$33,MATCH('Cash Flow'!$B26,'Prelim Budget'!$B$9:$B$33,0))/'Cash Flow'!$E26,IF(SUM('Cash Flow'!$F26:V26)=-INDEX('Prelim Budget'!$C$9:$C$33,MATCH('Cash Flow'!$B26,'Prelim Budget'!$B$9:$B$33,0)),0,IF('Cash Flow'!V26&lt;&gt;0,'Cash Flow'!V26,0))),0)</f>
        <v>0</v>
      </c>
      <c r="X26" s="153">
        <f ca="1">IFERROR(IF(LEFT(OFFSET(X$2,0,-$C26),3)="A&amp;D",-INDEX('Prelim Budget'!$C$9:$C$33,MATCH('Cash Flow'!$B26,'Prelim Budget'!$B$9:$B$33,0))/'Cash Flow'!$E26,IF(SUM('Cash Flow'!$F26:W26)=-INDEX('Prelim Budget'!$C$9:$C$33,MATCH('Cash Flow'!$B26,'Prelim Budget'!$B$9:$B$33,0)),0,IF('Cash Flow'!W26&lt;&gt;0,'Cash Flow'!W26,0))),0)</f>
        <v>0</v>
      </c>
      <c r="Y26" s="153">
        <f ca="1">IFERROR(IF(LEFT(OFFSET(Y$2,0,-$C26),3)="A&amp;D",-INDEX('Prelim Budget'!$C$9:$C$33,MATCH('Cash Flow'!$B26,'Prelim Budget'!$B$9:$B$33,0))/'Cash Flow'!$E26,IF(SUM('Cash Flow'!$F26:X26)=-INDEX('Prelim Budget'!$C$9:$C$33,MATCH('Cash Flow'!$B26,'Prelim Budget'!$B$9:$B$33,0)),0,IF('Cash Flow'!X26&lt;&gt;0,'Cash Flow'!X26,0))),0)</f>
        <v>0</v>
      </c>
      <c r="Z26" s="153">
        <f ca="1">IFERROR(IF(LEFT(OFFSET(Z$2,0,-$C26),3)="A&amp;D",-INDEX('Prelim Budget'!$C$9:$C$33,MATCH('Cash Flow'!$B26,'Prelim Budget'!$B$9:$B$33,0))/'Cash Flow'!$E26,IF(SUM('Cash Flow'!$F26:Y26)=-INDEX('Prelim Budget'!$C$9:$C$33,MATCH('Cash Flow'!$B26,'Prelim Budget'!$B$9:$B$33,0)),0,IF('Cash Flow'!Y26&lt;&gt;0,'Cash Flow'!Y26,0))),0)</f>
        <v>0</v>
      </c>
      <c r="AA26" s="153">
        <f ca="1">IFERROR(IF(LEFT(OFFSET(AA$2,0,-$C26),3)="A&amp;D",-INDEX('Prelim Budget'!$C$9:$C$33,MATCH('Cash Flow'!$B26,'Prelim Budget'!$B$9:$B$33,0))/'Cash Flow'!$E26,IF(SUM('Cash Flow'!$F26:Z26)=-INDEX('Prelim Budget'!$C$9:$C$33,MATCH('Cash Flow'!$B26,'Prelim Budget'!$B$9:$B$33,0)),0,IF('Cash Flow'!Z26&lt;&gt;0,'Cash Flow'!Z26,0))),0)</f>
        <v>0</v>
      </c>
      <c r="AB26" s="153">
        <f ca="1">IFERROR(IF(LEFT(OFFSET(AB$2,0,-$C26),3)="A&amp;D",-INDEX('Prelim Budget'!$C$9:$C$33,MATCH('Cash Flow'!$B26,'Prelim Budget'!$B$9:$B$33,0))/'Cash Flow'!$E26,IF(SUM('Cash Flow'!$F26:AA26)=-INDEX('Prelim Budget'!$C$9:$C$33,MATCH('Cash Flow'!$B26,'Prelim Budget'!$B$9:$B$33,0)),0,IF('Cash Flow'!AA26&lt;&gt;0,'Cash Flow'!AA26,0))),0)</f>
        <v>0</v>
      </c>
      <c r="AC26" s="153">
        <f ca="1">IFERROR(IF(LEFT(OFFSET(AC$2,0,-$C26),3)="A&amp;D",-INDEX('Prelim Budget'!$C$9:$C$33,MATCH('Cash Flow'!$B26,'Prelim Budget'!$B$9:$B$33,0))/'Cash Flow'!$E26,IF(SUM('Cash Flow'!$F26:AB26)=-INDEX('Prelim Budget'!$C$9:$C$33,MATCH('Cash Flow'!$B26,'Prelim Budget'!$B$9:$B$33,0)),0,IF('Cash Flow'!AB26&lt;&gt;0,'Cash Flow'!AB26,0))),0)</f>
        <v>0</v>
      </c>
      <c r="AD26" s="153">
        <f ca="1">IFERROR(IF(LEFT(OFFSET(AD$2,0,-$C26),3)="A&amp;D",-INDEX('Prelim Budget'!$C$9:$C$33,MATCH('Cash Flow'!$B26,'Prelim Budget'!$B$9:$B$33,0))/'Cash Flow'!$E26,IF(SUM('Cash Flow'!$F26:AC26)=-INDEX('Prelim Budget'!$C$9:$C$33,MATCH('Cash Flow'!$B26,'Prelim Budget'!$B$9:$B$33,0)),0,IF('Cash Flow'!AC26&lt;&gt;0,'Cash Flow'!AC26,0))),0)</f>
        <v>0</v>
      </c>
      <c r="AE26" s="153">
        <f ca="1">IFERROR(IF(LEFT(OFFSET(AE$2,0,-$C26),3)="A&amp;D",-INDEX('Prelim Budget'!$C$9:$C$33,MATCH('Cash Flow'!$B26,'Prelim Budget'!$B$9:$B$33,0))/'Cash Flow'!$E26,IF(SUM('Cash Flow'!$F26:AD26)=-INDEX('Prelim Budget'!$C$9:$C$33,MATCH('Cash Flow'!$B26,'Prelim Budget'!$B$9:$B$33,0)),0,IF('Cash Flow'!AD26&lt;&gt;0,'Cash Flow'!AD26,0))),0)</f>
        <v>0</v>
      </c>
      <c r="AF26" s="153">
        <f ca="1">IFERROR(IF(LEFT(OFFSET(AF$2,0,-$C26),3)="A&amp;D",-INDEX('Prelim Budget'!$C$9:$C$33,MATCH('Cash Flow'!$B26,'Prelim Budget'!$B$9:$B$33,0))/'Cash Flow'!$E26,IF(SUM('Cash Flow'!$F26:AE26)=-INDEX('Prelim Budget'!$C$9:$C$33,MATCH('Cash Flow'!$B26,'Prelim Budget'!$B$9:$B$33,0)),0,IF('Cash Flow'!AE26&lt;&gt;0,'Cash Flow'!AE26,0))),0)</f>
        <v>0</v>
      </c>
      <c r="AG26" s="153">
        <f ca="1">IFERROR(IF(LEFT(OFFSET(AG$2,0,-$C26),3)="A&amp;D",-INDEX('Prelim Budget'!$C$9:$C$33,MATCH('Cash Flow'!$B26,'Prelim Budget'!$B$9:$B$33,0))/'Cash Flow'!$E26,IF(SUM('Cash Flow'!$F26:AF26)=-INDEX('Prelim Budget'!$C$9:$C$33,MATCH('Cash Flow'!$B26,'Prelim Budget'!$B$9:$B$33,0)),0,IF('Cash Flow'!AF26&lt;&gt;0,'Cash Flow'!AF26,0))),0)</f>
        <v>0</v>
      </c>
      <c r="AH26" s="153">
        <f ca="1">IFERROR(IF(LEFT(OFFSET(AH$2,0,-$C26),3)="A&amp;D",-INDEX('Prelim Budget'!$C$9:$C$33,MATCH('Cash Flow'!$B26,'Prelim Budget'!$B$9:$B$33,0))/'Cash Flow'!$E26,IF(SUM('Cash Flow'!$F26:AG26)=-INDEX('Prelim Budget'!$C$9:$C$33,MATCH('Cash Flow'!$B26,'Prelim Budget'!$B$9:$B$33,0)),0,IF('Cash Flow'!AG26&lt;&gt;0,'Cash Flow'!AG26,0))),0)</f>
        <v>0</v>
      </c>
      <c r="AI26" s="153">
        <f ca="1">IFERROR(IF(LEFT(OFFSET(AI$2,0,-$C26),3)="A&amp;D",-INDEX('Prelim Budget'!$C$9:$C$33,MATCH('Cash Flow'!$B26,'Prelim Budget'!$B$9:$B$33,0))/'Cash Flow'!$E26,IF(SUM('Cash Flow'!$F26:AH26)=-INDEX('Prelim Budget'!$C$9:$C$33,MATCH('Cash Flow'!$B26,'Prelim Budget'!$B$9:$B$33,0)),0,IF('Cash Flow'!AH26&lt;&gt;0,'Cash Flow'!AH26,0))),0)</f>
        <v>0</v>
      </c>
      <c r="AJ26" s="153">
        <f ca="1">IFERROR(IF(LEFT(OFFSET(AJ$2,0,-$C26),3)="A&amp;D",-INDEX('Prelim Budget'!$C$9:$C$33,MATCH('Cash Flow'!$B26,'Prelim Budget'!$B$9:$B$33,0))/'Cash Flow'!$E26,IF(SUM('Cash Flow'!$F26:AI26)=-INDEX('Prelim Budget'!$C$9:$C$33,MATCH('Cash Flow'!$B26,'Prelim Budget'!$B$9:$B$33,0)),0,IF('Cash Flow'!AI26&lt;&gt;0,'Cash Flow'!AI26,0))),0)</f>
        <v>0</v>
      </c>
      <c r="AK26" s="153">
        <f ca="1">IFERROR(IF(LEFT(OFFSET(AK$2,0,-$C26),3)="A&amp;D",-INDEX('Prelim Budget'!$C$9:$C$33,MATCH('Cash Flow'!$B26,'Prelim Budget'!$B$9:$B$33,0))/'Cash Flow'!$E26,IF(SUM('Cash Flow'!$F26:AJ26)=-INDEX('Prelim Budget'!$C$9:$C$33,MATCH('Cash Flow'!$B26,'Prelim Budget'!$B$9:$B$33,0)),0,IF('Cash Flow'!AJ26&lt;&gt;0,'Cash Flow'!AJ26,0))),0)</f>
        <v>0</v>
      </c>
      <c r="AL26" s="153">
        <f ca="1">IFERROR(IF(LEFT(OFFSET(AL$2,0,-$C26),3)="A&amp;D",-INDEX('Prelim Budget'!$C$9:$C$33,MATCH('Cash Flow'!$B26,'Prelim Budget'!$B$9:$B$33,0))/'Cash Flow'!$E26,IF(SUM('Cash Flow'!$F26:AK26)=-INDEX('Prelim Budget'!$C$9:$C$33,MATCH('Cash Flow'!$B26,'Prelim Budget'!$B$9:$B$33,0)),0,IF('Cash Flow'!AK26&lt;&gt;0,'Cash Flow'!AK26,0))),0)</f>
        <v>0</v>
      </c>
      <c r="AM26" s="153">
        <f ca="1">IFERROR(IF(LEFT(OFFSET(AM$2,0,-$C26),3)="A&amp;D",-INDEX('Prelim Budget'!$C$9:$C$33,MATCH('Cash Flow'!$B26,'Prelim Budget'!$B$9:$B$33,0))/'Cash Flow'!$E26,IF(SUM('Cash Flow'!$F26:AL26)=-INDEX('Prelim Budget'!$C$9:$C$33,MATCH('Cash Flow'!$B26,'Prelim Budget'!$B$9:$B$33,0)),0,IF('Cash Flow'!AL26&lt;&gt;0,'Cash Flow'!AL26,0))),0)</f>
        <v>0</v>
      </c>
      <c r="AN26" s="153">
        <f ca="1">IFERROR(IF(LEFT(OFFSET(AN$2,0,-$C26),3)="A&amp;D",-INDEX('Prelim Budget'!$C$9:$C$33,MATCH('Cash Flow'!$B26,'Prelim Budget'!$B$9:$B$33,0))/'Cash Flow'!$E26,IF(SUM('Cash Flow'!$F26:AM26)=-INDEX('Prelim Budget'!$C$9:$C$33,MATCH('Cash Flow'!$B26,'Prelim Budget'!$B$9:$B$33,0)),0,IF('Cash Flow'!AM26&lt;&gt;0,'Cash Flow'!AM26,0))),0)</f>
        <v>0</v>
      </c>
      <c r="AO26" s="153">
        <f ca="1">IFERROR(IF(LEFT(OFFSET(AO$2,0,-$C26),3)="A&amp;D",-INDEX('Prelim Budget'!$C$9:$C$33,MATCH('Cash Flow'!$B26,'Prelim Budget'!$B$9:$B$33,0))/'Cash Flow'!$E26,IF(SUM('Cash Flow'!$F26:AN26)=-INDEX('Prelim Budget'!$C$9:$C$33,MATCH('Cash Flow'!$B26,'Prelim Budget'!$B$9:$B$33,0)),0,IF('Cash Flow'!AN26&lt;&gt;0,'Cash Flow'!AN26,0))),0)</f>
        <v>0</v>
      </c>
      <c r="AP26" s="153">
        <f ca="1">IFERROR(IF(LEFT(OFFSET(AP$2,0,-$C26),3)="A&amp;D",-INDEX('Prelim Budget'!$C$9:$C$33,MATCH('Cash Flow'!$B26,'Prelim Budget'!$B$9:$B$33,0))/'Cash Flow'!$E26,IF(SUM('Cash Flow'!$F26:AO26)=-INDEX('Prelim Budget'!$C$9:$C$33,MATCH('Cash Flow'!$B26,'Prelim Budget'!$B$9:$B$33,0)),0,IF('Cash Flow'!AO26&lt;&gt;0,'Cash Flow'!AO26,0))),0)</f>
        <v>0</v>
      </c>
      <c r="AQ26" s="153">
        <f ca="1">IFERROR(IF(LEFT(OFFSET(AQ$2,0,-$C26),3)="A&amp;D",-INDEX('Prelim Budget'!$C$9:$C$33,MATCH('Cash Flow'!$B26,'Prelim Budget'!$B$9:$B$33,0))/'Cash Flow'!$E26,IF(SUM('Cash Flow'!$F26:AP26)=-INDEX('Prelim Budget'!$C$9:$C$33,MATCH('Cash Flow'!$B26,'Prelim Budget'!$B$9:$B$33,0)),0,IF('Cash Flow'!AP26&lt;&gt;0,'Cash Flow'!AP26,0))),0)</f>
        <v>0</v>
      </c>
      <c r="AR26" s="153">
        <f ca="1">IFERROR(IF(LEFT(OFFSET(AR$2,0,-$C26),3)="A&amp;D",-INDEX('Prelim Budget'!$C$9:$C$33,MATCH('Cash Flow'!$B26,'Prelim Budget'!$B$9:$B$33,0))/'Cash Flow'!$E26,IF(SUM('Cash Flow'!$F26:AQ26)=-INDEX('Prelim Budget'!$C$9:$C$33,MATCH('Cash Flow'!$B26,'Prelim Budget'!$B$9:$B$33,0)),0,IF('Cash Flow'!AQ26&lt;&gt;0,'Cash Flow'!AQ26,0))),0)</f>
        <v>0</v>
      </c>
      <c r="AS26" s="153">
        <f ca="1">IFERROR(IF(LEFT(OFFSET(AS$2,0,-$C26),3)="A&amp;D",-INDEX('Prelim Budget'!$C$9:$C$33,MATCH('Cash Flow'!$B26,'Prelim Budget'!$B$9:$B$33,0))/'Cash Flow'!$E26,IF(SUM('Cash Flow'!$F26:AR26)=-INDEX('Prelim Budget'!$C$9:$C$33,MATCH('Cash Flow'!$B26,'Prelim Budget'!$B$9:$B$33,0)),0,IF('Cash Flow'!AR26&lt;&gt;0,'Cash Flow'!AR26,0))),0)</f>
        <v>0</v>
      </c>
      <c r="AT26" s="153">
        <f ca="1">IFERROR(IF(LEFT(OFFSET(AT$2,0,-$C26),3)="A&amp;D",-INDEX('Prelim Budget'!$C$9:$C$33,MATCH('Cash Flow'!$B26,'Prelim Budget'!$B$9:$B$33,0))/'Cash Flow'!$E26,IF(SUM('Cash Flow'!$F26:AS26)=-INDEX('Prelim Budget'!$C$9:$C$33,MATCH('Cash Flow'!$B26,'Prelim Budget'!$B$9:$B$33,0)),0,IF('Cash Flow'!AS26&lt;&gt;0,'Cash Flow'!AS26,0))),0)</f>
        <v>0</v>
      </c>
      <c r="AU26" s="153">
        <f ca="1">IFERROR(IF(LEFT(OFFSET(AU$2,0,-$C26),3)="A&amp;D",-INDEX('Prelim Budget'!$C$9:$C$33,MATCH('Cash Flow'!$B26,'Prelim Budget'!$B$9:$B$33,0))/'Cash Flow'!$E26,IF(SUM('Cash Flow'!$F26:AT26)=-INDEX('Prelim Budget'!$C$9:$C$33,MATCH('Cash Flow'!$B26,'Prelim Budget'!$B$9:$B$33,0)),0,IF('Cash Flow'!AT26&lt;&gt;0,'Cash Flow'!AT26,0))),0)</f>
        <v>0</v>
      </c>
      <c r="AV26" s="153">
        <f ca="1">IFERROR(IF(LEFT(OFFSET(AV$2,0,-$C26),3)="A&amp;D",-INDEX('Prelim Budget'!$C$9:$C$33,MATCH('Cash Flow'!$B26,'Prelim Budget'!$B$9:$B$33,0))/'Cash Flow'!$E26,IF(SUM('Cash Flow'!$F26:AU26)=-INDEX('Prelim Budget'!$C$9:$C$33,MATCH('Cash Flow'!$B26,'Prelim Budget'!$B$9:$B$33,0)),0,IF('Cash Flow'!AU26&lt;&gt;0,'Cash Flow'!AU26,0))),0)</f>
        <v>0</v>
      </c>
      <c r="AW26" s="153">
        <f ca="1">IFERROR(IF(LEFT(OFFSET(AW$2,0,-$C26),3)="A&amp;D",-INDEX('Prelim Budget'!$C$9:$C$33,MATCH('Cash Flow'!$B26,'Prelim Budget'!$B$9:$B$33,0))/'Cash Flow'!$E26,IF(SUM('Cash Flow'!$F26:AV26)=-INDEX('Prelim Budget'!$C$9:$C$33,MATCH('Cash Flow'!$B26,'Prelim Budget'!$B$9:$B$33,0)),0,IF('Cash Flow'!AV26&lt;&gt;0,'Cash Flow'!AV26,0))),0)</f>
        <v>0</v>
      </c>
      <c r="AX26" s="153">
        <f ca="1">IFERROR(IF(LEFT(OFFSET(AX$2,0,-$C26),3)="A&amp;D",-INDEX('Prelim Budget'!$C$9:$C$33,MATCH('Cash Flow'!$B26,'Prelim Budget'!$B$9:$B$33,0))/'Cash Flow'!$E26,IF(SUM('Cash Flow'!$F26:AW26)=-INDEX('Prelim Budget'!$C$9:$C$33,MATCH('Cash Flow'!$B26,'Prelim Budget'!$B$9:$B$33,0)),0,IF('Cash Flow'!AW26&lt;&gt;0,'Cash Flow'!AW26,0))),0)</f>
        <v>0</v>
      </c>
      <c r="AY26" s="153">
        <f ca="1">IFERROR(IF(LEFT(OFFSET(AY$2,0,-$C26),3)="A&amp;D",-INDEX('Prelim Budget'!$C$9:$C$33,MATCH('Cash Flow'!$B26,'Prelim Budget'!$B$9:$B$33,0))/'Cash Flow'!$E26,IF(SUM('Cash Flow'!$F26:AX26)=-INDEX('Prelim Budget'!$C$9:$C$33,MATCH('Cash Flow'!$B26,'Prelim Budget'!$B$9:$B$33,0)),0,IF('Cash Flow'!AX26&lt;&gt;0,'Cash Flow'!AX26,0))),0)</f>
        <v>0</v>
      </c>
      <c r="AZ26" s="153">
        <f ca="1">IFERROR(IF(LEFT(OFFSET(AZ$2,0,-$C26),3)="A&amp;D",-INDEX('Prelim Budget'!$C$9:$C$33,MATCH('Cash Flow'!$B26,'Prelim Budget'!$B$9:$B$33,0))/'Cash Flow'!$E26,IF(SUM('Cash Flow'!$F26:AY26)=-INDEX('Prelim Budget'!$C$9:$C$33,MATCH('Cash Flow'!$B26,'Prelim Budget'!$B$9:$B$33,0)),0,IF('Cash Flow'!AY26&lt;&gt;0,'Cash Flow'!AY26,0))),0)</f>
        <v>0</v>
      </c>
      <c r="BA26" s="153">
        <f ca="1">IFERROR(IF(LEFT(OFFSET(BA$2,0,-$C26),3)="A&amp;D",-INDEX('Prelim Budget'!$C$9:$C$33,MATCH('Cash Flow'!$B26,'Prelim Budget'!$B$9:$B$33,0))/'Cash Flow'!$E26,IF(SUM('Cash Flow'!$F26:AZ26)=-INDEX('Prelim Budget'!$C$9:$C$33,MATCH('Cash Flow'!$B26,'Prelim Budget'!$B$9:$B$33,0)),0,IF('Cash Flow'!AZ26&lt;&gt;0,'Cash Flow'!AZ26,0))),0)</f>
        <v>0</v>
      </c>
      <c r="BB26" s="153">
        <f ca="1">IFERROR(IF(LEFT(OFFSET(BB$2,0,-$C26),3)="A&amp;D",-INDEX('Prelim Budget'!$C$9:$C$33,MATCH('Cash Flow'!$B26,'Prelim Budget'!$B$9:$B$33,0))/'Cash Flow'!$E26,IF(SUM('Cash Flow'!$F26:BA26)=-INDEX('Prelim Budget'!$C$9:$C$33,MATCH('Cash Flow'!$B26,'Prelim Budget'!$B$9:$B$33,0)),0,IF('Cash Flow'!BA26&lt;&gt;0,'Cash Flow'!BA26,0))),0)</f>
        <v>0</v>
      </c>
      <c r="BC26" s="153">
        <f ca="1">IFERROR(IF(LEFT(OFFSET(BC$2,0,-$C26),3)="A&amp;D",-INDEX('Prelim Budget'!$C$9:$C$33,MATCH('Cash Flow'!$B26,'Prelim Budget'!$B$9:$B$33,0))/'Cash Flow'!$E26,IF(SUM('Cash Flow'!$F26:BB26)=-INDEX('Prelim Budget'!$C$9:$C$33,MATCH('Cash Flow'!$B26,'Prelim Budget'!$B$9:$B$33,0)),0,IF('Cash Flow'!BB26&lt;&gt;0,'Cash Flow'!BB26,0))),0)</f>
        <v>0</v>
      </c>
      <c r="BD26" s="153">
        <f ca="1">IFERROR(IF(LEFT(OFFSET(BD$2,0,-$C26),3)="A&amp;D",-INDEX('Prelim Budget'!$C$9:$C$33,MATCH('Cash Flow'!$B26,'Prelim Budget'!$B$9:$B$33,0))/'Cash Flow'!$E26,IF(SUM('Cash Flow'!$F26:BC26)=-INDEX('Prelim Budget'!$C$9:$C$33,MATCH('Cash Flow'!$B26,'Prelim Budget'!$B$9:$B$33,0)),0,IF('Cash Flow'!BC26&lt;&gt;0,'Cash Flow'!BC26,0))),0)</f>
        <v>0</v>
      </c>
      <c r="BE26" s="153">
        <f ca="1">IFERROR(IF(LEFT(OFFSET(BE$2,0,-$C26),3)="A&amp;D",-INDEX('Prelim Budget'!$C$9:$C$33,MATCH('Cash Flow'!$B26,'Prelim Budget'!$B$9:$B$33,0))/'Cash Flow'!$E26,IF(SUM('Cash Flow'!$F26:BD26)=-INDEX('Prelim Budget'!$C$9:$C$33,MATCH('Cash Flow'!$B26,'Prelim Budget'!$B$9:$B$33,0)),0,IF('Cash Flow'!BD26&lt;&gt;0,'Cash Flow'!BD26,0))),0)</f>
        <v>0</v>
      </c>
      <c r="BF26" s="153">
        <f ca="1">IFERROR(IF(LEFT(OFFSET(BF$2,0,-$C26),3)="A&amp;D",-INDEX('Prelim Budget'!$C$9:$C$33,MATCH('Cash Flow'!$B26,'Prelim Budget'!$B$9:$B$33,0))/'Cash Flow'!$E26,IF(SUM('Cash Flow'!$F26:BE26)=-INDEX('Prelim Budget'!$C$9:$C$33,MATCH('Cash Flow'!$B26,'Prelim Budget'!$B$9:$B$33,0)),0,IF('Cash Flow'!BE26&lt;&gt;0,'Cash Flow'!BE26,0))),0)</f>
        <v>0</v>
      </c>
      <c r="BG26" s="153">
        <f ca="1">IFERROR(IF(LEFT(OFFSET(BG$2,0,-$C26),3)="A&amp;D",-INDEX('Prelim Budget'!$C$9:$C$33,MATCH('Cash Flow'!$B26,'Prelim Budget'!$B$9:$B$33,0))/'Cash Flow'!$E26,IF(SUM('Cash Flow'!$F26:BF26)=-INDEX('Prelim Budget'!$C$9:$C$33,MATCH('Cash Flow'!$B26,'Prelim Budget'!$B$9:$B$33,0)),0,IF('Cash Flow'!BF26&lt;&gt;0,'Cash Flow'!BF26,0))),0)</f>
        <v>0</v>
      </c>
      <c r="BH26" s="153">
        <f ca="1">IFERROR(IF(LEFT(OFFSET(BH$2,0,-$C26),3)="A&amp;D",-INDEX('Prelim Budget'!$C$9:$C$33,MATCH('Cash Flow'!$B26,'Prelim Budget'!$B$9:$B$33,0))/'Cash Flow'!$E26,IF(SUM('Cash Flow'!$F26:BG26)=-INDEX('Prelim Budget'!$C$9:$C$33,MATCH('Cash Flow'!$B26,'Prelim Budget'!$B$9:$B$33,0)),0,IF('Cash Flow'!BG26&lt;&gt;0,'Cash Flow'!BG26,0))),0)</f>
        <v>0</v>
      </c>
      <c r="BI26" s="153">
        <f ca="1">IFERROR(IF(LEFT(OFFSET(BI$2,0,-$C26),3)="A&amp;D",-INDEX('Prelim Budget'!$C$9:$C$33,MATCH('Cash Flow'!$B26,'Prelim Budget'!$B$9:$B$33,0))/'Cash Flow'!$E26,IF(SUM('Cash Flow'!$F26:BH26)=-INDEX('Prelim Budget'!$C$9:$C$33,MATCH('Cash Flow'!$B26,'Prelim Budget'!$B$9:$B$33,0)),0,IF('Cash Flow'!BH26&lt;&gt;0,'Cash Flow'!BH26,0))),0)</f>
        <v>0</v>
      </c>
      <c r="BJ26" s="153">
        <f ca="1">IFERROR(IF(LEFT(OFFSET(BJ$2,0,-$C26),3)="A&amp;D",-INDEX('Prelim Budget'!$C$9:$C$33,MATCH('Cash Flow'!$B26,'Prelim Budget'!$B$9:$B$33,0))/'Cash Flow'!$E26,IF(SUM('Cash Flow'!$F26:BI26)=-INDEX('Prelim Budget'!$C$9:$C$33,MATCH('Cash Flow'!$B26,'Prelim Budget'!$B$9:$B$33,0)),0,IF('Cash Flow'!BI26&lt;&gt;0,'Cash Flow'!BI26,0))),0)</f>
        <v>0</v>
      </c>
      <c r="BK26" s="153">
        <f ca="1">IFERROR(IF(LEFT(OFFSET(BK$2,0,-$C26),3)="A&amp;D",-INDEX('Prelim Budget'!$C$9:$C$33,MATCH('Cash Flow'!$B26,'Prelim Budget'!$B$9:$B$33,0))/'Cash Flow'!$E26,IF(SUM('Cash Flow'!$F26:BJ26)=-INDEX('Prelim Budget'!$C$9:$C$33,MATCH('Cash Flow'!$B26,'Prelim Budget'!$B$9:$B$33,0)),0,IF('Cash Flow'!BJ26&lt;&gt;0,'Cash Flow'!BJ26,0))),0)</f>
        <v>0</v>
      </c>
      <c r="BL26" s="153">
        <f ca="1">IFERROR(IF(LEFT(OFFSET(BL$2,0,-$C26),3)="A&amp;D",-INDEX('Prelim Budget'!$C$9:$C$33,MATCH('Cash Flow'!$B26,'Prelim Budget'!$B$9:$B$33,0))/'Cash Flow'!$E26,IF(SUM('Cash Flow'!$F26:BK26)=-INDEX('Prelim Budget'!$C$9:$C$33,MATCH('Cash Flow'!$B26,'Prelim Budget'!$B$9:$B$33,0)),0,IF('Cash Flow'!BK26&lt;&gt;0,'Cash Flow'!BK26,0))),0)</f>
        <v>0</v>
      </c>
      <c r="BM26" s="153">
        <f ca="1">IFERROR(IF(LEFT(OFFSET(BM$2,0,-$C26),3)="A&amp;D",-INDEX('Prelim Budget'!$C$9:$C$33,MATCH('Cash Flow'!$B26,'Prelim Budget'!$B$9:$B$33,0))/'Cash Flow'!$E26,IF(SUM('Cash Flow'!$F26:BL26)=-INDEX('Prelim Budget'!$C$9:$C$33,MATCH('Cash Flow'!$B26,'Prelim Budget'!$B$9:$B$33,0)),0,IF('Cash Flow'!BL26&lt;&gt;0,'Cash Flow'!BL26,0))),0)</f>
        <v>0</v>
      </c>
      <c r="BN26" s="153">
        <f ca="1">IFERROR(IF(LEFT(OFFSET(BN$2,0,-$C26),3)="A&amp;D",-INDEX('Prelim Budget'!$C$9:$C$33,MATCH('Cash Flow'!$B26,'Prelim Budget'!$B$9:$B$33,0))/'Cash Flow'!$E26,IF(SUM('Cash Flow'!$F26:BM26)=-INDEX('Prelim Budget'!$C$9:$C$33,MATCH('Cash Flow'!$B26,'Prelim Budget'!$B$9:$B$33,0)),0,IF('Cash Flow'!BM26&lt;&gt;0,'Cash Flow'!BM26,0))),0)</f>
        <v>0</v>
      </c>
      <c r="BO26" s="50">
        <f ca="1">IFERROR(IF(LEFT(OFFSET(BO$2,0,-$C26),3)="A&amp;D",-INDEX('Prelim Budget'!$C$9:$C$33,MATCH('Cash Flow'!$B26,'Prelim Budget'!$B$9:$B$33,0))/'Cash Flow'!$E26,IF(SUM('Cash Flow'!$F26:BN26)=-INDEX('Prelim Budget'!$C$9:$C$33,MATCH('Cash Flow'!$B26,'Prelim Budget'!$B$9:$B$33,0)),0,IF('Cash Flow'!BN26&lt;&gt;0,'Cash Flow'!BN26,0))),0)</f>
        <v>0</v>
      </c>
    </row>
    <row r="27" spans="2:67" ht="14.05" customHeight="1" x14ac:dyDescent="0.4">
      <c r="B27" s="3" t="s">
        <v>149</v>
      </c>
      <c r="C27" s="80">
        <v>5</v>
      </c>
      <c r="D27" s="153">
        <f t="shared" ca="1" si="11"/>
        <v>-1671949.9999999998</v>
      </c>
      <c r="E27" s="81">
        <v>6</v>
      </c>
      <c r="F27" s="157"/>
      <c r="G27" s="134">
        <f ca="1">IFERROR(IF(LEFT(OFFSET(G$2,0,-$C27),3)="A&amp;D",-INDEX('Prelim Budget'!$C$9:$C$33,MATCH('Cash Flow'!$B27,'Prelim Budget'!$B$9:$B$33,0))/'Cash Flow'!$E27,IF(SUM('Cash Flow'!$F27:F27)=-INDEX('Prelim Budget'!$C$9:$C$33,MATCH('Cash Flow'!$B27,'Prelim Budget'!$B$9:$B$33,0)),0,IF('Cash Flow'!F27&lt;&gt;0,'Cash Flow'!F27,0))),0)</f>
        <v>0</v>
      </c>
      <c r="H27" s="153">
        <f ca="1">IFERROR(IF(LEFT(OFFSET(H$2,0,-$C27),3)="A&amp;D",-INDEX('Prelim Budget'!$C$9:$C$33,MATCH('Cash Flow'!$B27,'Prelim Budget'!$B$9:$B$33,0))/'Cash Flow'!$E27,IF(SUM('Cash Flow'!$F27:G27)=-INDEX('Prelim Budget'!$C$9:$C$33,MATCH('Cash Flow'!$B27,'Prelim Budget'!$B$9:$B$33,0)),0,IF('Cash Flow'!G27&lt;&gt;0,'Cash Flow'!G27,0))),0)</f>
        <v>0</v>
      </c>
      <c r="I27" s="153">
        <f ca="1">IFERROR(IF(LEFT(OFFSET(I$2,0,-$C27),3)="A&amp;D",-INDEX('Prelim Budget'!$C$9:$C$33,MATCH('Cash Flow'!$B27,'Prelim Budget'!$B$9:$B$33,0))/'Cash Flow'!$E27,IF(SUM('Cash Flow'!$F27:H27)=-INDEX('Prelim Budget'!$C$9:$C$33,MATCH('Cash Flow'!$B27,'Prelim Budget'!$B$9:$B$33,0)),0,IF('Cash Flow'!H27&lt;&gt;0,'Cash Flow'!H27,0))),0)</f>
        <v>0</v>
      </c>
      <c r="J27" s="153">
        <f ca="1">IFERROR(IF(LEFT(OFFSET(J$2,0,-$C27),3)="A&amp;D",-INDEX('Prelim Budget'!$C$9:$C$33,MATCH('Cash Flow'!$B27,'Prelim Budget'!$B$9:$B$33,0))/'Cash Flow'!$E27,IF(SUM('Cash Flow'!$F27:I27)=-INDEX('Prelim Budget'!$C$9:$C$33,MATCH('Cash Flow'!$B27,'Prelim Budget'!$B$9:$B$33,0)),0,IF('Cash Flow'!I27&lt;&gt;0,'Cash Flow'!I27,0))),0)</f>
        <v>0</v>
      </c>
      <c r="K27" s="153">
        <f ca="1">IFERROR(IF(LEFT(OFFSET(K$2,0,-$C27),3)="A&amp;D",-INDEX('Prelim Budget'!$C$9:$C$33,MATCH('Cash Flow'!$B27,'Prelim Budget'!$B$9:$B$33,0))/'Cash Flow'!$E27,IF(SUM('Cash Flow'!$F27:J27)=-INDEX('Prelim Budget'!$C$9:$C$33,MATCH('Cash Flow'!$B27,'Prelim Budget'!$B$9:$B$33,0)),0,IF('Cash Flow'!J27&lt;&gt;0,'Cash Flow'!J27,0))),0)</f>
        <v>0</v>
      </c>
      <c r="L27" s="153">
        <f ca="1">IFERROR(IF(LEFT(OFFSET(L$2,0,-$C27),3)="A&amp;D",-INDEX('Prelim Budget'!$C$9:$C$33,MATCH('Cash Flow'!$B27,'Prelim Budget'!$B$9:$B$33,0))/'Cash Flow'!$E27,IF(SUM('Cash Flow'!$F27:K27)=-INDEX('Prelim Budget'!$C$9:$C$33,MATCH('Cash Flow'!$B27,'Prelim Budget'!$B$9:$B$33,0)),0,IF('Cash Flow'!K27&lt;&gt;0,'Cash Flow'!K27,0))),0)</f>
        <v>0</v>
      </c>
      <c r="M27" s="153">
        <f ca="1">IFERROR(IF(LEFT(OFFSET(M$2,0,-$C27),3)="A&amp;D",-INDEX('Prelim Budget'!$C$9:$C$33,MATCH('Cash Flow'!$B27,'Prelim Budget'!$B$9:$B$33,0))/'Cash Flow'!$E27,IF(SUM('Cash Flow'!$F27:L27)=-INDEX('Prelim Budget'!$C$9:$C$33,MATCH('Cash Flow'!$B27,'Prelim Budget'!$B$9:$B$33,0)),0,IF('Cash Flow'!L27&lt;&gt;0,'Cash Flow'!L27,0))),0)</f>
        <v>0</v>
      </c>
      <c r="N27" s="153">
        <f ca="1">IFERROR(IF(LEFT(OFFSET(N$2,0,-$C27),3)="A&amp;D",-INDEX('Prelim Budget'!$C$9:$C$33,MATCH('Cash Flow'!$B27,'Prelim Budget'!$B$9:$B$33,0))/'Cash Flow'!$E27,IF(SUM('Cash Flow'!$F27:M27)=-INDEX('Prelim Budget'!$C$9:$C$33,MATCH('Cash Flow'!$B27,'Prelim Budget'!$B$9:$B$33,0)),0,IF('Cash Flow'!M27&lt;&gt;0,'Cash Flow'!M27,0))),0)</f>
        <v>0</v>
      </c>
      <c r="O27" s="153">
        <f ca="1">IFERROR(IF(LEFT(OFFSET(O$2,0,-$C27),3)="A&amp;D",-INDEX('Prelim Budget'!$C$9:$C$33,MATCH('Cash Flow'!$B27,'Prelim Budget'!$B$9:$B$33,0))/'Cash Flow'!$E27,IF(SUM('Cash Flow'!$F27:N27)=-INDEX('Prelim Budget'!$C$9:$C$33,MATCH('Cash Flow'!$B27,'Prelim Budget'!$B$9:$B$33,0)),0,IF('Cash Flow'!N27&lt;&gt;0,'Cash Flow'!N27,0))),0)</f>
        <v>0</v>
      </c>
      <c r="P27" s="153">
        <f ca="1">IFERROR(IF(LEFT(OFFSET(P$2,0,-$C27),3)="A&amp;D",-INDEX('Prelim Budget'!$C$9:$C$33,MATCH('Cash Flow'!$B27,'Prelim Budget'!$B$9:$B$33,0))/'Cash Flow'!$E27,IF(SUM('Cash Flow'!$F27:O27)=-INDEX('Prelim Budget'!$C$9:$C$33,MATCH('Cash Flow'!$B27,'Prelim Budget'!$B$9:$B$33,0)),0,IF('Cash Flow'!O27&lt;&gt;0,'Cash Flow'!O27,0))),0)</f>
        <v>0</v>
      </c>
      <c r="Q27" s="153">
        <f ca="1">IFERROR(IF(LEFT(OFFSET(Q$2,0,-$C27),3)="A&amp;D",-INDEX('Prelim Budget'!$C$9:$C$33,MATCH('Cash Flow'!$B27,'Prelim Budget'!$B$9:$B$33,0))/'Cash Flow'!$E27,IF(SUM('Cash Flow'!$F27:P27)=-INDEX('Prelim Budget'!$C$9:$C$33,MATCH('Cash Flow'!$B27,'Prelim Budget'!$B$9:$B$33,0)),0,IF('Cash Flow'!P27&lt;&gt;0,'Cash Flow'!P27,0))),0)</f>
        <v>0</v>
      </c>
      <c r="R27" s="153">
        <f ca="1">IFERROR(IF(LEFT(OFFSET(R$2,0,-$C27),3)="A&amp;D",-INDEX('Prelim Budget'!$C$9:$C$33,MATCH('Cash Flow'!$B27,'Prelim Budget'!$B$9:$B$33,0))/'Cash Flow'!$E27,IF(SUM('Cash Flow'!$F27:Q27)=-INDEX('Prelim Budget'!$C$9:$C$33,MATCH('Cash Flow'!$B27,'Prelim Budget'!$B$9:$B$33,0)),0,IF('Cash Flow'!Q27&lt;&gt;0,'Cash Flow'!Q27,0))),0)</f>
        <v>-278658.33333333331</v>
      </c>
      <c r="S27" s="153">
        <f ca="1">IFERROR(IF(LEFT(OFFSET(S$2,0,-$C27),3)="A&amp;D",-INDEX('Prelim Budget'!$C$9:$C$33,MATCH('Cash Flow'!$B27,'Prelim Budget'!$B$9:$B$33,0))/'Cash Flow'!$E27,IF(SUM('Cash Flow'!$F27:R27)=-INDEX('Prelim Budget'!$C$9:$C$33,MATCH('Cash Flow'!$B27,'Prelim Budget'!$B$9:$B$33,0)),0,IF('Cash Flow'!R27&lt;&gt;0,'Cash Flow'!R27,0))),0)</f>
        <v>-278658.33333333331</v>
      </c>
      <c r="T27" s="153">
        <f ca="1">IFERROR(IF(LEFT(OFFSET(T$2,0,-$C27),3)="A&amp;D",-INDEX('Prelim Budget'!$C$9:$C$33,MATCH('Cash Flow'!$B27,'Prelim Budget'!$B$9:$B$33,0))/'Cash Flow'!$E27,IF(SUM('Cash Flow'!$F27:S27)=-INDEX('Prelim Budget'!$C$9:$C$33,MATCH('Cash Flow'!$B27,'Prelim Budget'!$B$9:$B$33,0)),0,IF('Cash Flow'!S27&lt;&gt;0,'Cash Flow'!S27,0))),0)</f>
        <v>-278658.33333333331</v>
      </c>
      <c r="U27" s="153">
        <f ca="1">IFERROR(IF(LEFT(OFFSET(U$2,0,-$C27),3)="A&amp;D",-INDEX('Prelim Budget'!$C$9:$C$33,MATCH('Cash Flow'!$B27,'Prelim Budget'!$B$9:$B$33,0))/'Cash Flow'!$E27,IF(SUM('Cash Flow'!$F27:T27)=-INDEX('Prelim Budget'!$C$9:$C$33,MATCH('Cash Flow'!$B27,'Prelim Budget'!$B$9:$B$33,0)),0,IF('Cash Flow'!T27&lt;&gt;0,'Cash Flow'!T27,0))),0)</f>
        <v>-278658.33333333331</v>
      </c>
      <c r="V27" s="153">
        <f ca="1">IFERROR(IF(LEFT(OFFSET(V$2,0,-$C27),3)="A&amp;D",-INDEX('Prelim Budget'!$C$9:$C$33,MATCH('Cash Flow'!$B27,'Prelim Budget'!$B$9:$B$33,0))/'Cash Flow'!$E27,IF(SUM('Cash Flow'!$F27:U27)=-INDEX('Prelim Budget'!$C$9:$C$33,MATCH('Cash Flow'!$B27,'Prelim Budget'!$B$9:$B$33,0)),0,IF('Cash Flow'!U27&lt;&gt;0,'Cash Flow'!U27,0))),0)</f>
        <v>-278658.33333333331</v>
      </c>
      <c r="W27" s="153">
        <f ca="1">IFERROR(IF(LEFT(OFFSET(W$2,0,-$C27),3)="A&amp;D",-INDEX('Prelim Budget'!$C$9:$C$33,MATCH('Cash Flow'!$B27,'Prelim Budget'!$B$9:$B$33,0))/'Cash Flow'!$E27,IF(SUM('Cash Flow'!$F27:V27)=-INDEX('Prelim Budget'!$C$9:$C$33,MATCH('Cash Flow'!$B27,'Prelim Budget'!$B$9:$B$33,0)),0,IF('Cash Flow'!V27&lt;&gt;0,'Cash Flow'!V27,0))),0)</f>
        <v>-278658.33333333331</v>
      </c>
      <c r="X27" s="153">
        <f ca="1">IFERROR(IF(LEFT(OFFSET(X$2,0,-$C27),3)="A&amp;D",-INDEX('Prelim Budget'!$C$9:$C$33,MATCH('Cash Flow'!$B27,'Prelim Budget'!$B$9:$B$33,0))/'Cash Flow'!$E27,IF(SUM('Cash Flow'!$F27:W27)=-INDEX('Prelim Budget'!$C$9:$C$33,MATCH('Cash Flow'!$B27,'Prelim Budget'!$B$9:$B$33,0)),0,IF('Cash Flow'!W27&lt;&gt;0,'Cash Flow'!W27,0))),0)</f>
        <v>0</v>
      </c>
      <c r="Y27" s="153">
        <f ca="1">IFERROR(IF(LEFT(OFFSET(Y$2,0,-$C27),3)="A&amp;D",-INDEX('Prelim Budget'!$C$9:$C$33,MATCH('Cash Flow'!$B27,'Prelim Budget'!$B$9:$B$33,0))/'Cash Flow'!$E27,IF(SUM('Cash Flow'!$F27:X27)=-INDEX('Prelim Budget'!$C$9:$C$33,MATCH('Cash Flow'!$B27,'Prelim Budget'!$B$9:$B$33,0)),0,IF('Cash Flow'!X27&lt;&gt;0,'Cash Flow'!X27,0))),0)</f>
        <v>0</v>
      </c>
      <c r="Z27" s="153">
        <f ca="1">IFERROR(IF(LEFT(OFFSET(Z$2,0,-$C27),3)="A&amp;D",-INDEX('Prelim Budget'!$C$9:$C$33,MATCH('Cash Flow'!$B27,'Prelim Budget'!$B$9:$B$33,0))/'Cash Flow'!$E27,IF(SUM('Cash Flow'!$F27:Y27)=-INDEX('Prelim Budget'!$C$9:$C$33,MATCH('Cash Flow'!$B27,'Prelim Budget'!$B$9:$B$33,0)),0,IF('Cash Flow'!Y27&lt;&gt;0,'Cash Flow'!Y27,0))),0)</f>
        <v>0</v>
      </c>
      <c r="AA27" s="153">
        <f ca="1">IFERROR(IF(LEFT(OFFSET(AA$2,0,-$C27),3)="A&amp;D",-INDEX('Prelim Budget'!$C$9:$C$33,MATCH('Cash Flow'!$B27,'Prelim Budget'!$B$9:$B$33,0))/'Cash Flow'!$E27,IF(SUM('Cash Flow'!$F27:Z27)=-INDEX('Prelim Budget'!$C$9:$C$33,MATCH('Cash Flow'!$B27,'Prelim Budget'!$B$9:$B$33,0)),0,IF('Cash Flow'!Z27&lt;&gt;0,'Cash Flow'!Z27,0))),0)</f>
        <v>0</v>
      </c>
      <c r="AB27" s="153">
        <f ca="1">IFERROR(IF(LEFT(OFFSET(AB$2,0,-$C27),3)="A&amp;D",-INDEX('Prelim Budget'!$C$9:$C$33,MATCH('Cash Flow'!$B27,'Prelim Budget'!$B$9:$B$33,0))/'Cash Flow'!$E27,IF(SUM('Cash Flow'!$F27:AA27)=-INDEX('Prelim Budget'!$C$9:$C$33,MATCH('Cash Flow'!$B27,'Prelim Budget'!$B$9:$B$33,0)),0,IF('Cash Flow'!AA27&lt;&gt;0,'Cash Flow'!AA27,0))),0)</f>
        <v>0</v>
      </c>
      <c r="AC27" s="153">
        <f ca="1">IFERROR(IF(LEFT(OFFSET(AC$2,0,-$C27),3)="A&amp;D",-INDEX('Prelim Budget'!$C$9:$C$33,MATCH('Cash Flow'!$B27,'Prelim Budget'!$B$9:$B$33,0))/'Cash Flow'!$E27,IF(SUM('Cash Flow'!$F27:AB27)=-INDEX('Prelim Budget'!$C$9:$C$33,MATCH('Cash Flow'!$B27,'Prelim Budget'!$B$9:$B$33,0)),0,IF('Cash Flow'!AB27&lt;&gt;0,'Cash Flow'!AB27,0))),0)</f>
        <v>0</v>
      </c>
      <c r="AD27" s="153">
        <f ca="1">IFERROR(IF(LEFT(OFFSET(AD$2,0,-$C27),3)="A&amp;D",-INDEX('Prelim Budget'!$C$9:$C$33,MATCH('Cash Flow'!$B27,'Prelim Budget'!$B$9:$B$33,0))/'Cash Flow'!$E27,IF(SUM('Cash Flow'!$F27:AC27)=-INDEX('Prelim Budget'!$C$9:$C$33,MATCH('Cash Flow'!$B27,'Prelim Budget'!$B$9:$B$33,0)),0,IF('Cash Flow'!AC27&lt;&gt;0,'Cash Flow'!AC27,0))),0)</f>
        <v>0</v>
      </c>
      <c r="AE27" s="153">
        <f ca="1">IFERROR(IF(LEFT(OFFSET(AE$2,0,-$C27),3)="A&amp;D",-INDEX('Prelim Budget'!$C$9:$C$33,MATCH('Cash Flow'!$B27,'Prelim Budget'!$B$9:$B$33,0))/'Cash Flow'!$E27,IF(SUM('Cash Flow'!$F27:AD27)=-INDEX('Prelim Budget'!$C$9:$C$33,MATCH('Cash Flow'!$B27,'Prelim Budget'!$B$9:$B$33,0)),0,IF('Cash Flow'!AD27&lt;&gt;0,'Cash Flow'!AD27,0))),0)</f>
        <v>0</v>
      </c>
      <c r="AF27" s="153">
        <f ca="1">IFERROR(IF(LEFT(OFFSET(AF$2,0,-$C27),3)="A&amp;D",-INDEX('Prelim Budget'!$C$9:$C$33,MATCH('Cash Flow'!$B27,'Prelim Budget'!$B$9:$B$33,0))/'Cash Flow'!$E27,IF(SUM('Cash Flow'!$F27:AE27)=-INDEX('Prelim Budget'!$C$9:$C$33,MATCH('Cash Flow'!$B27,'Prelim Budget'!$B$9:$B$33,0)),0,IF('Cash Flow'!AE27&lt;&gt;0,'Cash Flow'!AE27,0))),0)</f>
        <v>0</v>
      </c>
      <c r="AG27" s="153">
        <f ca="1">IFERROR(IF(LEFT(OFFSET(AG$2,0,-$C27),3)="A&amp;D",-INDEX('Prelim Budget'!$C$9:$C$33,MATCH('Cash Flow'!$B27,'Prelim Budget'!$B$9:$B$33,0))/'Cash Flow'!$E27,IF(SUM('Cash Flow'!$F27:AF27)=-INDEX('Prelim Budget'!$C$9:$C$33,MATCH('Cash Flow'!$B27,'Prelim Budget'!$B$9:$B$33,0)),0,IF('Cash Flow'!AF27&lt;&gt;0,'Cash Flow'!AF27,0))),0)</f>
        <v>0</v>
      </c>
      <c r="AH27" s="153">
        <f ca="1">IFERROR(IF(LEFT(OFFSET(AH$2,0,-$C27),3)="A&amp;D",-INDEX('Prelim Budget'!$C$9:$C$33,MATCH('Cash Flow'!$B27,'Prelim Budget'!$B$9:$B$33,0))/'Cash Flow'!$E27,IF(SUM('Cash Flow'!$F27:AG27)=-INDEX('Prelim Budget'!$C$9:$C$33,MATCH('Cash Flow'!$B27,'Prelim Budget'!$B$9:$B$33,0)),0,IF('Cash Flow'!AG27&lt;&gt;0,'Cash Flow'!AG27,0))),0)</f>
        <v>0</v>
      </c>
      <c r="AI27" s="153">
        <f ca="1">IFERROR(IF(LEFT(OFFSET(AI$2,0,-$C27),3)="A&amp;D",-INDEX('Prelim Budget'!$C$9:$C$33,MATCH('Cash Flow'!$B27,'Prelim Budget'!$B$9:$B$33,0))/'Cash Flow'!$E27,IF(SUM('Cash Flow'!$F27:AH27)=-INDEX('Prelim Budget'!$C$9:$C$33,MATCH('Cash Flow'!$B27,'Prelim Budget'!$B$9:$B$33,0)),0,IF('Cash Flow'!AH27&lt;&gt;0,'Cash Flow'!AH27,0))),0)</f>
        <v>0</v>
      </c>
      <c r="AJ27" s="153">
        <f ca="1">IFERROR(IF(LEFT(OFFSET(AJ$2,0,-$C27),3)="A&amp;D",-INDEX('Prelim Budget'!$C$9:$C$33,MATCH('Cash Flow'!$B27,'Prelim Budget'!$B$9:$B$33,0))/'Cash Flow'!$E27,IF(SUM('Cash Flow'!$F27:AI27)=-INDEX('Prelim Budget'!$C$9:$C$33,MATCH('Cash Flow'!$B27,'Prelim Budget'!$B$9:$B$33,0)),0,IF('Cash Flow'!AI27&lt;&gt;0,'Cash Flow'!AI27,0))),0)</f>
        <v>0</v>
      </c>
      <c r="AK27" s="153">
        <f ca="1">IFERROR(IF(LEFT(OFFSET(AK$2,0,-$C27),3)="A&amp;D",-INDEX('Prelim Budget'!$C$9:$C$33,MATCH('Cash Flow'!$B27,'Prelim Budget'!$B$9:$B$33,0))/'Cash Flow'!$E27,IF(SUM('Cash Flow'!$F27:AJ27)=-INDEX('Prelim Budget'!$C$9:$C$33,MATCH('Cash Flow'!$B27,'Prelim Budget'!$B$9:$B$33,0)),0,IF('Cash Flow'!AJ27&lt;&gt;0,'Cash Flow'!AJ27,0))),0)</f>
        <v>0</v>
      </c>
      <c r="AL27" s="153">
        <f ca="1">IFERROR(IF(LEFT(OFFSET(AL$2,0,-$C27),3)="A&amp;D",-INDEX('Prelim Budget'!$C$9:$C$33,MATCH('Cash Flow'!$B27,'Prelim Budget'!$B$9:$B$33,0))/'Cash Flow'!$E27,IF(SUM('Cash Flow'!$F27:AK27)=-INDEX('Prelim Budget'!$C$9:$C$33,MATCH('Cash Flow'!$B27,'Prelim Budget'!$B$9:$B$33,0)),0,IF('Cash Flow'!AK27&lt;&gt;0,'Cash Flow'!AK27,0))),0)</f>
        <v>0</v>
      </c>
      <c r="AM27" s="153">
        <f ca="1">IFERROR(IF(LEFT(OFFSET(AM$2,0,-$C27),3)="A&amp;D",-INDEX('Prelim Budget'!$C$9:$C$33,MATCH('Cash Flow'!$B27,'Prelim Budget'!$B$9:$B$33,0))/'Cash Flow'!$E27,IF(SUM('Cash Flow'!$F27:AL27)=-INDEX('Prelim Budget'!$C$9:$C$33,MATCH('Cash Flow'!$B27,'Prelim Budget'!$B$9:$B$33,0)),0,IF('Cash Flow'!AL27&lt;&gt;0,'Cash Flow'!AL27,0))),0)</f>
        <v>0</v>
      </c>
      <c r="AN27" s="153">
        <f ca="1">IFERROR(IF(LEFT(OFFSET(AN$2,0,-$C27),3)="A&amp;D",-INDEX('Prelim Budget'!$C$9:$C$33,MATCH('Cash Flow'!$B27,'Prelim Budget'!$B$9:$B$33,0))/'Cash Flow'!$E27,IF(SUM('Cash Flow'!$F27:AM27)=-INDEX('Prelim Budget'!$C$9:$C$33,MATCH('Cash Flow'!$B27,'Prelim Budget'!$B$9:$B$33,0)),0,IF('Cash Flow'!AM27&lt;&gt;0,'Cash Flow'!AM27,0))),0)</f>
        <v>0</v>
      </c>
      <c r="AO27" s="153">
        <f ca="1">IFERROR(IF(LEFT(OFFSET(AO$2,0,-$C27),3)="A&amp;D",-INDEX('Prelim Budget'!$C$9:$C$33,MATCH('Cash Flow'!$B27,'Prelim Budget'!$B$9:$B$33,0))/'Cash Flow'!$E27,IF(SUM('Cash Flow'!$F27:AN27)=-INDEX('Prelim Budget'!$C$9:$C$33,MATCH('Cash Flow'!$B27,'Prelim Budget'!$B$9:$B$33,0)),0,IF('Cash Flow'!AN27&lt;&gt;0,'Cash Flow'!AN27,0))),0)</f>
        <v>0</v>
      </c>
      <c r="AP27" s="153">
        <f ca="1">IFERROR(IF(LEFT(OFFSET(AP$2,0,-$C27),3)="A&amp;D",-INDEX('Prelim Budget'!$C$9:$C$33,MATCH('Cash Flow'!$B27,'Prelim Budget'!$B$9:$B$33,0))/'Cash Flow'!$E27,IF(SUM('Cash Flow'!$F27:AO27)=-INDEX('Prelim Budget'!$C$9:$C$33,MATCH('Cash Flow'!$B27,'Prelim Budget'!$B$9:$B$33,0)),0,IF('Cash Flow'!AO27&lt;&gt;0,'Cash Flow'!AO27,0))),0)</f>
        <v>0</v>
      </c>
      <c r="AQ27" s="153">
        <f ca="1">IFERROR(IF(LEFT(OFFSET(AQ$2,0,-$C27),3)="A&amp;D",-INDEX('Prelim Budget'!$C$9:$C$33,MATCH('Cash Flow'!$B27,'Prelim Budget'!$B$9:$B$33,0))/'Cash Flow'!$E27,IF(SUM('Cash Flow'!$F27:AP27)=-INDEX('Prelim Budget'!$C$9:$C$33,MATCH('Cash Flow'!$B27,'Prelim Budget'!$B$9:$B$33,0)),0,IF('Cash Flow'!AP27&lt;&gt;0,'Cash Flow'!AP27,0))),0)</f>
        <v>0</v>
      </c>
      <c r="AR27" s="153">
        <f ca="1">IFERROR(IF(LEFT(OFFSET(AR$2,0,-$C27),3)="A&amp;D",-INDEX('Prelim Budget'!$C$9:$C$33,MATCH('Cash Flow'!$B27,'Prelim Budget'!$B$9:$B$33,0))/'Cash Flow'!$E27,IF(SUM('Cash Flow'!$F27:AQ27)=-INDEX('Prelim Budget'!$C$9:$C$33,MATCH('Cash Flow'!$B27,'Prelim Budget'!$B$9:$B$33,0)),0,IF('Cash Flow'!AQ27&lt;&gt;0,'Cash Flow'!AQ27,0))),0)</f>
        <v>0</v>
      </c>
      <c r="AS27" s="153">
        <f ca="1">IFERROR(IF(LEFT(OFFSET(AS$2,0,-$C27),3)="A&amp;D",-INDEX('Prelim Budget'!$C$9:$C$33,MATCH('Cash Flow'!$B27,'Prelim Budget'!$B$9:$B$33,0))/'Cash Flow'!$E27,IF(SUM('Cash Flow'!$F27:AR27)=-INDEX('Prelim Budget'!$C$9:$C$33,MATCH('Cash Flow'!$B27,'Prelim Budget'!$B$9:$B$33,0)),0,IF('Cash Flow'!AR27&lt;&gt;0,'Cash Flow'!AR27,0))),0)</f>
        <v>0</v>
      </c>
      <c r="AT27" s="153">
        <f ca="1">IFERROR(IF(LEFT(OFFSET(AT$2,0,-$C27),3)="A&amp;D",-INDEX('Prelim Budget'!$C$9:$C$33,MATCH('Cash Flow'!$B27,'Prelim Budget'!$B$9:$B$33,0))/'Cash Flow'!$E27,IF(SUM('Cash Flow'!$F27:AS27)=-INDEX('Prelim Budget'!$C$9:$C$33,MATCH('Cash Flow'!$B27,'Prelim Budget'!$B$9:$B$33,0)),0,IF('Cash Flow'!AS27&lt;&gt;0,'Cash Flow'!AS27,0))),0)</f>
        <v>0</v>
      </c>
      <c r="AU27" s="153">
        <f ca="1">IFERROR(IF(LEFT(OFFSET(AU$2,0,-$C27),3)="A&amp;D",-INDEX('Prelim Budget'!$C$9:$C$33,MATCH('Cash Flow'!$B27,'Prelim Budget'!$B$9:$B$33,0))/'Cash Flow'!$E27,IF(SUM('Cash Flow'!$F27:AT27)=-INDEX('Prelim Budget'!$C$9:$C$33,MATCH('Cash Flow'!$B27,'Prelim Budget'!$B$9:$B$33,0)),0,IF('Cash Flow'!AT27&lt;&gt;0,'Cash Flow'!AT27,0))),0)</f>
        <v>0</v>
      </c>
      <c r="AV27" s="153">
        <f ca="1">IFERROR(IF(LEFT(OFFSET(AV$2,0,-$C27),3)="A&amp;D",-INDEX('Prelim Budget'!$C$9:$C$33,MATCH('Cash Flow'!$B27,'Prelim Budget'!$B$9:$B$33,0))/'Cash Flow'!$E27,IF(SUM('Cash Flow'!$F27:AU27)=-INDEX('Prelim Budget'!$C$9:$C$33,MATCH('Cash Flow'!$B27,'Prelim Budget'!$B$9:$B$33,0)),0,IF('Cash Flow'!AU27&lt;&gt;0,'Cash Flow'!AU27,0))),0)</f>
        <v>0</v>
      </c>
      <c r="AW27" s="153">
        <f ca="1">IFERROR(IF(LEFT(OFFSET(AW$2,0,-$C27),3)="A&amp;D",-INDEX('Prelim Budget'!$C$9:$C$33,MATCH('Cash Flow'!$B27,'Prelim Budget'!$B$9:$B$33,0))/'Cash Flow'!$E27,IF(SUM('Cash Flow'!$F27:AV27)=-INDEX('Prelim Budget'!$C$9:$C$33,MATCH('Cash Flow'!$B27,'Prelim Budget'!$B$9:$B$33,0)),0,IF('Cash Flow'!AV27&lt;&gt;0,'Cash Flow'!AV27,0))),0)</f>
        <v>0</v>
      </c>
      <c r="AX27" s="153">
        <f ca="1">IFERROR(IF(LEFT(OFFSET(AX$2,0,-$C27),3)="A&amp;D",-INDEX('Prelim Budget'!$C$9:$C$33,MATCH('Cash Flow'!$B27,'Prelim Budget'!$B$9:$B$33,0))/'Cash Flow'!$E27,IF(SUM('Cash Flow'!$F27:AW27)=-INDEX('Prelim Budget'!$C$9:$C$33,MATCH('Cash Flow'!$B27,'Prelim Budget'!$B$9:$B$33,0)),0,IF('Cash Flow'!AW27&lt;&gt;0,'Cash Flow'!AW27,0))),0)</f>
        <v>0</v>
      </c>
      <c r="AY27" s="153">
        <f ca="1">IFERROR(IF(LEFT(OFFSET(AY$2,0,-$C27),3)="A&amp;D",-INDEX('Prelim Budget'!$C$9:$C$33,MATCH('Cash Flow'!$B27,'Prelim Budget'!$B$9:$B$33,0))/'Cash Flow'!$E27,IF(SUM('Cash Flow'!$F27:AX27)=-INDEX('Prelim Budget'!$C$9:$C$33,MATCH('Cash Flow'!$B27,'Prelim Budget'!$B$9:$B$33,0)),0,IF('Cash Flow'!AX27&lt;&gt;0,'Cash Flow'!AX27,0))),0)</f>
        <v>0</v>
      </c>
      <c r="AZ27" s="153">
        <f ca="1">IFERROR(IF(LEFT(OFFSET(AZ$2,0,-$C27),3)="A&amp;D",-INDEX('Prelim Budget'!$C$9:$C$33,MATCH('Cash Flow'!$B27,'Prelim Budget'!$B$9:$B$33,0))/'Cash Flow'!$E27,IF(SUM('Cash Flow'!$F27:AY27)=-INDEX('Prelim Budget'!$C$9:$C$33,MATCH('Cash Flow'!$B27,'Prelim Budget'!$B$9:$B$33,0)),0,IF('Cash Flow'!AY27&lt;&gt;0,'Cash Flow'!AY27,0))),0)</f>
        <v>0</v>
      </c>
      <c r="BA27" s="153">
        <f ca="1">IFERROR(IF(LEFT(OFFSET(BA$2,0,-$C27),3)="A&amp;D",-INDEX('Prelim Budget'!$C$9:$C$33,MATCH('Cash Flow'!$B27,'Prelim Budget'!$B$9:$B$33,0))/'Cash Flow'!$E27,IF(SUM('Cash Flow'!$F27:AZ27)=-INDEX('Prelim Budget'!$C$9:$C$33,MATCH('Cash Flow'!$B27,'Prelim Budget'!$B$9:$B$33,0)),0,IF('Cash Flow'!AZ27&lt;&gt;0,'Cash Flow'!AZ27,0))),0)</f>
        <v>0</v>
      </c>
      <c r="BB27" s="153">
        <f ca="1">IFERROR(IF(LEFT(OFFSET(BB$2,0,-$C27),3)="A&amp;D",-INDEX('Prelim Budget'!$C$9:$C$33,MATCH('Cash Flow'!$B27,'Prelim Budget'!$B$9:$B$33,0))/'Cash Flow'!$E27,IF(SUM('Cash Flow'!$F27:BA27)=-INDEX('Prelim Budget'!$C$9:$C$33,MATCH('Cash Flow'!$B27,'Prelim Budget'!$B$9:$B$33,0)),0,IF('Cash Flow'!BA27&lt;&gt;0,'Cash Flow'!BA27,0))),0)</f>
        <v>0</v>
      </c>
      <c r="BC27" s="153">
        <f ca="1">IFERROR(IF(LEFT(OFFSET(BC$2,0,-$C27),3)="A&amp;D",-INDEX('Prelim Budget'!$C$9:$C$33,MATCH('Cash Flow'!$B27,'Prelim Budget'!$B$9:$B$33,0))/'Cash Flow'!$E27,IF(SUM('Cash Flow'!$F27:BB27)=-INDEX('Prelim Budget'!$C$9:$C$33,MATCH('Cash Flow'!$B27,'Prelim Budget'!$B$9:$B$33,0)),0,IF('Cash Flow'!BB27&lt;&gt;0,'Cash Flow'!BB27,0))),0)</f>
        <v>0</v>
      </c>
      <c r="BD27" s="153">
        <f ca="1">IFERROR(IF(LEFT(OFFSET(BD$2,0,-$C27),3)="A&amp;D",-INDEX('Prelim Budget'!$C$9:$C$33,MATCH('Cash Flow'!$B27,'Prelim Budget'!$B$9:$B$33,0))/'Cash Flow'!$E27,IF(SUM('Cash Flow'!$F27:BC27)=-INDEX('Prelim Budget'!$C$9:$C$33,MATCH('Cash Flow'!$B27,'Prelim Budget'!$B$9:$B$33,0)),0,IF('Cash Flow'!BC27&lt;&gt;0,'Cash Flow'!BC27,0))),0)</f>
        <v>0</v>
      </c>
      <c r="BE27" s="153">
        <f ca="1">IFERROR(IF(LEFT(OFFSET(BE$2,0,-$C27),3)="A&amp;D",-INDEX('Prelim Budget'!$C$9:$C$33,MATCH('Cash Flow'!$B27,'Prelim Budget'!$B$9:$B$33,0))/'Cash Flow'!$E27,IF(SUM('Cash Flow'!$F27:BD27)=-INDEX('Prelim Budget'!$C$9:$C$33,MATCH('Cash Flow'!$B27,'Prelim Budget'!$B$9:$B$33,0)),0,IF('Cash Flow'!BD27&lt;&gt;0,'Cash Flow'!BD27,0))),0)</f>
        <v>0</v>
      </c>
      <c r="BF27" s="153">
        <f ca="1">IFERROR(IF(LEFT(OFFSET(BF$2,0,-$C27),3)="A&amp;D",-INDEX('Prelim Budget'!$C$9:$C$33,MATCH('Cash Flow'!$B27,'Prelim Budget'!$B$9:$B$33,0))/'Cash Flow'!$E27,IF(SUM('Cash Flow'!$F27:BE27)=-INDEX('Prelim Budget'!$C$9:$C$33,MATCH('Cash Flow'!$B27,'Prelim Budget'!$B$9:$B$33,0)),0,IF('Cash Flow'!BE27&lt;&gt;0,'Cash Flow'!BE27,0))),0)</f>
        <v>0</v>
      </c>
      <c r="BG27" s="153">
        <f ca="1">IFERROR(IF(LEFT(OFFSET(BG$2,0,-$C27),3)="A&amp;D",-INDEX('Prelim Budget'!$C$9:$C$33,MATCH('Cash Flow'!$B27,'Prelim Budget'!$B$9:$B$33,0))/'Cash Flow'!$E27,IF(SUM('Cash Flow'!$F27:BF27)=-INDEX('Prelim Budget'!$C$9:$C$33,MATCH('Cash Flow'!$B27,'Prelim Budget'!$B$9:$B$33,0)),0,IF('Cash Flow'!BF27&lt;&gt;0,'Cash Flow'!BF27,0))),0)</f>
        <v>0</v>
      </c>
      <c r="BH27" s="153">
        <f ca="1">IFERROR(IF(LEFT(OFFSET(BH$2,0,-$C27),3)="A&amp;D",-INDEX('Prelim Budget'!$C$9:$C$33,MATCH('Cash Flow'!$B27,'Prelim Budget'!$B$9:$B$33,0))/'Cash Flow'!$E27,IF(SUM('Cash Flow'!$F27:BG27)=-INDEX('Prelim Budget'!$C$9:$C$33,MATCH('Cash Flow'!$B27,'Prelim Budget'!$B$9:$B$33,0)),0,IF('Cash Flow'!BG27&lt;&gt;0,'Cash Flow'!BG27,0))),0)</f>
        <v>0</v>
      </c>
      <c r="BI27" s="153">
        <f ca="1">IFERROR(IF(LEFT(OFFSET(BI$2,0,-$C27),3)="A&amp;D",-INDEX('Prelim Budget'!$C$9:$C$33,MATCH('Cash Flow'!$B27,'Prelim Budget'!$B$9:$B$33,0))/'Cash Flow'!$E27,IF(SUM('Cash Flow'!$F27:BH27)=-INDEX('Prelim Budget'!$C$9:$C$33,MATCH('Cash Flow'!$B27,'Prelim Budget'!$B$9:$B$33,0)),0,IF('Cash Flow'!BH27&lt;&gt;0,'Cash Flow'!BH27,0))),0)</f>
        <v>0</v>
      </c>
      <c r="BJ27" s="153">
        <f ca="1">IFERROR(IF(LEFT(OFFSET(BJ$2,0,-$C27),3)="A&amp;D",-INDEX('Prelim Budget'!$C$9:$C$33,MATCH('Cash Flow'!$B27,'Prelim Budget'!$B$9:$B$33,0))/'Cash Flow'!$E27,IF(SUM('Cash Flow'!$F27:BI27)=-INDEX('Prelim Budget'!$C$9:$C$33,MATCH('Cash Flow'!$B27,'Prelim Budget'!$B$9:$B$33,0)),0,IF('Cash Flow'!BI27&lt;&gt;0,'Cash Flow'!BI27,0))),0)</f>
        <v>0</v>
      </c>
      <c r="BK27" s="153">
        <f ca="1">IFERROR(IF(LEFT(OFFSET(BK$2,0,-$C27),3)="A&amp;D",-INDEX('Prelim Budget'!$C$9:$C$33,MATCH('Cash Flow'!$B27,'Prelim Budget'!$B$9:$B$33,0))/'Cash Flow'!$E27,IF(SUM('Cash Flow'!$F27:BJ27)=-INDEX('Prelim Budget'!$C$9:$C$33,MATCH('Cash Flow'!$B27,'Prelim Budget'!$B$9:$B$33,0)),0,IF('Cash Flow'!BJ27&lt;&gt;0,'Cash Flow'!BJ27,0))),0)</f>
        <v>0</v>
      </c>
      <c r="BL27" s="153">
        <f ca="1">IFERROR(IF(LEFT(OFFSET(BL$2,0,-$C27),3)="A&amp;D",-INDEX('Prelim Budget'!$C$9:$C$33,MATCH('Cash Flow'!$B27,'Prelim Budget'!$B$9:$B$33,0))/'Cash Flow'!$E27,IF(SUM('Cash Flow'!$F27:BK27)=-INDEX('Prelim Budget'!$C$9:$C$33,MATCH('Cash Flow'!$B27,'Prelim Budget'!$B$9:$B$33,0)),0,IF('Cash Flow'!BK27&lt;&gt;0,'Cash Flow'!BK27,0))),0)</f>
        <v>0</v>
      </c>
      <c r="BM27" s="153">
        <f ca="1">IFERROR(IF(LEFT(OFFSET(BM$2,0,-$C27),3)="A&amp;D",-INDEX('Prelim Budget'!$C$9:$C$33,MATCH('Cash Flow'!$B27,'Prelim Budget'!$B$9:$B$33,0))/'Cash Flow'!$E27,IF(SUM('Cash Flow'!$F27:BL27)=-INDEX('Prelim Budget'!$C$9:$C$33,MATCH('Cash Flow'!$B27,'Prelim Budget'!$B$9:$B$33,0)),0,IF('Cash Flow'!BL27&lt;&gt;0,'Cash Flow'!BL27,0))),0)</f>
        <v>0</v>
      </c>
      <c r="BN27" s="153">
        <f ca="1">IFERROR(IF(LEFT(OFFSET(BN$2,0,-$C27),3)="A&amp;D",-INDEX('Prelim Budget'!$C$9:$C$33,MATCH('Cash Flow'!$B27,'Prelim Budget'!$B$9:$B$33,0))/'Cash Flow'!$E27,IF(SUM('Cash Flow'!$F27:BM27)=-INDEX('Prelim Budget'!$C$9:$C$33,MATCH('Cash Flow'!$B27,'Prelim Budget'!$B$9:$B$33,0)),0,IF('Cash Flow'!BM27&lt;&gt;0,'Cash Flow'!BM27,0))),0)</f>
        <v>0</v>
      </c>
      <c r="BO27" s="50">
        <f ca="1">IFERROR(IF(LEFT(OFFSET(BO$2,0,-$C27),3)="A&amp;D",-INDEX('Prelim Budget'!$C$9:$C$33,MATCH('Cash Flow'!$B27,'Prelim Budget'!$B$9:$B$33,0))/'Cash Flow'!$E27,IF(SUM('Cash Flow'!$F27:BN27)=-INDEX('Prelim Budget'!$C$9:$C$33,MATCH('Cash Flow'!$B27,'Prelim Budget'!$B$9:$B$33,0)),0,IF('Cash Flow'!BN27&lt;&gt;0,'Cash Flow'!BN27,0))),0)</f>
        <v>0</v>
      </c>
    </row>
    <row r="28" spans="2:67" ht="14.05" customHeight="1" x14ac:dyDescent="0.4">
      <c r="B28" s="3" t="s">
        <v>151</v>
      </c>
      <c r="C28" s="80">
        <v>5</v>
      </c>
      <c r="D28" s="153">
        <f t="shared" ca="1" si="11"/>
        <v>-249999.99999999997</v>
      </c>
      <c r="E28" s="81">
        <v>6</v>
      </c>
      <c r="F28" s="157"/>
      <c r="G28" s="134">
        <f ca="1">IFERROR(IF(LEFT(OFFSET(G$2,0,-$C28),3)="A&amp;D",-INDEX('Prelim Budget'!$C$9:$C$33,MATCH('Cash Flow'!$B28,'Prelim Budget'!$B$9:$B$33,0))/'Cash Flow'!$E28,IF(SUM('Cash Flow'!$F28:F28)=-INDEX('Prelim Budget'!$C$9:$C$33,MATCH('Cash Flow'!$B28,'Prelim Budget'!$B$9:$B$33,0)),0,IF('Cash Flow'!F28&lt;&gt;0,'Cash Flow'!F28,0))),0)</f>
        <v>0</v>
      </c>
      <c r="H28" s="153">
        <f ca="1">IFERROR(IF(LEFT(OFFSET(H$2,0,-$C28),3)="A&amp;D",-INDEX('Prelim Budget'!$C$9:$C$33,MATCH('Cash Flow'!$B28,'Prelim Budget'!$B$9:$B$33,0))/'Cash Flow'!$E28,IF(SUM('Cash Flow'!$F28:G28)=-INDEX('Prelim Budget'!$C$9:$C$33,MATCH('Cash Flow'!$B28,'Prelim Budget'!$B$9:$B$33,0)),0,IF('Cash Flow'!G28&lt;&gt;0,'Cash Flow'!G28,0))),0)</f>
        <v>0</v>
      </c>
      <c r="I28" s="153">
        <f ca="1">IFERROR(IF(LEFT(OFFSET(I$2,0,-$C28),3)="A&amp;D",-INDEX('Prelim Budget'!$C$9:$C$33,MATCH('Cash Flow'!$B28,'Prelim Budget'!$B$9:$B$33,0))/'Cash Flow'!$E28,IF(SUM('Cash Flow'!$F28:H28)=-INDEX('Prelim Budget'!$C$9:$C$33,MATCH('Cash Flow'!$B28,'Prelim Budget'!$B$9:$B$33,0)),0,IF('Cash Flow'!H28&lt;&gt;0,'Cash Flow'!H28,0))),0)</f>
        <v>0</v>
      </c>
      <c r="J28" s="153">
        <f ca="1">IFERROR(IF(LEFT(OFFSET(J$2,0,-$C28),3)="A&amp;D",-INDEX('Prelim Budget'!$C$9:$C$33,MATCH('Cash Flow'!$B28,'Prelim Budget'!$B$9:$B$33,0))/'Cash Flow'!$E28,IF(SUM('Cash Flow'!$F28:I28)=-INDEX('Prelim Budget'!$C$9:$C$33,MATCH('Cash Flow'!$B28,'Prelim Budget'!$B$9:$B$33,0)),0,IF('Cash Flow'!I28&lt;&gt;0,'Cash Flow'!I28,0))),0)</f>
        <v>0</v>
      </c>
      <c r="K28" s="153">
        <f ca="1">IFERROR(IF(LEFT(OFFSET(K$2,0,-$C28),3)="A&amp;D",-INDEX('Prelim Budget'!$C$9:$C$33,MATCH('Cash Flow'!$B28,'Prelim Budget'!$B$9:$B$33,0))/'Cash Flow'!$E28,IF(SUM('Cash Flow'!$F28:J28)=-INDEX('Prelim Budget'!$C$9:$C$33,MATCH('Cash Flow'!$B28,'Prelim Budget'!$B$9:$B$33,0)),0,IF('Cash Flow'!J28&lt;&gt;0,'Cash Flow'!J28,0))),0)</f>
        <v>0</v>
      </c>
      <c r="L28" s="153">
        <f ca="1">IFERROR(IF(LEFT(OFFSET(L$2,0,-$C28),3)="A&amp;D",-INDEX('Prelim Budget'!$C$9:$C$33,MATCH('Cash Flow'!$B28,'Prelim Budget'!$B$9:$B$33,0))/'Cash Flow'!$E28,IF(SUM('Cash Flow'!$F28:K28)=-INDEX('Prelim Budget'!$C$9:$C$33,MATCH('Cash Flow'!$B28,'Prelim Budget'!$B$9:$B$33,0)),0,IF('Cash Flow'!K28&lt;&gt;0,'Cash Flow'!K28,0))),0)</f>
        <v>0</v>
      </c>
      <c r="M28" s="153">
        <f ca="1">IFERROR(IF(LEFT(OFFSET(M$2,0,-$C28),3)="A&amp;D",-INDEX('Prelim Budget'!$C$9:$C$33,MATCH('Cash Flow'!$B28,'Prelim Budget'!$B$9:$B$33,0))/'Cash Flow'!$E28,IF(SUM('Cash Flow'!$F28:L28)=-INDEX('Prelim Budget'!$C$9:$C$33,MATCH('Cash Flow'!$B28,'Prelim Budget'!$B$9:$B$33,0)),0,IF('Cash Flow'!L28&lt;&gt;0,'Cash Flow'!L28,0))),0)</f>
        <v>0</v>
      </c>
      <c r="N28" s="153">
        <f ca="1">IFERROR(IF(LEFT(OFFSET(N$2,0,-$C28),3)="A&amp;D",-INDEX('Prelim Budget'!$C$9:$C$33,MATCH('Cash Flow'!$B28,'Prelim Budget'!$B$9:$B$33,0))/'Cash Flow'!$E28,IF(SUM('Cash Flow'!$F28:M28)=-INDEX('Prelim Budget'!$C$9:$C$33,MATCH('Cash Flow'!$B28,'Prelim Budget'!$B$9:$B$33,0)),0,IF('Cash Flow'!M28&lt;&gt;0,'Cash Flow'!M28,0))),0)</f>
        <v>0</v>
      </c>
      <c r="O28" s="153">
        <f ca="1">IFERROR(IF(LEFT(OFFSET(O$2,0,-$C28),3)="A&amp;D",-INDEX('Prelim Budget'!$C$9:$C$33,MATCH('Cash Flow'!$B28,'Prelim Budget'!$B$9:$B$33,0))/'Cash Flow'!$E28,IF(SUM('Cash Flow'!$F28:N28)=-INDEX('Prelim Budget'!$C$9:$C$33,MATCH('Cash Flow'!$B28,'Prelim Budget'!$B$9:$B$33,0)),0,IF('Cash Flow'!N28&lt;&gt;0,'Cash Flow'!N28,0))),0)</f>
        <v>0</v>
      </c>
      <c r="P28" s="153">
        <f ca="1">IFERROR(IF(LEFT(OFFSET(P$2,0,-$C28),3)="A&amp;D",-INDEX('Prelim Budget'!$C$9:$C$33,MATCH('Cash Flow'!$B28,'Prelim Budget'!$B$9:$B$33,0))/'Cash Flow'!$E28,IF(SUM('Cash Flow'!$F28:O28)=-INDEX('Prelim Budget'!$C$9:$C$33,MATCH('Cash Flow'!$B28,'Prelim Budget'!$B$9:$B$33,0)),0,IF('Cash Flow'!O28&lt;&gt;0,'Cash Flow'!O28,0))),0)</f>
        <v>0</v>
      </c>
      <c r="Q28" s="153">
        <f ca="1">IFERROR(IF(LEFT(OFFSET(Q$2,0,-$C28),3)="A&amp;D",-INDEX('Prelim Budget'!$C$9:$C$33,MATCH('Cash Flow'!$B28,'Prelim Budget'!$B$9:$B$33,0))/'Cash Flow'!$E28,IF(SUM('Cash Flow'!$F28:P28)=-INDEX('Prelim Budget'!$C$9:$C$33,MATCH('Cash Flow'!$B28,'Prelim Budget'!$B$9:$B$33,0)),0,IF('Cash Flow'!P28&lt;&gt;0,'Cash Flow'!P28,0))),0)</f>
        <v>0</v>
      </c>
      <c r="R28" s="153">
        <f ca="1">IFERROR(IF(LEFT(OFFSET(R$2,0,-$C28),3)="A&amp;D",-INDEX('Prelim Budget'!$C$9:$C$33,MATCH('Cash Flow'!$B28,'Prelim Budget'!$B$9:$B$33,0))/'Cash Flow'!$E28,IF(SUM('Cash Flow'!$F28:Q28)=-INDEX('Prelim Budget'!$C$9:$C$33,MATCH('Cash Flow'!$B28,'Prelim Budget'!$B$9:$B$33,0)),0,IF('Cash Flow'!Q28&lt;&gt;0,'Cash Flow'!Q28,0))),0)</f>
        <v>-41666.666666666664</v>
      </c>
      <c r="S28" s="153">
        <f ca="1">IFERROR(IF(LEFT(OFFSET(S$2,0,-$C28),3)="A&amp;D",-INDEX('Prelim Budget'!$C$9:$C$33,MATCH('Cash Flow'!$B28,'Prelim Budget'!$B$9:$B$33,0))/'Cash Flow'!$E28,IF(SUM('Cash Flow'!$F28:R28)=-INDEX('Prelim Budget'!$C$9:$C$33,MATCH('Cash Flow'!$B28,'Prelim Budget'!$B$9:$B$33,0)),0,IF('Cash Flow'!R28&lt;&gt;0,'Cash Flow'!R28,0))),0)</f>
        <v>-41666.666666666664</v>
      </c>
      <c r="T28" s="153">
        <f ca="1">IFERROR(IF(LEFT(OFFSET(T$2,0,-$C28),3)="A&amp;D",-INDEX('Prelim Budget'!$C$9:$C$33,MATCH('Cash Flow'!$B28,'Prelim Budget'!$B$9:$B$33,0))/'Cash Flow'!$E28,IF(SUM('Cash Flow'!$F28:S28)=-INDEX('Prelim Budget'!$C$9:$C$33,MATCH('Cash Flow'!$B28,'Prelim Budget'!$B$9:$B$33,0)),0,IF('Cash Flow'!S28&lt;&gt;0,'Cash Flow'!S28,0))),0)</f>
        <v>-41666.666666666664</v>
      </c>
      <c r="U28" s="153">
        <f ca="1">IFERROR(IF(LEFT(OFFSET(U$2,0,-$C28),3)="A&amp;D",-INDEX('Prelim Budget'!$C$9:$C$33,MATCH('Cash Flow'!$B28,'Prelim Budget'!$B$9:$B$33,0))/'Cash Flow'!$E28,IF(SUM('Cash Flow'!$F28:T28)=-INDEX('Prelim Budget'!$C$9:$C$33,MATCH('Cash Flow'!$B28,'Prelim Budget'!$B$9:$B$33,0)),0,IF('Cash Flow'!T28&lt;&gt;0,'Cash Flow'!T28,0))),0)</f>
        <v>-41666.666666666664</v>
      </c>
      <c r="V28" s="153">
        <f ca="1">IFERROR(IF(LEFT(OFFSET(V$2,0,-$C28),3)="A&amp;D",-INDEX('Prelim Budget'!$C$9:$C$33,MATCH('Cash Flow'!$B28,'Prelim Budget'!$B$9:$B$33,0))/'Cash Flow'!$E28,IF(SUM('Cash Flow'!$F28:U28)=-INDEX('Prelim Budget'!$C$9:$C$33,MATCH('Cash Flow'!$B28,'Prelim Budget'!$B$9:$B$33,0)),0,IF('Cash Flow'!U28&lt;&gt;0,'Cash Flow'!U28,0))),0)</f>
        <v>-41666.666666666664</v>
      </c>
      <c r="W28" s="153">
        <f ca="1">IFERROR(IF(LEFT(OFFSET(W$2,0,-$C28),3)="A&amp;D",-INDEX('Prelim Budget'!$C$9:$C$33,MATCH('Cash Flow'!$B28,'Prelim Budget'!$B$9:$B$33,0))/'Cash Flow'!$E28,IF(SUM('Cash Flow'!$F28:V28)=-INDEX('Prelim Budget'!$C$9:$C$33,MATCH('Cash Flow'!$B28,'Prelim Budget'!$B$9:$B$33,0)),0,IF('Cash Flow'!V28&lt;&gt;0,'Cash Flow'!V28,0))),0)</f>
        <v>-41666.666666666664</v>
      </c>
      <c r="X28" s="153">
        <f ca="1">IFERROR(IF(LEFT(OFFSET(X$2,0,-$C28),3)="A&amp;D",-INDEX('Prelim Budget'!$C$9:$C$33,MATCH('Cash Flow'!$B28,'Prelim Budget'!$B$9:$B$33,0))/'Cash Flow'!$E28,IF(SUM('Cash Flow'!$F28:W28)=-INDEX('Prelim Budget'!$C$9:$C$33,MATCH('Cash Flow'!$B28,'Prelim Budget'!$B$9:$B$33,0)),0,IF('Cash Flow'!W28&lt;&gt;0,'Cash Flow'!W28,0))),0)</f>
        <v>0</v>
      </c>
      <c r="Y28" s="153">
        <f ca="1">IFERROR(IF(LEFT(OFFSET(Y$2,0,-$C28),3)="A&amp;D",-INDEX('Prelim Budget'!$C$9:$C$33,MATCH('Cash Flow'!$B28,'Prelim Budget'!$B$9:$B$33,0))/'Cash Flow'!$E28,IF(SUM('Cash Flow'!$F28:X28)=-INDEX('Prelim Budget'!$C$9:$C$33,MATCH('Cash Flow'!$B28,'Prelim Budget'!$B$9:$B$33,0)),0,IF('Cash Flow'!X28&lt;&gt;0,'Cash Flow'!X28,0))),0)</f>
        <v>0</v>
      </c>
      <c r="Z28" s="153">
        <f ca="1">IFERROR(IF(LEFT(OFFSET(Z$2,0,-$C28),3)="A&amp;D",-INDEX('Prelim Budget'!$C$9:$C$33,MATCH('Cash Flow'!$B28,'Prelim Budget'!$B$9:$B$33,0))/'Cash Flow'!$E28,IF(SUM('Cash Flow'!$F28:Y28)=-INDEX('Prelim Budget'!$C$9:$C$33,MATCH('Cash Flow'!$B28,'Prelim Budget'!$B$9:$B$33,0)),0,IF('Cash Flow'!Y28&lt;&gt;0,'Cash Flow'!Y28,0))),0)</f>
        <v>0</v>
      </c>
      <c r="AA28" s="153">
        <f ca="1">IFERROR(IF(LEFT(OFFSET(AA$2,0,-$C28),3)="A&amp;D",-INDEX('Prelim Budget'!$C$9:$C$33,MATCH('Cash Flow'!$B28,'Prelim Budget'!$B$9:$B$33,0))/'Cash Flow'!$E28,IF(SUM('Cash Flow'!$F28:Z28)=-INDEX('Prelim Budget'!$C$9:$C$33,MATCH('Cash Flow'!$B28,'Prelim Budget'!$B$9:$B$33,0)),0,IF('Cash Flow'!Z28&lt;&gt;0,'Cash Flow'!Z28,0))),0)</f>
        <v>0</v>
      </c>
      <c r="AB28" s="153">
        <f ca="1">IFERROR(IF(LEFT(OFFSET(AB$2,0,-$C28),3)="A&amp;D",-INDEX('Prelim Budget'!$C$9:$C$33,MATCH('Cash Flow'!$B28,'Prelim Budget'!$B$9:$B$33,0))/'Cash Flow'!$E28,IF(SUM('Cash Flow'!$F28:AA28)=-INDEX('Prelim Budget'!$C$9:$C$33,MATCH('Cash Flow'!$B28,'Prelim Budget'!$B$9:$B$33,0)),0,IF('Cash Flow'!AA28&lt;&gt;0,'Cash Flow'!AA28,0))),0)</f>
        <v>0</v>
      </c>
      <c r="AC28" s="153">
        <f ca="1">IFERROR(IF(LEFT(OFFSET(AC$2,0,-$C28),3)="A&amp;D",-INDEX('Prelim Budget'!$C$9:$C$33,MATCH('Cash Flow'!$B28,'Prelim Budget'!$B$9:$B$33,0))/'Cash Flow'!$E28,IF(SUM('Cash Flow'!$F28:AB28)=-INDEX('Prelim Budget'!$C$9:$C$33,MATCH('Cash Flow'!$B28,'Prelim Budget'!$B$9:$B$33,0)),0,IF('Cash Flow'!AB28&lt;&gt;0,'Cash Flow'!AB28,0))),0)</f>
        <v>0</v>
      </c>
      <c r="AD28" s="153">
        <f ca="1">IFERROR(IF(LEFT(OFFSET(AD$2,0,-$C28),3)="A&amp;D",-INDEX('Prelim Budget'!$C$9:$C$33,MATCH('Cash Flow'!$B28,'Prelim Budget'!$B$9:$B$33,0))/'Cash Flow'!$E28,IF(SUM('Cash Flow'!$F28:AC28)=-INDEX('Prelim Budget'!$C$9:$C$33,MATCH('Cash Flow'!$B28,'Prelim Budget'!$B$9:$B$33,0)),0,IF('Cash Flow'!AC28&lt;&gt;0,'Cash Flow'!AC28,0))),0)</f>
        <v>0</v>
      </c>
      <c r="AE28" s="153">
        <f ca="1">IFERROR(IF(LEFT(OFFSET(AE$2,0,-$C28),3)="A&amp;D",-INDEX('Prelim Budget'!$C$9:$C$33,MATCH('Cash Flow'!$B28,'Prelim Budget'!$B$9:$B$33,0))/'Cash Flow'!$E28,IF(SUM('Cash Flow'!$F28:AD28)=-INDEX('Prelim Budget'!$C$9:$C$33,MATCH('Cash Flow'!$B28,'Prelim Budget'!$B$9:$B$33,0)),0,IF('Cash Flow'!AD28&lt;&gt;0,'Cash Flow'!AD28,0))),0)</f>
        <v>0</v>
      </c>
      <c r="AF28" s="153">
        <f ca="1">IFERROR(IF(LEFT(OFFSET(AF$2,0,-$C28),3)="A&amp;D",-INDEX('Prelim Budget'!$C$9:$C$33,MATCH('Cash Flow'!$B28,'Prelim Budget'!$B$9:$B$33,0))/'Cash Flow'!$E28,IF(SUM('Cash Flow'!$F28:AE28)=-INDEX('Prelim Budget'!$C$9:$C$33,MATCH('Cash Flow'!$B28,'Prelim Budget'!$B$9:$B$33,0)),0,IF('Cash Flow'!AE28&lt;&gt;0,'Cash Flow'!AE28,0))),0)</f>
        <v>0</v>
      </c>
      <c r="AG28" s="153">
        <f ca="1">IFERROR(IF(LEFT(OFFSET(AG$2,0,-$C28),3)="A&amp;D",-INDEX('Prelim Budget'!$C$9:$C$33,MATCH('Cash Flow'!$B28,'Prelim Budget'!$B$9:$B$33,0))/'Cash Flow'!$E28,IF(SUM('Cash Flow'!$F28:AF28)=-INDEX('Prelim Budget'!$C$9:$C$33,MATCH('Cash Flow'!$B28,'Prelim Budget'!$B$9:$B$33,0)),0,IF('Cash Flow'!AF28&lt;&gt;0,'Cash Flow'!AF28,0))),0)</f>
        <v>0</v>
      </c>
      <c r="AH28" s="153">
        <f ca="1">IFERROR(IF(LEFT(OFFSET(AH$2,0,-$C28),3)="A&amp;D",-INDEX('Prelim Budget'!$C$9:$C$33,MATCH('Cash Flow'!$B28,'Prelim Budget'!$B$9:$B$33,0))/'Cash Flow'!$E28,IF(SUM('Cash Flow'!$F28:AG28)=-INDEX('Prelim Budget'!$C$9:$C$33,MATCH('Cash Flow'!$B28,'Prelim Budget'!$B$9:$B$33,0)),0,IF('Cash Flow'!AG28&lt;&gt;0,'Cash Flow'!AG28,0))),0)</f>
        <v>0</v>
      </c>
      <c r="AI28" s="153">
        <f ca="1">IFERROR(IF(LEFT(OFFSET(AI$2,0,-$C28),3)="A&amp;D",-INDEX('Prelim Budget'!$C$9:$C$33,MATCH('Cash Flow'!$B28,'Prelim Budget'!$B$9:$B$33,0))/'Cash Flow'!$E28,IF(SUM('Cash Flow'!$F28:AH28)=-INDEX('Prelim Budget'!$C$9:$C$33,MATCH('Cash Flow'!$B28,'Prelim Budget'!$B$9:$B$33,0)),0,IF('Cash Flow'!AH28&lt;&gt;0,'Cash Flow'!AH28,0))),0)</f>
        <v>0</v>
      </c>
      <c r="AJ28" s="153">
        <f ca="1">IFERROR(IF(LEFT(OFFSET(AJ$2,0,-$C28),3)="A&amp;D",-INDEX('Prelim Budget'!$C$9:$C$33,MATCH('Cash Flow'!$B28,'Prelim Budget'!$B$9:$B$33,0))/'Cash Flow'!$E28,IF(SUM('Cash Flow'!$F28:AI28)=-INDEX('Prelim Budget'!$C$9:$C$33,MATCH('Cash Flow'!$B28,'Prelim Budget'!$B$9:$B$33,0)),0,IF('Cash Flow'!AI28&lt;&gt;0,'Cash Flow'!AI28,0))),0)</f>
        <v>0</v>
      </c>
      <c r="AK28" s="153">
        <f ca="1">IFERROR(IF(LEFT(OFFSET(AK$2,0,-$C28),3)="A&amp;D",-INDEX('Prelim Budget'!$C$9:$C$33,MATCH('Cash Flow'!$B28,'Prelim Budget'!$B$9:$B$33,0))/'Cash Flow'!$E28,IF(SUM('Cash Flow'!$F28:AJ28)=-INDEX('Prelim Budget'!$C$9:$C$33,MATCH('Cash Flow'!$B28,'Prelim Budget'!$B$9:$B$33,0)),0,IF('Cash Flow'!AJ28&lt;&gt;0,'Cash Flow'!AJ28,0))),0)</f>
        <v>0</v>
      </c>
      <c r="AL28" s="153">
        <f ca="1">IFERROR(IF(LEFT(OFFSET(AL$2,0,-$C28),3)="A&amp;D",-INDEX('Prelim Budget'!$C$9:$C$33,MATCH('Cash Flow'!$B28,'Prelim Budget'!$B$9:$B$33,0))/'Cash Flow'!$E28,IF(SUM('Cash Flow'!$F28:AK28)=-INDEX('Prelim Budget'!$C$9:$C$33,MATCH('Cash Flow'!$B28,'Prelim Budget'!$B$9:$B$33,0)),0,IF('Cash Flow'!AK28&lt;&gt;0,'Cash Flow'!AK28,0))),0)</f>
        <v>0</v>
      </c>
      <c r="AM28" s="153">
        <f ca="1">IFERROR(IF(LEFT(OFFSET(AM$2,0,-$C28),3)="A&amp;D",-INDEX('Prelim Budget'!$C$9:$C$33,MATCH('Cash Flow'!$B28,'Prelim Budget'!$B$9:$B$33,0))/'Cash Flow'!$E28,IF(SUM('Cash Flow'!$F28:AL28)=-INDEX('Prelim Budget'!$C$9:$C$33,MATCH('Cash Flow'!$B28,'Prelim Budget'!$B$9:$B$33,0)),0,IF('Cash Flow'!AL28&lt;&gt;0,'Cash Flow'!AL28,0))),0)</f>
        <v>0</v>
      </c>
      <c r="AN28" s="153">
        <f ca="1">IFERROR(IF(LEFT(OFFSET(AN$2,0,-$C28),3)="A&amp;D",-INDEX('Prelim Budget'!$C$9:$C$33,MATCH('Cash Flow'!$B28,'Prelim Budget'!$B$9:$B$33,0))/'Cash Flow'!$E28,IF(SUM('Cash Flow'!$F28:AM28)=-INDEX('Prelim Budget'!$C$9:$C$33,MATCH('Cash Flow'!$B28,'Prelim Budget'!$B$9:$B$33,0)),0,IF('Cash Flow'!AM28&lt;&gt;0,'Cash Flow'!AM28,0))),0)</f>
        <v>0</v>
      </c>
      <c r="AO28" s="153">
        <f ca="1">IFERROR(IF(LEFT(OFFSET(AO$2,0,-$C28),3)="A&amp;D",-INDEX('Prelim Budget'!$C$9:$C$33,MATCH('Cash Flow'!$B28,'Prelim Budget'!$B$9:$B$33,0))/'Cash Flow'!$E28,IF(SUM('Cash Flow'!$F28:AN28)=-INDEX('Prelim Budget'!$C$9:$C$33,MATCH('Cash Flow'!$B28,'Prelim Budget'!$B$9:$B$33,0)),0,IF('Cash Flow'!AN28&lt;&gt;0,'Cash Flow'!AN28,0))),0)</f>
        <v>0</v>
      </c>
      <c r="AP28" s="153">
        <f ca="1">IFERROR(IF(LEFT(OFFSET(AP$2,0,-$C28),3)="A&amp;D",-INDEX('Prelim Budget'!$C$9:$C$33,MATCH('Cash Flow'!$B28,'Prelim Budget'!$B$9:$B$33,0))/'Cash Flow'!$E28,IF(SUM('Cash Flow'!$F28:AO28)=-INDEX('Prelim Budget'!$C$9:$C$33,MATCH('Cash Flow'!$B28,'Prelim Budget'!$B$9:$B$33,0)),0,IF('Cash Flow'!AO28&lt;&gt;0,'Cash Flow'!AO28,0))),0)</f>
        <v>0</v>
      </c>
      <c r="AQ28" s="153">
        <f ca="1">IFERROR(IF(LEFT(OFFSET(AQ$2,0,-$C28),3)="A&amp;D",-INDEX('Prelim Budget'!$C$9:$C$33,MATCH('Cash Flow'!$B28,'Prelim Budget'!$B$9:$B$33,0))/'Cash Flow'!$E28,IF(SUM('Cash Flow'!$F28:AP28)=-INDEX('Prelim Budget'!$C$9:$C$33,MATCH('Cash Flow'!$B28,'Prelim Budget'!$B$9:$B$33,0)),0,IF('Cash Flow'!AP28&lt;&gt;0,'Cash Flow'!AP28,0))),0)</f>
        <v>0</v>
      </c>
      <c r="AR28" s="153">
        <f ca="1">IFERROR(IF(LEFT(OFFSET(AR$2,0,-$C28),3)="A&amp;D",-INDEX('Prelim Budget'!$C$9:$C$33,MATCH('Cash Flow'!$B28,'Prelim Budget'!$B$9:$B$33,0))/'Cash Flow'!$E28,IF(SUM('Cash Flow'!$F28:AQ28)=-INDEX('Prelim Budget'!$C$9:$C$33,MATCH('Cash Flow'!$B28,'Prelim Budget'!$B$9:$B$33,0)),0,IF('Cash Flow'!AQ28&lt;&gt;0,'Cash Flow'!AQ28,0))),0)</f>
        <v>0</v>
      </c>
      <c r="AS28" s="153">
        <f ca="1">IFERROR(IF(LEFT(OFFSET(AS$2,0,-$C28),3)="A&amp;D",-INDEX('Prelim Budget'!$C$9:$C$33,MATCH('Cash Flow'!$B28,'Prelim Budget'!$B$9:$B$33,0))/'Cash Flow'!$E28,IF(SUM('Cash Flow'!$F28:AR28)=-INDEX('Prelim Budget'!$C$9:$C$33,MATCH('Cash Flow'!$B28,'Prelim Budget'!$B$9:$B$33,0)),0,IF('Cash Flow'!AR28&lt;&gt;0,'Cash Flow'!AR28,0))),0)</f>
        <v>0</v>
      </c>
      <c r="AT28" s="153">
        <f ca="1">IFERROR(IF(LEFT(OFFSET(AT$2,0,-$C28),3)="A&amp;D",-INDEX('Prelim Budget'!$C$9:$C$33,MATCH('Cash Flow'!$B28,'Prelim Budget'!$B$9:$B$33,0))/'Cash Flow'!$E28,IF(SUM('Cash Flow'!$F28:AS28)=-INDEX('Prelim Budget'!$C$9:$C$33,MATCH('Cash Flow'!$B28,'Prelim Budget'!$B$9:$B$33,0)),0,IF('Cash Flow'!AS28&lt;&gt;0,'Cash Flow'!AS28,0))),0)</f>
        <v>0</v>
      </c>
      <c r="AU28" s="153">
        <f ca="1">IFERROR(IF(LEFT(OFFSET(AU$2,0,-$C28),3)="A&amp;D",-INDEX('Prelim Budget'!$C$9:$C$33,MATCH('Cash Flow'!$B28,'Prelim Budget'!$B$9:$B$33,0))/'Cash Flow'!$E28,IF(SUM('Cash Flow'!$F28:AT28)=-INDEX('Prelim Budget'!$C$9:$C$33,MATCH('Cash Flow'!$B28,'Prelim Budget'!$B$9:$B$33,0)),0,IF('Cash Flow'!AT28&lt;&gt;0,'Cash Flow'!AT28,0))),0)</f>
        <v>0</v>
      </c>
      <c r="AV28" s="153">
        <f ca="1">IFERROR(IF(LEFT(OFFSET(AV$2,0,-$C28),3)="A&amp;D",-INDEX('Prelim Budget'!$C$9:$C$33,MATCH('Cash Flow'!$B28,'Prelim Budget'!$B$9:$B$33,0))/'Cash Flow'!$E28,IF(SUM('Cash Flow'!$F28:AU28)=-INDEX('Prelim Budget'!$C$9:$C$33,MATCH('Cash Flow'!$B28,'Prelim Budget'!$B$9:$B$33,0)),0,IF('Cash Flow'!AU28&lt;&gt;0,'Cash Flow'!AU28,0))),0)</f>
        <v>0</v>
      </c>
      <c r="AW28" s="153">
        <f ca="1">IFERROR(IF(LEFT(OFFSET(AW$2,0,-$C28),3)="A&amp;D",-INDEX('Prelim Budget'!$C$9:$C$33,MATCH('Cash Flow'!$B28,'Prelim Budget'!$B$9:$B$33,0))/'Cash Flow'!$E28,IF(SUM('Cash Flow'!$F28:AV28)=-INDEX('Prelim Budget'!$C$9:$C$33,MATCH('Cash Flow'!$B28,'Prelim Budget'!$B$9:$B$33,0)),0,IF('Cash Flow'!AV28&lt;&gt;0,'Cash Flow'!AV28,0))),0)</f>
        <v>0</v>
      </c>
      <c r="AX28" s="153">
        <f ca="1">IFERROR(IF(LEFT(OFFSET(AX$2,0,-$C28),3)="A&amp;D",-INDEX('Prelim Budget'!$C$9:$C$33,MATCH('Cash Flow'!$B28,'Prelim Budget'!$B$9:$B$33,0))/'Cash Flow'!$E28,IF(SUM('Cash Flow'!$F28:AW28)=-INDEX('Prelim Budget'!$C$9:$C$33,MATCH('Cash Flow'!$B28,'Prelim Budget'!$B$9:$B$33,0)),0,IF('Cash Flow'!AW28&lt;&gt;0,'Cash Flow'!AW28,0))),0)</f>
        <v>0</v>
      </c>
      <c r="AY28" s="153">
        <f ca="1">IFERROR(IF(LEFT(OFFSET(AY$2,0,-$C28),3)="A&amp;D",-INDEX('Prelim Budget'!$C$9:$C$33,MATCH('Cash Flow'!$B28,'Prelim Budget'!$B$9:$B$33,0))/'Cash Flow'!$E28,IF(SUM('Cash Flow'!$F28:AX28)=-INDEX('Prelim Budget'!$C$9:$C$33,MATCH('Cash Flow'!$B28,'Prelim Budget'!$B$9:$B$33,0)),0,IF('Cash Flow'!AX28&lt;&gt;0,'Cash Flow'!AX28,0))),0)</f>
        <v>0</v>
      </c>
      <c r="AZ28" s="153">
        <f ca="1">IFERROR(IF(LEFT(OFFSET(AZ$2,0,-$C28),3)="A&amp;D",-INDEX('Prelim Budget'!$C$9:$C$33,MATCH('Cash Flow'!$B28,'Prelim Budget'!$B$9:$B$33,0))/'Cash Flow'!$E28,IF(SUM('Cash Flow'!$F28:AY28)=-INDEX('Prelim Budget'!$C$9:$C$33,MATCH('Cash Flow'!$B28,'Prelim Budget'!$B$9:$B$33,0)),0,IF('Cash Flow'!AY28&lt;&gt;0,'Cash Flow'!AY28,0))),0)</f>
        <v>0</v>
      </c>
      <c r="BA28" s="153">
        <f ca="1">IFERROR(IF(LEFT(OFFSET(BA$2,0,-$C28),3)="A&amp;D",-INDEX('Prelim Budget'!$C$9:$C$33,MATCH('Cash Flow'!$B28,'Prelim Budget'!$B$9:$B$33,0))/'Cash Flow'!$E28,IF(SUM('Cash Flow'!$F28:AZ28)=-INDEX('Prelim Budget'!$C$9:$C$33,MATCH('Cash Flow'!$B28,'Prelim Budget'!$B$9:$B$33,0)),0,IF('Cash Flow'!AZ28&lt;&gt;0,'Cash Flow'!AZ28,0))),0)</f>
        <v>0</v>
      </c>
      <c r="BB28" s="153">
        <f ca="1">IFERROR(IF(LEFT(OFFSET(BB$2,0,-$C28),3)="A&amp;D",-INDEX('Prelim Budget'!$C$9:$C$33,MATCH('Cash Flow'!$B28,'Prelim Budget'!$B$9:$B$33,0))/'Cash Flow'!$E28,IF(SUM('Cash Flow'!$F28:BA28)=-INDEX('Prelim Budget'!$C$9:$C$33,MATCH('Cash Flow'!$B28,'Prelim Budget'!$B$9:$B$33,0)),0,IF('Cash Flow'!BA28&lt;&gt;0,'Cash Flow'!BA28,0))),0)</f>
        <v>0</v>
      </c>
      <c r="BC28" s="153">
        <f ca="1">IFERROR(IF(LEFT(OFFSET(BC$2,0,-$C28),3)="A&amp;D",-INDEX('Prelim Budget'!$C$9:$C$33,MATCH('Cash Flow'!$B28,'Prelim Budget'!$B$9:$B$33,0))/'Cash Flow'!$E28,IF(SUM('Cash Flow'!$F28:BB28)=-INDEX('Prelim Budget'!$C$9:$C$33,MATCH('Cash Flow'!$B28,'Prelim Budget'!$B$9:$B$33,0)),0,IF('Cash Flow'!BB28&lt;&gt;0,'Cash Flow'!BB28,0))),0)</f>
        <v>0</v>
      </c>
      <c r="BD28" s="153">
        <f ca="1">IFERROR(IF(LEFT(OFFSET(BD$2,0,-$C28),3)="A&amp;D",-INDEX('Prelim Budget'!$C$9:$C$33,MATCH('Cash Flow'!$B28,'Prelim Budget'!$B$9:$B$33,0))/'Cash Flow'!$E28,IF(SUM('Cash Flow'!$F28:BC28)=-INDEX('Prelim Budget'!$C$9:$C$33,MATCH('Cash Flow'!$B28,'Prelim Budget'!$B$9:$B$33,0)),0,IF('Cash Flow'!BC28&lt;&gt;0,'Cash Flow'!BC28,0))),0)</f>
        <v>0</v>
      </c>
      <c r="BE28" s="153">
        <f ca="1">IFERROR(IF(LEFT(OFFSET(BE$2,0,-$C28),3)="A&amp;D",-INDEX('Prelim Budget'!$C$9:$C$33,MATCH('Cash Flow'!$B28,'Prelim Budget'!$B$9:$B$33,0))/'Cash Flow'!$E28,IF(SUM('Cash Flow'!$F28:BD28)=-INDEX('Prelim Budget'!$C$9:$C$33,MATCH('Cash Flow'!$B28,'Prelim Budget'!$B$9:$B$33,0)),0,IF('Cash Flow'!BD28&lt;&gt;0,'Cash Flow'!BD28,0))),0)</f>
        <v>0</v>
      </c>
      <c r="BF28" s="153">
        <f ca="1">IFERROR(IF(LEFT(OFFSET(BF$2,0,-$C28),3)="A&amp;D",-INDEX('Prelim Budget'!$C$9:$C$33,MATCH('Cash Flow'!$B28,'Prelim Budget'!$B$9:$B$33,0))/'Cash Flow'!$E28,IF(SUM('Cash Flow'!$F28:BE28)=-INDEX('Prelim Budget'!$C$9:$C$33,MATCH('Cash Flow'!$B28,'Prelim Budget'!$B$9:$B$33,0)),0,IF('Cash Flow'!BE28&lt;&gt;0,'Cash Flow'!BE28,0))),0)</f>
        <v>0</v>
      </c>
      <c r="BG28" s="153">
        <f ca="1">IFERROR(IF(LEFT(OFFSET(BG$2,0,-$C28),3)="A&amp;D",-INDEX('Prelim Budget'!$C$9:$C$33,MATCH('Cash Flow'!$B28,'Prelim Budget'!$B$9:$B$33,0))/'Cash Flow'!$E28,IF(SUM('Cash Flow'!$F28:BF28)=-INDEX('Prelim Budget'!$C$9:$C$33,MATCH('Cash Flow'!$B28,'Prelim Budget'!$B$9:$B$33,0)),0,IF('Cash Flow'!BF28&lt;&gt;0,'Cash Flow'!BF28,0))),0)</f>
        <v>0</v>
      </c>
      <c r="BH28" s="153">
        <f ca="1">IFERROR(IF(LEFT(OFFSET(BH$2,0,-$C28),3)="A&amp;D",-INDEX('Prelim Budget'!$C$9:$C$33,MATCH('Cash Flow'!$B28,'Prelim Budget'!$B$9:$B$33,0))/'Cash Flow'!$E28,IF(SUM('Cash Flow'!$F28:BG28)=-INDEX('Prelim Budget'!$C$9:$C$33,MATCH('Cash Flow'!$B28,'Prelim Budget'!$B$9:$B$33,0)),0,IF('Cash Flow'!BG28&lt;&gt;0,'Cash Flow'!BG28,0))),0)</f>
        <v>0</v>
      </c>
      <c r="BI28" s="153">
        <f ca="1">IFERROR(IF(LEFT(OFFSET(BI$2,0,-$C28),3)="A&amp;D",-INDEX('Prelim Budget'!$C$9:$C$33,MATCH('Cash Flow'!$B28,'Prelim Budget'!$B$9:$B$33,0))/'Cash Flow'!$E28,IF(SUM('Cash Flow'!$F28:BH28)=-INDEX('Prelim Budget'!$C$9:$C$33,MATCH('Cash Flow'!$B28,'Prelim Budget'!$B$9:$B$33,0)),0,IF('Cash Flow'!BH28&lt;&gt;0,'Cash Flow'!BH28,0))),0)</f>
        <v>0</v>
      </c>
      <c r="BJ28" s="153">
        <f ca="1">IFERROR(IF(LEFT(OFFSET(BJ$2,0,-$C28),3)="A&amp;D",-INDEX('Prelim Budget'!$C$9:$C$33,MATCH('Cash Flow'!$B28,'Prelim Budget'!$B$9:$B$33,0))/'Cash Flow'!$E28,IF(SUM('Cash Flow'!$F28:BI28)=-INDEX('Prelim Budget'!$C$9:$C$33,MATCH('Cash Flow'!$B28,'Prelim Budget'!$B$9:$B$33,0)),0,IF('Cash Flow'!BI28&lt;&gt;0,'Cash Flow'!BI28,0))),0)</f>
        <v>0</v>
      </c>
      <c r="BK28" s="153">
        <f ca="1">IFERROR(IF(LEFT(OFFSET(BK$2,0,-$C28),3)="A&amp;D",-INDEX('Prelim Budget'!$C$9:$C$33,MATCH('Cash Flow'!$B28,'Prelim Budget'!$B$9:$B$33,0))/'Cash Flow'!$E28,IF(SUM('Cash Flow'!$F28:BJ28)=-INDEX('Prelim Budget'!$C$9:$C$33,MATCH('Cash Flow'!$B28,'Prelim Budget'!$B$9:$B$33,0)),0,IF('Cash Flow'!BJ28&lt;&gt;0,'Cash Flow'!BJ28,0))),0)</f>
        <v>0</v>
      </c>
      <c r="BL28" s="153">
        <f ca="1">IFERROR(IF(LEFT(OFFSET(BL$2,0,-$C28),3)="A&amp;D",-INDEX('Prelim Budget'!$C$9:$C$33,MATCH('Cash Flow'!$B28,'Prelim Budget'!$B$9:$B$33,0))/'Cash Flow'!$E28,IF(SUM('Cash Flow'!$F28:BK28)=-INDEX('Prelim Budget'!$C$9:$C$33,MATCH('Cash Flow'!$B28,'Prelim Budget'!$B$9:$B$33,0)),0,IF('Cash Flow'!BK28&lt;&gt;0,'Cash Flow'!BK28,0))),0)</f>
        <v>0</v>
      </c>
      <c r="BM28" s="153">
        <f ca="1">IFERROR(IF(LEFT(OFFSET(BM$2,0,-$C28),3)="A&amp;D",-INDEX('Prelim Budget'!$C$9:$C$33,MATCH('Cash Flow'!$B28,'Prelim Budget'!$B$9:$B$33,0))/'Cash Flow'!$E28,IF(SUM('Cash Flow'!$F28:BL28)=-INDEX('Prelim Budget'!$C$9:$C$33,MATCH('Cash Flow'!$B28,'Prelim Budget'!$B$9:$B$33,0)),0,IF('Cash Flow'!BL28&lt;&gt;0,'Cash Flow'!BL28,0))),0)</f>
        <v>0</v>
      </c>
      <c r="BN28" s="153">
        <f ca="1">IFERROR(IF(LEFT(OFFSET(BN$2,0,-$C28),3)="A&amp;D",-INDEX('Prelim Budget'!$C$9:$C$33,MATCH('Cash Flow'!$B28,'Prelim Budget'!$B$9:$B$33,0))/'Cash Flow'!$E28,IF(SUM('Cash Flow'!$F28:BM28)=-INDEX('Prelim Budget'!$C$9:$C$33,MATCH('Cash Flow'!$B28,'Prelim Budget'!$B$9:$B$33,0)),0,IF('Cash Flow'!BM28&lt;&gt;0,'Cash Flow'!BM28,0))),0)</f>
        <v>0</v>
      </c>
      <c r="BO28" s="50">
        <f ca="1">IFERROR(IF(LEFT(OFFSET(BO$2,0,-$C28),3)="A&amp;D",-INDEX('Prelim Budget'!$C$9:$C$33,MATCH('Cash Flow'!$B28,'Prelim Budget'!$B$9:$B$33,0))/'Cash Flow'!$E28,IF(SUM('Cash Flow'!$F28:BN28)=-INDEX('Prelim Budget'!$C$9:$C$33,MATCH('Cash Flow'!$B28,'Prelim Budget'!$B$9:$B$33,0)),0,IF('Cash Flow'!BN28&lt;&gt;0,'Cash Flow'!BN28,0))),0)</f>
        <v>0</v>
      </c>
    </row>
    <row r="29" spans="2:67" ht="14.05" customHeight="1" x14ac:dyDescent="0.4">
      <c r="B29" s="123" t="s">
        <v>152</v>
      </c>
      <c r="C29" s="80">
        <v>1</v>
      </c>
      <c r="D29" s="153">
        <f t="shared" ca="1" si="11"/>
        <v>-324720</v>
      </c>
      <c r="E29" s="81">
        <v>8</v>
      </c>
      <c r="F29" s="157"/>
      <c r="G29" s="134">
        <f ca="1">IFERROR(IF(LEFT(OFFSET(G$2,0,-$C29),3)="A&amp;D",-INDEX('Prelim Budget'!$C$9:$C$33,MATCH('Cash Flow'!$B29,'Prelim Budget'!$B$9:$B$33,0))/'Cash Flow'!$E29,IF(SUM('Cash Flow'!$F29:F29)=-INDEX('Prelim Budget'!$C$9:$C$33,MATCH('Cash Flow'!$B29,'Prelim Budget'!$B$9:$B$33,0)),0,IF('Cash Flow'!F29&lt;&gt;0,'Cash Flow'!F29,0))),0)</f>
        <v>0</v>
      </c>
      <c r="H29" s="153">
        <f ca="1">IFERROR(IF(LEFT(OFFSET(H$2,0,-$C29),3)="A&amp;D",-INDEX('Prelim Budget'!$C$9:$C$33,MATCH('Cash Flow'!$B29,'Prelim Budget'!$B$9:$B$33,0))/'Cash Flow'!$E29,IF(SUM('Cash Flow'!$F29:G29)=-INDEX('Prelim Budget'!$C$9:$C$33,MATCH('Cash Flow'!$B29,'Prelim Budget'!$B$9:$B$33,0)),0,IF('Cash Flow'!G29&lt;&gt;0,'Cash Flow'!G29,0))),0)</f>
        <v>0</v>
      </c>
      <c r="I29" s="153">
        <f ca="1">IFERROR(IF(LEFT(OFFSET(I$2,0,-$C29),3)="A&amp;D",-INDEX('Prelim Budget'!$C$9:$C$33,MATCH('Cash Flow'!$B29,'Prelim Budget'!$B$9:$B$33,0))/'Cash Flow'!$E29,IF(SUM('Cash Flow'!$F29:H29)=-INDEX('Prelim Budget'!$C$9:$C$33,MATCH('Cash Flow'!$B29,'Prelim Budget'!$B$9:$B$33,0)),0,IF('Cash Flow'!H29&lt;&gt;0,'Cash Flow'!H29,0))),0)</f>
        <v>0</v>
      </c>
      <c r="J29" s="153">
        <f ca="1">IFERROR(IF(LEFT(OFFSET(J$2,0,-$C29),3)="A&amp;D",-INDEX('Prelim Budget'!$C$9:$C$33,MATCH('Cash Flow'!$B29,'Prelim Budget'!$B$9:$B$33,0))/'Cash Flow'!$E29,IF(SUM('Cash Flow'!$F29:I29)=-INDEX('Prelim Budget'!$C$9:$C$33,MATCH('Cash Flow'!$B29,'Prelim Budget'!$B$9:$B$33,0)),0,IF('Cash Flow'!I29&lt;&gt;0,'Cash Flow'!I29,0))),0)</f>
        <v>0</v>
      </c>
      <c r="K29" s="153">
        <f ca="1">IFERROR(IF(LEFT(OFFSET(K$2,0,-$C29),3)="A&amp;D",-INDEX('Prelim Budget'!$C$9:$C$33,MATCH('Cash Flow'!$B29,'Prelim Budget'!$B$9:$B$33,0))/'Cash Flow'!$E29,IF(SUM('Cash Flow'!$F29:J29)=-INDEX('Prelim Budget'!$C$9:$C$33,MATCH('Cash Flow'!$B29,'Prelim Budget'!$B$9:$B$33,0)),0,IF('Cash Flow'!J29&lt;&gt;0,'Cash Flow'!J29,0))),0)</f>
        <v>0</v>
      </c>
      <c r="L29" s="153">
        <f ca="1">IFERROR(IF(LEFT(OFFSET(L$2,0,-$C29),3)="A&amp;D",-INDEX('Prelim Budget'!$C$9:$C$33,MATCH('Cash Flow'!$B29,'Prelim Budget'!$B$9:$B$33,0))/'Cash Flow'!$E29,IF(SUM('Cash Flow'!$F29:K29)=-INDEX('Prelim Budget'!$C$9:$C$33,MATCH('Cash Flow'!$B29,'Prelim Budget'!$B$9:$B$33,0)),0,IF('Cash Flow'!K29&lt;&gt;0,'Cash Flow'!K29,0))),0)</f>
        <v>0</v>
      </c>
      <c r="M29" s="153">
        <f ca="1">IFERROR(IF(LEFT(OFFSET(M$2,0,-$C29),3)="A&amp;D",-INDEX('Prelim Budget'!$C$9:$C$33,MATCH('Cash Flow'!$B29,'Prelim Budget'!$B$9:$B$33,0))/'Cash Flow'!$E29,IF(SUM('Cash Flow'!$F29:L29)=-INDEX('Prelim Budget'!$C$9:$C$33,MATCH('Cash Flow'!$B29,'Prelim Budget'!$B$9:$B$33,0)),0,IF('Cash Flow'!L29&lt;&gt;0,'Cash Flow'!L29,0))),0)</f>
        <v>0</v>
      </c>
      <c r="N29" s="153">
        <f ca="1">IFERROR(IF(LEFT(OFFSET(N$2,0,-$C29),3)="A&amp;D",-INDEX('Prelim Budget'!$C$9:$C$33,MATCH('Cash Flow'!$B29,'Prelim Budget'!$B$9:$B$33,0))/'Cash Flow'!$E29,IF(SUM('Cash Flow'!$F29:M29)=-INDEX('Prelim Budget'!$C$9:$C$33,MATCH('Cash Flow'!$B29,'Prelim Budget'!$B$9:$B$33,0)),0,IF('Cash Flow'!M29&lt;&gt;0,'Cash Flow'!M29,0))),0)</f>
        <v>-40590</v>
      </c>
      <c r="O29" s="153">
        <f ca="1">IFERROR(IF(LEFT(OFFSET(O$2,0,-$C29),3)="A&amp;D",-INDEX('Prelim Budget'!$C$9:$C$33,MATCH('Cash Flow'!$B29,'Prelim Budget'!$B$9:$B$33,0))/'Cash Flow'!$E29,IF(SUM('Cash Flow'!$F29:N29)=-INDEX('Prelim Budget'!$C$9:$C$33,MATCH('Cash Flow'!$B29,'Prelim Budget'!$B$9:$B$33,0)),0,IF('Cash Flow'!N29&lt;&gt;0,'Cash Flow'!N29,0))),0)</f>
        <v>-40590</v>
      </c>
      <c r="P29" s="153">
        <f ca="1">IFERROR(IF(LEFT(OFFSET(P$2,0,-$C29),3)="A&amp;D",-INDEX('Prelim Budget'!$C$9:$C$33,MATCH('Cash Flow'!$B29,'Prelim Budget'!$B$9:$B$33,0))/'Cash Flow'!$E29,IF(SUM('Cash Flow'!$F29:O29)=-INDEX('Prelim Budget'!$C$9:$C$33,MATCH('Cash Flow'!$B29,'Prelim Budget'!$B$9:$B$33,0)),0,IF('Cash Flow'!O29&lt;&gt;0,'Cash Flow'!O29,0))),0)</f>
        <v>-40590</v>
      </c>
      <c r="Q29" s="153">
        <f ca="1">IFERROR(IF(LEFT(OFFSET(Q$2,0,-$C29),3)="A&amp;D",-INDEX('Prelim Budget'!$C$9:$C$33,MATCH('Cash Flow'!$B29,'Prelim Budget'!$B$9:$B$33,0))/'Cash Flow'!$E29,IF(SUM('Cash Flow'!$F29:P29)=-INDEX('Prelim Budget'!$C$9:$C$33,MATCH('Cash Flow'!$B29,'Prelim Budget'!$B$9:$B$33,0)),0,IF('Cash Flow'!P29&lt;&gt;0,'Cash Flow'!P29,0))),0)</f>
        <v>-40590</v>
      </c>
      <c r="R29" s="153">
        <f ca="1">IFERROR(IF(LEFT(OFFSET(R$2,0,-$C29),3)="A&amp;D",-INDEX('Prelim Budget'!$C$9:$C$33,MATCH('Cash Flow'!$B29,'Prelim Budget'!$B$9:$B$33,0))/'Cash Flow'!$E29,IF(SUM('Cash Flow'!$F29:Q29)=-INDEX('Prelim Budget'!$C$9:$C$33,MATCH('Cash Flow'!$B29,'Prelim Budget'!$B$9:$B$33,0)),0,IF('Cash Flow'!Q29&lt;&gt;0,'Cash Flow'!Q29,0))),0)</f>
        <v>-40590</v>
      </c>
      <c r="S29" s="153">
        <f ca="1">IFERROR(IF(LEFT(OFFSET(S$2,0,-$C29),3)="A&amp;D",-INDEX('Prelim Budget'!$C$9:$C$33,MATCH('Cash Flow'!$B29,'Prelim Budget'!$B$9:$B$33,0))/'Cash Flow'!$E29,IF(SUM('Cash Flow'!$F29:R29)=-INDEX('Prelim Budget'!$C$9:$C$33,MATCH('Cash Flow'!$B29,'Prelim Budget'!$B$9:$B$33,0)),0,IF('Cash Flow'!R29&lt;&gt;0,'Cash Flow'!R29,0))),0)</f>
        <v>-40590</v>
      </c>
      <c r="T29" s="153">
        <f ca="1">IFERROR(IF(LEFT(OFFSET(T$2,0,-$C29),3)="A&amp;D",-INDEX('Prelim Budget'!$C$9:$C$33,MATCH('Cash Flow'!$B29,'Prelim Budget'!$B$9:$B$33,0))/'Cash Flow'!$E29,IF(SUM('Cash Flow'!$F29:S29)=-INDEX('Prelim Budget'!$C$9:$C$33,MATCH('Cash Flow'!$B29,'Prelim Budget'!$B$9:$B$33,0)),0,IF('Cash Flow'!S29&lt;&gt;0,'Cash Flow'!S29,0))),0)</f>
        <v>-40590</v>
      </c>
      <c r="U29" s="153">
        <f ca="1">IFERROR(IF(LEFT(OFFSET(U$2,0,-$C29),3)="A&amp;D",-INDEX('Prelim Budget'!$C$9:$C$33,MATCH('Cash Flow'!$B29,'Prelim Budget'!$B$9:$B$33,0))/'Cash Flow'!$E29,IF(SUM('Cash Flow'!$F29:T29)=-INDEX('Prelim Budget'!$C$9:$C$33,MATCH('Cash Flow'!$B29,'Prelim Budget'!$B$9:$B$33,0)),0,IF('Cash Flow'!T29&lt;&gt;0,'Cash Flow'!T29,0))),0)</f>
        <v>-40590</v>
      </c>
      <c r="V29" s="153">
        <f ca="1">IFERROR(IF(LEFT(OFFSET(V$2,0,-$C29),3)="A&amp;D",-INDEX('Prelim Budget'!$C$9:$C$33,MATCH('Cash Flow'!$B29,'Prelim Budget'!$B$9:$B$33,0))/'Cash Flow'!$E29,IF(SUM('Cash Flow'!$F29:U29)=-INDEX('Prelim Budget'!$C$9:$C$33,MATCH('Cash Flow'!$B29,'Prelim Budget'!$B$9:$B$33,0)),0,IF('Cash Flow'!U29&lt;&gt;0,'Cash Flow'!U29,0))),0)</f>
        <v>0</v>
      </c>
      <c r="W29" s="153">
        <f ca="1">IFERROR(IF(LEFT(OFFSET(W$2,0,-$C29),3)="A&amp;D",-INDEX('Prelim Budget'!$C$9:$C$33,MATCH('Cash Flow'!$B29,'Prelim Budget'!$B$9:$B$33,0))/'Cash Flow'!$E29,IF(SUM('Cash Flow'!$F29:V29)=-INDEX('Prelim Budget'!$C$9:$C$33,MATCH('Cash Flow'!$B29,'Prelim Budget'!$B$9:$B$33,0)),0,IF('Cash Flow'!V29&lt;&gt;0,'Cash Flow'!V29,0))),0)</f>
        <v>0</v>
      </c>
      <c r="X29" s="153">
        <f ca="1">IFERROR(IF(LEFT(OFFSET(X$2,0,-$C29),3)="A&amp;D",-INDEX('Prelim Budget'!$C$9:$C$33,MATCH('Cash Flow'!$B29,'Prelim Budget'!$B$9:$B$33,0))/'Cash Flow'!$E29,IF(SUM('Cash Flow'!$F29:W29)=-INDEX('Prelim Budget'!$C$9:$C$33,MATCH('Cash Flow'!$B29,'Prelim Budget'!$B$9:$B$33,0)),0,IF('Cash Flow'!W29&lt;&gt;0,'Cash Flow'!W29,0))),0)</f>
        <v>0</v>
      </c>
      <c r="Y29" s="153">
        <f ca="1">IFERROR(IF(LEFT(OFFSET(Y$2,0,-$C29),3)="A&amp;D",-INDEX('Prelim Budget'!$C$9:$C$33,MATCH('Cash Flow'!$B29,'Prelim Budget'!$B$9:$B$33,0))/'Cash Flow'!$E29,IF(SUM('Cash Flow'!$F29:X29)=-INDEX('Prelim Budget'!$C$9:$C$33,MATCH('Cash Flow'!$B29,'Prelim Budget'!$B$9:$B$33,0)),0,IF('Cash Flow'!X29&lt;&gt;0,'Cash Flow'!X29,0))),0)</f>
        <v>0</v>
      </c>
      <c r="Z29" s="153">
        <f ca="1">IFERROR(IF(LEFT(OFFSET(Z$2,0,-$C29),3)="A&amp;D",-INDEX('Prelim Budget'!$C$9:$C$33,MATCH('Cash Flow'!$B29,'Prelim Budget'!$B$9:$B$33,0))/'Cash Flow'!$E29,IF(SUM('Cash Flow'!$F29:Y29)=-INDEX('Prelim Budget'!$C$9:$C$33,MATCH('Cash Flow'!$B29,'Prelim Budget'!$B$9:$B$33,0)),0,IF('Cash Flow'!Y29&lt;&gt;0,'Cash Flow'!Y29,0))),0)</f>
        <v>0</v>
      </c>
      <c r="AA29" s="153">
        <f ca="1">IFERROR(IF(LEFT(OFFSET(AA$2,0,-$C29),3)="A&amp;D",-INDEX('Prelim Budget'!$C$9:$C$33,MATCH('Cash Flow'!$B29,'Prelim Budget'!$B$9:$B$33,0))/'Cash Flow'!$E29,IF(SUM('Cash Flow'!$F29:Z29)=-INDEX('Prelim Budget'!$C$9:$C$33,MATCH('Cash Flow'!$B29,'Prelim Budget'!$B$9:$B$33,0)),0,IF('Cash Flow'!Z29&lt;&gt;0,'Cash Flow'!Z29,0))),0)</f>
        <v>0</v>
      </c>
      <c r="AB29" s="153">
        <f ca="1">IFERROR(IF(LEFT(OFFSET(AB$2,0,-$C29),3)="A&amp;D",-INDEX('Prelim Budget'!$C$9:$C$33,MATCH('Cash Flow'!$B29,'Prelim Budget'!$B$9:$B$33,0))/'Cash Flow'!$E29,IF(SUM('Cash Flow'!$F29:AA29)=-INDEX('Prelim Budget'!$C$9:$C$33,MATCH('Cash Flow'!$B29,'Prelim Budget'!$B$9:$B$33,0)),0,IF('Cash Flow'!AA29&lt;&gt;0,'Cash Flow'!AA29,0))),0)</f>
        <v>0</v>
      </c>
      <c r="AC29" s="153">
        <f ca="1">IFERROR(IF(LEFT(OFFSET(AC$2,0,-$C29),3)="A&amp;D",-INDEX('Prelim Budget'!$C$9:$C$33,MATCH('Cash Flow'!$B29,'Prelim Budget'!$B$9:$B$33,0))/'Cash Flow'!$E29,IF(SUM('Cash Flow'!$F29:AB29)=-INDEX('Prelim Budget'!$C$9:$C$33,MATCH('Cash Flow'!$B29,'Prelim Budget'!$B$9:$B$33,0)),0,IF('Cash Flow'!AB29&lt;&gt;0,'Cash Flow'!AB29,0))),0)</f>
        <v>0</v>
      </c>
      <c r="AD29" s="153">
        <f ca="1">IFERROR(IF(LEFT(OFFSET(AD$2,0,-$C29),3)="A&amp;D",-INDEX('Prelim Budget'!$C$9:$C$33,MATCH('Cash Flow'!$B29,'Prelim Budget'!$B$9:$B$33,0))/'Cash Flow'!$E29,IF(SUM('Cash Flow'!$F29:AC29)=-INDEX('Prelim Budget'!$C$9:$C$33,MATCH('Cash Flow'!$B29,'Prelim Budget'!$B$9:$B$33,0)),0,IF('Cash Flow'!AC29&lt;&gt;0,'Cash Flow'!AC29,0))),0)</f>
        <v>0</v>
      </c>
      <c r="AE29" s="153">
        <f ca="1">IFERROR(IF(LEFT(OFFSET(AE$2,0,-$C29),3)="A&amp;D",-INDEX('Prelim Budget'!$C$9:$C$33,MATCH('Cash Flow'!$B29,'Prelim Budget'!$B$9:$B$33,0))/'Cash Flow'!$E29,IF(SUM('Cash Flow'!$F29:AD29)=-INDEX('Prelim Budget'!$C$9:$C$33,MATCH('Cash Flow'!$B29,'Prelim Budget'!$B$9:$B$33,0)),0,IF('Cash Flow'!AD29&lt;&gt;0,'Cash Flow'!AD29,0))),0)</f>
        <v>0</v>
      </c>
      <c r="AF29" s="153">
        <f ca="1">IFERROR(IF(LEFT(OFFSET(AF$2,0,-$C29),3)="A&amp;D",-INDEX('Prelim Budget'!$C$9:$C$33,MATCH('Cash Flow'!$B29,'Prelim Budget'!$B$9:$B$33,0))/'Cash Flow'!$E29,IF(SUM('Cash Flow'!$F29:AE29)=-INDEX('Prelim Budget'!$C$9:$C$33,MATCH('Cash Flow'!$B29,'Prelim Budget'!$B$9:$B$33,0)),0,IF('Cash Flow'!AE29&lt;&gt;0,'Cash Flow'!AE29,0))),0)</f>
        <v>0</v>
      </c>
      <c r="AG29" s="153">
        <f ca="1">IFERROR(IF(LEFT(OFFSET(AG$2,0,-$C29),3)="A&amp;D",-INDEX('Prelim Budget'!$C$9:$C$33,MATCH('Cash Flow'!$B29,'Prelim Budget'!$B$9:$B$33,0))/'Cash Flow'!$E29,IF(SUM('Cash Flow'!$F29:AF29)=-INDEX('Prelim Budget'!$C$9:$C$33,MATCH('Cash Flow'!$B29,'Prelim Budget'!$B$9:$B$33,0)),0,IF('Cash Flow'!AF29&lt;&gt;0,'Cash Flow'!AF29,0))),0)</f>
        <v>0</v>
      </c>
      <c r="AH29" s="153">
        <f ca="1">IFERROR(IF(LEFT(OFFSET(AH$2,0,-$C29),3)="A&amp;D",-INDEX('Prelim Budget'!$C$9:$C$33,MATCH('Cash Flow'!$B29,'Prelim Budget'!$B$9:$B$33,0))/'Cash Flow'!$E29,IF(SUM('Cash Flow'!$F29:AG29)=-INDEX('Prelim Budget'!$C$9:$C$33,MATCH('Cash Flow'!$B29,'Prelim Budget'!$B$9:$B$33,0)),0,IF('Cash Flow'!AG29&lt;&gt;0,'Cash Flow'!AG29,0))),0)</f>
        <v>0</v>
      </c>
      <c r="AI29" s="153">
        <f ca="1">IFERROR(IF(LEFT(OFFSET(AI$2,0,-$C29),3)="A&amp;D",-INDEX('Prelim Budget'!$C$9:$C$33,MATCH('Cash Flow'!$B29,'Prelim Budget'!$B$9:$B$33,0))/'Cash Flow'!$E29,IF(SUM('Cash Flow'!$F29:AH29)=-INDEX('Prelim Budget'!$C$9:$C$33,MATCH('Cash Flow'!$B29,'Prelim Budget'!$B$9:$B$33,0)),0,IF('Cash Flow'!AH29&lt;&gt;0,'Cash Flow'!AH29,0))),0)</f>
        <v>0</v>
      </c>
      <c r="AJ29" s="153">
        <f ca="1">IFERROR(IF(LEFT(OFFSET(AJ$2,0,-$C29),3)="A&amp;D",-INDEX('Prelim Budget'!$C$9:$C$33,MATCH('Cash Flow'!$B29,'Prelim Budget'!$B$9:$B$33,0))/'Cash Flow'!$E29,IF(SUM('Cash Flow'!$F29:AI29)=-INDEX('Prelim Budget'!$C$9:$C$33,MATCH('Cash Flow'!$B29,'Prelim Budget'!$B$9:$B$33,0)),0,IF('Cash Flow'!AI29&lt;&gt;0,'Cash Flow'!AI29,0))),0)</f>
        <v>0</v>
      </c>
      <c r="AK29" s="153">
        <f ca="1">IFERROR(IF(LEFT(OFFSET(AK$2,0,-$C29),3)="A&amp;D",-INDEX('Prelim Budget'!$C$9:$C$33,MATCH('Cash Flow'!$B29,'Prelim Budget'!$B$9:$B$33,0))/'Cash Flow'!$E29,IF(SUM('Cash Flow'!$F29:AJ29)=-INDEX('Prelim Budget'!$C$9:$C$33,MATCH('Cash Flow'!$B29,'Prelim Budget'!$B$9:$B$33,0)),0,IF('Cash Flow'!AJ29&lt;&gt;0,'Cash Flow'!AJ29,0))),0)</f>
        <v>0</v>
      </c>
      <c r="AL29" s="153">
        <f ca="1">IFERROR(IF(LEFT(OFFSET(AL$2,0,-$C29),3)="A&amp;D",-INDEX('Prelim Budget'!$C$9:$C$33,MATCH('Cash Flow'!$B29,'Prelim Budget'!$B$9:$B$33,0))/'Cash Flow'!$E29,IF(SUM('Cash Flow'!$F29:AK29)=-INDEX('Prelim Budget'!$C$9:$C$33,MATCH('Cash Flow'!$B29,'Prelim Budget'!$B$9:$B$33,0)),0,IF('Cash Flow'!AK29&lt;&gt;0,'Cash Flow'!AK29,0))),0)</f>
        <v>0</v>
      </c>
      <c r="AM29" s="153">
        <f ca="1">IFERROR(IF(LEFT(OFFSET(AM$2,0,-$C29),3)="A&amp;D",-INDEX('Prelim Budget'!$C$9:$C$33,MATCH('Cash Flow'!$B29,'Prelim Budget'!$B$9:$B$33,0))/'Cash Flow'!$E29,IF(SUM('Cash Flow'!$F29:AL29)=-INDEX('Prelim Budget'!$C$9:$C$33,MATCH('Cash Flow'!$B29,'Prelim Budget'!$B$9:$B$33,0)),0,IF('Cash Flow'!AL29&lt;&gt;0,'Cash Flow'!AL29,0))),0)</f>
        <v>0</v>
      </c>
      <c r="AN29" s="153">
        <f ca="1">IFERROR(IF(LEFT(OFFSET(AN$2,0,-$C29),3)="A&amp;D",-INDEX('Prelim Budget'!$C$9:$C$33,MATCH('Cash Flow'!$B29,'Prelim Budget'!$B$9:$B$33,0))/'Cash Flow'!$E29,IF(SUM('Cash Flow'!$F29:AM29)=-INDEX('Prelim Budget'!$C$9:$C$33,MATCH('Cash Flow'!$B29,'Prelim Budget'!$B$9:$B$33,0)),0,IF('Cash Flow'!AM29&lt;&gt;0,'Cash Flow'!AM29,0))),0)</f>
        <v>0</v>
      </c>
      <c r="AO29" s="153">
        <f ca="1">IFERROR(IF(LEFT(OFFSET(AO$2,0,-$C29),3)="A&amp;D",-INDEX('Prelim Budget'!$C$9:$C$33,MATCH('Cash Flow'!$B29,'Prelim Budget'!$B$9:$B$33,0))/'Cash Flow'!$E29,IF(SUM('Cash Flow'!$F29:AN29)=-INDEX('Prelim Budget'!$C$9:$C$33,MATCH('Cash Flow'!$B29,'Prelim Budget'!$B$9:$B$33,0)),0,IF('Cash Flow'!AN29&lt;&gt;0,'Cash Flow'!AN29,0))),0)</f>
        <v>0</v>
      </c>
      <c r="AP29" s="153">
        <f ca="1">IFERROR(IF(LEFT(OFFSET(AP$2,0,-$C29),3)="A&amp;D",-INDEX('Prelim Budget'!$C$9:$C$33,MATCH('Cash Flow'!$B29,'Prelim Budget'!$B$9:$B$33,0))/'Cash Flow'!$E29,IF(SUM('Cash Flow'!$F29:AO29)=-INDEX('Prelim Budget'!$C$9:$C$33,MATCH('Cash Flow'!$B29,'Prelim Budget'!$B$9:$B$33,0)),0,IF('Cash Flow'!AO29&lt;&gt;0,'Cash Flow'!AO29,0))),0)</f>
        <v>0</v>
      </c>
      <c r="AQ29" s="153">
        <f ca="1">IFERROR(IF(LEFT(OFFSET(AQ$2,0,-$C29),3)="A&amp;D",-INDEX('Prelim Budget'!$C$9:$C$33,MATCH('Cash Flow'!$B29,'Prelim Budget'!$B$9:$B$33,0))/'Cash Flow'!$E29,IF(SUM('Cash Flow'!$F29:AP29)=-INDEX('Prelim Budget'!$C$9:$C$33,MATCH('Cash Flow'!$B29,'Prelim Budget'!$B$9:$B$33,0)),0,IF('Cash Flow'!AP29&lt;&gt;0,'Cash Flow'!AP29,0))),0)</f>
        <v>0</v>
      </c>
      <c r="AR29" s="153">
        <f ca="1">IFERROR(IF(LEFT(OFFSET(AR$2,0,-$C29),3)="A&amp;D",-INDEX('Prelim Budget'!$C$9:$C$33,MATCH('Cash Flow'!$B29,'Prelim Budget'!$B$9:$B$33,0))/'Cash Flow'!$E29,IF(SUM('Cash Flow'!$F29:AQ29)=-INDEX('Prelim Budget'!$C$9:$C$33,MATCH('Cash Flow'!$B29,'Prelim Budget'!$B$9:$B$33,0)),0,IF('Cash Flow'!AQ29&lt;&gt;0,'Cash Flow'!AQ29,0))),0)</f>
        <v>0</v>
      </c>
      <c r="AS29" s="153">
        <f ca="1">IFERROR(IF(LEFT(OFFSET(AS$2,0,-$C29),3)="A&amp;D",-INDEX('Prelim Budget'!$C$9:$C$33,MATCH('Cash Flow'!$B29,'Prelim Budget'!$B$9:$B$33,0))/'Cash Flow'!$E29,IF(SUM('Cash Flow'!$F29:AR29)=-INDEX('Prelim Budget'!$C$9:$C$33,MATCH('Cash Flow'!$B29,'Prelim Budget'!$B$9:$B$33,0)),0,IF('Cash Flow'!AR29&lt;&gt;0,'Cash Flow'!AR29,0))),0)</f>
        <v>0</v>
      </c>
      <c r="AT29" s="153">
        <f ca="1">IFERROR(IF(LEFT(OFFSET(AT$2,0,-$C29),3)="A&amp;D",-INDEX('Prelim Budget'!$C$9:$C$33,MATCH('Cash Flow'!$B29,'Prelim Budget'!$B$9:$B$33,0))/'Cash Flow'!$E29,IF(SUM('Cash Flow'!$F29:AS29)=-INDEX('Prelim Budget'!$C$9:$C$33,MATCH('Cash Flow'!$B29,'Prelim Budget'!$B$9:$B$33,0)),0,IF('Cash Flow'!AS29&lt;&gt;0,'Cash Flow'!AS29,0))),0)</f>
        <v>0</v>
      </c>
      <c r="AU29" s="153">
        <f ca="1">IFERROR(IF(LEFT(OFFSET(AU$2,0,-$C29),3)="A&amp;D",-INDEX('Prelim Budget'!$C$9:$C$33,MATCH('Cash Flow'!$B29,'Prelim Budget'!$B$9:$B$33,0))/'Cash Flow'!$E29,IF(SUM('Cash Flow'!$F29:AT29)=-INDEX('Prelim Budget'!$C$9:$C$33,MATCH('Cash Flow'!$B29,'Prelim Budget'!$B$9:$B$33,0)),0,IF('Cash Flow'!AT29&lt;&gt;0,'Cash Flow'!AT29,0))),0)</f>
        <v>0</v>
      </c>
      <c r="AV29" s="153">
        <f ca="1">IFERROR(IF(LEFT(OFFSET(AV$2,0,-$C29),3)="A&amp;D",-INDEX('Prelim Budget'!$C$9:$C$33,MATCH('Cash Flow'!$B29,'Prelim Budget'!$B$9:$B$33,0))/'Cash Flow'!$E29,IF(SUM('Cash Flow'!$F29:AU29)=-INDEX('Prelim Budget'!$C$9:$C$33,MATCH('Cash Flow'!$B29,'Prelim Budget'!$B$9:$B$33,0)),0,IF('Cash Flow'!AU29&lt;&gt;0,'Cash Flow'!AU29,0))),0)</f>
        <v>0</v>
      </c>
      <c r="AW29" s="153">
        <f ca="1">IFERROR(IF(LEFT(OFFSET(AW$2,0,-$C29),3)="A&amp;D",-INDEX('Prelim Budget'!$C$9:$C$33,MATCH('Cash Flow'!$B29,'Prelim Budget'!$B$9:$B$33,0))/'Cash Flow'!$E29,IF(SUM('Cash Flow'!$F29:AV29)=-INDEX('Prelim Budget'!$C$9:$C$33,MATCH('Cash Flow'!$B29,'Prelim Budget'!$B$9:$B$33,0)),0,IF('Cash Flow'!AV29&lt;&gt;0,'Cash Flow'!AV29,0))),0)</f>
        <v>0</v>
      </c>
      <c r="AX29" s="153">
        <f ca="1">IFERROR(IF(LEFT(OFFSET(AX$2,0,-$C29),3)="A&amp;D",-INDEX('Prelim Budget'!$C$9:$C$33,MATCH('Cash Flow'!$B29,'Prelim Budget'!$B$9:$B$33,0))/'Cash Flow'!$E29,IF(SUM('Cash Flow'!$F29:AW29)=-INDEX('Prelim Budget'!$C$9:$C$33,MATCH('Cash Flow'!$B29,'Prelim Budget'!$B$9:$B$33,0)),0,IF('Cash Flow'!AW29&lt;&gt;0,'Cash Flow'!AW29,0))),0)</f>
        <v>0</v>
      </c>
      <c r="AY29" s="153">
        <f ca="1">IFERROR(IF(LEFT(OFFSET(AY$2,0,-$C29),3)="A&amp;D",-INDEX('Prelim Budget'!$C$9:$C$33,MATCH('Cash Flow'!$B29,'Prelim Budget'!$B$9:$B$33,0))/'Cash Flow'!$E29,IF(SUM('Cash Flow'!$F29:AX29)=-INDEX('Prelim Budget'!$C$9:$C$33,MATCH('Cash Flow'!$B29,'Prelim Budget'!$B$9:$B$33,0)),0,IF('Cash Flow'!AX29&lt;&gt;0,'Cash Flow'!AX29,0))),0)</f>
        <v>0</v>
      </c>
      <c r="AZ29" s="153">
        <f ca="1">IFERROR(IF(LEFT(OFFSET(AZ$2,0,-$C29),3)="A&amp;D",-INDEX('Prelim Budget'!$C$9:$C$33,MATCH('Cash Flow'!$B29,'Prelim Budget'!$B$9:$B$33,0))/'Cash Flow'!$E29,IF(SUM('Cash Flow'!$F29:AY29)=-INDEX('Prelim Budget'!$C$9:$C$33,MATCH('Cash Flow'!$B29,'Prelim Budget'!$B$9:$B$33,0)),0,IF('Cash Flow'!AY29&lt;&gt;0,'Cash Flow'!AY29,0))),0)</f>
        <v>0</v>
      </c>
      <c r="BA29" s="153">
        <f ca="1">IFERROR(IF(LEFT(OFFSET(BA$2,0,-$C29),3)="A&amp;D",-INDEX('Prelim Budget'!$C$9:$C$33,MATCH('Cash Flow'!$B29,'Prelim Budget'!$B$9:$B$33,0))/'Cash Flow'!$E29,IF(SUM('Cash Flow'!$F29:AZ29)=-INDEX('Prelim Budget'!$C$9:$C$33,MATCH('Cash Flow'!$B29,'Prelim Budget'!$B$9:$B$33,0)),0,IF('Cash Flow'!AZ29&lt;&gt;0,'Cash Flow'!AZ29,0))),0)</f>
        <v>0</v>
      </c>
      <c r="BB29" s="153">
        <f ca="1">IFERROR(IF(LEFT(OFFSET(BB$2,0,-$C29),3)="A&amp;D",-INDEX('Prelim Budget'!$C$9:$C$33,MATCH('Cash Flow'!$B29,'Prelim Budget'!$B$9:$B$33,0))/'Cash Flow'!$E29,IF(SUM('Cash Flow'!$F29:BA29)=-INDEX('Prelim Budget'!$C$9:$C$33,MATCH('Cash Flow'!$B29,'Prelim Budget'!$B$9:$B$33,0)),0,IF('Cash Flow'!BA29&lt;&gt;0,'Cash Flow'!BA29,0))),0)</f>
        <v>0</v>
      </c>
      <c r="BC29" s="153">
        <f ca="1">IFERROR(IF(LEFT(OFFSET(BC$2,0,-$C29),3)="A&amp;D",-INDEX('Prelim Budget'!$C$9:$C$33,MATCH('Cash Flow'!$B29,'Prelim Budget'!$B$9:$B$33,0))/'Cash Flow'!$E29,IF(SUM('Cash Flow'!$F29:BB29)=-INDEX('Prelim Budget'!$C$9:$C$33,MATCH('Cash Flow'!$B29,'Prelim Budget'!$B$9:$B$33,0)),0,IF('Cash Flow'!BB29&lt;&gt;0,'Cash Flow'!BB29,0))),0)</f>
        <v>0</v>
      </c>
      <c r="BD29" s="153">
        <f ca="1">IFERROR(IF(LEFT(OFFSET(BD$2,0,-$C29),3)="A&amp;D",-INDEX('Prelim Budget'!$C$9:$C$33,MATCH('Cash Flow'!$B29,'Prelim Budget'!$B$9:$B$33,0))/'Cash Flow'!$E29,IF(SUM('Cash Flow'!$F29:BC29)=-INDEX('Prelim Budget'!$C$9:$C$33,MATCH('Cash Flow'!$B29,'Prelim Budget'!$B$9:$B$33,0)),0,IF('Cash Flow'!BC29&lt;&gt;0,'Cash Flow'!BC29,0))),0)</f>
        <v>0</v>
      </c>
      <c r="BE29" s="153">
        <f ca="1">IFERROR(IF(LEFT(OFFSET(BE$2,0,-$C29),3)="A&amp;D",-INDEX('Prelim Budget'!$C$9:$C$33,MATCH('Cash Flow'!$B29,'Prelim Budget'!$B$9:$B$33,0))/'Cash Flow'!$E29,IF(SUM('Cash Flow'!$F29:BD29)=-INDEX('Prelim Budget'!$C$9:$C$33,MATCH('Cash Flow'!$B29,'Prelim Budget'!$B$9:$B$33,0)),0,IF('Cash Flow'!BD29&lt;&gt;0,'Cash Flow'!BD29,0))),0)</f>
        <v>0</v>
      </c>
      <c r="BF29" s="153">
        <f ca="1">IFERROR(IF(LEFT(OFFSET(BF$2,0,-$C29),3)="A&amp;D",-INDEX('Prelim Budget'!$C$9:$C$33,MATCH('Cash Flow'!$B29,'Prelim Budget'!$B$9:$B$33,0))/'Cash Flow'!$E29,IF(SUM('Cash Flow'!$F29:BE29)=-INDEX('Prelim Budget'!$C$9:$C$33,MATCH('Cash Flow'!$B29,'Prelim Budget'!$B$9:$B$33,0)),0,IF('Cash Flow'!BE29&lt;&gt;0,'Cash Flow'!BE29,0))),0)</f>
        <v>0</v>
      </c>
      <c r="BG29" s="153">
        <f ca="1">IFERROR(IF(LEFT(OFFSET(BG$2,0,-$C29),3)="A&amp;D",-INDEX('Prelim Budget'!$C$9:$C$33,MATCH('Cash Flow'!$B29,'Prelim Budget'!$B$9:$B$33,0))/'Cash Flow'!$E29,IF(SUM('Cash Flow'!$F29:BF29)=-INDEX('Prelim Budget'!$C$9:$C$33,MATCH('Cash Flow'!$B29,'Prelim Budget'!$B$9:$B$33,0)),0,IF('Cash Flow'!BF29&lt;&gt;0,'Cash Flow'!BF29,0))),0)</f>
        <v>0</v>
      </c>
      <c r="BH29" s="153">
        <f ca="1">IFERROR(IF(LEFT(OFFSET(BH$2,0,-$C29),3)="A&amp;D",-INDEX('Prelim Budget'!$C$9:$C$33,MATCH('Cash Flow'!$B29,'Prelim Budget'!$B$9:$B$33,0))/'Cash Flow'!$E29,IF(SUM('Cash Flow'!$F29:BG29)=-INDEX('Prelim Budget'!$C$9:$C$33,MATCH('Cash Flow'!$B29,'Prelim Budget'!$B$9:$B$33,0)),0,IF('Cash Flow'!BG29&lt;&gt;0,'Cash Flow'!BG29,0))),0)</f>
        <v>0</v>
      </c>
      <c r="BI29" s="153">
        <f ca="1">IFERROR(IF(LEFT(OFFSET(BI$2,0,-$C29),3)="A&amp;D",-INDEX('Prelim Budget'!$C$9:$C$33,MATCH('Cash Flow'!$B29,'Prelim Budget'!$B$9:$B$33,0))/'Cash Flow'!$E29,IF(SUM('Cash Flow'!$F29:BH29)=-INDEX('Prelim Budget'!$C$9:$C$33,MATCH('Cash Flow'!$B29,'Prelim Budget'!$B$9:$B$33,0)),0,IF('Cash Flow'!BH29&lt;&gt;0,'Cash Flow'!BH29,0))),0)</f>
        <v>0</v>
      </c>
      <c r="BJ29" s="153">
        <f ca="1">IFERROR(IF(LEFT(OFFSET(BJ$2,0,-$C29),3)="A&amp;D",-INDEX('Prelim Budget'!$C$9:$C$33,MATCH('Cash Flow'!$B29,'Prelim Budget'!$B$9:$B$33,0))/'Cash Flow'!$E29,IF(SUM('Cash Flow'!$F29:BI29)=-INDEX('Prelim Budget'!$C$9:$C$33,MATCH('Cash Flow'!$B29,'Prelim Budget'!$B$9:$B$33,0)),0,IF('Cash Flow'!BI29&lt;&gt;0,'Cash Flow'!BI29,0))),0)</f>
        <v>0</v>
      </c>
      <c r="BK29" s="153">
        <f ca="1">IFERROR(IF(LEFT(OFFSET(BK$2,0,-$C29),3)="A&amp;D",-INDEX('Prelim Budget'!$C$9:$C$33,MATCH('Cash Flow'!$B29,'Prelim Budget'!$B$9:$B$33,0))/'Cash Flow'!$E29,IF(SUM('Cash Flow'!$F29:BJ29)=-INDEX('Prelim Budget'!$C$9:$C$33,MATCH('Cash Flow'!$B29,'Prelim Budget'!$B$9:$B$33,0)),0,IF('Cash Flow'!BJ29&lt;&gt;0,'Cash Flow'!BJ29,0))),0)</f>
        <v>0</v>
      </c>
      <c r="BL29" s="153">
        <f ca="1">IFERROR(IF(LEFT(OFFSET(BL$2,0,-$C29),3)="A&amp;D",-INDEX('Prelim Budget'!$C$9:$C$33,MATCH('Cash Flow'!$B29,'Prelim Budget'!$B$9:$B$33,0))/'Cash Flow'!$E29,IF(SUM('Cash Flow'!$F29:BK29)=-INDEX('Prelim Budget'!$C$9:$C$33,MATCH('Cash Flow'!$B29,'Prelim Budget'!$B$9:$B$33,0)),0,IF('Cash Flow'!BK29&lt;&gt;0,'Cash Flow'!BK29,0))),0)</f>
        <v>0</v>
      </c>
      <c r="BM29" s="153">
        <f ca="1">IFERROR(IF(LEFT(OFFSET(BM$2,0,-$C29),3)="A&amp;D",-INDEX('Prelim Budget'!$C$9:$C$33,MATCH('Cash Flow'!$B29,'Prelim Budget'!$B$9:$B$33,0))/'Cash Flow'!$E29,IF(SUM('Cash Flow'!$F29:BL29)=-INDEX('Prelim Budget'!$C$9:$C$33,MATCH('Cash Flow'!$B29,'Prelim Budget'!$B$9:$B$33,0)),0,IF('Cash Flow'!BL29&lt;&gt;0,'Cash Flow'!BL29,0))),0)</f>
        <v>0</v>
      </c>
      <c r="BN29" s="153">
        <f ca="1">IFERROR(IF(LEFT(OFFSET(BN$2,0,-$C29),3)="A&amp;D",-INDEX('Prelim Budget'!$C$9:$C$33,MATCH('Cash Flow'!$B29,'Prelim Budget'!$B$9:$B$33,0))/'Cash Flow'!$E29,IF(SUM('Cash Flow'!$F29:BM29)=-INDEX('Prelim Budget'!$C$9:$C$33,MATCH('Cash Flow'!$B29,'Prelim Budget'!$B$9:$B$33,0)),0,IF('Cash Flow'!BM29&lt;&gt;0,'Cash Flow'!BM29,0))),0)</f>
        <v>0</v>
      </c>
      <c r="BO29" s="50">
        <f ca="1">IFERROR(IF(LEFT(OFFSET(BO$2,0,-$C29),3)="A&amp;D",-INDEX('Prelim Budget'!$C$9:$C$33,MATCH('Cash Flow'!$B29,'Prelim Budget'!$B$9:$B$33,0))/'Cash Flow'!$E29,IF(SUM('Cash Flow'!$F29:BN29)=-INDEX('Prelim Budget'!$C$9:$C$33,MATCH('Cash Flow'!$B29,'Prelim Budget'!$B$9:$B$33,0)),0,IF('Cash Flow'!BN29&lt;&gt;0,'Cash Flow'!BN29,0))),0)</f>
        <v>0</v>
      </c>
    </row>
    <row r="30" spans="2:67" ht="14.05" customHeight="1" x14ac:dyDescent="0.4">
      <c r="B30" s="123" t="s">
        <v>155</v>
      </c>
      <c r="C30" s="80">
        <v>1</v>
      </c>
      <c r="D30" s="153">
        <f t="shared" ca="1" si="11"/>
        <v>-384390</v>
      </c>
      <c r="E30" s="81">
        <v>8</v>
      </c>
      <c r="F30" s="157"/>
      <c r="G30" s="134">
        <f ca="1">IFERROR(IF(LEFT(OFFSET(G$2,0,-$C30),3)="A&amp;D",-INDEX('Prelim Budget'!$C$9:$C$33,MATCH('Cash Flow'!$B30,'Prelim Budget'!$B$9:$B$33,0))/'Cash Flow'!$E30,IF(SUM('Cash Flow'!$F30:F30)=-INDEX('Prelim Budget'!$C$9:$C$33,MATCH('Cash Flow'!$B30,'Prelim Budget'!$B$9:$B$33,0)),0,IF('Cash Flow'!F30&lt;&gt;0,'Cash Flow'!F30,0))),0)</f>
        <v>0</v>
      </c>
      <c r="H30" s="153">
        <f ca="1">IFERROR(IF(LEFT(OFFSET(H$2,0,-$C30),3)="A&amp;D",-INDEX('Prelim Budget'!$C$9:$C$33,MATCH('Cash Flow'!$B30,'Prelim Budget'!$B$9:$B$33,0))/'Cash Flow'!$E30,IF(SUM('Cash Flow'!$F30:G30)=-INDEX('Prelim Budget'!$C$9:$C$33,MATCH('Cash Flow'!$B30,'Prelim Budget'!$B$9:$B$33,0)),0,IF('Cash Flow'!G30&lt;&gt;0,'Cash Flow'!G30,0))),0)</f>
        <v>0</v>
      </c>
      <c r="I30" s="153">
        <f ca="1">IFERROR(IF(LEFT(OFFSET(I$2,0,-$C30),3)="A&amp;D",-INDEX('Prelim Budget'!$C$9:$C$33,MATCH('Cash Flow'!$B30,'Prelim Budget'!$B$9:$B$33,0))/'Cash Flow'!$E30,IF(SUM('Cash Flow'!$F30:H30)=-INDEX('Prelim Budget'!$C$9:$C$33,MATCH('Cash Flow'!$B30,'Prelim Budget'!$B$9:$B$33,0)),0,IF('Cash Flow'!H30&lt;&gt;0,'Cash Flow'!H30,0))),0)</f>
        <v>0</v>
      </c>
      <c r="J30" s="153">
        <f ca="1">IFERROR(IF(LEFT(OFFSET(J$2,0,-$C30),3)="A&amp;D",-INDEX('Prelim Budget'!$C$9:$C$33,MATCH('Cash Flow'!$B30,'Prelim Budget'!$B$9:$B$33,0))/'Cash Flow'!$E30,IF(SUM('Cash Flow'!$F30:I30)=-INDEX('Prelim Budget'!$C$9:$C$33,MATCH('Cash Flow'!$B30,'Prelim Budget'!$B$9:$B$33,0)),0,IF('Cash Flow'!I30&lt;&gt;0,'Cash Flow'!I30,0))),0)</f>
        <v>0</v>
      </c>
      <c r="K30" s="153">
        <f ca="1">IFERROR(IF(LEFT(OFFSET(K$2,0,-$C30),3)="A&amp;D",-INDEX('Prelim Budget'!$C$9:$C$33,MATCH('Cash Flow'!$B30,'Prelim Budget'!$B$9:$B$33,0))/'Cash Flow'!$E30,IF(SUM('Cash Flow'!$F30:J30)=-INDEX('Prelim Budget'!$C$9:$C$33,MATCH('Cash Flow'!$B30,'Prelim Budget'!$B$9:$B$33,0)),0,IF('Cash Flow'!J30&lt;&gt;0,'Cash Flow'!J30,0))),0)</f>
        <v>0</v>
      </c>
      <c r="L30" s="153">
        <f ca="1">IFERROR(IF(LEFT(OFFSET(L$2,0,-$C30),3)="A&amp;D",-INDEX('Prelim Budget'!$C$9:$C$33,MATCH('Cash Flow'!$B30,'Prelim Budget'!$B$9:$B$33,0))/'Cash Flow'!$E30,IF(SUM('Cash Flow'!$F30:K30)=-INDEX('Prelim Budget'!$C$9:$C$33,MATCH('Cash Flow'!$B30,'Prelim Budget'!$B$9:$B$33,0)),0,IF('Cash Flow'!K30&lt;&gt;0,'Cash Flow'!K30,0))),0)</f>
        <v>0</v>
      </c>
      <c r="M30" s="153">
        <f ca="1">IFERROR(IF(LEFT(OFFSET(M$2,0,-$C30),3)="A&amp;D",-INDEX('Prelim Budget'!$C$9:$C$33,MATCH('Cash Flow'!$B30,'Prelim Budget'!$B$9:$B$33,0))/'Cash Flow'!$E30,IF(SUM('Cash Flow'!$F30:L30)=-INDEX('Prelim Budget'!$C$9:$C$33,MATCH('Cash Flow'!$B30,'Prelim Budget'!$B$9:$B$33,0)),0,IF('Cash Flow'!L30&lt;&gt;0,'Cash Flow'!L30,0))),0)</f>
        <v>0</v>
      </c>
      <c r="N30" s="153">
        <f ca="1">IFERROR(IF(LEFT(OFFSET(N$2,0,-$C30),3)="A&amp;D",-INDEX('Prelim Budget'!$C$9:$C$33,MATCH('Cash Flow'!$B30,'Prelim Budget'!$B$9:$B$33,0))/'Cash Flow'!$E30,IF(SUM('Cash Flow'!$F30:M30)=-INDEX('Prelim Budget'!$C$9:$C$33,MATCH('Cash Flow'!$B30,'Prelim Budget'!$B$9:$B$33,0)),0,IF('Cash Flow'!M30&lt;&gt;0,'Cash Flow'!M30,0))),0)</f>
        <v>-48048.75</v>
      </c>
      <c r="O30" s="153">
        <f ca="1">IFERROR(IF(LEFT(OFFSET(O$2,0,-$C30),3)="A&amp;D",-INDEX('Prelim Budget'!$C$9:$C$33,MATCH('Cash Flow'!$B30,'Prelim Budget'!$B$9:$B$33,0))/'Cash Flow'!$E30,IF(SUM('Cash Flow'!$F30:N30)=-INDEX('Prelim Budget'!$C$9:$C$33,MATCH('Cash Flow'!$B30,'Prelim Budget'!$B$9:$B$33,0)),0,IF('Cash Flow'!N30&lt;&gt;0,'Cash Flow'!N30,0))),0)</f>
        <v>-48048.75</v>
      </c>
      <c r="P30" s="153">
        <f ca="1">IFERROR(IF(LEFT(OFFSET(P$2,0,-$C30),3)="A&amp;D",-INDEX('Prelim Budget'!$C$9:$C$33,MATCH('Cash Flow'!$B30,'Prelim Budget'!$B$9:$B$33,0))/'Cash Flow'!$E30,IF(SUM('Cash Flow'!$F30:O30)=-INDEX('Prelim Budget'!$C$9:$C$33,MATCH('Cash Flow'!$B30,'Prelim Budget'!$B$9:$B$33,0)),0,IF('Cash Flow'!O30&lt;&gt;0,'Cash Flow'!O30,0))),0)</f>
        <v>-48048.75</v>
      </c>
      <c r="Q30" s="153">
        <f ca="1">IFERROR(IF(LEFT(OFFSET(Q$2,0,-$C30),3)="A&amp;D",-INDEX('Prelim Budget'!$C$9:$C$33,MATCH('Cash Flow'!$B30,'Prelim Budget'!$B$9:$B$33,0))/'Cash Flow'!$E30,IF(SUM('Cash Flow'!$F30:P30)=-INDEX('Prelim Budget'!$C$9:$C$33,MATCH('Cash Flow'!$B30,'Prelim Budget'!$B$9:$B$33,0)),0,IF('Cash Flow'!P30&lt;&gt;0,'Cash Flow'!P30,0))),0)</f>
        <v>-48048.75</v>
      </c>
      <c r="R30" s="153">
        <f ca="1">IFERROR(IF(LEFT(OFFSET(R$2,0,-$C30),3)="A&amp;D",-INDEX('Prelim Budget'!$C$9:$C$33,MATCH('Cash Flow'!$B30,'Prelim Budget'!$B$9:$B$33,0))/'Cash Flow'!$E30,IF(SUM('Cash Flow'!$F30:Q30)=-INDEX('Prelim Budget'!$C$9:$C$33,MATCH('Cash Flow'!$B30,'Prelim Budget'!$B$9:$B$33,0)),0,IF('Cash Flow'!Q30&lt;&gt;0,'Cash Flow'!Q30,0))),0)</f>
        <v>-48048.75</v>
      </c>
      <c r="S30" s="153">
        <f ca="1">IFERROR(IF(LEFT(OFFSET(S$2,0,-$C30),3)="A&amp;D",-INDEX('Prelim Budget'!$C$9:$C$33,MATCH('Cash Flow'!$B30,'Prelim Budget'!$B$9:$B$33,0))/'Cash Flow'!$E30,IF(SUM('Cash Flow'!$F30:R30)=-INDEX('Prelim Budget'!$C$9:$C$33,MATCH('Cash Flow'!$B30,'Prelim Budget'!$B$9:$B$33,0)),0,IF('Cash Flow'!R30&lt;&gt;0,'Cash Flow'!R30,0))),0)</f>
        <v>-48048.75</v>
      </c>
      <c r="T30" s="153">
        <f ca="1">IFERROR(IF(LEFT(OFFSET(T$2,0,-$C30),3)="A&amp;D",-INDEX('Prelim Budget'!$C$9:$C$33,MATCH('Cash Flow'!$B30,'Prelim Budget'!$B$9:$B$33,0))/'Cash Flow'!$E30,IF(SUM('Cash Flow'!$F30:S30)=-INDEX('Prelim Budget'!$C$9:$C$33,MATCH('Cash Flow'!$B30,'Prelim Budget'!$B$9:$B$33,0)),0,IF('Cash Flow'!S30&lt;&gt;0,'Cash Flow'!S30,0))),0)</f>
        <v>-48048.75</v>
      </c>
      <c r="U30" s="153">
        <f ca="1">IFERROR(IF(LEFT(OFFSET(U$2,0,-$C30),3)="A&amp;D",-INDEX('Prelim Budget'!$C$9:$C$33,MATCH('Cash Flow'!$B30,'Prelim Budget'!$B$9:$B$33,0))/'Cash Flow'!$E30,IF(SUM('Cash Flow'!$F30:T30)=-INDEX('Prelim Budget'!$C$9:$C$33,MATCH('Cash Flow'!$B30,'Prelim Budget'!$B$9:$B$33,0)),0,IF('Cash Flow'!T30&lt;&gt;0,'Cash Flow'!T30,0))),0)</f>
        <v>-48048.75</v>
      </c>
      <c r="V30" s="153">
        <f ca="1">IFERROR(IF(LEFT(OFFSET(V$2,0,-$C30),3)="A&amp;D",-INDEX('Prelim Budget'!$C$9:$C$33,MATCH('Cash Flow'!$B30,'Prelim Budget'!$B$9:$B$33,0))/'Cash Flow'!$E30,IF(SUM('Cash Flow'!$F30:U30)=-INDEX('Prelim Budget'!$C$9:$C$33,MATCH('Cash Flow'!$B30,'Prelim Budget'!$B$9:$B$33,0)),0,IF('Cash Flow'!U30&lt;&gt;0,'Cash Flow'!U30,0))),0)</f>
        <v>0</v>
      </c>
      <c r="W30" s="153">
        <f ca="1">IFERROR(IF(LEFT(OFFSET(W$2,0,-$C30),3)="A&amp;D",-INDEX('Prelim Budget'!$C$9:$C$33,MATCH('Cash Flow'!$B30,'Prelim Budget'!$B$9:$B$33,0))/'Cash Flow'!$E30,IF(SUM('Cash Flow'!$F30:V30)=-INDEX('Prelim Budget'!$C$9:$C$33,MATCH('Cash Flow'!$B30,'Prelim Budget'!$B$9:$B$33,0)),0,IF('Cash Flow'!V30&lt;&gt;0,'Cash Flow'!V30,0))),0)</f>
        <v>0</v>
      </c>
      <c r="X30" s="153">
        <f ca="1">IFERROR(IF(LEFT(OFFSET(X$2,0,-$C30),3)="A&amp;D",-INDEX('Prelim Budget'!$C$9:$C$33,MATCH('Cash Flow'!$B30,'Prelim Budget'!$B$9:$B$33,0))/'Cash Flow'!$E30,IF(SUM('Cash Flow'!$F30:W30)=-INDEX('Prelim Budget'!$C$9:$C$33,MATCH('Cash Flow'!$B30,'Prelim Budget'!$B$9:$B$33,0)),0,IF('Cash Flow'!W30&lt;&gt;0,'Cash Flow'!W30,0))),0)</f>
        <v>0</v>
      </c>
      <c r="Y30" s="153">
        <f ca="1">IFERROR(IF(LEFT(OFFSET(Y$2,0,-$C30),3)="A&amp;D",-INDEX('Prelim Budget'!$C$9:$C$33,MATCH('Cash Flow'!$B30,'Prelim Budget'!$B$9:$B$33,0))/'Cash Flow'!$E30,IF(SUM('Cash Flow'!$F30:X30)=-INDEX('Prelim Budget'!$C$9:$C$33,MATCH('Cash Flow'!$B30,'Prelim Budget'!$B$9:$B$33,0)),0,IF('Cash Flow'!X30&lt;&gt;0,'Cash Flow'!X30,0))),0)</f>
        <v>0</v>
      </c>
      <c r="Z30" s="153">
        <f ca="1">IFERROR(IF(LEFT(OFFSET(Z$2,0,-$C30),3)="A&amp;D",-INDEX('Prelim Budget'!$C$9:$C$33,MATCH('Cash Flow'!$B30,'Prelim Budget'!$B$9:$B$33,0))/'Cash Flow'!$E30,IF(SUM('Cash Flow'!$F30:Y30)=-INDEX('Prelim Budget'!$C$9:$C$33,MATCH('Cash Flow'!$B30,'Prelim Budget'!$B$9:$B$33,0)),0,IF('Cash Flow'!Y30&lt;&gt;0,'Cash Flow'!Y30,0))),0)</f>
        <v>0</v>
      </c>
      <c r="AA30" s="153">
        <f ca="1">IFERROR(IF(LEFT(OFFSET(AA$2,0,-$C30),3)="A&amp;D",-INDEX('Prelim Budget'!$C$9:$C$33,MATCH('Cash Flow'!$B30,'Prelim Budget'!$B$9:$B$33,0))/'Cash Flow'!$E30,IF(SUM('Cash Flow'!$F30:Z30)=-INDEX('Prelim Budget'!$C$9:$C$33,MATCH('Cash Flow'!$B30,'Prelim Budget'!$B$9:$B$33,0)),0,IF('Cash Flow'!Z30&lt;&gt;0,'Cash Flow'!Z30,0))),0)</f>
        <v>0</v>
      </c>
      <c r="AB30" s="153">
        <f ca="1">IFERROR(IF(LEFT(OFFSET(AB$2,0,-$C30),3)="A&amp;D",-INDEX('Prelim Budget'!$C$9:$C$33,MATCH('Cash Flow'!$B30,'Prelim Budget'!$B$9:$B$33,0))/'Cash Flow'!$E30,IF(SUM('Cash Flow'!$F30:AA30)=-INDEX('Prelim Budget'!$C$9:$C$33,MATCH('Cash Flow'!$B30,'Prelim Budget'!$B$9:$B$33,0)),0,IF('Cash Flow'!AA30&lt;&gt;0,'Cash Flow'!AA30,0))),0)</f>
        <v>0</v>
      </c>
      <c r="AC30" s="153">
        <f ca="1">IFERROR(IF(LEFT(OFFSET(AC$2,0,-$C30),3)="A&amp;D",-INDEX('Prelim Budget'!$C$9:$C$33,MATCH('Cash Flow'!$B30,'Prelim Budget'!$B$9:$B$33,0))/'Cash Flow'!$E30,IF(SUM('Cash Flow'!$F30:AB30)=-INDEX('Prelim Budget'!$C$9:$C$33,MATCH('Cash Flow'!$B30,'Prelim Budget'!$B$9:$B$33,0)),0,IF('Cash Flow'!AB30&lt;&gt;0,'Cash Flow'!AB30,0))),0)</f>
        <v>0</v>
      </c>
      <c r="AD30" s="153">
        <f ca="1">IFERROR(IF(LEFT(OFFSET(AD$2,0,-$C30),3)="A&amp;D",-INDEX('Prelim Budget'!$C$9:$C$33,MATCH('Cash Flow'!$B30,'Prelim Budget'!$B$9:$B$33,0))/'Cash Flow'!$E30,IF(SUM('Cash Flow'!$F30:AC30)=-INDEX('Prelim Budget'!$C$9:$C$33,MATCH('Cash Flow'!$B30,'Prelim Budget'!$B$9:$B$33,0)),0,IF('Cash Flow'!AC30&lt;&gt;0,'Cash Flow'!AC30,0))),0)</f>
        <v>0</v>
      </c>
      <c r="AE30" s="153">
        <f ca="1">IFERROR(IF(LEFT(OFFSET(AE$2,0,-$C30),3)="A&amp;D",-INDEX('Prelim Budget'!$C$9:$C$33,MATCH('Cash Flow'!$B30,'Prelim Budget'!$B$9:$B$33,0))/'Cash Flow'!$E30,IF(SUM('Cash Flow'!$F30:AD30)=-INDEX('Prelim Budget'!$C$9:$C$33,MATCH('Cash Flow'!$B30,'Prelim Budget'!$B$9:$B$33,0)),0,IF('Cash Flow'!AD30&lt;&gt;0,'Cash Flow'!AD30,0))),0)</f>
        <v>0</v>
      </c>
      <c r="AF30" s="153">
        <f ca="1">IFERROR(IF(LEFT(OFFSET(AF$2,0,-$C30),3)="A&amp;D",-INDEX('Prelim Budget'!$C$9:$C$33,MATCH('Cash Flow'!$B30,'Prelim Budget'!$B$9:$B$33,0))/'Cash Flow'!$E30,IF(SUM('Cash Flow'!$F30:AE30)=-INDEX('Prelim Budget'!$C$9:$C$33,MATCH('Cash Flow'!$B30,'Prelim Budget'!$B$9:$B$33,0)),0,IF('Cash Flow'!AE30&lt;&gt;0,'Cash Flow'!AE30,0))),0)</f>
        <v>0</v>
      </c>
      <c r="AG30" s="153">
        <f ca="1">IFERROR(IF(LEFT(OFFSET(AG$2,0,-$C30),3)="A&amp;D",-INDEX('Prelim Budget'!$C$9:$C$33,MATCH('Cash Flow'!$B30,'Prelim Budget'!$B$9:$B$33,0))/'Cash Flow'!$E30,IF(SUM('Cash Flow'!$F30:AF30)=-INDEX('Prelim Budget'!$C$9:$C$33,MATCH('Cash Flow'!$B30,'Prelim Budget'!$B$9:$B$33,0)),0,IF('Cash Flow'!AF30&lt;&gt;0,'Cash Flow'!AF30,0))),0)</f>
        <v>0</v>
      </c>
      <c r="AH30" s="153">
        <f ca="1">IFERROR(IF(LEFT(OFFSET(AH$2,0,-$C30),3)="A&amp;D",-INDEX('Prelim Budget'!$C$9:$C$33,MATCH('Cash Flow'!$B30,'Prelim Budget'!$B$9:$B$33,0))/'Cash Flow'!$E30,IF(SUM('Cash Flow'!$F30:AG30)=-INDEX('Prelim Budget'!$C$9:$C$33,MATCH('Cash Flow'!$B30,'Prelim Budget'!$B$9:$B$33,0)),0,IF('Cash Flow'!AG30&lt;&gt;0,'Cash Flow'!AG30,0))),0)</f>
        <v>0</v>
      </c>
      <c r="AI30" s="153">
        <f ca="1">IFERROR(IF(LEFT(OFFSET(AI$2,0,-$C30),3)="A&amp;D",-INDEX('Prelim Budget'!$C$9:$C$33,MATCH('Cash Flow'!$B30,'Prelim Budget'!$B$9:$B$33,0))/'Cash Flow'!$E30,IF(SUM('Cash Flow'!$F30:AH30)=-INDEX('Prelim Budget'!$C$9:$C$33,MATCH('Cash Flow'!$B30,'Prelim Budget'!$B$9:$B$33,0)),0,IF('Cash Flow'!AH30&lt;&gt;0,'Cash Flow'!AH30,0))),0)</f>
        <v>0</v>
      </c>
      <c r="AJ30" s="153">
        <f ca="1">IFERROR(IF(LEFT(OFFSET(AJ$2,0,-$C30),3)="A&amp;D",-INDEX('Prelim Budget'!$C$9:$C$33,MATCH('Cash Flow'!$B30,'Prelim Budget'!$B$9:$B$33,0))/'Cash Flow'!$E30,IF(SUM('Cash Flow'!$F30:AI30)=-INDEX('Prelim Budget'!$C$9:$C$33,MATCH('Cash Flow'!$B30,'Prelim Budget'!$B$9:$B$33,0)),0,IF('Cash Flow'!AI30&lt;&gt;0,'Cash Flow'!AI30,0))),0)</f>
        <v>0</v>
      </c>
      <c r="AK30" s="153">
        <f ca="1">IFERROR(IF(LEFT(OFFSET(AK$2,0,-$C30),3)="A&amp;D",-INDEX('Prelim Budget'!$C$9:$C$33,MATCH('Cash Flow'!$B30,'Prelim Budget'!$B$9:$B$33,0))/'Cash Flow'!$E30,IF(SUM('Cash Flow'!$F30:AJ30)=-INDEX('Prelim Budget'!$C$9:$C$33,MATCH('Cash Flow'!$B30,'Prelim Budget'!$B$9:$B$33,0)),0,IF('Cash Flow'!AJ30&lt;&gt;0,'Cash Flow'!AJ30,0))),0)</f>
        <v>0</v>
      </c>
      <c r="AL30" s="153">
        <f ca="1">IFERROR(IF(LEFT(OFFSET(AL$2,0,-$C30),3)="A&amp;D",-INDEX('Prelim Budget'!$C$9:$C$33,MATCH('Cash Flow'!$B30,'Prelim Budget'!$B$9:$B$33,0))/'Cash Flow'!$E30,IF(SUM('Cash Flow'!$F30:AK30)=-INDEX('Prelim Budget'!$C$9:$C$33,MATCH('Cash Flow'!$B30,'Prelim Budget'!$B$9:$B$33,0)),0,IF('Cash Flow'!AK30&lt;&gt;0,'Cash Flow'!AK30,0))),0)</f>
        <v>0</v>
      </c>
      <c r="AM30" s="153">
        <f ca="1">IFERROR(IF(LEFT(OFFSET(AM$2,0,-$C30),3)="A&amp;D",-INDEX('Prelim Budget'!$C$9:$C$33,MATCH('Cash Flow'!$B30,'Prelim Budget'!$B$9:$B$33,0))/'Cash Flow'!$E30,IF(SUM('Cash Flow'!$F30:AL30)=-INDEX('Prelim Budget'!$C$9:$C$33,MATCH('Cash Flow'!$B30,'Prelim Budget'!$B$9:$B$33,0)),0,IF('Cash Flow'!AL30&lt;&gt;0,'Cash Flow'!AL30,0))),0)</f>
        <v>0</v>
      </c>
      <c r="AN30" s="153">
        <f ca="1">IFERROR(IF(LEFT(OFFSET(AN$2,0,-$C30),3)="A&amp;D",-INDEX('Prelim Budget'!$C$9:$C$33,MATCH('Cash Flow'!$B30,'Prelim Budget'!$B$9:$B$33,0))/'Cash Flow'!$E30,IF(SUM('Cash Flow'!$F30:AM30)=-INDEX('Prelim Budget'!$C$9:$C$33,MATCH('Cash Flow'!$B30,'Prelim Budget'!$B$9:$B$33,0)),0,IF('Cash Flow'!AM30&lt;&gt;0,'Cash Flow'!AM30,0))),0)</f>
        <v>0</v>
      </c>
      <c r="AO30" s="153">
        <f ca="1">IFERROR(IF(LEFT(OFFSET(AO$2,0,-$C30),3)="A&amp;D",-INDEX('Prelim Budget'!$C$9:$C$33,MATCH('Cash Flow'!$B30,'Prelim Budget'!$B$9:$B$33,0))/'Cash Flow'!$E30,IF(SUM('Cash Flow'!$F30:AN30)=-INDEX('Prelim Budget'!$C$9:$C$33,MATCH('Cash Flow'!$B30,'Prelim Budget'!$B$9:$B$33,0)),0,IF('Cash Flow'!AN30&lt;&gt;0,'Cash Flow'!AN30,0))),0)</f>
        <v>0</v>
      </c>
      <c r="AP30" s="153">
        <f ca="1">IFERROR(IF(LEFT(OFFSET(AP$2,0,-$C30),3)="A&amp;D",-INDEX('Prelim Budget'!$C$9:$C$33,MATCH('Cash Flow'!$B30,'Prelim Budget'!$B$9:$B$33,0))/'Cash Flow'!$E30,IF(SUM('Cash Flow'!$F30:AO30)=-INDEX('Prelim Budget'!$C$9:$C$33,MATCH('Cash Flow'!$B30,'Prelim Budget'!$B$9:$B$33,0)),0,IF('Cash Flow'!AO30&lt;&gt;0,'Cash Flow'!AO30,0))),0)</f>
        <v>0</v>
      </c>
      <c r="AQ30" s="153">
        <f ca="1">IFERROR(IF(LEFT(OFFSET(AQ$2,0,-$C30),3)="A&amp;D",-INDEX('Prelim Budget'!$C$9:$C$33,MATCH('Cash Flow'!$B30,'Prelim Budget'!$B$9:$B$33,0))/'Cash Flow'!$E30,IF(SUM('Cash Flow'!$F30:AP30)=-INDEX('Prelim Budget'!$C$9:$C$33,MATCH('Cash Flow'!$B30,'Prelim Budget'!$B$9:$B$33,0)),0,IF('Cash Flow'!AP30&lt;&gt;0,'Cash Flow'!AP30,0))),0)</f>
        <v>0</v>
      </c>
      <c r="AR30" s="153">
        <f ca="1">IFERROR(IF(LEFT(OFFSET(AR$2,0,-$C30),3)="A&amp;D",-INDEX('Prelim Budget'!$C$9:$C$33,MATCH('Cash Flow'!$B30,'Prelim Budget'!$B$9:$B$33,0))/'Cash Flow'!$E30,IF(SUM('Cash Flow'!$F30:AQ30)=-INDEX('Prelim Budget'!$C$9:$C$33,MATCH('Cash Flow'!$B30,'Prelim Budget'!$B$9:$B$33,0)),0,IF('Cash Flow'!AQ30&lt;&gt;0,'Cash Flow'!AQ30,0))),0)</f>
        <v>0</v>
      </c>
      <c r="AS30" s="153">
        <f ca="1">IFERROR(IF(LEFT(OFFSET(AS$2,0,-$C30),3)="A&amp;D",-INDEX('Prelim Budget'!$C$9:$C$33,MATCH('Cash Flow'!$B30,'Prelim Budget'!$B$9:$B$33,0))/'Cash Flow'!$E30,IF(SUM('Cash Flow'!$F30:AR30)=-INDEX('Prelim Budget'!$C$9:$C$33,MATCH('Cash Flow'!$B30,'Prelim Budget'!$B$9:$B$33,0)),0,IF('Cash Flow'!AR30&lt;&gt;0,'Cash Flow'!AR30,0))),0)</f>
        <v>0</v>
      </c>
      <c r="AT30" s="153">
        <f ca="1">IFERROR(IF(LEFT(OFFSET(AT$2,0,-$C30),3)="A&amp;D",-INDEX('Prelim Budget'!$C$9:$C$33,MATCH('Cash Flow'!$B30,'Prelim Budget'!$B$9:$B$33,0))/'Cash Flow'!$E30,IF(SUM('Cash Flow'!$F30:AS30)=-INDEX('Prelim Budget'!$C$9:$C$33,MATCH('Cash Flow'!$B30,'Prelim Budget'!$B$9:$B$33,0)),0,IF('Cash Flow'!AS30&lt;&gt;0,'Cash Flow'!AS30,0))),0)</f>
        <v>0</v>
      </c>
      <c r="AU30" s="153">
        <f ca="1">IFERROR(IF(LEFT(OFFSET(AU$2,0,-$C30),3)="A&amp;D",-INDEX('Prelim Budget'!$C$9:$C$33,MATCH('Cash Flow'!$B30,'Prelim Budget'!$B$9:$B$33,0))/'Cash Flow'!$E30,IF(SUM('Cash Flow'!$F30:AT30)=-INDEX('Prelim Budget'!$C$9:$C$33,MATCH('Cash Flow'!$B30,'Prelim Budget'!$B$9:$B$33,0)),0,IF('Cash Flow'!AT30&lt;&gt;0,'Cash Flow'!AT30,0))),0)</f>
        <v>0</v>
      </c>
      <c r="AV30" s="153">
        <f ca="1">IFERROR(IF(LEFT(OFFSET(AV$2,0,-$C30),3)="A&amp;D",-INDEX('Prelim Budget'!$C$9:$C$33,MATCH('Cash Flow'!$B30,'Prelim Budget'!$B$9:$B$33,0))/'Cash Flow'!$E30,IF(SUM('Cash Flow'!$F30:AU30)=-INDEX('Prelim Budget'!$C$9:$C$33,MATCH('Cash Flow'!$B30,'Prelim Budget'!$B$9:$B$33,0)),0,IF('Cash Flow'!AU30&lt;&gt;0,'Cash Flow'!AU30,0))),0)</f>
        <v>0</v>
      </c>
      <c r="AW30" s="153">
        <f ca="1">IFERROR(IF(LEFT(OFFSET(AW$2,0,-$C30),3)="A&amp;D",-INDEX('Prelim Budget'!$C$9:$C$33,MATCH('Cash Flow'!$B30,'Prelim Budget'!$B$9:$B$33,0))/'Cash Flow'!$E30,IF(SUM('Cash Flow'!$F30:AV30)=-INDEX('Prelim Budget'!$C$9:$C$33,MATCH('Cash Flow'!$B30,'Prelim Budget'!$B$9:$B$33,0)),0,IF('Cash Flow'!AV30&lt;&gt;0,'Cash Flow'!AV30,0))),0)</f>
        <v>0</v>
      </c>
      <c r="AX30" s="153">
        <f ca="1">IFERROR(IF(LEFT(OFFSET(AX$2,0,-$C30),3)="A&amp;D",-INDEX('Prelim Budget'!$C$9:$C$33,MATCH('Cash Flow'!$B30,'Prelim Budget'!$B$9:$B$33,0))/'Cash Flow'!$E30,IF(SUM('Cash Flow'!$F30:AW30)=-INDEX('Prelim Budget'!$C$9:$C$33,MATCH('Cash Flow'!$B30,'Prelim Budget'!$B$9:$B$33,0)),0,IF('Cash Flow'!AW30&lt;&gt;0,'Cash Flow'!AW30,0))),0)</f>
        <v>0</v>
      </c>
      <c r="AY30" s="153">
        <f ca="1">IFERROR(IF(LEFT(OFFSET(AY$2,0,-$C30),3)="A&amp;D",-INDEX('Prelim Budget'!$C$9:$C$33,MATCH('Cash Flow'!$B30,'Prelim Budget'!$B$9:$B$33,0))/'Cash Flow'!$E30,IF(SUM('Cash Flow'!$F30:AX30)=-INDEX('Prelim Budget'!$C$9:$C$33,MATCH('Cash Flow'!$B30,'Prelim Budget'!$B$9:$B$33,0)),0,IF('Cash Flow'!AX30&lt;&gt;0,'Cash Flow'!AX30,0))),0)</f>
        <v>0</v>
      </c>
      <c r="AZ30" s="153">
        <f ca="1">IFERROR(IF(LEFT(OFFSET(AZ$2,0,-$C30),3)="A&amp;D",-INDEX('Prelim Budget'!$C$9:$C$33,MATCH('Cash Flow'!$B30,'Prelim Budget'!$B$9:$B$33,0))/'Cash Flow'!$E30,IF(SUM('Cash Flow'!$F30:AY30)=-INDEX('Prelim Budget'!$C$9:$C$33,MATCH('Cash Flow'!$B30,'Prelim Budget'!$B$9:$B$33,0)),0,IF('Cash Flow'!AY30&lt;&gt;0,'Cash Flow'!AY30,0))),0)</f>
        <v>0</v>
      </c>
      <c r="BA30" s="153">
        <f ca="1">IFERROR(IF(LEFT(OFFSET(BA$2,0,-$C30),3)="A&amp;D",-INDEX('Prelim Budget'!$C$9:$C$33,MATCH('Cash Flow'!$B30,'Prelim Budget'!$B$9:$B$33,0))/'Cash Flow'!$E30,IF(SUM('Cash Flow'!$F30:AZ30)=-INDEX('Prelim Budget'!$C$9:$C$33,MATCH('Cash Flow'!$B30,'Prelim Budget'!$B$9:$B$33,0)),0,IF('Cash Flow'!AZ30&lt;&gt;0,'Cash Flow'!AZ30,0))),0)</f>
        <v>0</v>
      </c>
      <c r="BB30" s="153">
        <f ca="1">IFERROR(IF(LEFT(OFFSET(BB$2,0,-$C30),3)="A&amp;D",-INDEX('Prelim Budget'!$C$9:$C$33,MATCH('Cash Flow'!$B30,'Prelim Budget'!$B$9:$B$33,0))/'Cash Flow'!$E30,IF(SUM('Cash Flow'!$F30:BA30)=-INDEX('Prelim Budget'!$C$9:$C$33,MATCH('Cash Flow'!$B30,'Prelim Budget'!$B$9:$B$33,0)),0,IF('Cash Flow'!BA30&lt;&gt;0,'Cash Flow'!BA30,0))),0)</f>
        <v>0</v>
      </c>
      <c r="BC30" s="153">
        <f ca="1">IFERROR(IF(LEFT(OFFSET(BC$2,0,-$C30),3)="A&amp;D",-INDEX('Prelim Budget'!$C$9:$C$33,MATCH('Cash Flow'!$B30,'Prelim Budget'!$B$9:$B$33,0))/'Cash Flow'!$E30,IF(SUM('Cash Flow'!$F30:BB30)=-INDEX('Prelim Budget'!$C$9:$C$33,MATCH('Cash Flow'!$B30,'Prelim Budget'!$B$9:$B$33,0)),0,IF('Cash Flow'!BB30&lt;&gt;0,'Cash Flow'!BB30,0))),0)</f>
        <v>0</v>
      </c>
      <c r="BD30" s="153">
        <f ca="1">IFERROR(IF(LEFT(OFFSET(BD$2,0,-$C30),3)="A&amp;D",-INDEX('Prelim Budget'!$C$9:$C$33,MATCH('Cash Flow'!$B30,'Prelim Budget'!$B$9:$B$33,0))/'Cash Flow'!$E30,IF(SUM('Cash Flow'!$F30:BC30)=-INDEX('Prelim Budget'!$C$9:$C$33,MATCH('Cash Flow'!$B30,'Prelim Budget'!$B$9:$B$33,0)),0,IF('Cash Flow'!BC30&lt;&gt;0,'Cash Flow'!BC30,0))),0)</f>
        <v>0</v>
      </c>
      <c r="BE30" s="153">
        <f ca="1">IFERROR(IF(LEFT(OFFSET(BE$2,0,-$C30),3)="A&amp;D",-INDEX('Prelim Budget'!$C$9:$C$33,MATCH('Cash Flow'!$B30,'Prelim Budget'!$B$9:$B$33,0))/'Cash Flow'!$E30,IF(SUM('Cash Flow'!$F30:BD30)=-INDEX('Prelim Budget'!$C$9:$C$33,MATCH('Cash Flow'!$B30,'Prelim Budget'!$B$9:$B$33,0)),0,IF('Cash Flow'!BD30&lt;&gt;0,'Cash Flow'!BD30,0))),0)</f>
        <v>0</v>
      </c>
      <c r="BF30" s="153">
        <f ca="1">IFERROR(IF(LEFT(OFFSET(BF$2,0,-$C30),3)="A&amp;D",-INDEX('Prelim Budget'!$C$9:$C$33,MATCH('Cash Flow'!$B30,'Prelim Budget'!$B$9:$B$33,0))/'Cash Flow'!$E30,IF(SUM('Cash Flow'!$F30:BE30)=-INDEX('Prelim Budget'!$C$9:$C$33,MATCH('Cash Flow'!$B30,'Prelim Budget'!$B$9:$B$33,0)),0,IF('Cash Flow'!BE30&lt;&gt;0,'Cash Flow'!BE30,0))),0)</f>
        <v>0</v>
      </c>
      <c r="BG30" s="153">
        <f ca="1">IFERROR(IF(LEFT(OFFSET(BG$2,0,-$C30),3)="A&amp;D",-INDEX('Prelim Budget'!$C$9:$C$33,MATCH('Cash Flow'!$B30,'Prelim Budget'!$B$9:$B$33,0))/'Cash Flow'!$E30,IF(SUM('Cash Flow'!$F30:BF30)=-INDEX('Prelim Budget'!$C$9:$C$33,MATCH('Cash Flow'!$B30,'Prelim Budget'!$B$9:$B$33,0)),0,IF('Cash Flow'!BF30&lt;&gt;0,'Cash Flow'!BF30,0))),0)</f>
        <v>0</v>
      </c>
      <c r="BH30" s="153">
        <f ca="1">IFERROR(IF(LEFT(OFFSET(BH$2,0,-$C30),3)="A&amp;D",-INDEX('Prelim Budget'!$C$9:$C$33,MATCH('Cash Flow'!$B30,'Prelim Budget'!$B$9:$B$33,0))/'Cash Flow'!$E30,IF(SUM('Cash Flow'!$F30:BG30)=-INDEX('Prelim Budget'!$C$9:$C$33,MATCH('Cash Flow'!$B30,'Prelim Budget'!$B$9:$B$33,0)),0,IF('Cash Flow'!BG30&lt;&gt;0,'Cash Flow'!BG30,0))),0)</f>
        <v>0</v>
      </c>
      <c r="BI30" s="153">
        <f ca="1">IFERROR(IF(LEFT(OFFSET(BI$2,0,-$C30),3)="A&amp;D",-INDEX('Prelim Budget'!$C$9:$C$33,MATCH('Cash Flow'!$B30,'Prelim Budget'!$B$9:$B$33,0))/'Cash Flow'!$E30,IF(SUM('Cash Flow'!$F30:BH30)=-INDEX('Prelim Budget'!$C$9:$C$33,MATCH('Cash Flow'!$B30,'Prelim Budget'!$B$9:$B$33,0)),0,IF('Cash Flow'!BH30&lt;&gt;0,'Cash Flow'!BH30,0))),0)</f>
        <v>0</v>
      </c>
      <c r="BJ30" s="153">
        <f ca="1">IFERROR(IF(LEFT(OFFSET(BJ$2,0,-$C30),3)="A&amp;D",-INDEX('Prelim Budget'!$C$9:$C$33,MATCH('Cash Flow'!$B30,'Prelim Budget'!$B$9:$B$33,0))/'Cash Flow'!$E30,IF(SUM('Cash Flow'!$F30:BI30)=-INDEX('Prelim Budget'!$C$9:$C$33,MATCH('Cash Flow'!$B30,'Prelim Budget'!$B$9:$B$33,0)),0,IF('Cash Flow'!BI30&lt;&gt;0,'Cash Flow'!BI30,0))),0)</f>
        <v>0</v>
      </c>
      <c r="BK30" s="153">
        <f ca="1">IFERROR(IF(LEFT(OFFSET(BK$2,0,-$C30),3)="A&amp;D",-INDEX('Prelim Budget'!$C$9:$C$33,MATCH('Cash Flow'!$B30,'Prelim Budget'!$B$9:$B$33,0))/'Cash Flow'!$E30,IF(SUM('Cash Flow'!$F30:BJ30)=-INDEX('Prelim Budget'!$C$9:$C$33,MATCH('Cash Flow'!$B30,'Prelim Budget'!$B$9:$B$33,0)),0,IF('Cash Flow'!BJ30&lt;&gt;0,'Cash Flow'!BJ30,0))),0)</f>
        <v>0</v>
      </c>
      <c r="BL30" s="153">
        <f ca="1">IFERROR(IF(LEFT(OFFSET(BL$2,0,-$C30),3)="A&amp;D",-INDEX('Prelim Budget'!$C$9:$C$33,MATCH('Cash Flow'!$B30,'Prelim Budget'!$B$9:$B$33,0))/'Cash Flow'!$E30,IF(SUM('Cash Flow'!$F30:BK30)=-INDEX('Prelim Budget'!$C$9:$C$33,MATCH('Cash Flow'!$B30,'Prelim Budget'!$B$9:$B$33,0)),0,IF('Cash Flow'!BK30&lt;&gt;0,'Cash Flow'!BK30,0))),0)</f>
        <v>0</v>
      </c>
      <c r="BM30" s="153">
        <f ca="1">IFERROR(IF(LEFT(OFFSET(BM$2,0,-$C30),3)="A&amp;D",-INDEX('Prelim Budget'!$C$9:$C$33,MATCH('Cash Flow'!$B30,'Prelim Budget'!$B$9:$B$33,0))/'Cash Flow'!$E30,IF(SUM('Cash Flow'!$F30:BL30)=-INDEX('Prelim Budget'!$C$9:$C$33,MATCH('Cash Flow'!$B30,'Prelim Budget'!$B$9:$B$33,0)),0,IF('Cash Flow'!BL30&lt;&gt;0,'Cash Flow'!BL30,0))),0)</f>
        <v>0</v>
      </c>
      <c r="BN30" s="153">
        <f ca="1">IFERROR(IF(LEFT(OFFSET(BN$2,0,-$C30),3)="A&amp;D",-INDEX('Prelim Budget'!$C$9:$C$33,MATCH('Cash Flow'!$B30,'Prelim Budget'!$B$9:$B$33,0))/'Cash Flow'!$E30,IF(SUM('Cash Flow'!$F30:BM30)=-INDEX('Prelim Budget'!$C$9:$C$33,MATCH('Cash Flow'!$B30,'Prelim Budget'!$B$9:$B$33,0)),0,IF('Cash Flow'!BM30&lt;&gt;0,'Cash Flow'!BM30,0))),0)</f>
        <v>0</v>
      </c>
      <c r="BO30" s="50">
        <f ca="1">IFERROR(IF(LEFT(OFFSET(BO$2,0,-$C30),3)="A&amp;D",-INDEX('Prelim Budget'!$C$9:$C$33,MATCH('Cash Flow'!$B30,'Prelim Budget'!$B$9:$B$33,0))/'Cash Flow'!$E30,IF(SUM('Cash Flow'!$F30:BN30)=-INDEX('Prelim Budget'!$C$9:$C$33,MATCH('Cash Flow'!$B30,'Prelim Budget'!$B$9:$B$33,0)),0,IF('Cash Flow'!BN30&lt;&gt;0,'Cash Flow'!BN30,0))),0)</f>
        <v>0</v>
      </c>
    </row>
    <row r="31" spans="2:67" ht="14.05" customHeight="1" x14ac:dyDescent="0.4">
      <c r="B31" s="3" t="s">
        <v>156</v>
      </c>
      <c r="C31" s="80">
        <v>1</v>
      </c>
      <c r="D31" s="153">
        <f t="shared" ca="1" si="11"/>
        <v>-50000</v>
      </c>
      <c r="E31" s="81">
        <v>8</v>
      </c>
      <c r="F31" s="157"/>
      <c r="G31" s="134">
        <f ca="1">IFERROR(IF(LEFT(OFFSET(G$2,0,-$C31),3)="A&amp;D",-INDEX('Prelim Budget'!$C$9:$C$33,MATCH('Cash Flow'!$B31,'Prelim Budget'!$B$9:$B$33,0))/'Cash Flow'!$E31,IF(SUM('Cash Flow'!$F31:F31)=-INDEX('Prelim Budget'!$C$9:$C$33,MATCH('Cash Flow'!$B31,'Prelim Budget'!$B$9:$B$33,0)),0,IF('Cash Flow'!F31&lt;&gt;0,'Cash Flow'!F31,0))),0)</f>
        <v>0</v>
      </c>
      <c r="H31" s="153">
        <f ca="1">IFERROR(IF(LEFT(OFFSET(H$2,0,-$C31),3)="A&amp;D",-INDEX('Prelim Budget'!$C$9:$C$33,MATCH('Cash Flow'!$B31,'Prelim Budget'!$B$9:$B$33,0))/'Cash Flow'!$E31,IF(SUM('Cash Flow'!$F31:G31)=-INDEX('Prelim Budget'!$C$9:$C$33,MATCH('Cash Flow'!$B31,'Prelim Budget'!$B$9:$B$33,0)),0,IF('Cash Flow'!G31&lt;&gt;0,'Cash Flow'!G31,0))),0)</f>
        <v>0</v>
      </c>
      <c r="I31" s="153">
        <f ca="1">IFERROR(IF(LEFT(OFFSET(I$2,0,-$C31),3)="A&amp;D",-INDEX('Prelim Budget'!$C$9:$C$33,MATCH('Cash Flow'!$B31,'Prelim Budget'!$B$9:$B$33,0))/'Cash Flow'!$E31,IF(SUM('Cash Flow'!$F31:H31)=-INDEX('Prelim Budget'!$C$9:$C$33,MATCH('Cash Flow'!$B31,'Prelim Budget'!$B$9:$B$33,0)),0,IF('Cash Flow'!H31&lt;&gt;0,'Cash Flow'!H31,0))),0)</f>
        <v>0</v>
      </c>
      <c r="J31" s="153">
        <f ca="1">IFERROR(IF(LEFT(OFFSET(J$2,0,-$C31),3)="A&amp;D",-INDEX('Prelim Budget'!$C$9:$C$33,MATCH('Cash Flow'!$B31,'Prelim Budget'!$B$9:$B$33,0))/'Cash Flow'!$E31,IF(SUM('Cash Flow'!$F31:I31)=-INDEX('Prelim Budget'!$C$9:$C$33,MATCH('Cash Flow'!$B31,'Prelim Budget'!$B$9:$B$33,0)),0,IF('Cash Flow'!I31&lt;&gt;0,'Cash Flow'!I31,0))),0)</f>
        <v>0</v>
      </c>
      <c r="K31" s="153">
        <f ca="1">IFERROR(IF(LEFT(OFFSET(K$2,0,-$C31),3)="A&amp;D",-INDEX('Prelim Budget'!$C$9:$C$33,MATCH('Cash Flow'!$B31,'Prelim Budget'!$B$9:$B$33,0))/'Cash Flow'!$E31,IF(SUM('Cash Flow'!$F31:J31)=-INDEX('Prelim Budget'!$C$9:$C$33,MATCH('Cash Flow'!$B31,'Prelim Budget'!$B$9:$B$33,0)),0,IF('Cash Flow'!J31&lt;&gt;0,'Cash Flow'!J31,0))),0)</f>
        <v>0</v>
      </c>
      <c r="L31" s="153">
        <f ca="1">IFERROR(IF(LEFT(OFFSET(L$2,0,-$C31),3)="A&amp;D",-INDEX('Prelim Budget'!$C$9:$C$33,MATCH('Cash Flow'!$B31,'Prelim Budget'!$B$9:$B$33,0))/'Cash Flow'!$E31,IF(SUM('Cash Flow'!$F31:K31)=-INDEX('Prelim Budget'!$C$9:$C$33,MATCH('Cash Flow'!$B31,'Prelim Budget'!$B$9:$B$33,0)),0,IF('Cash Flow'!K31&lt;&gt;0,'Cash Flow'!K31,0))),0)</f>
        <v>0</v>
      </c>
      <c r="M31" s="153">
        <f ca="1">IFERROR(IF(LEFT(OFFSET(M$2,0,-$C31),3)="A&amp;D",-INDEX('Prelim Budget'!$C$9:$C$33,MATCH('Cash Flow'!$B31,'Prelim Budget'!$B$9:$B$33,0))/'Cash Flow'!$E31,IF(SUM('Cash Flow'!$F31:L31)=-INDEX('Prelim Budget'!$C$9:$C$33,MATCH('Cash Flow'!$B31,'Prelim Budget'!$B$9:$B$33,0)),0,IF('Cash Flow'!L31&lt;&gt;0,'Cash Flow'!L31,0))),0)</f>
        <v>0</v>
      </c>
      <c r="N31" s="153">
        <f ca="1">IFERROR(IF(LEFT(OFFSET(N$2,0,-$C31),3)="A&amp;D",-INDEX('Prelim Budget'!$C$9:$C$33,MATCH('Cash Flow'!$B31,'Prelim Budget'!$B$9:$B$33,0))/'Cash Flow'!$E31,IF(SUM('Cash Flow'!$F31:M31)=-INDEX('Prelim Budget'!$C$9:$C$33,MATCH('Cash Flow'!$B31,'Prelim Budget'!$B$9:$B$33,0)),0,IF('Cash Flow'!M31&lt;&gt;0,'Cash Flow'!M31,0))),0)</f>
        <v>-6250</v>
      </c>
      <c r="O31" s="153">
        <f ca="1">IFERROR(IF(LEFT(OFFSET(O$2,0,-$C31),3)="A&amp;D",-INDEX('Prelim Budget'!$C$9:$C$33,MATCH('Cash Flow'!$B31,'Prelim Budget'!$B$9:$B$33,0))/'Cash Flow'!$E31,IF(SUM('Cash Flow'!$F31:N31)=-INDEX('Prelim Budget'!$C$9:$C$33,MATCH('Cash Flow'!$B31,'Prelim Budget'!$B$9:$B$33,0)),0,IF('Cash Flow'!N31&lt;&gt;0,'Cash Flow'!N31,0))),0)</f>
        <v>-6250</v>
      </c>
      <c r="P31" s="153">
        <f ca="1">IFERROR(IF(LEFT(OFFSET(P$2,0,-$C31),3)="A&amp;D",-INDEX('Prelim Budget'!$C$9:$C$33,MATCH('Cash Flow'!$B31,'Prelim Budget'!$B$9:$B$33,0))/'Cash Flow'!$E31,IF(SUM('Cash Flow'!$F31:O31)=-INDEX('Prelim Budget'!$C$9:$C$33,MATCH('Cash Flow'!$B31,'Prelim Budget'!$B$9:$B$33,0)),0,IF('Cash Flow'!O31&lt;&gt;0,'Cash Flow'!O31,0))),0)</f>
        <v>-6250</v>
      </c>
      <c r="Q31" s="153">
        <f ca="1">IFERROR(IF(LEFT(OFFSET(Q$2,0,-$C31),3)="A&amp;D",-INDEX('Prelim Budget'!$C$9:$C$33,MATCH('Cash Flow'!$B31,'Prelim Budget'!$B$9:$B$33,0))/'Cash Flow'!$E31,IF(SUM('Cash Flow'!$F31:P31)=-INDEX('Prelim Budget'!$C$9:$C$33,MATCH('Cash Flow'!$B31,'Prelim Budget'!$B$9:$B$33,0)),0,IF('Cash Flow'!P31&lt;&gt;0,'Cash Flow'!P31,0))),0)</f>
        <v>-6250</v>
      </c>
      <c r="R31" s="153">
        <f ca="1">IFERROR(IF(LEFT(OFFSET(R$2,0,-$C31),3)="A&amp;D",-INDEX('Prelim Budget'!$C$9:$C$33,MATCH('Cash Flow'!$B31,'Prelim Budget'!$B$9:$B$33,0))/'Cash Flow'!$E31,IF(SUM('Cash Flow'!$F31:Q31)=-INDEX('Prelim Budget'!$C$9:$C$33,MATCH('Cash Flow'!$B31,'Prelim Budget'!$B$9:$B$33,0)),0,IF('Cash Flow'!Q31&lt;&gt;0,'Cash Flow'!Q31,0))),0)</f>
        <v>-6250</v>
      </c>
      <c r="S31" s="153">
        <f ca="1">IFERROR(IF(LEFT(OFFSET(S$2,0,-$C31),3)="A&amp;D",-INDEX('Prelim Budget'!$C$9:$C$33,MATCH('Cash Flow'!$B31,'Prelim Budget'!$B$9:$B$33,0))/'Cash Flow'!$E31,IF(SUM('Cash Flow'!$F31:R31)=-INDEX('Prelim Budget'!$C$9:$C$33,MATCH('Cash Flow'!$B31,'Prelim Budget'!$B$9:$B$33,0)),0,IF('Cash Flow'!R31&lt;&gt;0,'Cash Flow'!R31,0))),0)</f>
        <v>-6250</v>
      </c>
      <c r="T31" s="153">
        <f ca="1">IFERROR(IF(LEFT(OFFSET(T$2,0,-$C31),3)="A&amp;D",-INDEX('Prelim Budget'!$C$9:$C$33,MATCH('Cash Flow'!$B31,'Prelim Budget'!$B$9:$B$33,0))/'Cash Flow'!$E31,IF(SUM('Cash Flow'!$F31:S31)=-INDEX('Prelim Budget'!$C$9:$C$33,MATCH('Cash Flow'!$B31,'Prelim Budget'!$B$9:$B$33,0)),0,IF('Cash Flow'!S31&lt;&gt;0,'Cash Flow'!S31,0))),0)</f>
        <v>-6250</v>
      </c>
      <c r="U31" s="153">
        <f ca="1">IFERROR(IF(LEFT(OFFSET(U$2,0,-$C31),3)="A&amp;D",-INDEX('Prelim Budget'!$C$9:$C$33,MATCH('Cash Flow'!$B31,'Prelim Budget'!$B$9:$B$33,0))/'Cash Flow'!$E31,IF(SUM('Cash Flow'!$F31:T31)=-INDEX('Prelim Budget'!$C$9:$C$33,MATCH('Cash Flow'!$B31,'Prelim Budget'!$B$9:$B$33,0)),0,IF('Cash Flow'!T31&lt;&gt;0,'Cash Flow'!T31,0))),0)</f>
        <v>-6250</v>
      </c>
      <c r="V31" s="153">
        <f ca="1">IFERROR(IF(LEFT(OFFSET(V$2,0,-$C31),3)="A&amp;D",-INDEX('Prelim Budget'!$C$9:$C$33,MATCH('Cash Flow'!$B31,'Prelim Budget'!$B$9:$B$33,0))/'Cash Flow'!$E31,IF(SUM('Cash Flow'!$F31:U31)=-INDEX('Prelim Budget'!$C$9:$C$33,MATCH('Cash Flow'!$B31,'Prelim Budget'!$B$9:$B$33,0)),0,IF('Cash Flow'!U31&lt;&gt;0,'Cash Flow'!U31,0))),0)</f>
        <v>0</v>
      </c>
      <c r="W31" s="153">
        <f ca="1">IFERROR(IF(LEFT(OFFSET(W$2,0,-$C31),3)="A&amp;D",-INDEX('Prelim Budget'!$C$9:$C$33,MATCH('Cash Flow'!$B31,'Prelim Budget'!$B$9:$B$33,0))/'Cash Flow'!$E31,IF(SUM('Cash Flow'!$F31:V31)=-INDEX('Prelim Budget'!$C$9:$C$33,MATCH('Cash Flow'!$B31,'Prelim Budget'!$B$9:$B$33,0)),0,IF('Cash Flow'!V31&lt;&gt;0,'Cash Flow'!V31,0))),0)</f>
        <v>0</v>
      </c>
      <c r="X31" s="153">
        <f ca="1">IFERROR(IF(LEFT(OFFSET(X$2,0,-$C31),3)="A&amp;D",-INDEX('Prelim Budget'!$C$9:$C$33,MATCH('Cash Flow'!$B31,'Prelim Budget'!$B$9:$B$33,0))/'Cash Flow'!$E31,IF(SUM('Cash Flow'!$F31:W31)=-INDEX('Prelim Budget'!$C$9:$C$33,MATCH('Cash Flow'!$B31,'Prelim Budget'!$B$9:$B$33,0)),0,IF('Cash Flow'!W31&lt;&gt;0,'Cash Flow'!W31,0))),0)</f>
        <v>0</v>
      </c>
      <c r="Y31" s="153">
        <f ca="1">IFERROR(IF(LEFT(OFFSET(Y$2,0,-$C31),3)="A&amp;D",-INDEX('Prelim Budget'!$C$9:$C$33,MATCH('Cash Flow'!$B31,'Prelim Budget'!$B$9:$B$33,0))/'Cash Flow'!$E31,IF(SUM('Cash Flow'!$F31:X31)=-INDEX('Prelim Budget'!$C$9:$C$33,MATCH('Cash Flow'!$B31,'Prelim Budget'!$B$9:$B$33,0)),0,IF('Cash Flow'!X31&lt;&gt;0,'Cash Flow'!X31,0))),0)</f>
        <v>0</v>
      </c>
      <c r="Z31" s="153">
        <f ca="1">IFERROR(IF(LEFT(OFFSET(Z$2,0,-$C31),3)="A&amp;D",-INDEX('Prelim Budget'!$C$9:$C$33,MATCH('Cash Flow'!$B31,'Prelim Budget'!$B$9:$B$33,0))/'Cash Flow'!$E31,IF(SUM('Cash Flow'!$F31:Y31)=-INDEX('Prelim Budget'!$C$9:$C$33,MATCH('Cash Flow'!$B31,'Prelim Budget'!$B$9:$B$33,0)),0,IF('Cash Flow'!Y31&lt;&gt;0,'Cash Flow'!Y31,0))),0)</f>
        <v>0</v>
      </c>
      <c r="AA31" s="153">
        <f ca="1">IFERROR(IF(LEFT(OFFSET(AA$2,0,-$C31),3)="A&amp;D",-INDEX('Prelim Budget'!$C$9:$C$33,MATCH('Cash Flow'!$B31,'Prelim Budget'!$B$9:$B$33,0))/'Cash Flow'!$E31,IF(SUM('Cash Flow'!$F31:Z31)=-INDEX('Prelim Budget'!$C$9:$C$33,MATCH('Cash Flow'!$B31,'Prelim Budget'!$B$9:$B$33,0)),0,IF('Cash Flow'!Z31&lt;&gt;0,'Cash Flow'!Z31,0))),0)</f>
        <v>0</v>
      </c>
      <c r="AB31" s="153">
        <f ca="1">IFERROR(IF(LEFT(OFFSET(AB$2,0,-$C31),3)="A&amp;D",-INDEX('Prelim Budget'!$C$9:$C$33,MATCH('Cash Flow'!$B31,'Prelim Budget'!$B$9:$B$33,0))/'Cash Flow'!$E31,IF(SUM('Cash Flow'!$F31:AA31)=-INDEX('Prelim Budget'!$C$9:$C$33,MATCH('Cash Flow'!$B31,'Prelim Budget'!$B$9:$B$33,0)),0,IF('Cash Flow'!AA31&lt;&gt;0,'Cash Flow'!AA31,0))),0)</f>
        <v>0</v>
      </c>
      <c r="AC31" s="153">
        <f ca="1">IFERROR(IF(LEFT(OFFSET(AC$2,0,-$C31),3)="A&amp;D",-INDEX('Prelim Budget'!$C$9:$C$33,MATCH('Cash Flow'!$B31,'Prelim Budget'!$B$9:$B$33,0))/'Cash Flow'!$E31,IF(SUM('Cash Flow'!$F31:AB31)=-INDEX('Prelim Budget'!$C$9:$C$33,MATCH('Cash Flow'!$B31,'Prelim Budget'!$B$9:$B$33,0)),0,IF('Cash Flow'!AB31&lt;&gt;0,'Cash Flow'!AB31,0))),0)</f>
        <v>0</v>
      </c>
      <c r="AD31" s="153">
        <f ca="1">IFERROR(IF(LEFT(OFFSET(AD$2,0,-$C31),3)="A&amp;D",-INDEX('Prelim Budget'!$C$9:$C$33,MATCH('Cash Flow'!$B31,'Prelim Budget'!$B$9:$B$33,0))/'Cash Flow'!$E31,IF(SUM('Cash Flow'!$F31:AC31)=-INDEX('Prelim Budget'!$C$9:$C$33,MATCH('Cash Flow'!$B31,'Prelim Budget'!$B$9:$B$33,0)),0,IF('Cash Flow'!AC31&lt;&gt;0,'Cash Flow'!AC31,0))),0)</f>
        <v>0</v>
      </c>
      <c r="AE31" s="153">
        <f ca="1">IFERROR(IF(LEFT(OFFSET(AE$2,0,-$C31),3)="A&amp;D",-INDEX('Prelim Budget'!$C$9:$C$33,MATCH('Cash Flow'!$B31,'Prelim Budget'!$B$9:$B$33,0))/'Cash Flow'!$E31,IF(SUM('Cash Flow'!$F31:AD31)=-INDEX('Prelim Budget'!$C$9:$C$33,MATCH('Cash Flow'!$B31,'Prelim Budget'!$B$9:$B$33,0)),0,IF('Cash Flow'!AD31&lt;&gt;0,'Cash Flow'!AD31,0))),0)</f>
        <v>0</v>
      </c>
      <c r="AF31" s="153">
        <f ca="1">IFERROR(IF(LEFT(OFFSET(AF$2,0,-$C31),3)="A&amp;D",-INDEX('Prelim Budget'!$C$9:$C$33,MATCH('Cash Flow'!$B31,'Prelim Budget'!$B$9:$B$33,0))/'Cash Flow'!$E31,IF(SUM('Cash Flow'!$F31:AE31)=-INDEX('Prelim Budget'!$C$9:$C$33,MATCH('Cash Flow'!$B31,'Prelim Budget'!$B$9:$B$33,0)),0,IF('Cash Flow'!AE31&lt;&gt;0,'Cash Flow'!AE31,0))),0)</f>
        <v>0</v>
      </c>
      <c r="AG31" s="153">
        <f ca="1">IFERROR(IF(LEFT(OFFSET(AG$2,0,-$C31),3)="A&amp;D",-INDEX('Prelim Budget'!$C$9:$C$33,MATCH('Cash Flow'!$B31,'Prelim Budget'!$B$9:$B$33,0))/'Cash Flow'!$E31,IF(SUM('Cash Flow'!$F31:AF31)=-INDEX('Prelim Budget'!$C$9:$C$33,MATCH('Cash Flow'!$B31,'Prelim Budget'!$B$9:$B$33,0)),0,IF('Cash Flow'!AF31&lt;&gt;0,'Cash Flow'!AF31,0))),0)</f>
        <v>0</v>
      </c>
      <c r="AH31" s="153">
        <f ca="1">IFERROR(IF(LEFT(OFFSET(AH$2,0,-$C31),3)="A&amp;D",-INDEX('Prelim Budget'!$C$9:$C$33,MATCH('Cash Flow'!$B31,'Prelim Budget'!$B$9:$B$33,0))/'Cash Flow'!$E31,IF(SUM('Cash Flow'!$F31:AG31)=-INDEX('Prelim Budget'!$C$9:$C$33,MATCH('Cash Flow'!$B31,'Prelim Budget'!$B$9:$B$33,0)),0,IF('Cash Flow'!AG31&lt;&gt;0,'Cash Flow'!AG31,0))),0)</f>
        <v>0</v>
      </c>
      <c r="AI31" s="153">
        <f ca="1">IFERROR(IF(LEFT(OFFSET(AI$2,0,-$C31),3)="A&amp;D",-INDEX('Prelim Budget'!$C$9:$C$33,MATCH('Cash Flow'!$B31,'Prelim Budget'!$B$9:$B$33,0))/'Cash Flow'!$E31,IF(SUM('Cash Flow'!$F31:AH31)=-INDEX('Prelim Budget'!$C$9:$C$33,MATCH('Cash Flow'!$B31,'Prelim Budget'!$B$9:$B$33,0)),0,IF('Cash Flow'!AH31&lt;&gt;0,'Cash Flow'!AH31,0))),0)</f>
        <v>0</v>
      </c>
      <c r="AJ31" s="153">
        <f ca="1">IFERROR(IF(LEFT(OFFSET(AJ$2,0,-$C31),3)="A&amp;D",-INDEX('Prelim Budget'!$C$9:$C$33,MATCH('Cash Flow'!$B31,'Prelim Budget'!$B$9:$B$33,0))/'Cash Flow'!$E31,IF(SUM('Cash Flow'!$F31:AI31)=-INDEX('Prelim Budget'!$C$9:$C$33,MATCH('Cash Flow'!$B31,'Prelim Budget'!$B$9:$B$33,0)),0,IF('Cash Flow'!AI31&lt;&gt;0,'Cash Flow'!AI31,0))),0)</f>
        <v>0</v>
      </c>
      <c r="AK31" s="153">
        <f ca="1">IFERROR(IF(LEFT(OFFSET(AK$2,0,-$C31),3)="A&amp;D",-INDEX('Prelim Budget'!$C$9:$C$33,MATCH('Cash Flow'!$B31,'Prelim Budget'!$B$9:$B$33,0))/'Cash Flow'!$E31,IF(SUM('Cash Flow'!$F31:AJ31)=-INDEX('Prelim Budget'!$C$9:$C$33,MATCH('Cash Flow'!$B31,'Prelim Budget'!$B$9:$B$33,0)),0,IF('Cash Flow'!AJ31&lt;&gt;0,'Cash Flow'!AJ31,0))),0)</f>
        <v>0</v>
      </c>
      <c r="AL31" s="153">
        <f ca="1">IFERROR(IF(LEFT(OFFSET(AL$2,0,-$C31),3)="A&amp;D",-INDEX('Prelim Budget'!$C$9:$C$33,MATCH('Cash Flow'!$B31,'Prelim Budget'!$B$9:$B$33,0))/'Cash Flow'!$E31,IF(SUM('Cash Flow'!$F31:AK31)=-INDEX('Prelim Budget'!$C$9:$C$33,MATCH('Cash Flow'!$B31,'Prelim Budget'!$B$9:$B$33,0)),0,IF('Cash Flow'!AK31&lt;&gt;0,'Cash Flow'!AK31,0))),0)</f>
        <v>0</v>
      </c>
      <c r="AM31" s="153">
        <f ca="1">IFERROR(IF(LEFT(OFFSET(AM$2,0,-$C31),3)="A&amp;D",-INDEX('Prelim Budget'!$C$9:$C$33,MATCH('Cash Flow'!$B31,'Prelim Budget'!$B$9:$B$33,0))/'Cash Flow'!$E31,IF(SUM('Cash Flow'!$F31:AL31)=-INDEX('Prelim Budget'!$C$9:$C$33,MATCH('Cash Flow'!$B31,'Prelim Budget'!$B$9:$B$33,0)),0,IF('Cash Flow'!AL31&lt;&gt;0,'Cash Flow'!AL31,0))),0)</f>
        <v>0</v>
      </c>
      <c r="AN31" s="153">
        <f ca="1">IFERROR(IF(LEFT(OFFSET(AN$2,0,-$C31),3)="A&amp;D",-INDEX('Prelim Budget'!$C$9:$C$33,MATCH('Cash Flow'!$B31,'Prelim Budget'!$B$9:$B$33,0))/'Cash Flow'!$E31,IF(SUM('Cash Flow'!$F31:AM31)=-INDEX('Prelim Budget'!$C$9:$C$33,MATCH('Cash Flow'!$B31,'Prelim Budget'!$B$9:$B$33,0)),0,IF('Cash Flow'!AM31&lt;&gt;0,'Cash Flow'!AM31,0))),0)</f>
        <v>0</v>
      </c>
      <c r="AO31" s="153">
        <f ca="1">IFERROR(IF(LEFT(OFFSET(AO$2,0,-$C31),3)="A&amp;D",-INDEX('Prelim Budget'!$C$9:$C$33,MATCH('Cash Flow'!$B31,'Prelim Budget'!$B$9:$B$33,0))/'Cash Flow'!$E31,IF(SUM('Cash Flow'!$F31:AN31)=-INDEX('Prelim Budget'!$C$9:$C$33,MATCH('Cash Flow'!$B31,'Prelim Budget'!$B$9:$B$33,0)),0,IF('Cash Flow'!AN31&lt;&gt;0,'Cash Flow'!AN31,0))),0)</f>
        <v>0</v>
      </c>
      <c r="AP31" s="153">
        <f ca="1">IFERROR(IF(LEFT(OFFSET(AP$2,0,-$C31),3)="A&amp;D",-INDEX('Prelim Budget'!$C$9:$C$33,MATCH('Cash Flow'!$B31,'Prelim Budget'!$B$9:$B$33,0))/'Cash Flow'!$E31,IF(SUM('Cash Flow'!$F31:AO31)=-INDEX('Prelim Budget'!$C$9:$C$33,MATCH('Cash Flow'!$B31,'Prelim Budget'!$B$9:$B$33,0)),0,IF('Cash Flow'!AO31&lt;&gt;0,'Cash Flow'!AO31,0))),0)</f>
        <v>0</v>
      </c>
      <c r="AQ31" s="153">
        <f ca="1">IFERROR(IF(LEFT(OFFSET(AQ$2,0,-$C31),3)="A&amp;D",-INDEX('Prelim Budget'!$C$9:$C$33,MATCH('Cash Flow'!$B31,'Prelim Budget'!$B$9:$B$33,0))/'Cash Flow'!$E31,IF(SUM('Cash Flow'!$F31:AP31)=-INDEX('Prelim Budget'!$C$9:$C$33,MATCH('Cash Flow'!$B31,'Prelim Budget'!$B$9:$B$33,0)),0,IF('Cash Flow'!AP31&lt;&gt;0,'Cash Flow'!AP31,0))),0)</f>
        <v>0</v>
      </c>
      <c r="AR31" s="153">
        <f ca="1">IFERROR(IF(LEFT(OFFSET(AR$2,0,-$C31),3)="A&amp;D",-INDEX('Prelim Budget'!$C$9:$C$33,MATCH('Cash Flow'!$B31,'Prelim Budget'!$B$9:$B$33,0))/'Cash Flow'!$E31,IF(SUM('Cash Flow'!$F31:AQ31)=-INDEX('Prelim Budget'!$C$9:$C$33,MATCH('Cash Flow'!$B31,'Prelim Budget'!$B$9:$B$33,0)),0,IF('Cash Flow'!AQ31&lt;&gt;0,'Cash Flow'!AQ31,0))),0)</f>
        <v>0</v>
      </c>
      <c r="AS31" s="153">
        <f ca="1">IFERROR(IF(LEFT(OFFSET(AS$2,0,-$C31),3)="A&amp;D",-INDEX('Prelim Budget'!$C$9:$C$33,MATCH('Cash Flow'!$B31,'Prelim Budget'!$B$9:$B$33,0))/'Cash Flow'!$E31,IF(SUM('Cash Flow'!$F31:AR31)=-INDEX('Prelim Budget'!$C$9:$C$33,MATCH('Cash Flow'!$B31,'Prelim Budget'!$B$9:$B$33,0)),0,IF('Cash Flow'!AR31&lt;&gt;0,'Cash Flow'!AR31,0))),0)</f>
        <v>0</v>
      </c>
      <c r="AT31" s="153">
        <f ca="1">IFERROR(IF(LEFT(OFFSET(AT$2,0,-$C31),3)="A&amp;D",-INDEX('Prelim Budget'!$C$9:$C$33,MATCH('Cash Flow'!$B31,'Prelim Budget'!$B$9:$B$33,0))/'Cash Flow'!$E31,IF(SUM('Cash Flow'!$F31:AS31)=-INDEX('Prelim Budget'!$C$9:$C$33,MATCH('Cash Flow'!$B31,'Prelim Budget'!$B$9:$B$33,0)),0,IF('Cash Flow'!AS31&lt;&gt;0,'Cash Flow'!AS31,0))),0)</f>
        <v>0</v>
      </c>
      <c r="AU31" s="153">
        <f ca="1">IFERROR(IF(LEFT(OFFSET(AU$2,0,-$C31),3)="A&amp;D",-INDEX('Prelim Budget'!$C$9:$C$33,MATCH('Cash Flow'!$B31,'Prelim Budget'!$B$9:$B$33,0))/'Cash Flow'!$E31,IF(SUM('Cash Flow'!$F31:AT31)=-INDEX('Prelim Budget'!$C$9:$C$33,MATCH('Cash Flow'!$B31,'Prelim Budget'!$B$9:$B$33,0)),0,IF('Cash Flow'!AT31&lt;&gt;0,'Cash Flow'!AT31,0))),0)</f>
        <v>0</v>
      </c>
      <c r="AV31" s="153">
        <f ca="1">IFERROR(IF(LEFT(OFFSET(AV$2,0,-$C31),3)="A&amp;D",-INDEX('Prelim Budget'!$C$9:$C$33,MATCH('Cash Flow'!$B31,'Prelim Budget'!$B$9:$B$33,0))/'Cash Flow'!$E31,IF(SUM('Cash Flow'!$F31:AU31)=-INDEX('Prelim Budget'!$C$9:$C$33,MATCH('Cash Flow'!$B31,'Prelim Budget'!$B$9:$B$33,0)),0,IF('Cash Flow'!AU31&lt;&gt;0,'Cash Flow'!AU31,0))),0)</f>
        <v>0</v>
      </c>
      <c r="AW31" s="153">
        <f ca="1">IFERROR(IF(LEFT(OFFSET(AW$2,0,-$C31),3)="A&amp;D",-INDEX('Prelim Budget'!$C$9:$C$33,MATCH('Cash Flow'!$B31,'Prelim Budget'!$B$9:$B$33,0))/'Cash Flow'!$E31,IF(SUM('Cash Flow'!$F31:AV31)=-INDEX('Prelim Budget'!$C$9:$C$33,MATCH('Cash Flow'!$B31,'Prelim Budget'!$B$9:$B$33,0)),0,IF('Cash Flow'!AV31&lt;&gt;0,'Cash Flow'!AV31,0))),0)</f>
        <v>0</v>
      </c>
      <c r="AX31" s="153">
        <f ca="1">IFERROR(IF(LEFT(OFFSET(AX$2,0,-$C31),3)="A&amp;D",-INDEX('Prelim Budget'!$C$9:$C$33,MATCH('Cash Flow'!$B31,'Prelim Budget'!$B$9:$B$33,0))/'Cash Flow'!$E31,IF(SUM('Cash Flow'!$F31:AW31)=-INDEX('Prelim Budget'!$C$9:$C$33,MATCH('Cash Flow'!$B31,'Prelim Budget'!$B$9:$B$33,0)),0,IF('Cash Flow'!AW31&lt;&gt;0,'Cash Flow'!AW31,0))),0)</f>
        <v>0</v>
      </c>
      <c r="AY31" s="153">
        <f ca="1">IFERROR(IF(LEFT(OFFSET(AY$2,0,-$C31),3)="A&amp;D",-INDEX('Prelim Budget'!$C$9:$C$33,MATCH('Cash Flow'!$B31,'Prelim Budget'!$B$9:$B$33,0))/'Cash Flow'!$E31,IF(SUM('Cash Flow'!$F31:AX31)=-INDEX('Prelim Budget'!$C$9:$C$33,MATCH('Cash Flow'!$B31,'Prelim Budget'!$B$9:$B$33,0)),0,IF('Cash Flow'!AX31&lt;&gt;0,'Cash Flow'!AX31,0))),0)</f>
        <v>0</v>
      </c>
      <c r="AZ31" s="153">
        <f ca="1">IFERROR(IF(LEFT(OFFSET(AZ$2,0,-$C31),3)="A&amp;D",-INDEX('Prelim Budget'!$C$9:$C$33,MATCH('Cash Flow'!$B31,'Prelim Budget'!$B$9:$B$33,0))/'Cash Flow'!$E31,IF(SUM('Cash Flow'!$F31:AY31)=-INDEX('Prelim Budget'!$C$9:$C$33,MATCH('Cash Flow'!$B31,'Prelim Budget'!$B$9:$B$33,0)),0,IF('Cash Flow'!AY31&lt;&gt;0,'Cash Flow'!AY31,0))),0)</f>
        <v>0</v>
      </c>
      <c r="BA31" s="153">
        <f ca="1">IFERROR(IF(LEFT(OFFSET(BA$2,0,-$C31),3)="A&amp;D",-INDEX('Prelim Budget'!$C$9:$C$33,MATCH('Cash Flow'!$B31,'Prelim Budget'!$B$9:$B$33,0))/'Cash Flow'!$E31,IF(SUM('Cash Flow'!$F31:AZ31)=-INDEX('Prelim Budget'!$C$9:$C$33,MATCH('Cash Flow'!$B31,'Prelim Budget'!$B$9:$B$33,0)),0,IF('Cash Flow'!AZ31&lt;&gt;0,'Cash Flow'!AZ31,0))),0)</f>
        <v>0</v>
      </c>
      <c r="BB31" s="153">
        <f ca="1">IFERROR(IF(LEFT(OFFSET(BB$2,0,-$C31),3)="A&amp;D",-INDEX('Prelim Budget'!$C$9:$C$33,MATCH('Cash Flow'!$B31,'Prelim Budget'!$B$9:$B$33,0))/'Cash Flow'!$E31,IF(SUM('Cash Flow'!$F31:BA31)=-INDEX('Prelim Budget'!$C$9:$C$33,MATCH('Cash Flow'!$B31,'Prelim Budget'!$B$9:$B$33,0)),0,IF('Cash Flow'!BA31&lt;&gt;0,'Cash Flow'!BA31,0))),0)</f>
        <v>0</v>
      </c>
      <c r="BC31" s="153">
        <f ca="1">IFERROR(IF(LEFT(OFFSET(BC$2,0,-$C31),3)="A&amp;D",-INDEX('Prelim Budget'!$C$9:$C$33,MATCH('Cash Flow'!$B31,'Prelim Budget'!$B$9:$B$33,0))/'Cash Flow'!$E31,IF(SUM('Cash Flow'!$F31:BB31)=-INDEX('Prelim Budget'!$C$9:$C$33,MATCH('Cash Flow'!$B31,'Prelim Budget'!$B$9:$B$33,0)),0,IF('Cash Flow'!BB31&lt;&gt;0,'Cash Flow'!BB31,0))),0)</f>
        <v>0</v>
      </c>
      <c r="BD31" s="153">
        <f ca="1">IFERROR(IF(LEFT(OFFSET(BD$2,0,-$C31),3)="A&amp;D",-INDEX('Prelim Budget'!$C$9:$C$33,MATCH('Cash Flow'!$B31,'Prelim Budget'!$B$9:$B$33,0))/'Cash Flow'!$E31,IF(SUM('Cash Flow'!$F31:BC31)=-INDEX('Prelim Budget'!$C$9:$C$33,MATCH('Cash Flow'!$B31,'Prelim Budget'!$B$9:$B$33,0)),0,IF('Cash Flow'!BC31&lt;&gt;0,'Cash Flow'!BC31,0))),0)</f>
        <v>0</v>
      </c>
      <c r="BE31" s="153">
        <f ca="1">IFERROR(IF(LEFT(OFFSET(BE$2,0,-$C31),3)="A&amp;D",-INDEX('Prelim Budget'!$C$9:$C$33,MATCH('Cash Flow'!$B31,'Prelim Budget'!$B$9:$B$33,0))/'Cash Flow'!$E31,IF(SUM('Cash Flow'!$F31:BD31)=-INDEX('Prelim Budget'!$C$9:$C$33,MATCH('Cash Flow'!$B31,'Prelim Budget'!$B$9:$B$33,0)),0,IF('Cash Flow'!BD31&lt;&gt;0,'Cash Flow'!BD31,0))),0)</f>
        <v>0</v>
      </c>
      <c r="BF31" s="153">
        <f ca="1">IFERROR(IF(LEFT(OFFSET(BF$2,0,-$C31),3)="A&amp;D",-INDEX('Prelim Budget'!$C$9:$C$33,MATCH('Cash Flow'!$B31,'Prelim Budget'!$B$9:$B$33,0))/'Cash Flow'!$E31,IF(SUM('Cash Flow'!$F31:BE31)=-INDEX('Prelim Budget'!$C$9:$C$33,MATCH('Cash Flow'!$B31,'Prelim Budget'!$B$9:$B$33,0)),0,IF('Cash Flow'!BE31&lt;&gt;0,'Cash Flow'!BE31,0))),0)</f>
        <v>0</v>
      </c>
      <c r="BG31" s="153">
        <f ca="1">IFERROR(IF(LEFT(OFFSET(BG$2,0,-$C31),3)="A&amp;D",-INDEX('Prelim Budget'!$C$9:$C$33,MATCH('Cash Flow'!$B31,'Prelim Budget'!$B$9:$B$33,0))/'Cash Flow'!$E31,IF(SUM('Cash Flow'!$F31:BF31)=-INDEX('Prelim Budget'!$C$9:$C$33,MATCH('Cash Flow'!$B31,'Prelim Budget'!$B$9:$B$33,0)),0,IF('Cash Flow'!BF31&lt;&gt;0,'Cash Flow'!BF31,0))),0)</f>
        <v>0</v>
      </c>
      <c r="BH31" s="153">
        <f ca="1">IFERROR(IF(LEFT(OFFSET(BH$2,0,-$C31),3)="A&amp;D",-INDEX('Prelim Budget'!$C$9:$C$33,MATCH('Cash Flow'!$B31,'Prelim Budget'!$B$9:$B$33,0))/'Cash Flow'!$E31,IF(SUM('Cash Flow'!$F31:BG31)=-INDEX('Prelim Budget'!$C$9:$C$33,MATCH('Cash Flow'!$B31,'Prelim Budget'!$B$9:$B$33,0)),0,IF('Cash Flow'!BG31&lt;&gt;0,'Cash Flow'!BG31,0))),0)</f>
        <v>0</v>
      </c>
      <c r="BI31" s="153">
        <f ca="1">IFERROR(IF(LEFT(OFFSET(BI$2,0,-$C31),3)="A&amp;D",-INDEX('Prelim Budget'!$C$9:$C$33,MATCH('Cash Flow'!$B31,'Prelim Budget'!$B$9:$B$33,0))/'Cash Flow'!$E31,IF(SUM('Cash Flow'!$F31:BH31)=-INDEX('Prelim Budget'!$C$9:$C$33,MATCH('Cash Flow'!$B31,'Prelim Budget'!$B$9:$B$33,0)),0,IF('Cash Flow'!BH31&lt;&gt;0,'Cash Flow'!BH31,0))),0)</f>
        <v>0</v>
      </c>
      <c r="BJ31" s="153">
        <f ca="1">IFERROR(IF(LEFT(OFFSET(BJ$2,0,-$C31),3)="A&amp;D",-INDEX('Prelim Budget'!$C$9:$C$33,MATCH('Cash Flow'!$B31,'Prelim Budget'!$B$9:$B$33,0))/'Cash Flow'!$E31,IF(SUM('Cash Flow'!$F31:BI31)=-INDEX('Prelim Budget'!$C$9:$C$33,MATCH('Cash Flow'!$B31,'Prelim Budget'!$B$9:$B$33,0)),0,IF('Cash Flow'!BI31&lt;&gt;0,'Cash Flow'!BI31,0))),0)</f>
        <v>0</v>
      </c>
      <c r="BK31" s="153">
        <f ca="1">IFERROR(IF(LEFT(OFFSET(BK$2,0,-$C31),3)="A&amp;D",-INDEX('Prelim Budget'!$C$9:$C$33,MATCH('Cash Flow'!$B31,'Prelim Budget'!$B$9:$B$33,0))/'Cash Flow'!$E31,IF(SUM('Cash Flow'!$F31:BJ31)=-INDEX('Prelim Budget'!$C$9:$C$33,MATCH('Cash Flow'!$B31,'Prelim Budget'!$B$9:$B$33,0)),0,IF('Cash Flow'!BJ31&lt;&gt;0,'Cash Flow'!BJ31,0))),0)</f>
        <v>0</v>
      </c>
      <c r="BL31" s="153">
        <f ca="1">IFERROR(IF(LEFT(OFFSET(BL$2,0,-$C31),3)="A&amp;D",-INDEX('Prelim Budget'!$C$9:$C$33,MATCH('Cash Flow'!$B31,'Prelim Budget'!$B$9:$B$33,0))/'Cash Flow'!$E31,IF(SUM('Cash Flow'!$F31:BK31)=-INDEX('Prelim Budget'!$C$9:$C$33,MATCH('Cash Flow'!$B31,'Prelim Budget'!$B$9:$B$33,0)),0,IF('Cash Flow'!BK31&lt;&gt;0,'Cash Flow'!BK31,0))),0)</f>
        <v>0</v>
      </c>
      <c r="BM31" s="153">
        <f ca="1">IFERROR(IF(LEFT(OFFSET(BM$2,0,-$C31),3)="A&amp;D",-INDEX('Prelim Budget'!$C$9:$C$33,MATCH('Cash Flow'!$B31,'Prelim Budget'!$B$9:$B$33,0))/'Cash Flow'!$E31,IF(SUM('Cash Flow'!$F31:BL31)=-INDEX('Prelim Budget'!$C$9:$C$33,MATCH('Cash Flow'!$B31,'Prelim Budget'!$B$9:$B$33,0)),0,IF('Cash Flow'!BL31&lt;&gt;0,'Cash Flow'!BL31,0))),0)</f>
        <v>0</v>
      </c>
      <c r="BN31" s="153">
        <f ca="1">IFERROR(IF(LEFT(OFFSET(BN$2,0,-$C31),3)="A&amp;D",-INDEX('Prelim Budget'!$C$9:$C$33,MATCH('Cash Flow'!$B31,'Prelim Budget'!$B$9:$B$33,0))/'Cash Flow'!$E31,IF(SUM('Cash Flow'!$F31:BM31)=-INDEX('Prelim Budget'!$C$9:$C$33,MATCH('Cash Flow'!$B31,'Prelim Budget'!$B$9:$B$33,0)),0,IF('Cash Flow'!BM31&lt;&gt;0,'Cash Flow'!BM31,0))),0)</f>
        <v>0</v>
      </c>
      <c r="BO31" s="50">
        <f ca="1">IFERROR(IF(LEFT(OFFSET(BO$2,0,-$C31),3)="A&amp;D",-INDEX('Prelim Budget'!$C$9:$C$33,MATCH('Cash Flow'!$B31,'Prelim Budget'!$B$9:$B$33,0))/'Cash Flow'!$E31,IF(SUM('Cash Flow'!$F31:BN31)=-INDEX('Prelim Budget'!$C$9:$C$33,MATCH('Cash Flow'!$B31,'Prelim Budget'!$B$9:$B$33,0)),0,IF('Cash Flow'!BN31&lt;&gt;0,'Cash Flow'!BN31,0))),0)</f>
        <v>0</v>
      </c>
    </row>
    <row r="32" spans="2:67" ht="14.05" customHeight="1" x14ac:dyDescent="0.4">
      <c r="B32" s="3" t="s">
        <v>157</v>
      </c>
      <c r="C32" s="80">
        <v>1</v>
      </c>
      <c r="D32" s="153">
        <f t="shared" ca="1" si="11"/>
        <v>-25000</v>
      </c>
      <c r="E32" s="81">
        <v>8</v>
      </c>
      <c r="F32" s="157"/>
      <c r="G32" s="134">
        <f ca="1">IFERROR(IF(LEFT(OFFSET(G$2,0,-$C32),3)="A&amp;D",-INDEX('Prelim Budget'!$C$9:$C$33,MATCH('Cash Flow'!$B32,'Prelim Budget'!$B$9:$B$33,0))/'Cash Flow'!$E32,IF(SUM('Cash Flow'!$F32:F32)=-INDEX('Prelim Budget'!$C$9:$C$33,MATCH('Cash Flow'!$B32,'Prelim Budget'!$B$9:$B$33,0)),0,IF('Cash Flow'!F32&lt;&gt;0,'Cash Flow'!F32,0))),0)</f>
        <v>0</v>
      </c>
      <c r="H32" s="153">
        <f ca="1">IFERROR(IF(LEFT(OFFSET(H$2,0,-$C32),3)="A&amp;D",-INDEX('Prelim Budget'!$C$9:$C$33,MATCH('Cash Flow'!$B32,'Prelim Budget'!$B$9:$B$33,0))/'Cash Flow'!$E32,IF(SUM('Cash Flow'!$F32:G32)=-INDEX('Prelim Budget'!$C$9:$C$33,MATCH('Cash Flow'!$B32,'Prelim Budget'!$B$9:$B$33,0)),0,IF('Cash Flow'!G32&lt;&gt;0,'Cash Flow'!G32,0))),0)</f>
        <v>0</v>
      </c>
      <c r="I32" s="153">
        <f ca="1">IFERROR(IF(LEFT(OFFSET(I$2,0,-$C32),3)="A&amp;D",-INDEX('Prelim Budget'!$C$9:$C$33,MATCH('Cash Flow'!$B32,'Prelim Budget'!$B$9:$B$33,0))/'Cash Flow'!$E32,IF(SUM('Cash Flow'!$F32:H32)=-INDEX('Prelim Budget'!$C$9:$C$33,MATCH('Cash Flow'!$B32,'Prelim Budget'!$B$9:$B$33,0)),0,IF('Cash Flow'!H32&lt;&gt;0,'Cash Flow'!H32,0))),0)</f>
        <v>0</v>
      </c>
      <c r="J32" s="153">
        <f ca="1">IFERROR(IF(LEFT(OFFSET(J$2,0,-$C32),3)="A&amp;D",-INDEX('Prelim Budget'!$C$9:$C$33,MATCH('Cash Flow'!$B32,'Prelim Budget'!$B$9:$B$33,0))/'Cash Flow'!$E32,IF(SUM('Cash Flow'!$F32:I32)=-INDEX('Prelim Budget'!$C$9:$C$33,MATCH('Cash Flow'!$B32,'Prelim Budget'!$B$9:$B$33,0)),0,IF('Cash Flow'!I32&lt;&gt;0,'Cash Flow'!I32,0))),0)</f>
        <v>0</v>
      </c>
      <c r="K32" s="153">
        <f ca="1">IFERROR(IF(LEFT(OFFSET(K$2,0,-$C32),3)="A&amp;D",-INDEX('Prelim Budget'!$C$9:$C$33,MATCH('Cash Flow'!$B32,'Prelim Budget'!$B$9:$B$33,0))/'Cash Flow'!$E32,IF(SUM('Cash Flow'!$F32:J32)=-INDEX('Prelim Budget'!$C$9:$C$33,MATCH('Cash Flow'!$B32,'Prelim Budget'!$B$9:$B$33,0)),0,IF('Cash Flow'!J32&lt;&gt;0,'Cash Flow'!J32,0))),0)</f>
        <v>0</v>
      </c>
      <c r="L32" s="153">
        <f ca="1">IFERROR(IF(LEFT(OFFSET(L$2,0,-$C32),3)="A&amp;D",-INDEX('Prelim Budget'!$C$9:$C$33,MATCH('Cash Flow'!$B32,'Prelim Budget'!$B$9:$B$33,0))/'Cash Flow'!$E32,IF(SUM('Cash Flow'!$F32:K32)=-INDEX('Prelim Budget'!$C$9:$C$33,MATCH('Cash Flow'!$B32,'Prelim Budget'!$B$9:$B$33,0)),0,IF('Cash Flow'!K32&lt;&gt;0,'Cash Flow'!K32,0))),0)</f>
        <v>0</v>
      </c>
      <c r="M32" s="153">
        <f ca="1">IFERROR(IF(LEFT(OFFSET(M$2,0,-$C32),3)="A&amp;D",-INDEX('Prelim Budget'!$C$9:$C$33,MATCH('Cash Flow'!$B32,'Prelim Budget'!$B$9:$B$33,0))/'Cash Flow'!$E32,IF(SUM('Cash Flow'!$F32:L32)=-INDEX('Prelim Budget'!$C$9:$C$33,MATCH('Cash Flow'!$B32,'Prelim Budget'!$B$9:$B$33,0)),0,IF('Cash Flow'!L32&lt;&gt;0,'Cash Flow'!L32,0))),0)</f>
        <v>0</v>
      </c>
      <c r="N32" s="153">
        <f ca="1">IFERROR(IF(LEFT(OFFSET(N$2,0,-$C32),3)="A&amp;D",-INDEX('Prelim Budget'!$C$9:$C$33,MATCH('Cash Flow'!$B32,'Prelim Budget'!$B$9:$B$33,0))/'Cash Flow'!$E32,IF(SUM('Cash Flow'!$F32:M32)=-INDEX('Prelim Budget'!$C$9:$C$33,MATCH('Cash Flow'!$B32,'Prelim Budget'!$B$9:$B$33,0)),0,IF('Cash Flow'!M32&lt;&gt;0,'Cash Flow'!M32,0))),0)</f>
        <v>-3125</v>
      </c>
      <c r="O32" s="153">
        <f ca="1">IFERROR(IF(LEFT(OFFSET(O$2,0,-$C32),3)="A&amp;D",-INDEX('Prelim Budget'!$C$9:$C$33,MATCH('Cash Flow'!$B32,'Prelim Budget'!$B$9:$B$33,0))/'Cash Flow'!$E32,IF(SUM('Cash Flow'!$F32:N32)=-INDEX('Prelim Budget'!$C$9:$C$33,MATCH('Cash Flow'!$B32,'Prelim Budget'!$B$9:$B$33,0)),0,IF('Cash Flow'!N32&lt;&gt;0,'Cash Flow'!N32,0))),0)</f>
        <v>-3125</v>
      </c>
      <c r="P32" s="153">
        <f ca="1">IFERROR(IF(LEFT(OFFSET(P$2,0,-$C32),3)="A&amp;D",-INDEX('Prelim Budget'!$C$9:$C$33,MATCH('Cash Flow'!$B32,'Prelim Budget'!$B$9:$B$33,0))/'Cash Flow'!$E32,IF(SUM('Cash Flow'!$F32:O32)=-INDEX('Prelim Budget'!$C$9:$C$33,MATCH('Cash Flow'!$B32,'Prelim Budget'!$B$9:$B$33,0)),0,IF('Cash Flow'!O32&lt;&gt;0,'Cash Flow'!O32,0))),0)</f>
        <v>-3125</v>
      </c>
      <c r="Q32" s="153">
        <f ca="1">IFERROR(IF(LEFT(OFFSET(Q$2,0,-$C32),3)="A&amp;D",-INDEX('Prelim Budget'!$C$9:$C$33,MATCH('Cash Flow'!$B32,'Prelim Budget'!$B$9:$B$33,0))/'Cash Flow'!$E32,IF(SUM('Cash Flow'!$F32:P32)=-INDEX('Prelim Budget'!$C$9:$C$33,MATCH('Cash Flow'!$B32,'Prelim Budget'!$B$9:$B$33,0)),0,IF('Cash Flow'!P32&lt;&gt;0,'Cash Flow'!P32,0))),0)</f>
        <v>-3125</v>
      </c>
      <c r="R32" s="153">
        <f ca="1">IFERROR(IF(LEFT(OFFSET(R$2,0,-$C32),3)="A&amp;D",-INDEX('Prelim Budget'!$C$9:$C$33,MATCH('Cash Flow'!$B32,'Prelim Budget'!$B$9:$B$33,0))/'Cash Flow'!$E32,IF(SUM('Cash Flow'!$F32:Q32)=-INDEX('Prelim Budget'!$C$9:$C$33,MATCH('Cash Flow'!$B32,'Prelim Budget'!$B$9:$B$33,0)),0,IF('Cash Flow'!Q32&lt;&gt;0,'Cash Flow'!Q32,0))),0)</f>
        <v>-3125</v>
      </c>
      <c r="S32" s="153">
        <f ca="1">IFERROR(IF(LEFT(OFFSET(S$2,0,-$C32),3)="A&amp;D",-INDEX('Prelim Budget'!$C$9:$C$33,MATCH('Cash Flow'!$B32,'Prelim Budget'!$B$9:$B$33,0))/'Cash Flow'!$E32,IF(SUM('Cash Flow'!$F32:R32)=-INDEX('Prelim Budget'!$C$9:$C$33,MATCH('Cash Flow'!$B32,'Prelim Budget'!$B$9:$B$33,0)),0,IF('Cash Flow'!R32&lt;&gt;0,'Cash Flow'!R32,0))),0)</f>
        <v>-3125</v>
      </c>
      <c r="T32" s="153">
        <f ca="1">IFERROR(IF(LEFT(OFFSET(T$2,0,-$C32),3)="A&amp;D",-INDEX('Prelim Budget'!$C$9:$C$33,MATCH('Cash Flow'!$B32,'Prelim Budget'!$B$9:$B$33,0))/'Cash Flow'!$E32,IF(SUM('Cash Flow'!$F32:S32)=-INDEX('Prelim Budget'!$C$9:$C$33,MATCH('Cash Flow'!$B32,'Prelim Budget'!$B$9:$B$33,0)),0,IF('Cash Flow'!S32&lt;&gt;0,'Cash Flow'!S32,0))),0)</f>
        <v>-3125</v>
      </c>
      <c r="U32" s="153">
        <f ca="1">IFERROR(IF(LEFT(OFFSET(U$2,0,-$C32),3)="A&amp;D",-INDEX('Prelim Budget'!$C$9:$C$33,MATCH('Cash Flow'!$B32,'Prelim Budget'!$B$9:$B$33,0))/'Cash Flow'!$E32,IF(SUM('Cash Flow'!$F32:T32)=-INDEX('Prelim Budget'!$C$9:$C$33,MATCH('Cash Flow'!$B32,'Prelim Budget'!$B$9:$B$33,0)),0,IF('Cash Flow'!T32&lt;&gt;0,'Cash Flow'!T32,0))),0)</f>
        <v>-3125</v>
      </c>
      <c r="V32" s="153">
        <f ca="1">IFERROR(IF(LEFT(OFFSET(V$2,0,-$C32),3)="A&amp;D",-INDEX('Prelim Budget'!$C$9:$C$33,MATCH('Cash Flow'!$B32,'Prelim Budget'!$B$9:$B$33,0))/'Cash Flow'!$E32,IF(SUM('Cash Flow'!$F32:U32)=-INDEX('Prelim Budget'!$C$9:$C$33,MATCH('Cash Flow'!$B32,'Prelim Budget'!$B$9:$B$33,0)),0,IF('Cash Flow'!U32&lt;&gt;0,'Cash Flow'!U32,0))),0)</f>
        <v>0</v>
      </c>
      <c r="W32" s="153">
        <f ca="1">IFERROR(IF(LEFT(OFFSET(W$2,0,-$C32),3)="A&amp;D",-INDEX('Prelim Budget'!$C$9:$C$33,MATCH('Cash Flow'!$B32,'Prelim Budget'!$B$9:$B$33,0))/'Cash Flow'!$E32,IF(SUM('Cash Flow'!$F32:V32)=-INDEX('Prelim Budget'!$C$9:$C$33,MATCH('Cash Flow'!$B32,'Prelim Budget'!$B$9:$B$33,0)),0,IF('Cash Flow'!V32&lt;&gt;0,'Cash Flow'!V32,0))),0)</f>
        <v>0</v>
      </c>
      <c r="X32" s="153">
        <f ca="1">IFERROR(IF(LEFT(OFFSET(X$2,0,-$C32),3)="A&amp;D",-INDEX('Prelim Budget'!$C$9:$C$33,MATCH('Cash Flow'!$B32,'Prelim Budget'!$B$9:$B$33,0))/'Cash Flow'!$E32,IF(SUM('Cash Flow'!$F32:W32)=-INDEX('Prelim Budget'!$C$9:$C$33,MATCH('Cash Flow'!$B32,'Prelim Budget'!$B$9:$B$33,0)),0,IF('Cash Flow'!W32&lt;&gt;0,'Cash Flow'!W32,0))),0)</f>
        <v>0</v>
      </c>
      <c r="Y32" s="153">
        <f ca="1">IFERROR(IF(LEFT(OFFSET(Y$2,0,-$C32),3)="A&amp;D",-INDEX('Prelim Budget'!$C$9:$C$33,MATCH('Cash Flow'!$B32,'Prelim Budget'!$B$9:$B$33,0))/'Cash Flow'!$E32,IF(SUM('Cash Flow'!$F32:X32)=-INDEX('Prelim Budget'!$C$9:$C$33,MATCH('Cash Flow'!$B32,'Prelim Budget'!$B$9:$B$33,0)),0,IF('Cash Flow'!X32&lt;&gt;0,'Cash Flow'!X32,0))),0)</f>
        <v>0</v>
      </c>
      <c r="Z32" s="153">
        <f ca="1">IFERROR(IF(LEFT(OFFSET(Z$2,0,-$C32),3)="A&amp;D",-INDEX('Prelim Budget'!$C$9:$C$33,MATCH('Cash Flow'!$B32,'Prelim Budget'!$B$9:$B$33,0))/'Cash Flow'!$E32,IF(SUM('Cash Flow'!$F32:Y32)=-INDEX('Prelim Budget'!$C$9:$C$33,MATCH('Cash Flow'!$B32,'Prelim Budget'!$B$9:$B$33,0)),0,IF('Cash Flow'!Y32&lt;&gt;0,'Cash Flow'!Y32,0))),0)</f>
        <v>0</v>
      </c>
      <c r="AA32" s="153">
        <f ca="1">IFERROR(IF(LEFT(OFFSET(AA$2,0,-$C32),3)="A&amp;D",-INDEX('Prelim Budget'!$C$9:$C$33,MATCH('Cash Flow'!$B32,'Prelim Budget'!$B$9:$B$33,0))/'Cash Flow'!$E32,IF(SUM('Cash Flow'!$F32:Z32)=-INDEX('Prelim Budget'!$C$9:$C$33,MATCH('Cash Flow'!$B32,'Prelim Budget'!$B$9:$B$33,0)),0,IF('Cash Flow'!Z32&lt;&gt;0,'Cash Flow'!Z32,0))),0)</f>
        <v>0</v>
      </c>
      <c r="AB32" s="153">
        <f ca="1">IFERROR(IF(LEFT(OFFSET(AB$2,0,-$C32),3)="A&amp;D",-INDEX('Prelim Budget'!$C$9:$C$33,MATCH('Cash Flow'!$B32,'Prelim Budget'!$B$9:$B$33,0))/'Cash Flow'!$E32,IF(SUM('Cash Flow'!$F32:AA32)=-INDEX('Prelim Budget'!$C$9:$C$33,MATCH('Cash Flow'!$B32,'Prelim Budget'!$B$9:$B$33,0)),0,IF('Cash Flow'!AA32&lt;&gt;0,'Cash Flow'!AA32,0))),0)</f>
        <v>0</v>
      </c>
      <c r="AC32" s="153">
        <f ca="1">IFERROR(IF(LEFT(OFFSET(AC$2,0,-$C32),3)="A&amp;D",-INDEX('Prelim Budget'!$C$9:$C$33,MATCH('Cash Flow'!$B32,'Prelim Budget'!$B$9:$B$33,0))/'Cash Flow'!$E32,IF(SUM('Cash Flow'!$F32:AB32)=-INDEX('Prelim Budget'!$C$9:$C$33,MATCH('Cash Flow'!$B32,'Prelim Budget'!$B$9:$B$33,0)),0,IF('Cash Flow'!AB32&lt;&gt;0,'Cash Flow'!AB32,0))),0)</f>
        <v>0</v>
      </c>
      <c r="AD32" s="153">
        <f ca="1">IFERROR(IF(LEFT(OFFSET(AD$2,0,-$C32),3)="A&amp;D",-INDEX('Prelim Budget'!$C$9:$C$33,MATCH('Cash Flow'!$B32,'Prelim Budget'!$B$9:$B$33,0))/'Cash Flow'!$E32,IF(SUM('Cash Flow'!$F32:AC32)=-INDEX('Prelim Budget'!$C$9:$C$33,MATCH('Cash Flow'!$B32,'Prelim Budget'!$B$9:$B$33,0)),0,IF('Cash Flow'!AC32&lt;&gt;0,'Cash Flow'!AC32,0))),0)</f>
        <v>0</v>
      </c>
      <c r="AE32" s="153">
        <f ca="1">IFERROR(IF(LEFT(OFFSET(AE$2,0,-$C32),3)="A&amp;D",-INDEX('Prelim Budget'!$C$9:$C$33,MATCH('Cash Flow'!$B32,'Prelim Budget'!$B$9:$B$33,0))/'Cash Flow'!$E32,IF(SUM('Cash Flow'!$F32:AD32)=-INDEX('Prelim Budget'!$C$9:$C$33,MATCH('Cash Flow'!$B32,'Prelim Budget'!$B$9:$B$33,0)),0,IF('Cash Flow'!AD32&lt;&gt;0,'Cash Flow'!AD32,0))),0)</f>
        <v>0</v>
      </c>
      <c r="AF32" s="153">
        <f ca="1">IFERROR(IF(LEFT(OFFSET(AF$2,0,-$C32),3)="A&amp;D",-INDEX('Prelim Budget'!$C$9:$C$33,MATCH('Cash Flow'!$B32,'Prelim Budget'!$B$9:$B$33,0))/'Cash Flow'!$E32,IF(SUM('Cash Flow'!$F32:AE32)=-INDEX('Prelim Budget'!$C$9:$C$33,MATCH('Cash Flow'!$B32,'Prelim Budget'!$B$9:$B$33,0)),0,IF('Cash Flow'!AE32&lt;&gt;0,'Cash Flow'!AE32,0))),0)</f>
        <v>0</v>
      </c>
      <c r="AG32" s="153">
        <f ca="1">IFERROR(IF(LEFT(OFFSET(AG$2,0,-$C32),3)="A&amp;D",-INDEX('Prelim Budget'!$C$9:$C$33,MATCH('Cash Flow'!$B32,'Prelim Budget'!$B$9:$B$33,0))/'Cash Flow'!$E32,IF(SUM('Cash Flow'!$F32:AF32)=-INDEX('Prelim Budget'!$C$9:$C$33,MATCH('Cash Flow'!$B32,'Prelim Budget'!$B$9:$B$33,0)),0,IF('Cash Flow'!AF32&lt;&gt;0,'Cash Flow'!AF32,0))),0)</f>
        <v>0</v>
      </c>
      <c r="AH32" s="153">
        <f ca="1">IFERROR(IF(LEFT(OFFSET(AH$2,0,-$C32),3)="A&amp;D",-INDEX('Prelim Budget'!$C$9:$C$33,MATCH('Cash Flow'!$B32,'Prelim Budget'!$B$9:$B$33,0))/'Cash Flow'!$E32,IF(SUM('Cash Flow'!$F32:AG32)=-INDEX('Prelim Budget'!$C$9:$C$33,MATCH('Cash Flow'!$B32,'Prelim Budget'!$B$9:$B$33,0)),0,IF('Cash Flow'!AG32&lt;&gt;0,'Cash Flow'!AG32,0))),0)</f>
        <v>0</v>
      </c>
      <c r="AI32" s="153">
        <f ca="1">IFERROR(IF(LEFT(OFFSET(AI$2,0,-$C32),3)="A&amp;D",-INDEX('Prelim Budget'!$C$9:$C$33,MATCH('Cash Flow'!$B32,'Prelim Budget'!$B$9:$B$33,0))/'Cash Flow'!$E32,IF(SUM('Cash Flow'!$F32:AH32)=-INDEX('Prelim Budget'!$C$9:$C$33,MATCH('Cash Flow'!$B32,'Prelim Budget'!$B$9:$B$33,0)),0,IF('Cash Flow'!AH32&lt;&gt;0,'Cash Flow'!AH32,0))),0)</f>
        <v>0</v>
      </c>
      <c r="AJ32" s="153">
        <f ca="1">IFERROR(IF(LEFT(OFFSET(AJ$2,0,-$C32),3)="A&amp;D",-INDEX('Prelim Budget'!$C$9:$C$33,MATCH('Cash Flow'!$B32,'Prelim Budget'!$B$9:$B$33,0))/'Cash Flow'!$E32,IF(SUM('Cash Flow'!$F32:AI32)=-INDEX('Prelim Budget'!$C$9:$C$33,MATCH('Cash Flow'!$B32,'Prelim Budget'!$B$9:$B$33,0)),0,IF('Cash Flow'!AI32&lt;&gt;0,'Cash Flow'!AI32,0))),0)</f>
        <v>0</v>
      </c>
      <c r="AK32" s="153">
        <f ca="1">IFERROR(IF(LEFT(OFFSET(AK$2,0,-$C32),3)="A&amp;D",-INDEX('Prelim Budget'!$C$9:$C$33,MATCH('Cash Flow'!$B32,'Prelim Budget'!$B$9:$B$33,0))/'Cash Flow'!$E32,IF(SUM('Cash Flow'!$F32:AJ32)=-INDEX('Prelim Budget'!$C$9:$C$33,MATCH('Cash Flow'!$B32,'Prelim Budget'!$B$9:$B$33,0)),0,IF('Cash Flow'!AJ32&lt;&gt;0,'Cash Flow'!AJ32,0))),0)</f>
        <v>0</v>
      </c>
      <c r="AL32" s="153">
        <f ca="1">IFERROR(IF(LEFT(OFFSET(AL$2,0,-$C32),3)="A&amp;D",-INDEX('Prelim Budget'!$C$9:$C$33,MATCH('Cash Flow'!$B32,'Prelim Budget'!$B$9:$B$33,0))/'Cash Flow'!$E32,IF(SUM('Cash Flow'!$F32:AK32)=-INDEX('Prelim Budget'!$C$9:$C$33,MATCH('Cash Flow'!$B32,'Prelim Budget'!$B$9:$B$33,0)),0,IF('Cash Flow'!AK32&lt;&gt;0,'Cash Flow'!AK32,0))),0)</f>
        <v>0</v>
      </c>
      <c r="AM32" s="153">
        <f ca="1">IFERROR(IF(LEFT(OFFSET(AM$2,0,-$C32),3)="A&amp;D",-INDEX('Prelim Budget'!$C$9:$C$33,MATCH('Cash Flow'!$B32,'Prelim Budget'!$B$9:$B$33,0))/'Cash Flow'!$E32,IF(SUM('Cash Flow'!$F32:AL32)=-INDEX('Prelim Budget'!$C$9:$C$33,MATCH('Cash Flow'!$B32,'Prelim Budget'!$B$9:$B$33,0)),0,IF('Cash Flow'!AL32&lt;&gt;0,'Cash Flow'!AL32,0))),0)</f>
        <v>0</v>
      </c>
      <c r="AN32" s="153">
        <f ca="1">IFERROR(IF(LEFT(OFFSET(AN$2,0,-$C32),3)="A&amp;D",-INDEX('Prelim Budget'!$C$9:$C$33,MATCH('Cash Flow'!$B32,'Prelim Budget'!$B$9:$B$33,0))/'Cash Flow'!$E32,IF(SUM('Cash Flow'!$F32:AM32)=-INDEX('Prelim Budget'!$C$9:$C$33,MATCH('Cash Flow'!$B32,'Prelim Budget'!$B$9:$B$33,0)),0,IF('Cash Flow'!AM32&lt;&gt;0,'Cash Flow'!AM32,0))),0)</f>
        <v>0</v>
      </c>
      <c r="AO32" s="153">
        <f ca="1">IFERROR(IF(LEFT(OFFSET(AO$2,0,-$C32),3)="A&amp;D",-INDEX('Prelim Budget'!$C$9:$C$33,MATCH('Cash Flow'!$B32,'Prelim Budget'!$B$9:$B$33,0))/'Cash Flow'!$E32,IF(SUM('Cash Flow'!$F32:AN32)=-INDEX('Prelim Budget'!$C$9:$C$33,MATCH('Cash Flow'!$B32,'Prelim Budget'!$B$9:$B$33,0)),0,IF('Cash Flow'!AN32&lt;&gt;0,'Cash Flow'!AN32,0))),0)</f>
        <v>0</v>
      </c>
      <c r="AP32" s="153">
        <f ca="1">IFERROR(IF(LEFT(OFFSET(AP$2,0,-$C32),3)="A&amp;D",-INDEX('Prelim Budget'!$C$9:$C$33,MATCH('Cash Flow'!$B32,'Prelim Budget'!$B$9:$B$33,0))/'Cash Flow'!$E32,IF(SUM('Cash Flow'!$F32:AO32)=-INDEX('Prelim Budget'!$C$9:$C$33,MATCH('Cash Flow'!$B32,'Prelim Budget'!$B$9:$B$33,0)),0,IF('Cash Flow'!AO32&lt;&gt;0,'Cash Flow'!AO32,0))),0)</f>
        <v>0</v>
      </c>
      <c r="AQ32" s="153">
        <f ca="1">IFERROR(IF(LEFT(OFFSET(AQ$2,0,-$C32),3)="A&amp;D",-INDEX('Prelim Budget'!$C$9:$C$33,MATCH('Cash Flow'!$B32,'Prelim Budget'!$B$9:$B$33,0))/'Cash Flow'!$E32,IF(SUM('Cash Flow'!$F32:AP32)=-INDEX('Prelim Budget'!$C$9:$C$33,MATCH('Cash Flow'!$B32,'Prelim Budget'!$B$9:$B$33,0)),0,IF('Cash Flow'!AP32&lt;&gt;0,'Cash Flow'!AP32,0))),0)</f>
        <v>0</v>
      </c>
      <c r="AR32" s="153">
        <f ca="1">IFERROR(IF(LEFT(OFFSET(AR$2,0,-$C32),3)="A&amp;D",-INDEX('Prelim Budget'!$C$9:$C$33,MATCH('Cash Flow'!$B32,'Prelim Budget'!$B$9:$B$33,0))/'Cash Flow'!$E32,IF(SUM('Cash Flow'!$F32:AQ32)=-INDEX('Prelim Budget'!$C$9:$C$33,MATCH('Cash Flow'!$B32,'Prelim Budget'!$B$9:$B$33,0)),0,IF('Cash Flow'!AQ32&lt;&gt;0,'Cash Flow'!AQ32,0))),0)</f>
        <v>0</v>
      </c>
      <c r="AS32" s="153">
        <f ca="1">IFERROR(IF(LEFT(OFFSET(AS$2,0,-$C32),3)="A&amp;D",-INDEX('Prelim Budget'!$C$9:$C$33,MATCH('Cash Flow'!$B32,'Prelim Budget'!$B$9:$B$33,0))/'Cash Flow'!$E32,IF(SUM('Cash Flow'!$F32:AR32)=-INDEX('Prelim Budget'!$C$9:$C$33,MATCH('Cash Flow'!$B32,'Prelim Budget'!$B$9:$B$33,0)),0,IF('Cash Flow'!AR32&lt;&gt;0,'Cash Flow'!AR32,0))),0)</f>
        <v>0</v>
      </c>
      <c r="AT32" s="153">
        <f ca="1">IFERROR(IF(LEFT(OFFSET(AT$2,0,-$C32),3)="A&amp;D",-INDEX('Prelim Budget'!$C$9:$C$33,MATCH('Cash Flow'!$B32,'Prelim Budget'!$B$9:$B$33,0))/'Cash Flow'!$E32,IF(SUM('Cash Flow'!$F32:AS32)=-INDEX('Prelim Budget'!$C$9:$C$33,MATCH('Cash Flow'!$B32,'Prelim Budget'!$B$9:$B$33,0)),0,IF('Cash Flow'!AS32&lt;&gt;0,'Cash Flow'!AS32,0))),0)</f>
        <v>0</v>
      </c>
      <c r="AU32" s="153">
        <f ca="1">IFERROR(IF(LEFT(OFFSET(AU$2,0,-$C32),3)="A&amp;D",-INDEX('Prelim Budget'!$C$9:$C$33,MATCH('Cash Flow'!$B32,'Prelim Budget'!$B$9:$B$33,0))/'Cash Flow'!$E32,IF(SUM('Cash Flow'!$F32:AT32)=-INDEX('Prelim Budget'!$C$9:$C$33,MATCH('Cash Flow'!$B32,'Prelim Budget'!$B$9:$B$33,0)),0,IF('Cash Flow'!AT32&lt;&gt;0,'Cash Flow'!AT32,0))),0)</f>
        <v>0</v>
      </c>
      <c r="AV32" s="153">
        <f ca="1">IFERROR(IF(LEFT(OFFSET(AV$2,0,-$C32),3)="A&amp;D",-INDEX('Prelim Budget'!$C$9:$C$33,MATCH('Cash Flow'!$B32,'Prelim Budget'!$B$9:$B$33,0))/'Cash Flow'!$E32,IF(SUM('Cash Flow'!$F32:AU32)=-INDEX('Prelim Budget'!$C$9:$C$33,MATCH('Cash Flow'!$B32,'Prelim Budget'!$B$9:$B$33,0)),0,IF('Cash Flow'!AU32&lt;&gt;0,'Cash Flow'!AU32,0))),0)</f>
        <v>0</v>
      </c>
      <c r="AW32" s="153">
        <f ca="1">IFERROR(IF(LEFT(OFFSET(AW$2,0,-$C32),3)="A&amp;D",-INDEX('Prelim Budget'!$C$9:$C$33,MATCH('Cash Flow'!$B32,'Prelim Budget'!$B$9:$B$33,0))/'Cash Flow'!$E32,IF(SUM('Cash Flow'!$F32:AV32)=-INDEX('Prelim Budget'!$C$9:$C$33,MATCH('Cash Flow'!$B32,'Prelim Budget'!$B$9:$B$33,0)),0,IF('Cash Flow'!AV32&lt;&gt;0,'Cash Flow'!AV32,0))),0)</f>
        <v>0</v>
      </c>
      <c r="AX32" s="153">
        <f ca="1">IFERROR(IF(LEFT(OFFSET(AX$2,0,-$C32),3)="A&amp;D",-INDEX('Prelim Budget'!$C$9:$C$33,MATCH('Cash Flow'!$B32,'Prelim Budget'!$B$9:$B$33,0))/'Cash Flow'!$E32,IF(SUM('Cash Flow'!$F32:AW32)=-INDEX('Prelim Budget'!$C$9:$C$33,MATCH('Cash Flow'!$B32,'Prelim Budget'!$B$9:$B$33,0)),0,IF('Cash Flow'!AW32&lt;&gt;0,'Cash Flow'!AW32,0))),0)</f>
        <v>0</v>
      </c>
      <c r="AY32" s="153">
        <f ca="1">IFERROR(IF(LEFT(OFFSET(AY$2,0,-$C32),3)="A&amp;D",-INDEX('Prelim Budget'!$C$9:$C$33,MATCH('Cash Flow'!$B32,'Prelim Budget'!$B$9:$B$33,0))/'Cash Flow'!$E32,IF(SUM('Cash Flow'!$F32:AX32)=-INDEX('Prelim Budget'!$C$9:$C$33,MATCH('Cash Flow'!$B32,'Prelim Budget'!$B$9:$B$33,0)),0,IF('Cash Flow'!AX32&lt;&gt;0,'Cash Flow'!AX32,0))),0)</f>
        <v>0</v>
      </c>
      <c r="AZ32" s="153">
        <f ca="1">IFERROR(IF(LEFT(OFFSET(AZ$2,0,-$C32),3)="A&amp;D",-INDEX('Prelim Budget'!$C$9:$C$33,MATCH('Cash Flow'!$B32,'Prelim Budget'!$B$9:$B$33,0))/'Cash Flow'!$E32,IF(SUM('Cash Flow'!$F32:AY32)=-INDEX('Prelim Budget'!$C$9:$C$33,MATCH('Cash Flow'!$B32,'Prelim Budget'!$B$9:$B$33,0)),0,IF('Cash Flow'!AY32&lt;&gt;0,'Cash Flow'!AY32,0))),0)</f>
        <v>0</v>
      </c>
      <c r="BA32" s="153">
        <f ca="1">IFERROR(IF(LEFT(OFFSET(BA$2,0,-$C32),3)="A&amp;D",-INDEX('Prelim Budget'!$C$9:$C$33,MATCH('Cash Flow'!$B32,'Prelim Budget'!$B$9:$B$33,0))/'Cash Flow'!$E32,IF(SUM('Cash Flow'!$F32:AZ32)=-INDEX('Prelim Budget'!$C$9:$C$33,MATCH('Cash Flow'!$B32,'Prelim Budget'!$B$9:$B$33,0)),0,IF('Cash Flow'!AZ32&lt;&gt;0,'Cash Flow'!AZ32,0))),0)</f>
        <v>0</v>
      </c>
      <c r="BB32" s="153">
        <f ca="1">IFERROR(IF(LEFT(OFFSET(BB$2,0,-$C32),3)="A&amp;D",-INDEX('Prelim Budget'!$C$9:$C$33,MATCH('Cash Flow'!$B32,'Prelim Budget'!$B$9:$B$33,0))/'Cash Flow'!$E32,IF(SUM('Cash Flow'!$F32:BA32)=-INDEX('Prelim Budget'!$C$9:$C$33,MATCH('Cash Flow'!$B32,'Prelim Budget'!$B$9:$B$33,0)),0,IF('Cash Flow'!BA32&lt;&gt;0,'Cash Flow'!BA32,0))),0)</f>
        <v>0</v>
      </c>
      <c r="BC32" s="153">
        <f ca="1">IFERROR(IF(LEFT(OFFSET(BC$2,0,-$C32),3)="A&amp;D",-INDEX('Prelim Budget'!$C$9:$C$33,MATCH('Cash Flow'!$B32,'Prelim Budget'!$B$9:$B$33,0))/'Cash Flow'!$E32,IF(SUM('Cash Flow'!$F32:BB32)=-INDEX('Prelim Budget'!$C$9:$C$33,MATCH('Cash Flow'!$B32,'Prelim Budget'!$B$9:$B$33,0)),0,IF('Cash Flow'!BB32&lt;&gt;0,'Cash Flow'!BB32,0))),0)</f>
        <v>0</v>
      </c>
      <c r="BD32" s="153">
        <f ca="1">IFERROR(IF(LEFT(OFFSET(BD$2,0,-$C32),3)="A&amp;D",-INDEX('Prelim Budget'!$C$9:$C$33,MATCH('Cash Flow'!$B32,'Prelim Budget'!$B$9:$B$33,0))/'Cash Flow'!$E32,IF(SUM('Cash Flow'!$F32:BC32)=-INDEX('Prelim Budget'!$C$9:$C$33,MATCH('Cash Flow'!$B32,'Prelim Budget'!$B$9:$B$33,0)),0,IF('Cash Flow'!BC32&lt;&gt;0,'Cash Flow'!BC32,0))),0)</f>
        <v>0</v>
      </c>
      <c r="BE32" s="153">
        <f ca="1">IFERROR(IF(LEFT(OFFSET(BE$2,0,-$C32),3)="A&amp;D",-INDEX('Prelim Budget'!$C$9:$C$33,MATCH('Cash Flow'!$B32,'Prelim Budget'!$B$9:$B$33,0))/'Cash Flow'!$E32,IF(SUM('Cash Flow'!$F32:BD32)=-INDEX('Prelim Budget'!$C$9:$C$33,MATCH('Cash Flow'!$B32,'Prelim Budget'!$B$9:$B$33,0)),0,IF('Cash Flow'!BD32&lt;&gt;0,'Cash Flow'!BD32,0))),0)</f>
        <v>0</v>
      </c>
      <c r="BF32" s="153">
        <f ca="1">IFERROR(IF(LEFT(OFFSET(BF$2,0,-$C32),3)="A&amp;D",-INDEX('Prelim Budget'!$C$9:$C$33,MATCH('Cash Flow'!$B32,'Prelim Budget'!$B$9:$B$33,0))/'Cash Flow'!$E32,IF(SUM('Cash Flow'!$F32:BE32)=-INDEX('Prelim Budget'!$C$9:$C$33,MATCH('Cash Flow'!$B32,'Prelim Budget'!$B$9:$B$33,0)),0,IF('Cash Flow'!BE32&lt;&gt;0,'Cash Flow'!BE32,0))),0)</f>
        <v>0</v>
      </c>
      <c r="BG32" s="153">
        <f ca="1">IFERROR(IF(LEFT(OFFSET(BG$2,0,-$C32),3)="A&amp;D",-INDEX('Prelim Budget'!$C$9:$C$33,MATCH('Cash Flow'!$B32,'Prelim Budget'!$B$9:$B$33,0))/'Cash Flow'!$E32,IF(SUM('Cash Flow'!$F32:BF32)=-INDEX('Prelim Budget'!$C$9:$C$33,MATCH('Cash Flow'!$B32,'Prelim Budget'!$B$9:$B$33,0)),0,IF('Cash Flow'!BF32&lt;&gt;0,'Cash Flow'!BF32,0))),0)</f>
        <v>0</v>
      </c>
      <c r="BH32" s="153">
        <f ca="1">IFERROR(IF(LEFT(OFFSET(BH$2,0,-$C32),3)="A&amp;D",-INDEX('Prelim Budget'!$C$9:$C$33,MATCH('Cash Flow'!$B32,'Prelim Budget'!$B$9:$B$33,0))/'Cash Flow'!$E32,IF(SUM('Cash Flow'!$F32:BG32)=-INDEX('Prelim Budget'!$C$9:$C$33,MATCH('Cash Flow'!$B32,'Prelim Budget'!$B$9:$B$33,0)),0,IF('Cash Flow'!BG32&lt;&gt;0,'Cash Flow'!BG32,0))),0)</f>
        <v>0</v>
      </c>
      <c r="BI32" s="153">
        <f ca="1">IFERROR(IF(LEFT(OFFSET(BI$2,0,-$C32),3)="A&amp;D",-INDEX('Prelim Budget'!$C$9:$C$33,MATCH('Cash Flow'!$B32,'Prelim Budget'!$B$9:$B$33,0))/'Cash Flow'!$E32,IF(SUM('Cash Flow'!$F32:BH32)=-INDEX('Prelim Budget'!$C$9:$C$33,MATCH('Cash Flow'!$B32,'Prelim Budget'!$B$9:$B$33,0)),0,IF('Cash Flow'!BH32&lt;&gt;0,'Cash Flow'!BH32,0))),0)</f>
        <v>0</v>
      </c>
      <c r="BJ32" s="153">
        <f ca="1">IFERROR(IF(LEFT(OFFSET(BJ$2,0,-$C32),3)="A&amp;D",-INDEX('Prelim Budget'!$C$9:$C$33,MATCH('Cash Flow'!$B32,'Prelim Budget'!$B$9:$B$33,0))/'Cash Flow'!$E32,IF(SUM('Cash Flow'!$F32:BI32)=-INDEX('Prelim Budget'!$C$9:$C$33,MATCH('Cash Flow'!$B32,'Prelim Budget'!$B$9:$B$33,0)),0,IF('Cash Flow'!BI32&lt;&gt;0,'Cash Flow'!BI32,0))),0)</f>
        <v>0</v>
      </c>
      <c r="BK32" s="153">
        <f ca="1">IFERROR(IF(LEFT(OFFSET(BK$2,0,-$C32),3)="A&amp;D",-INDEX('Prelim Budget'!$C$9:$C$33,MATCH('Cash Flow'!$B32,'Prelim Budget'!$B$9:$B$33,0))/'Cash Flow'!$E32,IF(SUM('Cash Flow'!$F32:BJ32)=-INDEX('Prelim Budget'!$C$9:$C$33,MATCH('Cash Flow'!$B32,'Prelim Budget'!$B$9:$B$33,0)),0,IF('Cash Flow'!BJ32&lt;&gt;0,'Cash Flow'!BJ32,0))),0)</f>
        <v>0</v>
      </c>
      <c r="BL32" s="153">
        <f ca="1">IFERROR(IF(LEFT(OFFSET(BL$2,0,-$C32),3)="A&amp;D",-INDEX('Prelim Budget'!$C$9:$C$33,MATCH('Cash Flow'!$B32,'Prelim Budget'!$B$9:$B$33,0))/'Cash Flow'!$E32,IF(SUM('Cash Flow'!$F32:BK32)=-INDEX('Prelim Budget'!$C$9:$C$33,MATCH('Cash Flow'!$B32,'Prelim Budget'!$B$9:$B$33,0)),0,IF('Cash Flow'!BK32&lt;&gt;0,'Cash Flow'!BK32,0))),0)</f>
        <v>0</v>
      </c>
      <c r="BM32" s="153">
        <f ca="1">IFERROR(IF(LEFT(OFFSET(BM$2,0,-$C32),3)="A&amp;D",-INDEX('Prelim Budget'!$C$9:$C$33,MATCH('Cash Flow'!$B32,'Prelim Budget'!$B$9:$B$33,0))/'Cash Flow'!$E32,IF(SUM('Cash Flow'!$F32:BL32)=-INDEX('Prelim Budget'!$C$9:$C$33,MATCH('Cash Flow'!$B32,'Prelim Budget'!$B$9:$B$33,0)),0,IF('Cash Flow'!BL32&lt;&gt;0,'Cash Flow'!BL32,0))),0)</f>
        <v>0</v>
      </c>
      <c r="BN32" s="153">
        <f ca="1">IFERROR(IF(LEFT(OFFSET(BN$2,0,-$C32),3)="A&amp;D",-INDEX('Prelim Budget'!$C$9:$C$33,MATCH('Cash Flow'!$B32,'Prelim Budget'!$B$9:$B$33,0))/'Cash Flow'!$E32,IF(SUM('Cash Flow'!$F32:BM32)=-INDEX('Prelim Budget'!$C$9:$C$33,MATCH('Cash Flow'!$B32,'Prelim Budget'!$B$9:$B$33,0)),0,IF('Cash Flow'!BM32&lt;&gt;0,'Cash Flow'!BM32,0))),0)</f>
        <v>0</v>
      </c>
      <c r="BO32" s="50">
        <f ca="1">IFERROR(IF(LEFT(OFFSET(BO$2,0,-$C32),3)="A&amp;D",-INDEX('Prelim Budget'!$C$9:$C$33,MATCH('Cash Flow'!$B32,'Prelim Budget'!$B$9:$B$33,0))/'Cash Flow'!$E32,IF(SUM('Cash Flow'!$F32:BN32)=-INDEX('Prelim Budget'!$C$9:$C$33,MATCH('Cash Flow'!$B32,'Prelim Budget'!$B$9:$B$33,0)),0,IF('Cash Flow'!BN32&lt;&gt;0,'Cash Flow'!BN32,0))),0)</f>
        <v>0</v>
      </c>
    </row>
    <row r="33" spans="2:67" ht="14.05" customHeight="1" x14ac:dyDescent="0.4">
      <c r="B33" s="123" t="s">
        <v>158</v>
      </c>
      <c r="C33" s="80">
        <v>0</v>
      </c>
      <c r="D33" s="153">
        <f t="shared" ca="1" si="11"/>
        <v>0</v>
      </c>
      <c r="E33" s="82">
        <v>0</v>
      </c>
      <c r="F33" s="157"/>
      <c r="G33" s="134">
        <f ca="1">IFERROR(IF(LEFT(OFFSET(G$2,0,-$C33),3)="A&amp;D",-INDEX('Prelim Budget'!$C$9:$C$33,MATCH('Cash Flow'!$B33,'Prelim Budget'!$B$9:$B$33,0))/'Cash Flow'!$E33,IF(SUM('Cash Flow'!$F33:F33)=-INDEX('Prelim Budget'!$C$9:$C$33,MATCH('Cash Flow'!$B33,'Prelim Budget'!$B$9:$B$33,0)),0,IF('Cash Flow'!F33&lt;&gt;0,'Cash Flow'!F33,0))),0)</f>
        <v>0</v>
      </c>
      <c r="H33" s="153">
        <f ca="1">IFERROR(IF(LEFT(OFFSET(H$2,0,-$C33),3)="A&amp;D",-INDEX('Prelim Budget'!$C$9:$C$33,MATCH('Cash Flow'!$B33,'Prelim Budget'!$B$9:$B$33,0))/'Cash Flow'!$E33,IF(SUM('Cash Flow'!$F33:G33)=-INDEX('Prelim Budget'!$C$9:$C$33,MATCH('Cash Flow'!$B33,'Prelim Budget'!$B$9:$B$33,0)),0,IF('Cash Flow'!G33&lt;&gt;0,'Cash Flow'!G33,0))),0)</f>
        <v>0</v>
      </c>
      <c r="I33" s="153">
        <f ca="1">IFERROR(IF(LEFT(OFFSET(I$2,0,-$C33),3)="A&amp;D",-INDEX('Prelim Budget'!$C$9:$C$33,MATCH('Cash Flow'!$B33,'Prelim Budget'!$B$9:$B$33,0))/'Cash Flow'!$E33,IF(SUM('Cash Flow'!$F33:H33)=-INDEX('Prelim Budget'!$C$9:$C$33,MATCH('Cash Flow'!$B33,'Prelim Budget'!$B$9:$B$33,0)),0,IF('Cash Flow'!H33&lt;&gt;0,'Cash Flow'!H33,0))),0)</f>
        <v>0</v>
      </c>
      <c r="J33" s="153">
        <f ca="1">IFERROR(IF(LEFT(OFFSET(J$2,0,-$C33),3)="A&amp;D",-INDEX('Prelim Budget'!$C$9:$C$33,MATCH('Cash Flow'!$B33,'Prelim Budget'!$B$9:$B$33,0))/'Cash Flow'!$E33,IF(SUM('Cash Flow'!$F33:I33)=-INDEX('Prelim Budget'!$C$9:$C$33,MATCH('Cash Flow'!$B33,'Prelim Budget'!$B$9:$B$33,0)),0,IF('Cash Flow'!I33&lt;&gt;0,'Cash Flow'!I33,0))),0)</f>
        <v>0</v>
      </c>
      <c r="K33" s="153">
        <f ca="1">IFERROR(IF(LEFT(OFFSET(K$2,0,-$C33),3)="A&amp;D",-INDEX('Prelim Budget'!$C$9:$C$33,MATCH('Cash Flow'!$B33,'Prelim Budget'!$B$9:$B$33,0))/'Cash Flow'!$E33,IF(SUM('Cash Flow'!$F33:J33)=-INDEX('Prelim Budget'!$C$9:$C$33,MATCH('Cash Flow'!$B33,'Prelim Budget'!$B$9:$B$33,0)),0,IF('Cash Flow'!J33&lt;&gt;0,'Cash Flow'!J33,0))),0)</f>
        <v>0</v>
      </c>
      <c r="L33" s="153">
        <f ca="1">IFERROR(IF(LEFT(OFFSET(L$2,0,-$C33),3)="A&amp;D",-INDEX('Prelim Budget'!$C$9:$C$33,MATCH('Cash Flow'!$B33,'Prelim Budget'!$B$9:$B$33,0))/'Cash Flow'!$E33,IF(SUM('Cash Flow'!$F33:K33)=-INDEX('Prelim Budget'!$C$9:$C$33,MATCH('Cash Flow'!$B33,'Prelim Budget'!$B$9:$B$33,0)),0,IF('Cash Flow'!K33&lt;&gt;0,'Cash Flow'!K33,0))),0)</f>
        <v>0</v>
      </c>
      <c r="M33" s="153">
        <f ca="1">IFERROR(IF(LEFT(OFFSET(M$2,0,-$C33),3)="A&amp;D",-INDEX('Prelim Budget'!$C$9:$C$33,MATCH('Cash Flow'!$B33,'Prelim Budget'!$B$9:$B$33,0))/'Cash Flow'!$E33,IF(SUM('Cash Flow'!$F33:L33)=-INDEX('Prelim Budget'!$C$9:$C$33,MATCH('Cash Flow'!$B33,'Prelim Budget'!$B$9:$B$33,0)),0,IF('Cash Flow'!L33&lt;&gt;0,'Cash Flow'!L33,0))),0)</f>
        <v>0</v>
      </c>
      <c r="N33" s="153">
        <f ca="1">IFERROR(IF(LEFT(OFFSET(N$2,0,-$C33),3)="A&amp;D",-INDEX('Prelim Budget'!$C$9:$C$33,MATCH('Cash Flow'!$B33,'Prelim Budget'!$B$9:$B$33,0))/'Cash Flow'!$E33,IF(SUM('Cash Flow'!$F33:M33)=-INDEX('Prelim Budget'!$C$9:$C$33,MATCH('Cash Flow'!$B33,'Prelim Budget'!$B$9:$B$33,0)),0,IF('Cash Flow'!M33&lt;&gt;0,'Cash Flow'!M33,0))),0)</f>
        <v>0</v>
      </c>
      <c r="O33" s="153">
        <f ca="1">IFERROR(IF(LEFT(OFFSET(O$2,0,-$C33),3)="A&amp;D",-INDEX('Prelim Budget'!$C$9:$C$33,MATCH('Cash Flow'!$B33,'Prelim Budget'!$B$9:$B$33,0))/'Cash Flow'!$E33,IF(SUM('Cash Flow'!$F33:N33)=-INDEX('Prelim Budget'!$C$9:$C$33,MATCH('Cash Flow'!$B33,'Prelim Budget'!$B$9:$B$33,0)),0,IF('Cash Flow'!N33&lt;&gt;0,'Cash Flow'!N33,0))),0)</f>
        <v>0</v>
      </c>
      <c r="P33" s="153">
        <f ca="1">IFERROR(IF(LEFT(OFFSET(P$2,0,-$C33),3)="A&amp;D",-INDEX('Prelim Budget'!$C$9:$C$33,MATCH('Cash Flow'!$B33,'Prelim Budget'!$B$9:$B$33,0))/'Cash Flow'!$E33,IF(SUM('Cash Flow'!$F33:O33)=-INDEX('Prelim Budget'!$C$9:$C$33,MATCH('Cash Flow'!$B33,'Prelim Budget'!$B$9:$B$33,0)),0,IF('Cash Flow'!O33&lt;&gt;0,'Cash Flow'!O33,0))),0)</f>
        <v>0</v>
      </c>
      <c r="Q33" s="153">
        <f ca="1">IFERROR(IF(LEFT(OFFSET(Q$2,0,-$C33),3)="A&amp;D",-INDEX('Prelim Budget'!$C$9:$C$33,MATCH('Cash Flow'!$B33,'Prelim Budget'!$B$9:$B$33,0))/'Cash Flow'!$E33,IF(SUM('Cash Flow'!$F33:P33)=-INDEX('Prelim Budget'!$C$9:$C$33,MATCH('Cash Flow'!$B33,'Prelim Budget'!$B$9:$B$33,0)),0,IF('Cash Flow'!P33&lt;&gt;0,'Cash Flow'!P33,0))),0)</f>
        <v>0</v>
      </c>
      <c r="R33" s="153">
        <f ca="1">IFERROR(IF(LEFT(OFFSET(R$2,0,-$C33),3)="A&amp;D",-INDEX('Prelim Budget'!$C$9:$C$33,MATCH('Cash Flow'!$B33,'Prelim Budget'!$B$9:$B$33,0))/'Cash Flow'!$E33,IF(SUM('Cash Flow'!$F33:Q33)=-INDEX('Prelim Budget'!$C$9:$C$33,MATCH('Cash Flow'!$B33,'Prelim Budget'!$B$9:$B$33,0)),0,IF('Cash Flow'!Q33&lt;&gt;0,'Cash Flow'!Q33,0))),0)</f>
        <v>0</v>
      </c>
      <c r="S33" s="153">
        <f ca="1">IFERROR(IF(LEFT(OFFSET(S$2,0,-$C33),3)="A&amp;D",-INDEX('Prelim Budget'!$C$9:$C$33,MATCH('Cash Flow'!$B33,'Prelim Budget'!$B$9:$B$33,0))/'Cash Flow'!$E33,IF(SUM('Cash Flow'!$F33:R33)=-INDEX('Prelim Budget'!$C$9:$C$33,MATCH('Cash Flow'!$B33,'Prelim Budget'!$B$9:$B$33,0)),0,IF('Cash Flow'!R33&lt;&gt;0,'Cash Flow'!R33,0))),0)</f>
        <v>0</v>
      </c>
      <c r="T33" s="153">
        <f ca="1">IFERROR(IF(LEFT(OFFSET(T$2,0,-$C33),3)="A&amp;D",-INDEX('Prelim Budget'!$C$9:$C$33,MATCH('Cash Flow'!$B33,'Prelim Budget'!$B$9:$B$33,0))/'Cash Flow'!$E33,IF(SUM('Cash Flow'!$F33:S33)=-INDEX('Prelim Budget'!$C$9:$C$33,MATCH('Cash Flow'!$B33,'Prelim Budget'!$B$9:$B$33,0)),0,IF('Cash Flow'!S33&lt;&gt;0,'Cash Flow'!S33,0))),0)</f>
        <v>0</v>
      </c>
      <c r="U33" s="153">
        <f ca="1">IFERROR(IF(LEFT(OFFSET(U$2,0,-$C33),3)="A&amp;D",-INDEX('Prelim Budget'!$C$9:$C$33,MATCH('Cash Flow'!$B33,'Prelim Budget'!$B$9:$B$33,0))/'Cash Flow'!$E33,IF(SUM('Cash Flow'!$F33:T33)=-INDEX('Prelim Budget'!$C$9:$C$33,MATCH('Cash Flow'!$B33,'Prelim Budget'!$B$9:$B$33,0)),0,IF('Cash Flow'!T33&lt;&gt;0,'Cash Flow'!T33,0))),0)</f>
        <v>0</v>
      </c>
      <c r="V33" s="153">
        <f ca="1">IFERROR(IF(LEFT(OFFSET(V$2,0,-$C33),3)="A&amp;D",-INDEX('Prelim Budget'!$C$9:$C$33,MATCH('Cash Flow'!$B33,'Prelim Budget'!$B$9:$B$33,0))/'Cash Flow'!$E33,IF(SUM('Cash Flow'!$F33:U33)=-INDEX('Prelim Budget'!$C$9:$C$33,MATCH('Cash Flow'!$B33,'Prelim Budget'!$B$9:$B$33,0)),0,IF('Cash Flow'!U33&lt;&gt;0,'Cash Flow'!U33,0))),0)</f>
        <v>0</v>
      </c>
      <c r="W33" s="153">
        <f ca="1">IFERROR(IF(LEFT(OFFSET(W$2,0,-$C33),3)="A&amp;D",-INDEX('Prelim Budget'!$C$9:$C$33,MATCH('Cash Flow'!$B33,'Prelim Budget'!$B$9:$B$33,0))/'Cash Flow'!$E33,IF(SUM('Cash Flow'!$F33:V33)=-INDEX('Prelim Budget'!$C$9:$C$33,MATCH('Cash Flow'!$B33,'Prelim Budget'!$B$9:$B$33,0)),0,IF('Cash Flow'!V33&lt;&gt;0,'Cash Flow'!V33,0))),0)</f>
        <v>0</v>
      </c>
      <c r="X33" s="153">
        <f ca="1">IFERROR(IF(LEFT(OFFSET(X$2,0,-$C33),3)="A&amp;D",-INDEX('Prelim Budget'!$C$9:$C$33,MATCH('Cash Flow'!$B33,'Prelim Budget'!$B$9:$B$33,0))/'Cash Flow'!$E33,IF(SUM('Cash Flow'!$F33:W33)=-INDEX('Prelim Budget'!$C$9:$C$33,MATCH('Cash Flow'!$B33,'Prelim Budget'!$B$9:$B$33,0)),0,IF('Cash Flow'!W33&lt;&gt;0,'Cash Flow'!W33,0))),0)</f>
        <v>0</v>
      </c>
      <c r="Y33" s="153">
        <f ca="1">IFERROR(IF(LEFT(OFFSET(Y$2,0,-$C33),3)="A&amp;D",-INDEX('Prelim Budget'!$C$9:$C$33,MATCH('Cash Flow'!$B33,'Prelim Budget'!$B$9:$B$33,0))/'Cash Flow'!$E33,IF(SUM('Cash Flow'!$F33:X33)=-INDEX('Prelim Budget'!$C$9:$C$33,MATCH('Cash Flow'!$B33,'Prelim Budget'!$B$9:$B$33,0)),0,IF('Cash Flow'!X33&lt;&gt;0,'Cash Flow'!X33,0))),0)</f>
        <v>0</v>
      </c>
      <c r="Z33" s="153">
        <f ca="1">IFERROR(IF(LEFT(OFFSET(Z$2,0,-$C33),3)="A&amp;D",-INDEX('Prelim Budget'!$C$9:$C$33,MATCH('Cash Flow'!$B33,'Prelim Budget'!$B$9:$B$33,0))/'Cash Flow'!$E33,IF(SUM('Cash Flow'!$F33:Y33)=-INDEX('Prelim Budget'!$C$9:$C$33,MATCH('Cash Flow'!$B33,'Prelim Budget'!$B$9:$B$33,0)),0,IF('Cash Flow'!Y33&lt;&gt;0,'Cash Flow'!Y33,0))),0)</f>
        <v>0</v>
      </c>
      <c r="AA33" s="153">
        <f ca="1">IFERROR(IF(LEFT(OFFSET(AA$2,0,-$C33),3)="A&amp;D",-INDEX('Prelim Budget'!$C$9:$C$33,MATCH('Cash Flow'!$B33,'Prelim Budget'!$B$9:$B$33,0))/'Cash Flow'!$E33,IF(SUM('Cash Flow'!$F33:Z33)=-INDEX('Prelim Budget'!$C$9:$C$33,MATCH('Cash Flow'!$B33,'Prelim Budget'!$B$9:$B$33,0)),0,IF('Cash Flow'!Z33&lt;&gt;0,'Cash Flow'!Z33,0))),0)</f>
        <v>0</v>
      </c>
      <c r="AB33" s="153">
        <f ca="1">IFERROR(IF(LEFT(OFFSET(AB$2,0,-$C33),3)="A&amp;D",-INDEX('Prelim Budget'!$C$9:$C$33,MATCH('Cash Flow'!$B33,'Prelim Budget'!$B$9:$B$33,0))/'Cash Flow'!$E33,IF(SUM('Cash Flow'!$F33:AA33)=-INDEX('Prelim Budget'!$C$9:$C$33,MATCH('Cash Flow'!$B33,'Prelim Budget'!$B$9:$B$33,0)),0,IF('Cash Flow'!AA33&lt;&gt;0,'Cash Flow'!AA33,0))),0)</f>
        <v>0</v>
      </c>
      <c r="AC33" s="153">
        <f ca="1">IFERROR(IF(LEFT(OFFSET(AC$2,0,-$C33),3)="A&amp;D",-INDEX('Prelim Budget'!$C$9:$C$33,MATCH('Cash Flow'!$B33,'Prelim Budget'!$B$9:$B$33,0))/'Cash Flow'!$E33,IF(SUM('Cash Flow'!$F33:AB33)=-INDEX('Prelim Budget'!$C$9:$C$33,MATCH('Cash Flow'!$B33,'Prelim Budget'!$B$9:$B$33,0)),0,IF('Cash Flow'!AB33&lt;&gt;0,'Cash Flow'!AB33,0))),0)</f>
        <v>0</v>
      </c>
      <c r="AD33" s="153">
        <f ca="1">IFERROR(IF(LEFT(OFFSET(AD$2,0,-$C33),3)="A&amp;D",-INDEX('Prelim Budget'!$C$9:$C$33,MATCH('Cash Flow'!$B33,'Prelim Budget'!$B$9:$B$33,0))/'Cash Flow'!$E33,IF(SUM('Cash Flow'!$F33:AC33)=-INDEX('Prelim Budget'!$C$9:$C$33,MATCH('Cash Flow'!$B33,'Prelim Budget'!$B$9:$B$33,0)),0,IF('Cash Flow'!AC33&lt;&gt;0,'Cash Flow'!AC33,0))),0)</f>
        <v>0</v>
      </c>
      <c r="AE33" s="153">
        <f ca="1">IFERROR(IF(LEFT(OFFSET(AE$2,0,-$C33),3)="A&amp;D",-INDEX('Prelim Budget'!$C$9:$C$33,MATCH('Cash Flow'!$B33,'Prelim Budget'!$B$9:$B$33,0))/'Cash Flow'!$E33,IF(SUM('Cash Flow'!$F33:AD33)=-INDEX('Prelim Budget'!$C$9:$C$33,MATCH('Cash Flow'!$B33,'Prelim Budget'!$B$9:$B$33,0)),0,IF('Cash Flow'!AD33&lt;&gt;0,'Cash Flow'!AD33,0))),0)</f>
        <v>0</v>
      </c>
      <c r="AF33" s="153">
        <f ca="1">IFERROR(IF(LEFT(OFFSET(AF$2,0,-$C33),3)="A&amp;D",-INDEX('Prelim Budget'!$C$9:$C$33,MATCH('Cash Flow'!$B33,'Prelim Budget'!$B$9:$B$33,0))/'Cash Flow'!$E33,IF(SUM('Cash Flow'!$F33:AE33)=-INDEX('Prelim Budget'!$C$9:$C$33,MATCH('Cash Flow'!$B33,'Prelim Budget'!$B$9:$B$33,0)),0,IF('Cash Flow'!AE33&lt;&gt;0,'Cash Flow'!AE33,0))),0)</f>
        <v>0</v>
      </c>
      <c r="AG33" s="153">
        <f ca="1">IFERROR(IF(LEFT(OFFSET(AG$2,0,-$C33),3)="A&amp;D",-INDEX('Prelim Budget'!$C$9:$C$33,MATCH('Cash Flow'!$B33,'Prelim Budget'!$B$9:$B$33,0))/'Cash Flow'!$E33,IF(SUM('Cash Flow'!$F33:AF33)=-INDEX('Prelim Budget'!$C$9:$C$33,MATCH('Cash Flow'!$B33,'Prelim Budget'!$B$9:$B$33,0)),0,IF('Cash Flow'!AF33&lt;&gt;0,'Cash Flow'!AF33,0))),0)</f>
        <v>0</v>
      </c>
      <c r="AH33" s="153">
        <f ca="1">IFERROR(IF(LEFT(OFFSET(AH$2,0,-$C33),3)="A&amp;D",-INDEX('Prelim Budget'!$C$9:$C$33,MATCH('Cash Flow'!$B33,'Prelim Budget'!$B$9:$B$33,0))/'Cash Flow'!$E33,IF(SUM('Cash Flow'!$F33:AG33)=-INDEX('Prelim Budget'!$C$9:$C$33,MATCH('Cash Flow'!$B33,'Prelim Budget'!$B$9:$B$33,0)),0,IF('Cash Flow'!AG33&lt;&gt;0,'Cash Flow'!AG33,0))),0)</f>
        <v>0</v>
      </c>
      <c r="AI33" s="153">
        <f ca="1">IFERROR(IF(LEFT(OFFSET(AI$2,0,-$C33),3)="A&amp;D",-INDEX('Prelim Budget'!$C$9:$C$33,MATCH('Cash Flow'!$B33,'Prelim Budget'!$B$9:$B$33,0))/'Cash Flow'!$E33,IF(SUM('Cash Flow'!$F33:AH33)=-INDEX('Prelim Budget'!$C$9:$C$33,MATCH('Cash Flow'!$B33,'Prelim Budget'!$B$9:$B$33,0)),0,IF('Cash Flow'!AH33&lt;&gt;0,'Cash Flow'!AH33,0))),0)</f>
        <v>0</v>
      </c>
      <c r="AJ33" s="153">
        <f ca="1">IFERROR(IF(LEFT(OFFSET(AJ$2,0,-$C33),3)="A&amp;D",-INDEX('Prelim Budget'!$C$9:$C$33,MATCH('Cash Flow'!$B33,'Prelim Budget'!$B$9:$B$33,0))/'Cash Flow'!$E33,IF(SUM('Cash Flow'!$F33:AI33)=-INDEX('Prelim Budget'!$C$9:$C$33,MATCH('Cash Flow'!$B33,'Prelim Budget'!$B$9:$B$33,0)),0,IF('Cash Flow'!AI33&lt;&gt;0,'Cash Flow'!AI33,0))),0)</f>
        <v>0</v>
      </c>
      <c r="AK33" s="153">
        <f ca="1">IFERROR(IF(LEFT(OFFSET(AK$2,0,-$C33),3)="A&amp;D",-INDEX('Prelim Budget'!$C$9:$C$33,MATCH('Cash Flow'!$B33,'Prelim Budget'!$B$9:$B$33,0))/'Cash Flow'!$E33,IF(SUM('Cash Flow'!$F33:AJ33)=-INDEX('Prelim Budget'!$C$9:$C$33,MATCH('Cash Flow'!$B33,'Prelim Budget'!$B$9:$B$33,0)),0,IF('Cash Flow'!AJ33&lt;&gt;0,'Cash Flow'!AJ33,0))),0)</f>
        <v>0</v>
      </c>
      <c r="AL33" s="153">
        <f ca="1">IFERROR(IF(LEFT(OFFSET(AL$2,0,-$C33),3)="A&amp;D",-INDEX('Prelim Budget'!$C$9:$C$33,MATCH('Cash Flow'!$B33,'Prelim Budget'!$B$9:$B$33,0))/'Cash Flow'!$E33,IF(SUM('Cash Flow'!$F33:AK33)=-INDEX('Prelim Budget'!$C$9:$C$33,MATCH('Cash Flow'!$B33,'Prelim Budget'!$B$9:$B$33,0)),0,IF('Cash Flow'!AK33&lt;&gt;0,'Cash Flow'!AK33,0))),0)</f>
        <v>0</v>
      </c>
      <c r="AM33" s="153">
        <f ca="1">IFERROR(IF(LEFT(OFFSET(AM$2,0,-$C33),3)="A&amp;D",-INDEX('Prelim Budget'!$C$9:$C$33,MATCH('Cash Flow'!$B33,'Prelim Budget'!$B$9:$B$33,0))/'Cash Flow'!$E33,IF(SUM('Cash Flow'!$F33:AL33)=-INDEX('Prelim Budget'!$C$9:$C$33,MATCH('Cash Flow'!$B33,'Prelim Budget'!$B$9:$B$33,0)),0,IF('Cash Flow'!AL33&lt;&gt;0,'Cash Flow'!AL33,0))),0)</f>
        <v>0</v>
      </c>
      <c r="AN33" s="153">
        <f ca="1">IFERROR(IF(LEFT(OFFSET(AN$2,0,-$C33),3)="A&amp;D",-INDEX('Prelim Budget'!$C$9:$C$33,MATCH('Cash Flow'!$B33,'Prelim Budget'!$B$9:$B$33,0))/'Cash Flow'!$E33,IF(SUM('Cash Flow'!$F33:AM33)=-INDEX('Prelim Budget'!$C$9:$C$33,MATCH('Cash Flow'!$B33,'Prelim Budget'!$B$9:$B$33,0)),0,IF('Cash Flow'!AM33&lt;&gt;0,'Cash Flow'!AM33,0))),0)</f>
        <v>0</v>
      </c>
      <c r="AO33" s="153">
        <f ca="1">IFERROR(IF(LEFT(OFFSET(AO$2,0,-$C33),3)="A&amp;D",-INDEX('Prelim Budget'!$C$9:$C$33,MATCH('Cash Flow'!$B33,'Prelim Budget'!$B$9:$B$33,0))/'Cash Flow'!$E33,IF(SUM('Cash Flow'!$F33:AN33)=-INDEX('Prelim Budget'!$C$9:$C$33,MATCH('Cash Flow'!$B33,'Prelim Budget'!$B$9:$B$33,0)),0,IF('Cash Flow'!AN33&lt;&gt;0,'Cash Flow'!AN33,0))),0)</f>
        <v>0</v>
      </c>
      <c r="AP33" s="153">
        <f ca="1">IFERROR(IF(LEFT(OFFSET(AP$2,0,-$C33),3)="A&amp;D",-INDEX('Prelim Budget'!$C$9:$C$33,MATCH('Cash Flow'!$B33,'Prelim Budget'!$B$9:$B$33,0))/'Cash Flow'!$E33,IF(SUM('Cash Flow'!$F33:AO33)=-INDEX('Prelim Budget'!$C$9:$C$33,MATCH('Cash Flow'!$B33,'Prelim Budget'!$B$9:$B$33,0)),0,IF('Cash Flow'!AO33&lt;&gt;0,'Cash Flow'!AO33,0))),0)</f>
        <v>0</v>
      </c>
      <c r="AQ33" s="153">
        <f ca="1">IFERROR(IF(LEFT(OFFSET(AQ$2,0,-$C33),3)="A&amp;D",-INDEX('Prelim Budget'!$C$9:$C$33,MATCH('Cash Flow'!$B33,'Prelim Budget'!$B$9:$B$33,0))/'Cash Flow'!$E33,IF(SUM('Cash Flow'!$F33:AP33)=-INDEX('Prelim Budget'!$C$9:$C$33,MATCH('Cash Flow'!$B33,'Prelim Budget'!$B$9:$B$33,0)),0,IF('Cash Flow'!AP33&lt;&gt;0,'Cash Flow'!AP33,0))),0)</f>
        <v>0</v>
      </c>
      <c r="AR33" s="153">
        <f ca="1">IFERROR(IF(LEFT(OFFSET(AR$2,0,-$C33),3)="A&amp;D",-INDEX('Prelim Budget'!$C$9:$C$33,MATCH('Cash Flow'!$B33,'Prelim Budget'!$B$9:$B$33,0))/'Cash Flow'!$E33,IF(SUM('Cash Flow'!$F33:AQ33)=-INDEX('Prelim Budget'!$C$9:$C$33,MATCH('Cash Flow'!$B33,'Prelim Budget'!$B$9:$B$33,0)),0,IF('Cash Flow'!AQ33&lt;&gt;0,'Cash Flow'!AQ33,0))),0)</f>
        <v>0</v>
      </c>
      <c r="AS33" s="153">
        <f ca="1">IFERROR(IF(LEFT(OFFSET(AS$2,0,-$C33),3)="A&amp;D",-INDEX('Prelim Budget'!$C$9:$C$33,MATCH('Cash Flow'!$B33,'Prelim Budget'!$B$9:$B$33,0))/'Cash Flow'!$E33,IF(SUM('Cash Flow'!$F33:AR33)=-INDEX('Prelim Budget'!$C$9:$C$33,MATCH('Cash Flow'!$B33,'Prelim Budget'!$B$9:$B$33,0)),0,IF('Cash Flow'!AR33&lt;&gt;0,'Cash Flow'!AR33,0))),0)</f>
        <v>0</v>
      </c>
      <c r="AT33" s="153">
        <f ca="1">IFERROR(IF(LEFT(OFFSET(AT$2,0,-$C33),3)="A&amp;D",-INDEX('Prelim Budget'!$C$9:$C$33,MATCH('Cash Flow'!$B33,'Prelim Budget'!$B$9:$B$33,0))/'Cash Flow'!$E33,IF(SUM('Cash Flow'!$F33:AS33)=-INDEX('Prelim Budget'!$C$9:$C$33,MATCH('Cash Flow'!$B33,'Prelim Budget'!$B$9:$B$33,0)),0,IF('Cash Flow'!AS33&lt;&gt;0,'Cash Flow'!AS33,0))),0)</f>
        <v>0</v>
      </c>
      <c r="AU33" s="153">
        <f ca="1">IFERROR(IF(LEFT(OFFSET(AU$2,0,-$C33),3)="A&amp;D",-INDEX('Prelim Budget'!$C$9:$C$33,MATCH('Cash Flow'!$B33,'Prelim Budget'!$B$9:$B$33,0))/'Cash Flow'!$E33,IF(SUM('Cash Flow'!$F33:AT33)=-INDEX('Prelim Budget'!$C$9:$C$33,MATCH('Cash Flow'!$B33,'Prelim Budget'!$B$9:$B$33,0)),0,IF('Cash Flow'!AT33&lt;&gt;0,'Cash Flow'!AT33,0))),0)</f>
        <v>0</v>
      </c>
      <c r="AV33" s="153">
        <f ca="1">IFERROR(IF(LEFT(OFFSET(AV$2,0,-$C33),3)="A&amp;D",-INDEX('Prelim Budget'!$C$9:$C$33,MATCH('Cash Flow'!$B33,'Prelim Budget'!$B$9:$B$33,0))/'Cash Flow'!$E33,IF(SUM('Cash Flow'!$F33:AU33)=-INDEX('Prelim Budget'!$C$9:$C$33,MATCH('Cash Flow'!$B33,'Prelim Budget'!$B$9:$B$33,0)),0,IF('Cash Flow'!AU33&lt;&gt;0,'Cash Flow'!AU33,0))),0)</f>
        <v>0</v>
      </c>
      <c r="AW33" s="153">
        <f ca="1">IFERROR(IF(LEFT(OFFSET(AW$2,0,-$C33),3)="A&amp;D",-INDEX('Prelim Budget'!$C$9:$C$33,MATCH('Cash Flow'!$B33,'Prelim Budget'!$B$9:$B$33,0))/'Cash Flow'!$E33,IF(SUM('Cash Flow'!$F33:AV33)=-INDEX('Prelim Budget'!$C$9:$C$33,MATCH('Cash Flow'!$B33,'Prelim Budget'!$B$9:$B$33,0)),0,IF('Cash Flow'!AV33&lt;&gt;0,'Cash Flow'!AV33,0))),0)</f>
        <v>0</v>
      </c>
      <c r="AX33" s="153">
        <f ca="1">IFERROR(IF(LEFT(OFFSET(AX$2,0,-$C33),3)="A&amp;D",-INDEX('Prelim Budget'!$C$9:$C$33,MATCH('Cash Flow'!$B33,'Prelim Budget'!$B$9:$B$33,0))/'Cash Flow'!$E33,IF(SUM('Cash Flow'!$F33:AW33)=-INDEX('Prelim Budget'!$C$9:$C$33,MATCH('Cash Flow'!$B33,'Prelim Budget'!$B$9:$B$33,0)),0,IF('Cash Flow'!AW33&lt;&gt;0,'Cash Flow'!AW33,0))),0)</f>
        <v>0</v>
      </c>
      <c r="AY33" s="153">
        <f ca="1">IFERROR(IF(LEFT(OFFSET(AY$2,0,-$C33),3)="A&amp;D",-INDEX('Prelim Budget'!$C$9:$C$33,MATCH('Cash Flow'!$B33,'Prelim Budget'!$B$9:$B$33,0))/'Cash Flow'!$E33,IF(SUM('Cash Flow'!$F33:AX33)=-INDEX('Prelim Budget'!$C$9:$C$33,MATCH('Cash Flow'!$B33,'Prelim Budget'!$B$9:$B$33,0)),0,IF('Cash Flow'!AX33&lt;&gt;0,'Cash Flow'!AX33,0))),0)</f>
        <v>0</v>
      </c>
      <c r="AZ33" s="153">
        <f ca="1">IFERROR(IF(LEFT(OFFSET(AZ$2,0,-$C33),3)="A&amp;D",-INDEX('Prelim Budget'!$C$9:$C$33,MATCH('Cash Flow'!$B33,'Prelim Budget'!$B$9:$B$33,0))/'Cash Flow'!$E33,IF(SUM('Cash Flow'!$F33:AY33)=-INDEX('Prelim Budget'!$C$9:$C$33,MATCH('Cash Flow'!$B33,'Prelim Budget'!$B$9:$B$33,0)),0,IF('Cash Flow'!AY33&lt;&gt;0,'Cash Flow'!AY33,0))),0)</f>
        <v>0</v>
      </c>
      <c r="BA33" s="153">
        <f ca="1">IFERROR(IF(LEFT(OFFSET(BA$2,0,-$C33),3)="A&amp;D",-INDEX('Prelim Budget'!$C$9:$C$33,MATCH('Cash Flow'!$B33,'Prelim Budget'!$B$9:$B$33,0))/'Cash Flow'!$E33,IF(SUM('Cash Flow'!$F33:AZ33)=-INDEX('Prelim Budget'!$C$9:$C$33,MATCH('Cash Flow'!$B33,'Prelim Budget'!$B$9:$B$33,0)),0,IF('Cash Flow'!AZ33&lt;&gt;0,'Cash Flow'!AZ33,0))),0)</f>
        <v>0</v>
      </c>
      <c r="BB33" s="153">
        <f ca="1">IFERROR(IF(LEFT(OFFSET(BB$2,0,-$C33),3)="A&amp;D",-INDEX('Prelim Budget'!$C$9:$C$33,MATCH('Cash Flow'!$B33,'Prelim Budget'!$B$9:$B$33,0))/'Cash Flow'!$E33,IF(SUM('Cash Flow'!$F33:BA33)=-INDEX('Prelim Budget'!$C$9:$C$33,MATCH('Cash Flow'!$B33,'Prelim Budget'!$B$9:$B$33,0)),0,IF('Cash Flow'!BA33&lt;&gt;0,'Cash Flow'!BA33,0))),0)</f>
        <v>0</v>
      </c>
      <c r="BC33" s="153">
        <f ca="1">IFERROR(IF(LEFT(OFFSET(BC$2,0,-$C33),3)="A&amp;D",-INDEX('Prelim Budget'!$C$9:$C$33,MATCH('Cash Flow'!$B33,'Prelim Budget'!$B$9:$B$33,0))/'Cash Flow'!$E33,IF(SUM('Cash Flow'!$F33:BB33)=-INDEX('Prelim Budget'!$C$9:$C$33,MATCH('Cash Flow'!$B33,'Prelim Budget'!$B$9:$B$33,0)),0,IF('Cash Flow'!BB33&lt;&gt;0,'Cash Flow'!BB33,0))),0)</f>
        <v>0</v>
      </c>
      <c r="BD33" s="153">
        <f ca="1">IFERROR(IF(LEFT(OFFSET(BD$2,0,-$C33),3)="A&amp;D",-INDEX('Prelim Budget'!$C$9:$C$33,MATCH('Cash Flow'!$B33,'Prelim Budget'!$B$9:$B$33,0))/'Cash Flow'!$E33,IF(SUM('Cash Flow'!$F33:BC33)=-INDEX('Prelim Budget'!$C$9:$C$33,MATCH('Cash Flow'!$B33,'Prelim Budget'!$B$9:$B$33,0)),0,IF('Cash Flow'!BC33&lt;&gt;0,'Cash Flow'!BC33,0))),0)</f>
        <v>0</v>
      </c>
      <c r="BE33" s="153">
        <f ca="1">IFERROR(IF(LEFT(OFFSET(BE$2,0,-$C33),3)="A&amp;D",-INDEX('Prelim Budget'!$C$9:$C$33,MATCH('Cash Flow'!$B33,'Prelim Budget'!$B$9:$B$33,0))/'Cash Flow'!$E33,IF(SUM('Cash Flow'!$F33:BD33)=-INDEX('Prelim Budget'!$C$9:$C$33,MATCH('Cash Flow'!$B33,'Prelim Budget'!$B$9:$B$33,0)),0,IF('Cash Flow'!BD33&lt;&gt;0,'Cash Flow'!BD33,0))),0)</f>
        <v>0</v>
      </c>
      <c r="BF33" s="153">
        <f ca="1">IFERROR(IF(LEFT(OFFSET(BF$2,0,-$C33),3)="A&amp;D",-INDEX('Prelim Budget'!$C$9:$C$33,MATCH('Cash Flow'!$B33,'Prelim Budget'!$B$9:$B$33,0))/'Cash Flow'!$E33,IF(SUM('Cash Flow'!$F33:BE33)=-INDEX('Prelim Budget'!$C$9:$C$33,MATCH('Cash Flow'!$B33,'Prelim Budget'!$B$9:$B$33,0)),0,IF('Cash Flow'!BE33&lt;&gt;0,'Cash Flow'!BE33,0))),0)</f>
        <v>0</v>
      </c>
      <c r="BG33" s="153">
        <f ca="1">IFERROR(IF(LEFT(OFFSET(BG$2,0,-$C33),3)="A&amp;D",-INDEX('Prelim Budget'!$C$9:$C$33,MATCH('Cash Flow'!$B33,'Prelim Budget'!$B$9:$B$33,0))/'Cash Flow'!$E33,IF(SUM('Cash Flow'!$F33:BF33)=-INDEX('Prelim Budget'!$C$9:$C$33,MATCH('Cash Flow'!$B33,'Prelim Budget'!$B$9:$B$33,0)),0,IF('Cash Flow'!BF33&lt;&gt;0,'Cash Flow'!BF33,0))),0)</f>
        <v>0</v>
      </c>
      <c r="BH33" s="153">
        <f ca="1">IFERROR(IF(LEFT(OFFSET(BH$2,0,-$C33),3)="A&amp;D",-INDEX('Prelim Budget'!$C$9:$C$33,MATCH('Cash Flow'!$B33,'Prelim Budget'!$B$9:$B$33,0))/'Cash Flow'!$E33,IF(SUM('Cash Flow'!$F33:BG33)=-INDEX('Prelim Budget'!$C$9:$C$33,MATCH('Cash Flow'!$B33,'Prelim Budget'!$B$9:$B$33,0)),0,IF('Cash Flow'!BG33&lt;&gt;0,'Cash Flow'!BG33,0))),0)</f>
        <v>0</v>
      </c>
      <c r="BI33" s="153">
        <f ca="1">IFERROR(IF(LEFT(OFFSET(BI$2,0,-$C33),3)="A&amp;D",-INDEX('Prelim Budget'!$C$9:$C$33,MATCH('Cash Flow'!$B33,'Prelim Budget'!$B$9:$B$33,0))/'Cash Flow'!$E33,IF(SUM('Cash Flow'!$F33:BH33)=-INDEX('Prelim Budget'!$C$9:$C$33,MATCH('Cash Flow'!$B33,'Prelim Budget'!$B$9:$B$33,0)),0,IF('Cash Flow'!BH33&lt;&gt;0,'Cash Flow'!BH33,0))),0)</f>
        <v>0</v>
      </c>
      <c r="BJ33" s="153">
        <f ca="1">IFERROR(IF(LEFT(OFFSET(BJ$2,0,-$C33),3)="A&amp;D",-INDEX('Prelim Budget'!$C$9:$C$33,MATCH('Cash Flow'!$B33,'Prelim Budget'!$B$9:$B$33,0))/'Cash Flow'!$E33,IF(SUM('Cash Flow'!$F33:BI33)=-INDEX('Prelim Budget'!$C$9:$C$33,MATCH('Cash Flow'!$B33,'Prelim Budget'!$B$9:$B$33,0)),0,IF('Cash Flow'!BI33&lt;&gt;0,'Cash Flow'!BI33,0))),0)</f>
        <v>0</v>
      </c>
      <c r="BK33" s="153">
        <f ca="1">IFERROR(IF(LEFT(OFFSET(BK$2,0,-$C33),3)="A&amp;D",-INDEX('Prelim Budget'!$C$9:$C$33,MATCH('Cash Flow'!$B33,'Prelim Budget'!$B$9:$B$33,0))/'Cash Flow'!$E33,IF(SUM('Cash Flow'!$F33:BJ33)=-INDEX('Prelim Budget'!$C$9:$C$33,MATCH('Cash Flow'!$B33,'Prelim Budget'!$B$9:$B$33,0)),0,IF('Cash Flow'!BJ33&lt;&gt;0,'Cash Flow'!BJ33,0))),0)</f>
        <v>0</v>
      </c>
      <c r="BL33" s="153">
        <f ca="1">IFERROR(IF(LEFT(OFFSET(BL$2,0,-$C33),3)="A&amp;D",-INDEX('Prelim Budget'!$C$9:$C$33,MATCH('Cash Flow'!$B33,'Prelim Budget'!$B$9:$B$33,0))/'Cash Flow'!$E33,IF(SUM('Cash Flow'!$F33:BK33)=-INDEX('Prelim Budget'!$C$9:$C$33,MATCH('Cash Flow'!$B33,'Prelim Budget'!$B$9:$B$33,0)),0,IF('Cash Flow'!BK33&lt;&gt;0,'Cash Flow'!BK33,0))),0)</f>
        <v>0</v>
      </c>
      <c r="BM33" s="153">
        <f ca="1">IFERROR(IF(LEFT(OFFSET(BM$2,0,-$C33),3)="A&amp;D",-INDEX('Prelim Budget'!$C$9:$C$33,MATCH('Cash Flow'!$B33,'Prelim Budget'!$B$9:$B$33,0))/'Cash Flow'!$E33,IF(SUM('Cash Flow'!$F33:BL33)=-INDEX('Prelim Budget'!$C$9:$C$33,MATCH('Cash Flow'!$B33,'Prelim Budget'!$B$9:$B$33,0)),0,IF('Cash Flow'!BL33&lt;&gt;0,'Cash Flow'!BL33,0))),0)</f>
        <v>0</v>
      </c>
      <c r="BN33" s="153">
        <f ca="1">IFERROR(IF(LEFT(OFFSET(BN$2,0,-$C33),3)="A&amp;D",-INDEX('Prelim Budget'!$C$9:$C$33,MATCH('Cash Flow'!$B33,'Prelim Budget'!$B$9:$B$33,0))/'Cash Flow'!$E33,IF(SUM('Cash Flow'!$F33:BM33)=-INDEX('Prelim Budget'!$C$9:$C$33,MATCH('Cash Flow'!$B33,'Prelim Budget'!$B$9:$B$33,0)),0,IF('Cash Flow'!BM33&lt;&gt;0,'Cash Flow'!BM33,0))),0)</f>
        <v>0</v>
      </c>
      <c r="BO33" s="50">
        <f ca="1">IFERROR(IF(LEFT(OFFSET(BO$2,0,-$C33),3)="A&amp;D",-INDEX('Prelim Budget'!$C$9:$C$33,MATCH('Cash Flow'!$B33,'Prelim Budget'!$B$9:$B$33,0))/'Cash Flow'!$E33,IF(SUM('Cash Flow'!$F33:BN33)=-INDEX('Prelim Budget'!$C$9:$C$33,MATCH('Cash Flow'!$B33,'Prelim Budget'!$B$9:$B$33,0)),0,IF('Cash Flow'!BN33&lt;&gt;0,'Cash Flow'!BN33,0))),0)</f>
        <v>0</v>
      </c>
    </row>
    <row r="34" spans="2:67" ht="14.05" customHeight="1" x14ac:dyDescent="0.4">
      <c r="B34" s="3" t="s">
        <v>159</v>
      </c>
      <c r="C34" s="80">
        <v>1</v>
      </c>
      <c r="D34" s="153">
        <f t="shared" ca="1" si="11"/>
        <v>-48707.999999999993</v>
      </c>
      <c r="E34" s="82">
        <v>8</v>
      </c>
      <c r="F34" s="157"/>
      <c r="G34" s="134">
        <f ca="1">IFERROR(IF(LEFT(OFFSET(G$2,0,-$C34),3)="A&amp;D",-INDEX('Prelim Budget'!$C$9:$C$33,MATCH('Cash Flow'!$B34,'Prelim Budget'!$B$9:$B$33,0))/'Cash Flow'!$E34,IF(SUM('Cash Flow'!$F34:F34)=-INDEX('Prelim Budget'!$C$9:$C$33,MATCH('Cash Flow'!$B34,'Prelim Budget'!$B$9:$B$33,0)),0,IF('Cash Flow'!F34&lt;&gt;0,'Cash Flow'!F34,0))),0)</f>
        <v>0</v>
      </c>
      <c r="H34" s="153">
        <f ca="1">IFERROR(IF(LEFT(OFFSET(H$2,0,-$C34),3)="A&amp;D",-INDEX('Prelim Budget'!$C$9:$C$33,MATCH('Cash Flow'!$B34,'Prelim Budget'!$B$9:$B$33,0))/'Cash Flow'!$E34,IF(SUM('Cash Flow'!$F34:G34)=-INDEX('Prelim Budget'!$C$9:$C$33,MATCH('Cash Flow'!$B34,'Prelim Budget'!$B$9:$B$33,0)),0,IF('Cash Flow'!G34&lt;&gt;0,'Cash Flow'!G34,0))),0)</f>
        <v>0</v>
      </c>
      <c r="I34" s="153">
        <f ca="1">IFERROR(IF(LEFT(OFFSET(I$2,0,-$C34),3)="A&amp;D",-INDEX('Prelim Budget'!$C$9:$C$33,MATCH('Cash Flow'!$B34,'Prelim Budget'!$B$9:$B$33,0))/'Cash Flow'!$E34,IF(SUM('Cash Flow'!$F34:H34)=-INDEX('Prelim Budget'!$C$9:$C$33,MATCH('Cash Flow'!$B34,'Prelim Budget'!$B$9:$B$33,0)),0,IF('Cash Flow'!H34&lt;&gt;0,'Cash Flow'!H34,0))),0)</f>
        <v>0</v>
      </c>
      <c r="J34" s="153">
        <f ca="1">IFERROR(IF(LEFT(OFFSET(J$2,0,-$C34),3)="A&amp;D",-INDEX('Prelim Budget'!$C$9:$C$33,MATCH('Cash Flow'!$B34,'Prelim Budget'!$B$9:$B$33,0))/'Cash Flow'!$E34,IF(SUM('Cash Flow'!$F34:I34)=-INDEX('Prelim Budget'!$C$9:$C$33,MATCH('Cash Flow'!$B34,'Prelim Budget'!$B$9:$B$33,0)),0,IF('Cash Flow'!I34&lt;&gt;0,'Cash Flow'!I34,0))),0)</f>
        <v>0</v>
      </c>
      <c r="K34" s="153">
        <f ca="1">IFERROR(IF(LEFT(OFFSET(K$2,0,-$C34),3)="A&amp;D",-INDEX('Prelim Budget'!$C$9:$C$33,MATCH('Cash Flow'!$B34,'Prelim Budget'!$B$9:$B$33,0))/'Cash Flow'!$E34,IF(SUM('Cash Flow'!$F34:J34)=-INDEX('Prelim Budget'!$C$9:$C$33,MATCH('Cash Flow'!$B34,'Prelim Budget'!$B$9:$B$33,0)),0,IF('Cash Flow'!J34&lt;&gt;0,'Cash Flow'!J34,0))),0)</f>
        <v>0</v>
      </c>
      <c r="L34" s="153">
        <f ca="1">IFERROR(IF(LEFT(OFFSET(L$2,0,-$C34),3)="A&amp;D",-INDEX('Prelim Budget'!$C$9:$C$33,MATCH('Cash Flow'!$B34,'Prelim Budget'!$B$9:$B$33,0))/'Cash Flow'!$E34,IF(SUM('Cash Flow'!$F34:K34)=-INDEX('Prelim Budget'!$C$9:$C$33,MATCH('Cash Flow'!$B34,'Prelim Budget'!$B$9:$B$33,0)),0,IF('Cash Flow'!K34&lt;&gt;0,'Cash Flow'!K34,0))),0)</f>
        <v>0</v>
      </c>
      <c r="M34" s="153">
        <f ca="1">IFERROR(IF(LEFT(OFFSET(M$2,0,-$C34),3)="A&amp;D",-INDEX('Prelim Budget'!$C$9:$C$33,MATCH('Cash Flow'!$B34,'Prelim Budget'!$B$9:$B$33,0))/'Cash Flow'!$E34,IF(SUM('Cash Flow'!$F34:L34)=-INDEX('Prelim Budget'!$C$9:$C$33,MATCH('Cash Flow'!$B34,'Prelim Budget'!$B$9:$B$33,0)),0,IF('Cash Flow'!L34&lt;&gt;0,'Cash Flow'!L34,0))),0)</f>
        <v>0</v>
      </c>
      <c r="N34" s="153">
        <f ca="1">IFERROR(IF(LEFT(OFFSET(N$2,0,-$C34),3)="A&amp;D",-INDEX('Prelim Budget'!$C$9:$C$33,MATCH('Cash Flow'!$B34,'Prelim Budget'!$B$9:$B$33,0))/'Cash Flow'!$E34,IF(SUM('Cash Flow'!$F34:M34)=-INDEX('Prelim Budget'!$C$9:$C$33,MATCH('Cash Flow'!$B34,'Prelim Budget'!$B$9:$B$33,0)),0,IF('Cash Flow'!M34&lt;&gt;0,'Cash Flow'!M34,0))),0)</f>
        <v>-6088.4999999999991</v>
      </c>
      <c r="O34" s="153">
        <f ca="1">IFERROR(IF(LEFT(OFFSET(O$2,0,-$C34),3)="A&amp;D",-INDEX('Prelim Budget'!$C$9:$C$33,MATCH('Cash Flow'!$B34,'Prelim Budget'!$B$9:$B$33,0))/'Cash Flow'!$E34,IF(SUM('Cash Flow'!$F34:N34)=-INDEX('Prelim Budget'!$C$9:$C$33,MATCH('Cash Flow'!$B34,'Prelim Budget'!$B$9:$B$33,0)),0,IF('Cash Flow'!N34&lt;&gt;0,'Cash Flow'!N34,0))),0)</f>
        <v>-6088.4999999999991</v>
      </c>
      <c r="P34" s="153">
        <f ca="1">IFERROR(IF(LEFT(OFFSET(P$2,0,-$C34),3)="A&amp;D",-INDEX('Prelim Budget'!$C$9:$C$33,MATCH('Cash Flow'!$B34,'Prelim Budget'!$B$9:$B$33,0))/'Cash Flow'!$E34,IF(SUM('Cash Flow'!$F34:O34)=-INDEX('Prelim Budget'!$C$9:$C$33,MATCH('Cash Flow'!$B34,'Prelim Budget'!$B$9:$B$33,0)),0,IF('Cash Flow'!O34&lt;&gt;0,'Cash Flow'!O34,0))),0)</f>
        <v>-6088.4999999999991</v>
      </c>
      <c r="Q34" s="153">
        <f ca="1">IFERROR(IF(LEFT(OFFSET(Q$2,0,-$C34),3)="A&amp;D",-INDEX('Prelim Budget'!$C$9:$C$33,MATCH('Cash Flow'!$B34,'Prelim Budget'!$B$9:$B$33,0))/'Cash Flow'!$E34,IF(SUM('Cash Flow'!$F34:P34)=-INDEX('Prelim Budget'!$C$9:$C$33,MATCH('Cash Flow'!$B34,'Prelim Budget'!$B$9:$B$33,0)),0,IF('Cash Flow'!P34&lt;&gt;0,'Cash Flow'!P34,0))),0)</f>
        <v>-6088.4999999999991</v>
      </c>
      <c r="R34" s="153">
        <f ca="1">IFERROR(IF(LEFT(OFFSET(R$2,0,-$C34),3)="A&amp;D",-INDEX('Prelim Budget'!$C$9:$C$33,MATCH('Cash Flow'!$B34,'Prelim Budget'!$B$9:$B$33,0))/'Cash Flow'!$E34,IF(SUM('Cash Flow'!$F34:Q34)=-INDEX('Prelim Budget'!$C$9:$C$33,MATCH('Cash Flow'!$B34,'Prelim Budget'!$B$9:$B$33,0)),0,IF('Cash Flow'!Q34&lt;&gt;0,'Cash Flow'!Q34,0))),0)</f>
        <v>-6088.4999999999991</v>
      </c>
      <c r="S34" s="153">
        <f ca="1">IFERROR(IF(LEFT(OFFSET(S$2,0,-$C34),3)="A&amp;D",-INDEX('Prelim Budget'!$C$9:$C$33,MATCH('Cash Flow'!$B34,'Prelim Budget'!$B$9:$B$33,0))/'Cash Flow'!$E34,IF(SUM('Cash Flow'!$F34:R34)=-INDEX('Prelim Budget'!$C$9:$C$33,MATCH('Cash Flow'!$B34,'Prelim Budget'!$B$9:$B$33,0)),0,IF('Cash Flow'!R34&lt;&gt;0,'Cash Flow'!R34,0))),0)</f>
        <v>-6088.4999999999991</v>
      </c>
      <c r="T34" s="153">
        <f ca="1">IFERROR(IF(LEFT(OFFSET(T$2,0,-$C34),3)="A&amp;D",-INDEX('Prelim Budget'!$C$9:$C$33,MATCH('Cash Flow'!$B34,'Prelim Budget'!$B$9:$B$33,0))/'Cash Flow'!$E34,IF(SUM('Cash Flow'!$F34:S34)=-INDEX('Prelim Budget'!$C$9:$C$33,MATCH('Cash Flow'!$B34,'Prelim Budget'!$B$9:$B$33,0)),0,IF('Cash Flow'!S34&lt;&gt;0,'Cash Flow'!S34,0))),0)</f>
        <v>-6088.4999999999991</v>
      </c>
      <c r="U34" s="153">
        <f ca="1">IFERROR(IF(LEFT(OFFSET(U$2,0,-$C34),3)="A&amp;D",-INDEX('Prelim Budget'!$C$9:$C$33,MATCH('Cash Flow'!$B34,'Prelim Budget'!$B$9:$B$33,0))/'Cash Flow'!$E34,IF(SUM('Cash Flow'!$F34:T34)=-INDEX('Prelim Budget'!$C$9:$C$33,MATCH('Cash Flow'!$B34,'Prelim Budget'!$B$9:$B$33,0)),0,IF('Cash Flow'!T34&lt;&gt;0,'Cash Flow'!T34,0))),0)</f>
        <v>-6088.4999999999991</v>
      </c>
      <c r="V34" s="153">
        <f ca="1">IFERROR(IF(LEFT(OFFSET(V$2,0,-$C34),3)="A&amp;D",-INDEX('Prelim Budget'!$C$9:$C$33,MATCH('Cash Flow'!$B34,'Prelim Budget'!$B$9:$B$33,0))/'Cash Flow'!$E34,IF(SUM('Cash Flow'!$F34:U34)=-INDEX('Prelim Budget'!$C$9:$C$33,MATCH('Cash Flow'!$B34,'Prelim Budget'!$B$9:$B$33,0)),0,IF('Cash Flow'!U34&lt;&gt;0,'Cash Flow'!U34,0))),0)</f>
        <v>0</v>
      </c>
      <c r="W34" s="153">
        <f ca="1">IFERROR(IF(LEFT(OFFSET(W$2,0,-$C34),3)="A&amp;D",-INDEX('Prelim Budget'!$C$9:$C$33,MATCH('Cash Flow'!$B34,'Prelim Budget'!$B$9:$B$33,0))/'Cash Flow'!$E34,IF(SUM('Cash Flow'!$F34:V34)=-INDEX('Prelim Budget'!$C$9:$C$33,MATCH('Cash Flow'!$B34,'Prelim Budget'!$B$9:$B$33,0)),0,IF('Cash Flow'!V34&lt;&gt;0,'Cash Flow'!V34,0))),0)</f>
        <v>0</v>
      </c>
      <c r="X34" s="153">
        <f ca="1">IFERROR(IF(LEFT(OFFSET(X$2,0,-$C34),3)="A&amp;D",-INDEX('Prelim Budget'!$C$9:$C$33,MATCH('Cash Flow'!$B34,'Prelim Budget'!$B$9:$B$33,0))/'Cash Flow'!$E34,IF(SUM('Cash Flow'!$F34:W34)=-INDEX('Prelim Budget'!$C$9:$C$33,MATCH('Cash Flow'!$B34,'Prelim Budget'!$B$9:$B$33,0)),0,IF('Cash Flow'!W34&lt;&gt;0,'Cash Flow'!W34,0))),0)</f>
        <v>0</v>
      </c>
      <c r="Y34" s="153">
        <f ca="1">IFERROR(IF(LEFT(OFFSET(Y$2,0,-$C34),3)="A&amp;D",-INDEX('Prelim Budget'!$C$9:$C$33,MATCH('Cash Flow'!$B34,'Prelim Budget'!$B$9:$B$33,0))/'Cash Flow'!$E34,IF(SUM('Cash Flow'!$F34:X34)=-INDEX('Prelim Budget'!$C$9:$C$33,MATCH('Cash Flow'!$B34,'Prelim Budget'!$B$9:$B$33,0)),0,IF('Cash Flow'!X34&lt;&gt;0,'Cash Flow'!X34,0))),0)</f>
        <v>0</v>
      </c>
      <c r="Z34" s="153">
        <f ca="1">IFERROR(IF(LEFT(OFFSET(Z$2,0,-$C34),3)="A&amp;D",-INDEX('Prelim Budget'!$C$9:$C$33,MATCH('Cash Flow'!$B34,'Prelim Budget'!$B$9:$B$33,0))/'Cash Flow'!$E34,IF(SUM('Cash Flow'!$F34:Y34)=-INDEX('Prelim Budget'!$C$9:$C$33,MATCH('Cash Flow'!$B34,'Prelim Budget'!$B$9:$B$33,0)),0,IF('Cash Flow'!Y34&lt;&gt;0,'Cash Flow'!Y34,0))),0)</f>
        <v>0</v>
      </c>
      <c r="AA34" s="153">
        <f ca="1">IFERROR(IF(LEFT(OFFSET(AA$2,0,-$C34),3)="A&amp;D",-INDEX('Prelim Budget'!$C$9:$C$33,MATCH('Cash Flow'!$B34,'Prelim Budget'!$B$9:$B$33,0))/'Cash Flow'!$E34,IF(SUM('Cash Flow'!$F34:Z34)=-INDEX('Prelim Budget'!$C$9:$C$33,MATCH('Cash Flow'!$B34,'Prelim Budget'!$B$9:$B$33,0)),0,IF('Cash Flow'!Z34&lt;&gt;0,'Cash Flow'!Z34,0))),0)</f>
        <v>0</v>
      </c>
      <c r="AB34" s="153">
        <f ca="1">IFERROR(IF(LEFT(OFFSET(AB$2,0,-$C34),3)="A&amp;D",-INDEX('Prelim Budget'!$C$9:$C$33,MATCH('Cash Flow'!$B34,'Prelim Budget'!$B$9:$B$33,0))/'Cash Flow'!$E34,IF(SUM('Cash Flow'!$F34:AA34)=-INDEX('Prelim Budget'!$C$9:$C$33,MATCH('Cash Flow'!$B34,'Prelim Budget'!$B$9:$B$33,0)),0,IF('Cash Flow'!AA34&lt;&gt;0,'Cash Flow'!AA34,0))),0)</f>
        <v>0</v>
      </c>
      <c r="AC34" s="153">
        <f ca="1">IFERROR(IF(LEFT(OFFSET(AC$2,0,-$C34),3)="A&amp;D",-INDEX('Prelim Budget'!$C$9:$C$33,MATCH('Cash Flow'!$B34,'Prelim Budget'!$B$9:$B$33,0))/'Cash Flow'!$E34,IF(SUM('Cash Flow'!$F34:AB34)=-INDEX('Prelim Budget'!$C$9:$C$33,MATCH('Cash Flow'!$B34,'Prelim Budget'!$B$9:$B$33,0)),0,IF('Cash Flow'!AB34&lt;&gt;0,'Cash Flow'!AB34,0))),0)</f>
        <v>0</v>
      </c>
      <c r="AD34" s="153">
        <f ca="1">IFERROR(IF(LEFT(OFFSET(AD$2,0,-$C34),3)="A&amp;D",-INDEX('Prelim Budget'!$C$9:$C$33,MATCH('Cash Flow'!$B34,'Prelim Budget'!$B$9:$B$33,0))/'Cash Flow'!$E34,IF(SUM('Cash Flow'!$F34:AC34)=-INDEX('Prelim Budget'!$C$9:$C$33,MATCH('Cash Flow'!$B34,'Prelim Budget'!$B$9:$B$33,0)),0,IF('Cash Flow'!AC34&lt;&gt;0,'Cash Flow'!AC34,0))),0)</f>
        <v>0</v>
      </c>
      <c r="AE34" s="153">
        <f ca="1">IFERROR(IF(LEFT(OFFSET(AE$2,0,-$C34),3)="A&amp;D",-INDEX('Prelim Budget'!$C$9:$C$33,MATCH('Cash Flow'!$B34,'Prelim Budget'!$B$9:$B$33,0))/'Cash Flow'!$E34,IF(SUM('Cash Flow'!$F34:AD34)=-INDEX('Prelim Budget'!$C$9:$C$33,MATCH('Cash Flow'!$B34,'Prelim Budget'!$B$9:$B$33,0)),0,IF('Cash Flow'!AD34&lt;&gt;0,'Cash Flow'!AD34,0))),0)</f>
        <v>0</v>
      </c>
      <c r="AF34" s="153">
        <f ca="1">IFERROR(IF(LEFT(OFFSET(AF$2,0,-$C34),3)="A&amp;D",-INDEX('Prelim Budget'!$C$9:$C$33,MATCH('Cash Flow'!$B34,'Prelim Budget'!$B$9:$B$33,0))/'Cash Flow'!$E34,IF(SUM('Cash Flow'!$F34:AE34)=-INDEX('Prelim Budget'!$C$9:$C$33,MATCH('Cash Flow'!$B34,'Prelim Budget'!$B$9:$B$33,0)),0,IF('Cash Flow'!AE34&lt;&gt;0,'Cash Flow'!AE34,0))),0)</f>
        <v>0</v>
      </c>
      <c r="AG34" s="153">
        <f ca="1">IFERROR(IF(LEFT(OFFSET(AG$2,0,-$C34),3)="A&amp;D",-INDEX('Prelim Budget'!$C$9:$C$33,MATCH('Cash Flow'!$B34,'Prelim Budget'!$B$9:$B$33,0))/'Cash Flow'!$E34,IF(SUM('Cash Flow'!$F34:AF34)=-INDEX('Prelim Budget'!$C$9:$C$33,MATCH('Cash Flow'!$B34,'Prelim Budget'!$B$9:$B$33,0)),0,IF('Cash Flow'!AF34&lt;&gt;0,'Cash Flow'!AF34,0))),0)</f>
        <v>0</v>
      </c>
      <c r="AH34" s="153">
        <f ca="1">IFERROR(IF(LEFT(OFFSET(AH$2,0,-$C34),3)="A&amp;D",-INDEX('Prelim Budget'!$C$9:$C$33,MATCH('Cash Flow'!$B34,'Prelim Budget'!$B$9:$B$33,0))/'Cash Flow'!$E34,IF(SUM('Cash Flow'!$F34:AG34)=-INDEX('Prelim Budget'!$C$9:$C$33,MATCH('Cash Flow'!$B34,'Prelim Budget'!$B$9:$B$33,0)),0,IF('Cash Flow'!AG34&lt;&gt;0,'Cash Flow'!AG34,0))),0)</f>
        <v>0</v>
      </c>
      <c r="AI34" s="153">
        <f ca="1">IFERROR(IF(LEFT(OFFSET(AI$2,0,-$C34),3)="A&amp;D",-INDEX('Prelim Budget'!$C$9:$C$33,MATCH('Cash Flow'!$B34,'Prelim Budget'!$B$9:$B$33,0))/'Cash Flow'!$E34,IF(SUM('Cash Flow'!$F34:AH34)=-INDEX('Prelim Budget'!$C$9:$C$33,MATCH('Cash Flow'!$B34,'Prelim Budget'!$B$9:$B$33,0)),0,IF('Cash Flow'!AH34&lt;&gt;0,'Cash Flow'!AH34,0))),0)</f>
        <v>0</v>
      </c>
      <c r="AJ34" s="153">
        <f ca="1">IFERROR(IF(LEFT(OFFSET(AJ$2,0,-$C34),3)="A&amp;D",-INDEX('Prelim Budget'!$C$9:$C$33,MATCH('Cash Flow'!$B34,'Prelim Budget'!$B$9:$B$33,0))/'Cash Flow'!$E34,IF(SUM('Cash Flow'!$F34:AI34)=-INDEX('Prelim Budget'!$C$9:$C$33,MATCH('Cash Flow'!$B34,'Prelim Budget'!$B$9:$B$33,0)),0,IF('Cash Flow'!AI34&lt;&gt;0,'Cash Flow'!AI34,0))),0)</f>
        <v>0</v>
      </c>
      <c r="AK34" s="153">
        <f ca="1">IFERROR(IF(LEFT(OFFSET(AK$2,0,-$C34),3)="A&amp;D",-INDEX('Prelim Budget'!$C$9:$C$33,MATCH('Cash Flow'!$B34,'Prelim Budget'!$B$9:$B$33,0))/'Cash Flow'!$E34,IF(SUM('Cash Flow'!$F34:AJ34)=-INDEX('Prelim Budget'!$C$9:$C$33,MATCH('Cash Flow'!$B34,'Prelim Budget'!$B$9:$B$33,0)),0,IF('Cash Flow'!AJ34&lt;&gt;0,'Cash Flow'!AJ34,0))),0)</f>
        <v>0</v>
      </c>
      <c r="AL34" s="153">
        <f ca="1">IFERROR(IF(LEFT(OFFSET(AL$2,0,-$C34),3)="A&amp;D",-INDEX('Prelim Budget'!$C$9:$C$33,MATCH('Cash Flow'!$B34,'Prelim Budget'!$B$9:$B$33,0))/'Cash Flow'!$E34,IF(SUM('Cash Flow'!$F34:AK34)=-INDEX('Prelim Budget'!$C$9:$C$33,MATCH('Cash Flow'!$B34,'Prelim Budget'!$B$9:$B$33,0)),0,IF('Cash Flow'!AK34&lt;&gt;0,'Cash Flow'!AK34,0))),0)</f>
        <v>0</v>
      </c>
      <c r="AM34" s="153">
        <f ca="1">IFERROR(IF(LEFT(OFFSET(AM$2,0,-$C34),3)="A&amp;D",-INDEX('Prelim Budget'!$C$9:$C$33,MATCH('Cash Flow'!$B34,'Prelim Budget'!$B$9:$B$33,0))/'Cash Flow'!$E34,IF(SUM('Cash Flow'!$F34:AL34)=-INDEX('Prelim Budget'!$C$9:$C$33,MATCH('Cash Flow'!$B34,'Prelim Budget'!$B$9:$B$33,0)),0,IF('Cash Flow'!AL34&lt;&gt;0,'Cash Flow'!AL34,0))),0)</f>
        <v>0</v>
      </c>
      <c r="AN34" s="153">
        <f ca="1">IFERROR(IF(LEFT(OFFSET(AN$2,0,-$C34),3)="A&amp;D",-INDEX('Prelim Budget'!$C$9:$C$33,MATCH('Cash Flow'!$B34,'Prelim Budget'!$B$9:$B$33,0))/'Cash Flow'!$E34,IF(SUM('Cash Flow'!$F34:AM34)=-INDEX('Prelim Budget'!$C$9:$C$33,MATCH('Cash Flow'!$B34,'Prelim Budget'!$B$9:$B$33,0)),0,IF('Cash Flow'!AM34&lt;&gt;0,'Cash Flow'!AM34,0))),0)</f>
        <v>0</v>
      </c>
      <c r="AO34" s="153">
        <f ca="1">IFERROR(IF(LEFT(OFFSET(AO$2,0,-$C34),3)="A&amp;D",-INDEX('Prelim Budget'!$C$9:$C$33,MATCH('Cash Flow'!$B34,'Prelim Budget'!$B$9:$B$33,0))/'Cash Flow'!$E34,IF(SUM('Cash Flow'!$F34:AN34)=-INDEX('Prelim Budget'!$C$9:$C$33,MATCH('Cash Flow'!$B34,'Prelim Budget'!$B$9:$B$33,0)),0,IF('Cash Flow'!AN34&lt;&gt;0,'Cash Flow'!AN34,0))),0)</f>
        <v>0</v>
      </c>
      <c r="AP34" s="153">
        <f ca="1">IFERROR(IF(LEFT(OFFSET(AP$2,0,-$C34),3)="A&amp;D",-INDEX('Prelim Budget'!$C$9:$C$33,MATCH('Cash Flow'!$B34,'Prelim Budget'!$B$9:$B$33,0))/'Cash Flow'!$E34,IF(SUM('Cash Flow'!$F34:AO34)=-INDEX('Prelim Budget'!$C$9:$C$33,MATCH('Cash Flow'!$B34,'Prelim Budget'!$B$9:$B$33,0)),0,IF('Cash Flow'!AO34&lt;&gt;0,'Cash Flow'!AO34,0))),0)</f>
        <v>0</v>
      </c>
      <c r="AQ34" s="153">
        <f ca="1">IFERROR(IF(LEFT(OFFSET(AQ$2,0,-$C34),3)="A&amp;D",-INDEX('Prelim Budget'!$C$9:$C$33,MATCH('Cash Flow'!$B34,'Prelim Budget'!$B$9:$B$33,0))/'Cash Flow'!$E34,IF(SUM('Cash Flow'!$F34:AP34)=-INDEX('Prelim Budget'!$C$9:$C$33,MATCH('Cash Flow'!$B34,'Prelim Budget'!$B$9:$B$33,0)),0,IF('Cash Flow'!AP34&lt;&gt;0,'Cash Flow'!AP34,0))),0)</f>
        <v>0</v>
      </c>
      <c r="AR34" s="153">
        <f ca="1">IFERROR(IF(LEFT(OFFSET(AR$2,0,-$C34),3)="A&amp;D",-INDEX('Prelim Budget'!$C$9:$C$33,MATCH('Cash Flow'!$B34,'Prelim Budget'!$B$9:$B$33,0))/'Cash Flow'!$E34,IF(SUM('Cash Flow'!$F34:AQ34)=-INDEX('Prelim Budget'!$C$9:$C$33,MATCH('Cash Flow'!$B34,'Prelim Budget'!$B$9:$B$33,0)),0,IF('Cash Flow'!AQ34&lt;&gt;0,'Cash Flow'!AQ34,0))),0)</f>
        <v>0</v>
      </c>
      <c r="AS34" s="153">
        <f ca="1">IFERROR(IF(LEFT(OFFSET(AS$2,0,-$C34),3)="A&amp;D",-INDEX('Prelim Budget'!$C$9:$C$33,MATCH('Cash Flow'!$B34,'Prelim Budget'!$B$9:$B$33,0))/'Cash Flow'!$E34,IF(SUM('Cash Flow'!$F34:AR34)=-INDEX('Prelim Budget'!$C$9:$C$33,MATCH('Cash Flow'!$B34,'Prelim Budget'!$B$9:$B$33,0)),0,IF('Cash Flow'!AR34&lt;&gt;0,'Cash Flow'!AR34,0))),0)</f>
        <v>0</v>
      </c>
      <c r="AT34" s="153">
        <f ca="1">IFERROR(IF(LEFT(OFFSET(AT$2,0,-$C34),3)="A&amp;D",-INDEX('Prelim Budget'!$C$9:$C$33,MATCH('Cash Flow'!$B34,'Prelim Budget'!$B$9:$B$33,0))/'Cash Flow'!$E34,IF(SUM('Cash Flow'!$F34:AS34)=-INDEX('Prelim Budget'!$C$9:$C$33,MATCH('Cash Flow'!$B34,'Prelim Budget'!$B$9:$B$33,0)),0,IF('Cash Flow'!AS34&lt;&gt;0,'Cash Flow'!AS34,0))),0)</f>
        <v>0</v>
      </c>
      <c r="AU34" s="153">
        <f ca="1">IFERROR(IF(LEFT(OFFSET(AU$2,0,-$C34),3)="A&amp;D",-INDEX('Prelim Budget'!$C$9:$C$33,MATCH('Cash Flow'!$B34,'Prelim Budget'!$B$9:$B$33,0))/'Cash Flow'!$E34,IF(SUM('Cash Flow'!$F34:AT34)=-INDEX('Prelim Budget'!$C$9:$C$33,MATCH('Cash Flow'!$B34,'Prelim Budget'!$B$9:$B$33,0)),0,IF('Cash Flow'!AT34&lt;&gt;0,'Cash Flow'!AT34,0))),0)</f>
        <v>0</v>
      </c>
      <c r="AV34" s="153">
        <f ca="1">IFERROR(IF(LEFT(OFFSET(AV$2,0,-$C34),3)="A&amp;D",-INDEX('Prelim Budget'!$C$9:$C$33,MATCH('Cash Flow'!$B34,'Prelim Budget'!$B$9:$B$33,0))/'Cash Flow'!$E34,IF(SUM('Cash Flow'!$F34:AU34)=-INDEX('Prelim Budget'!$C$9:$C$33,MATCH('Cash Flow'!$B34,'Prelim Budget'!$B$9:$B$33,0)),0,IF('Cash Flow'!AU34&lt;&gt;0,'Cash Flow'!AU34,0))),0)</f>
        <v>0</v>
      </c>
      <c r="AW34" s="153">
        <f ca="1">IFERROR(IF(LEFT(OFFSET(AW$2,0,-$C34),3)="A&amp;D",-INDEX('Prelim Budget'!$C$9:$C$33,MATCH('Cash Flow'!$B34,'Prelim Budget'!$B$9:$B$33,0))/'Cash Flow'!$E34,IF(SUM('Cash Flow'!$F34:AV34)=-INDEX('Prelim Budget'!$C$9:$C$33,MATCH('Cash Flow'!$B34,'Prelim Budget'!$B$9:$B$33,0)),0,IF('Cash Flow'!AV34&lt;&gt;0,'Cash Flow'!AV34,0))),0)</f>
        <v>0</v>
      </c>
      <c r="AX34" s="153">
        <f ca="1">IFERROR(IF(LEFT(OFFSET(AX$2,0,-$C34),3)="A&amp;D",-INDEX('Prelim Budget'!$C$9:$C$33,MATCH('Cash Flow'!$B34,'Prelim Budget'!$B$9:$B$33,0))/'Cash Flow'!$E34,IF(SUM('Cash Flow'!$F34:AW34)=-INDEX('Prelim Budget'!$C$9:$C$33,MATCH('Cash Flow'!$B34,'Prelim Budget'!$B$9:$B$33,0)),0,IF('Cash Flow'!AW34&lt;&gt;0,'Cash Flow'!AW34,0))),0)</f>
        <v>0</v>
      </c>
      <c r="AY34" s="153">
        <f ca="1">IFERROR(IF(LEFT(OFFSET(AY$2,0,-$C34),3)="A&amp;D",-INDEX('Prelim Budget'!$C$9:$C$33,MATCH('Cash Flow'!$B34,'Prelim Budget'!$B$9:$B$33,0))/'Cash Flow'!$E34,IF(SUM('Cash Flow'!$F34:AX34)=-INDEX('Prelim Budget'!$C$9:$C$33,MATCH('Cash Flow'!$B34,'Prelim Budget'!$B$9:$B$33,0)),0,IF('Cash Flow'!AX34&lt;&gt;0,'Cash Flow'!AX34,0))),0)</f>
        <v>0</v>
      </c>
      <c r="AZ34" s="153">
        <f ca="1">IFERROR(IF(LEFT(OFFSET(AZ$2,0,-$C34),3)="A&amp;D",-INDEX('Prelim Budget'!$C$9:$C$33,MATCH('Cash Flow'!$B34,'Prelim Budget'!$B$9:$B$33,0))/'Cash Flow'!$E34,IF(SUM('Cash Flow'!$F34:AY34)=-INDEX('Prelim Budget'!$C$9:$C$33,MATCH('Cash Flow'!$B34,'Prelim Budget'!$B$9:$B$33,0)),0,IF('Cash Flow'!AY34&lt;&gt;0,'Cash Flow'!AY34,0))),0)</f>
        <v>0</v>
      </c>
      <c r="BA34" s="153">
        <f ca="1">IFERROR(IF(LEFT(OFFSET(BA$2,0,-$C34),3)="A&amp;D",-INDEX('Prelim Budget'!$C$9:$C$33,MATCH('Cash Flow'!$B34,'Prelim Budget'!$B$9:$B$33,0))/'Cash Flow'!$E34,IF(SUM('Cash Flow'!$F34:AZ34)=-INDEX('Prelim Budget'!$C$9:$C$33,MATCH('Cash Flow'!$B34,'Prelim Budget'!$B$9:$B$33,0)),0,IF('Cash Flow'!AZ34&lt;&gt;0,'Cash Flow'!AZ34,0))),0)</f>
        <v>0</v>
      </c>
      <c r="BB34" s="153">
        <f ca="1">IFERROR(IF(LEFT(OFFSET(BB$2,0,-$C34),3)="A&amp;D",-INDEX('Prelim Budget'!$C$9:$C$33,MATCH('Cash Flow'!$B34,'Prelim Budget'!$B$9:$B$33,0))/'Cash Flow'!$E34,IF(SUM('Cash Flow'!$F34:BA34)=-INDEX('Prelim Budget'!$C$9:$C$33,MATCH('Cash Flow'!$B34,'Prelim Budget'!$B$9:$B$33,0)),0,IF('Cash Flow'!BA34&lt;&gt;0,'Cash Flow'!BA34,0))),0)</f>
        <v>0</v>
      </c>
      <c r="BC34" s="153">
        <f ca="1">IFERROR(IF(LEFT(OFFSET(BC$2,0,-$C34),3)="A&amp;D",-INDEX('Prelim Budget'!$C$9:$C$33,MATCH('Cash Flow'!$B34,'Prelim Budget'!$B$9:$B$33,0))/'Cash Flow'!$E34,IF(SUM('Cash Flow'!$F34:BB34)=-INDEX('Prelim Budget'!$C$9:$C$33,MATCH('Cash Flow'!$B34,'Prelim Budget'!$B$9:$B$33,0)),0,IF('Cash Flow'!BB34&lt;&gt;0,'Cash Flow'!BB34,0))),0)</f>
        <v>0</v>
      </c>
      <c r="BD34" s="153">
        <f ca="1">IFERROR(IF(LEFT(OFFSET(BD$2,0,-$C34),3)="A&amp;D",-INDEX('Prelim Budget'!$C$9:$C$33,MATCH('Cash Flow'!$B34,'Prelim Budget'!$B$9:$B$33,0))/'Cash Flow'!$E34,IF(SUM('Cash Flow'!$F34:BC34)=-INDEX('Prelim Budget'!$C$9:$C$33,MATCH('Cash Flow'!$B34,'Prelim Budget'!$B$9:$B$33,0)),0,IF('Cash Flow'!BC34&lt;&gt;0,'Cash Flow'!BC34,0))),0)</f>
        <v>0</v>
      </c>
      <c r="BE34" s="153">
        <f ca="1">IFERROR(IF(LEFT(OFFSET(BE$2,0,-$C34),3)="A&amp;D",-INDEX('Prelim Budget'!$C$9:$C$33,MATCH('Cash Flow'!$B34,'Prelim Budget'!$B$9:$B$33,0))/'Cash Flow'!$E34,IF(SUM('Cash Flow'!$F34:BD34)=-INDEX('Prelim Budget'!$C$9:$C$33,MATCH('Cash Flow'!$B34,'Prelim Budget'!$B$9:$B$33,0)),0,IF('Cash Flow'!BD34&lt;&gt;0,'Cash Flow'!BD34,0))),0)</f>
        <v>0</v>
      </c>
      <c r="BF34" s="153">
        <f ca="1">IFERROR(IF(LEFT(OFFSET(BF$2,0,-$C34),3)="A&amp;D",-INDEX('Prelim Budget'!$C$9:$C$33,MATCH('Cash Flow'!$B34,'Prelim Budget'!$B$9:$B$33,0))/'Cash Flow'!$E34,IF(SUM('Cash Flow'!$F34:BE34)=-INDEX('Prelim Budget'!$C$9:$C$33,MATCH('Cash Flow'!$B34,'Prelim Budget'!$B$9:$B$33,0)),0,IF('Cash Flow'!BE34&lt;&gt;0,'Cash Flow'!BE34,0))),0)</f>
        <v>0</v>
      </c>
      <c r="BG34" s="153">
        <f ca="1">IFERROR(IF(LEFT(OFFSET(BG$2,0,-$C34),3)="A&amp;D",-INDEX('Prelim Budget'!$C$9:$C$33,MATCH('Cash Flow'!$B34,'Prelim Budget'!$B$9:$B$33,0))/'Cash Flow'!$E34,IF(SUM('Cash Flow'!$F34:BF34)=-INDEX('Prelim Budget'!$C$9:$C$33,MATCH('Cash Flow'!$B34,'Prelim Budget'!$B$9:$B$33,0)),0,IF('Cash Flow'!BF34&lt;&gt;0,'Cash Flow'!BF34,0))),0)</f>
        <v>0</v>
      </c>
      <c r="BH34" s="153">
        <f ca="1">IFERROR(IF(LEFT(OFFSET(BH$2,0,-$C34),3)="A&amp;D",-INDEX('Prelim Budget'!$C$9:$C$33,MATCH('Cash Flow'!$B34,'Prelim Budget'!$B$9:$B$33,0))/'Cash Flow'!$E34,IF(SUM('Cash Flow'!$F34:BG34)=-INDEX('Prelim Budget'!$C$9:$C$33,MATCH('Cash Flow'!$B34,'Prelim Budget'!$B$9:$B$33,0)),0,IF('Cash Flow'!BG34&lt;&gt;0,'Cash Flow'!BG34,0))),0)</f>
        <v>0</v>
      </c>
      <c r="BI34" s="153">
        <f ca="1">IFERROR(IF(LEFT(OFFSET(BI$2,0,-$C34),3)="A&amp;D",-INDEX('Prelim Budget'!$C$9:$C$33,MATCH('Cash Flow'!$B34,'Prelim Budget'!$B$9:$B$33,0))/'Cash Flow'!$E34,IF(SUM('Cash Flow'!$F34:BH34)=-INDEX('Prelim Budget'!$C$9:$C$33,MATCH('Cash Flow'!$B34,'Prelim Budget'!$B$9:$B$33,0)),0,IF('Cash Flow'!BH34&lt;&gt;0,'Cash Flow'!BH34,0))),0)</f>
        <v>0</v>
      </c>
      <c r="BJ34" s="153">
        <f ca="1">IFERROR(IF(LEFT(OFFSET(BJ$2,0,-$C34),3)="A&amp;D",-INDEX('Prelim Budget'!$C$9:$C$33,MATCH('Cash Flow'!$B34,'Prelim Budget'!$B$9:$B$33,0))/'Cash Flow'!$E34,IF(SUM('Cash Flow'!$F34:BI34)=-INDEX('Prelim Budget'!$C$9:$C$33,MATCH('Cash Flow'!$B34,'Prelim Budget'!$B$9:$B$33,0)),0,IF('Cash Flow'!BI34&lt;&gt;0,'Cash Flow'!BI34,0))),0)</f>
        <v>0</v>
      </c>
      <c r="BK34" s="153">
        <f ca="1">IFERROR(IF(LEFT(OFFSET(BK$2,0,-$C34),3)="A&amp;D",-INDEX('Prelim Budget'!$C$9:$C$33,MATCH('Cash Flow'!$B34,'Prelim Budget'!$B$9:$B$33,0))/'Cash Flow'!$E34,IF(SUM('Cash Flow'!$F34:BJ34)=-INDEX('Prelim Budget'!$C$9:$C$33,MATCH('Cash Flow'!$B34,'Prelim Budget'!$B$9:$B$33,0)),0,IF('Cash Flow'!BJ34&lt;&gt;0,'Cash Flow'!BJ34,0))),0)</f>
        <v>0</v>
      </c>
      <c r="BL34" s="153">
        <f ca="1">IFERROR(IF(LEFT(OFFSET(BL$2,0,-$C34),3)="A&amp;D",-INDEX('Prelim Budget'!$C$9:$C$33,MATCH('Cash Flow'!$B34,'Prelim Budget'!$B$9:$B$33,0))/'Cash Flow'!$E34,IF(SUM('Cash Flow'!$F34:BK34)=-INDEX('Prelim Budget'!$C$9:$C$33,MATCH('Cash Flow'!$B34,'Prelim Budget'!$B$9:$B$33,0)),0,IF('Cash Flow'!BK34&lt;&gt;0,'Cash Flow'!BK34,0))),0)</f>
        <v>0</v>
      </c>
      <c r="BM34" s="153">
        <f ca="1">IFERROR(IF(LEFT(OFFSET(BM$2,0,-$C34),3)="A&amp;D",-INDEX('Prelim Budget'!$C$9:$C$33,MATCH('Cash Flow'!$B34,'Prelim Budget'!$B$9:$B$33,0))/'Cash Flow'!$E34,IF(SUM('Cash Flow'!$F34:BL34)=-INDEX('Prelim Budget'!$C$9:$C$33,MATCH('Cash Flow'!$B34,'Prelim Budget'!$B$9:$B$33,0)),0,IF('Cash Flow'!BL34&lt;&gt;0,'Cash Flow'!BL34,0))),0)</f>
        <v>0</v>
      </c>
      <c r="BN34" s="153">
        <f ca="1">IFERROR(IF(LEFT(OFFSET(BN$2,0,-$C34),3)="A&amp;D",-INDEX('Prelim Budget'!$C$9:$C$33,MATCH('Cash Flow'!$B34,'Prelim Budget'!$B$9:$B$33,0))/'Cash Flow'!$E34,IF(SUM('Cash Flow'!$F34:BM34)=-INDEX('Prelim Budget'!$C$9:$C$33,MATCH('Cash Flow'!$B34,'Prelim Budget'!$B$9:$B$33,0)),0,IF('Cash Flow'!BM34&lt;&gt;0,'Cash Flow'!BM34,0))),0)</f>
        <v>0</v>
      </c>
      <c r="BO34" s="50">
        <f ca="1">IFERROR(IF(LEFT(OFFSET(BO$2,0,-$C34),3)="A&amp;D",-INDEX('Prelim Budget'!$C$9:$C$33,MATCH('Cash Flow'!$B34,'Prelim Budget'!$B$9:$B$33,0))/'Cash Flow'!$E34,IF(SUM('Cash Flow'!$F34:BN34)=-INDEX('Prelim Budget'!$C$9:$C$33,MATCH('Cash Flow'!$B34,'Prelim Budget'!$B$9:$B$33,0)),0,IF('Cash Flow'!BN34&lt;&gt;0,'Cash Flow'!BN34,0))),0)</f>
        <v>0</v>
      </c>
    </row>
    <row r="35" spans="2:67" ht="14.05" customHeight="1" x14ac:dyDescent="0.4">
      <c r="B35" s="3" t="s">
        <v>160</v>
      </c>
      <c r="C35" s="80">
        <v>1</v>
      </c>
      <c r="D35" s="153">
        <f t="shared" ca="1" si="11"/>
        <v>-57658.499999999993</v>
      </c>
      <c r="E35" s="82">
        <v>8</v>
      </c>
      <c r="F35" s="157"/>
      <c r="G35" s="134">
        <f ca="1">IFERROR(IF(LEFT(OFFSET(G$2,0,-$C35),3)="A&amp;D",-INDEX('Prelim Budget'!$C$9:$C$33,MATCH('Cash Flow'!$B35,'Prelim Budget'!$B$9:$B$33,0))/'Cash Flow'!$E35,IF(SUM('Cash Flow'!$F35:F35)=-INDEX('Prelim Budget'!$C$9:$C$33,MATCH('Cash Flow'!$B35,'Prelim Budget'!$B$9:$B$33,0)),0,IF('Cash Flow'!F35&lt;&gt;0,'Cash Flow'!F35,0))),0)</f>
        <v>0</v>
      </c>
      <c r="H35" s="153">
        <f ca="1">IFERROR(IF(LEFT(OFFSET(H$2,0,-$C35),3)="A&amp;D",-INDEX('Prelim Budget'!$C$9:$C$33,MATCH('Cash Flow'!$B35,'Prelim Budget'!$B$9:$B$33,0))/'Cash Flow'!$E35,IF(SUM('Cash Flow'!$F35:G35)=-INDEX('Prelim Budget'!$C$9:$C$33,MATCH('Cash Flow'!$B35,'Prelim Budget'!$B$9:$B$33,0)),0,IF('Cash Flow'!G35&lt;&gt;0,'Cash Flow'!G35,0))),0)</f>
        <v>0</v>
      </c>
      <c r="I35" s="153">
        <f ca="1">IFERROR(IF(LEFT(OFFSET(I$2,0,-$C35),3)="A&amp;D",-INDEX('Prelim Budget'!$C$9:$C$33,MATCH('Cash Flow'!$B35,'Prelim Budget'!$B$9:$B$33,0))/'Cash Flow'!$E35,IF(SUM('Cash Flow'!$F35:H35)=-INDEX('Prelim Budget'!$C$9:$C$33,MATCH('Cash Flow'!$B35,'Prelim Budget'!$B$9:$B$33,0)),0,IF('Cash Flow'!H35&lt;&gt;0,'Cash Flow'!H35,0))),0)</f>
        <v>0</v>
      </c>
      <c r="J35" s="153">
        <f ca="1">IFERROR(IF(LEFT(OFFSET(J$2,0,-$C35),3)="A&amp;D",-INDEX('Prelim Budget'!$C$9:$C$33,MATCH('Cash Flow'!$B35,'Prelim Budget'!$B$9:$B$33,0))/'Cash Flow'!$E35,IF(SUM('Cash Flow'!$F35:I35)=-INDEX('Prelim Budget'!$C$9:$C$33,MATCH('Cash Flow'!$B35,'Prelim Budget'!$B$9:$B$33,0)),0,IF('Cash Flow'!I35&lt;&gt;0,'Cash Flow'!I35,0))),0)</f>
        <v>0</v>
      </c>
      <c r="K35" s="153">
        <f ca="1">IFERROR(IF(LEFT(OFFSET(K$2,0,-$C35),3)="A&amp;D",-INDEX('Prelim Budget'!$C$9:$C$33,MATCH('Cash Flow'!$B35,'Prelim Budget'!$B$9:$B$33,0))/'Cash Flow'!$E35,IF(SUM('Cash Flow'!$F35:J35)=-INDEX('Prelim Budget'!$C$9:$C$33,MATCH('Cash Flow'!$B35,'Prelim Budget'!$B$9:$B$33,0)),0,IF('Cash Flow'!J35&lt;&gt;0,'Cash Flow'!J35,0))),0)</f>
        <v>0</v>
      </c>
      <c r="L35" s="153">
        <f ca="1">IFERROR(IF(LEFT(OFFSET(L$2,0,-$C35),3)="A&amp;D",-INDEX('Prelim Budget'!$C$9:$C$33,MATCH('Cash Flow'!$B35,'Prelim Budget'!$B$9:$B$33,0))/'Cash Flow'!$E35,IF(SUM('Cash Flow'!$F35:K35)=-INDEX('Prelim Budget'!$C$9:$C$33,MATCH('Cash Flow'!$B35,'Prelim Budget'!$B$9:$B$33,0)),0,IF('Cash Flow'!K35&lt;&gt;0,'Cash Flow'!K35,0))),0)</f>
        <v>0</v>
      </c>
      <c r="M35" s="153">
        <f ca="1">IFERROR(IF(LEFT(OFFSET(M$2,0,-$C35),3)="A&amp;D",-INDEX('Prelim Budget'!$C$9:$C$33,MATCH('Cash Flow'!$B35,'Prelim Budget'!$B$9:$B$33,0))/'Cash Flow'!$E35,IF(SUM('Cash Flow'!$F35:L35)=-INDEX('Prelim Budget'!$C$9:$C$33,MATCH('Cash Flow'!$B35,'Prelim Budget'!$B$9:$B$33,0)),0,IF('Cash Flow'!L35&lt;&gt;0,'Cash Flow'!L35,0))),0)</f>
        <v>0</v>
      </c>
      <c r="N35" s="153">
        <f ca="1">IFERROR(IF(LEFT(OFFSET(N$2,0,-$C35),3)="A&amp;D",-INDEX('Prelim Budget'!$C$9:$C$33,MATCH('Cash Flow'!$B35,'Prelim Budget'!$B$9:$B$33,0))/'Cash Flow'!$E35,IF(SUM('Cash Flow'!$F35:M35)=-INDEX('Prelim Budget'!$C$9:$C$33,MATCH('Cash Flow'!$B35,'Prelim Budget'!$B$9:$B$33,0)),0,IF('Cash Flow'!M35&lt;&gt;0,'Cash Flow'!M35,0))),0)</f>
        <v>-7207.3124999999991</v>
      </c>
      <c r="O35" s="153">
        <f ca="1">IFERROR(IF(LEFT(OFFSET(O$2,0,-$C35),3)="A&amp;D",-INDEX('Prelim Budget'!$C$9:$C$33,MATCH('Cash Flow'!$B35,'Prelim Budget'!$B$9:$B$33,0))/'Cash Flow'!$E35,IF(SUM('Cash Flow'!$F35:N35)=-INDEX('Prelim Budget'!$C$9:$C$33,MATCH('Cash Flow'!$B35,'Prelim Budget'!$B$9:$B$33,0)),0,IF('Cash Flow'!N35&lt;&gt;0,'Cash Flow'!N35,0))),0)</f>
        <v>-7207.3124999999991</v>
      </c>
      <c r="P35" s="153">
        <f ca="1">IFERROR(IF(LEFT(OFFSET(P$2,0,-$C35),3)="A&amp;D",-INDEX('Prelim Budget'!$C$9:$C$33,MATCH('Cash Flow'!$B35,'Prelim Budget'!$B$9:$B$33,0))/'Cash Flow'!$E35,IF(SUM('Cash Flow'!$F35:O35)=-INDEX('Prelim Budget'!$C$9:$C$33,MATCH('Cash Flow'!$B35,'Prelim Budget'!$B$9:$B$33,0)),0,IF('Cash Flow'!O35&lt;&gt;0,'Cash Flow'!O35,0))),0)</f>
        <v>-7207.3124999999991</v>
      </c>
      <c r="Q35" s="153">
        <f ca="1">IFERROR(IF(LEFT(OFFSET(Q$2,0,-$C35),3)="A&amp;D",-INDEX('Prelim Budget'!$C$9:$C$33,MATCH('Cash Flow'!$B35,'Prelim Budget'!$B$9:$B$33,0))/'Cash Flow'!$E35,IF(SUM('Cash Flow'!$F35:P35)=-INDEX('Prelim Budget'!$C$9:$C$33,MATCH('Cash Flow'!$B35,'Prelim Budget'!$B$9:$B$33,0)),0,IF('Cash Flow'!P35&lt;&gt;0,'Cash Flow'!P35,0))),0)</f>
        <v>-7207.3124999999991</v>
      </c>
      <c r="R35" s="153">
        <f ca="1">IFERROR(IF(LEFT(OFFSET(R$2,0,-$C35),3)="A&amp;D",-INDEX('Prelim Budget'!$C$9:$C$33,MATCH('Cash Flow'!$B35,'Prelim Budget'!$B$9:$B$33,0))/'Cash Flow'!$E35,IF(SUM('Cash Flow'!$F35:Q35)=-INDEX('Prelim Budget'!$C$9:$C$33,MATCH('Cash Flow'!$B35,'Prelim Budget'!$B$9:$B$33,0)),0,IF('Cash Flow'!Q35&lt;&gt;0,'Cash Flow'!Q35,0))),0)</f>
        <v>-7207.3124999999991</v>
      </c>
      <c r="S35" s="153">
        <f ca="1">IFERROR(IF(LEFT(OFFSET(S$2,0,-$C35),3)="A&amp;D",-INDEX('Prelim Budget'!$C$9:$C$33,MATCH('Cash Flow'!$B35,'Prelim Budget'!$B$9:$B$33,0))/'Cash Flow'!$E35,IF(SUM('Cash Flow'!$F35:R35)=-INDEX('Prelim Budget'!$C$9:$C$33,MATCH('Cash Flow'!$B35,'Prelim Budget'!$B$9:$B$33,0)),0,IF('Cash Flow'!R35&lt;&gt;0,'Cash Flow'!R35,0))),0)</f>
        <v>-7207.3124999999991</v>
      </c>
      <c r="T35" s="153">
        <f ca="1">IFERROR(IF(LEFT(OFFSET(T$2,0,-$C35),3)="A&amp;D",-INDEX('Prelim Budget'!$C$9:$C$33,MATCH('Cash Flow'!$B35,'Prelim Budget'!$B$9:$B$33,0))/'Cash Flow'!$E35,IF(SUM('Cash Flow'!$F35:S35)=-INDEX('Prelim Budget'!$C$9:$C$33,MATCH('Cash Flow'!$B35,'Prelim Budget'!$B$9:$B$33,0)),0,IF('Cash Flow'!S35&lt;&gt;0,'Cash Flow'!S35,0))),0)</f>
        <v>-7207.3124999999991</v>
      </c>
      <c r="U35" s="153">
        <f ca="1">IFERROR(IF(LEFT(OFFSET(U$2,0,-$C35),3)="A&amp;D",-INDEX('Prelim Budget'!$C$9:$C$33,MATCH('Cash Flow'!$B35,'Prelim Budget'!$B$9:$B$33,0))/'Cash Flow'!$E35,IF(SUM('Cash Flow'!$F35:T35)=-INDEX('Prelim Budget'!$C$9:$C$33,MATCH('Cash Flow'!$B35,'Prelim Budget'!$B$9:$B$33,0)),0,IF('Cash Flow'!T35&lt;&gt;0,'Cash Flow'!T35,0))),0)</f>
        <v>-7207.3124999999991</v>
      </c>
      <c r="V35" s="153">
        <f ca="1">IFERROR(IF(LEFT(OFFSET(V$2,0,-$C35),3)="A&amp;D",-INDEX('Prelim Budget'!$C$9:$C$33,MATCH('Cash Flow'!$B35,'Prelim Budget'!$B$9:$B$33,0))/'Cash Flow'!$E35,IF(SUM('Cash Flow'!$F35:U35)=-INDEX('Prelim Budget'!$C$9:$C$33,MATCH('Cash Flow'!$B35,'Prelim Budget'!$B$9:$B$33,0)),0,IF('Cash Flow'!U35&lt;&gt;0,'Cash Flow'!U35,0))),0)</f>
        <v>0</v>
      </c>
      <c r="W35" s="153">
        <f ca="1">IFERROR(IF(LEFT(OFFSET(W$2,0,-$C35),3)="A&amp;D",-INDEX('Prelim Budget'!$C$9:$C$33,MATCH('Cash Flow'!$B35,'Prelim Budget'!$B$9:$B$33,0))/'Cash Flow'!$E35,IF(SUM('Cash Flow'!$F35:V35)=-INDEX('Prelim Budget'!$C$9:$C$33,MATCH('Cash Flow'!$B35,'Prelim Budget'!$B$9:$B$33,0)),0,IF('Cash Flow'!V35&lt;&gt;0,'Cash Flow'!V35,0))),0)</f>
        <v>0</v>
      </c>
      <c r="X35" s="153">
        <f ca="1">IFERROR(IF(LEFT(OFFSET(X$2,0,-$C35),3)="A&amp;D",-INDEX('Prelim Budget'!$C$9:$C$33,MATCH('Cash Flow'!$B35,'Prelim Budget'!$B$9:$B$33,0))/'Cash Flow'!$E35,IF(SUM('Cash Flow'!$F35:W35)=-INDEX('Prelim Budget'!$C$9:$C$33,MATCH('Cash Flow'!$B35,'Prelim Budget'!$B$9:$B$33,0)),0,IF('Cash Flow'!W35&lt;&gt;0,'Cash Flow'!W35,0))),0)</f>
        <v>0</v>
      </c>
      <c r="Y35" s="153">
        <f ca="1">IFERROR(IF(LEFT(OFFSET(Y$2,0,-$C35),3)="A&amp;D",-INDEX('Prelim Budget'!$C$9:$C$33,MATCH('Cash Flow'!$B35,'Prelim Budget'!$B$9:$B$33,0))/'Cash Flow'!$E35,IF(SUM('Cash Flow'!$F35:X35)=-INDEX('Prelim Budget'!$C$9:$C$33,MATCH('Cash Flow'!$B35,'Prelim Budget'!$B$9:$B$33,0)),0,IF('Cash Flow'!X35&lt;&gt;0,'Cash Flow'!X35,0))),0)</f>
        <v>0</v>
      </c>
      <c r="Z35" s="153">
        <f ca="1">IFERROR(IF(LEFT(OFFSET(Z$2,0,-$C35),3)="A&amp;D",-INDEX('Prelim Budget'!$C$9:$C$33,MATCH('Cash Flow'!$B35,'Prelim Budget'!$B$9:$B$33,0))/'Cash Flow'!$E35,IF(SUM('Cash Flow'!$F35:Y35)=-INDEX('Prelim Budget'!$C$9:$C$33,MATCH('Cash Flow'!$B35,'Prelim Budget'!$B$9:$B$33,0)),0,IF('Cash Flow'!Y35&lt;&gt;0,'Cash Flow'!Y35,0))),0)</f>
        <v>0</v>
      </c>
      <c r="AA35" s="153">
        <f ca="1">IFERROR(IF(LEFT(OFFSET(AA$2,0,-$C35),3)="A&amp;D",-INDEX('Prelim Budget'!$C$9:$C$33,MATCH('Cash Flow'!$B35,'Prelim Budget'!$B$9:$B$33,0))/'Cash Flow'!$E35,IF(SUM('Cash Flow'!$F35:Z35)=-INDEX('Prelim Budget'!$C$9:$C$33,MATCH('Cash Flow'!$B35,'Prelim Budget'!$B$9:$B$33,0)),0,IF('Cash Flow'!Z35&lt;&gt;0,'Cash Flow'!Z35,0))),0)</f>
        <v>0</v>
      </c>
      <c r="AB35" s="153">
        <f ca="1">IFERROR(IF(LEFT(OFFSET(AB$2,0,-$C35),3)="A&amp;D",-INDEX('Prelim Budget'!$C$9:$C$33,MATCH('Cash Flow'!$B35,'Prelim Budget'!$B$9:$B$33,0))/'Cash Flow'!$E35,IF(SUM('Cash Flow'!$F35:AA35)=-INDEX('Prelim Budget'!$C$9:$C$33,MATCH('Cash Flow'!$B35,'Prelim Budget'!$B$9:$B$33,0)),0,IF('Cash Flow'!AA35&lt;&gt;0,'Cash Flow'!AA35,0))),0)</f>
        <v>0</v>
      </c>
      <c r="AC35" s="153">
        <f ca="1">IFERROR(IF(LEFT(OFFSET(AC$2,0,-$C35),3)="A&amp;D",-INDEX('Prelim Budget'!$C$9:$C$33,MATCH('Cash Flow'!$B35,'Prelim Budget'!$B$9:$B$33,0))/'Cash Flow'!$E35,IF(SUM('Cash Flow'!$F35:AB35)=-INDEX('Prelim Budget'!$C$9:$C$33,MATCH('Cash Flow'!$B35,'Prelim Budget'!$B$9:$B$33,0)),0,IF('Cash Flow'!AB35&lt;&gt;0,'Cash Flow'!AB35,0))),0)</f>
        <v>0</v>
      </c>
      <c r="AD35" s="153">
        <f ca="1">IFERROR(IF(LEFT(OFFSET(AD$2,0,-$C35),3)="A&amp;D",-INDEX('Prelim Budget'!$C$9:$C$33,MATCH('Cash Flow'!$B35,'Prelim Budget'!$B$9:$B$33,0))/'Cash Flow'!$E35,IF(SUM('Cash Flow'!$F35:AC35)=-INDEX('Prelim Budget'!$C$9:$C$33,MATCH('Cash Flow'!$B35,'Prelim Budget'!$B$9:$B$33,0)),0,IF('Cash Flow'!AC35&lt;&gt;0,'Cash Flow'!AC35,0))),0)</f>
        <v>0</v>
      </c>
      <c r="AE35" s="153">
        <f ca="1">IFERROR(IF(LEFT(OFFSET(AE$2,0,-$C35),3)="A&amp;D",-INDEX('Prelim Budget'!$C$9:$C$33,MATCH('Cash Flow'!$B35,'Prelim Budget'!$B$9:$B$33,0))/'Cash Flow'!$E35,IF(SUM('Cash Flow'!$F35:AD35)=-INDEX('Prelim Budget'!$C$9:$C$33,MATCH('Cash Flow'!$B35,'Prelim Budget'!$B$9:$B$33,0)),0,IF('Cash Flow'!AD35&lt;&gt;0,'Cash Flow'!AD35,0))),0)</f>
        <v>0</v>
      </c>
      <c r="AF35" s="153">
        <f ca="1">IFERROR(IF(LEFT(OFFSET(AF$2,0,-$C35),3)="A&amp;D",-INDEX('Prelim Budget'!$C$9:$C$33,MATCH('Cash Flow'!$B35,'Prelim Budget'!$B$9:$B$33,0))/'Cash Flow'!$E35,IF(SUM('Cash Flow'!$F35:AE35)=-INDEX('Prelim Budget'!$C$9:$C$33,MATCH('Cash Flow'!$B35,'Prelim Budget'!$B$9:$B$33,0)),0,IF('Cash Flow'!AE35&lt;&gt;0,'Cash Flow'!AE35,0))),0)</f>
        <v>0</v>
      </c>
      <c r="AG35" s="153">
        <f ca="1">IFERROR(IF(LEFT(OFFSET(AG$2,0,-$C35),3)="A&amp;D",-INDEX('Prelim Budget'!$C$9:$C$33,MATCH('Cash Flow'!$B35,'Prelim Budget'!$B$9:$B$33,0))/'Cash Flow'!$E35,IF(SUM('Cash Flow'!$F35:AF35)=-INDEX('Prelim Budget'!$C$9:$C$33,MATCH('Cash Flow'!$B35,'Prelim Budget'!$B$9:$B$33,0)),0,IF('Cash Flow'!AF35&lt;&gt;0,'Cash Flow'!AF35,0))),0)</f>
        <v>0</v>
      </c>
      <c r="AH35" s="153">
        <f ca="1">IFERROR(IF(LEFT(OFFSET(AH$2,0,-$C35),3)="A&amp;D",-INDEX('Prelim Budget'!$C$9:$C$33,MATCH('Cash Flow'!$B35,'Prelim Budget'!$B$9:$B$33,0))/'Cash Flow'!$E35,IF(SUM('Cash Flow'!$F35:AG35)=-INDEX('Prelim Budget'!$C$9:$C$33,MATCH('Cash Flow'!$B35,'Prelim Budget'!$B$9:$B$33,0)),0,IF('Cash Flow'!AG35&lt;&gt;0,'Cash Flow'!AG35,0))),0)</f>
        <v>0</v>
      </c>
      <c r="AI35" s="153">
        <f ca="1">IFERROR(IF(LEFT(OFFSET(AI$2,0,-$C35),3)="A&amp;D",-INDEX('Prelim Budget'!$C$9:$C$33,MATCH('Cash Flow'!$B35,'Prelim Budget'!$B$9:$B$33,0))/'Cash Flow'!$E35,IF(SUM('Cash Flow'!$F35:AH35)=-INDEX('Prelim Budget'!$C$9:$C$33,MATCH('Cash Flow'!$B35,'Prelim Budget'!$B$9:$B$33,0)),0,IF('Cash Flow'!AH35&lt;&gt;0,'Cash Flow'!AH35,0))),0)</f>
        <v>0</v>
      </c>
      <c r="AJ35" s="153">
        <f ca="1">IFERROR(IF(LEFT(OFFSET(AJ$2,0,-$C35),3)="A&amp;D",-INDEX('Prelim Budget'!$C$9:$C$33,MATCH('Cash Flow'!$B35,'Prelim Budget'!$B$9:$B$33,0))/'Cash Flow'!$E35,IF(SUM('Cash Flow'!$F35:AI35)=-INDEX('Prelim Budget'!$C$9:$C$33,MATCH('Cash Flow'!$B35,'Prelim Budget'!$B$9:$B$33,0)),0,IF('Cash Flow'!AI35&lt;&gt;0,'Cash Flow'!AI35,0))),0)</f>
        <v>0</v>
      </c>
      <c r="AK35" s="153">
        <f ca="1">IFERROR(IF(LEFT(OFFSET(AK$2,0,-$C35),3)="A&amp;D",-INDEX('Prelim Budget'!$C$9:$C$33,MATCH('Cash Flow'!$B35,'Prelim Budget'!$B$9:$B$33,0))/'Cash Flow'!$E35,IF(SUM('Cash Flow'!$F35:AJ35)=-INDEX('Prelim Budget'!$C$9:$C$33,MATCH('Cash Flow'!$B35,'Prelim Budget'!$B$9:$B$33,0)),0,IF('Cash Flow'!AJ35&lt;&gt;0,'Cash Flow'!AJ35,0))),0)</f>
        <v>0</v>
      </c>
      <c r="AL35" s="153">
        <f ca="1">IFERROR(IF(LEFT(OFFSET(AL$2,0,-$C35),3)="A&amp;D",-INDEX('Prelim Budget'!$C$9:$C$33,MATCH('Cash Flow'!$B35,'Prelim Budget'!$B$9:$B$33,0))/'Cash Flow'!$E35,IF(SUM('Cash Flow'!$F35:AK35)=-INDEX('Prelim Budget'!$C$9:$C$33,MATCH('Cash Flow'!$B35,'Prelim Budget'!$B$9:$B$33,0)),0,IF('Cash Flow'!AK35&lt;&gt;0,'Cash Flow'!AK35,0))),0)</f>
        <v>0</v>
      </c>
      <c r="AM35" s="153">
        <f ca="1">IFERROR(IF(LEFT(OFFSET(AM$2,0,-$C35),3)="A&amp;D",-INDEX('Prelim Budget'!$C$9:$C$33,MATCH('Cash Flow'!$B35,'Prelim Budget'!$B$9:$B$33,0))/'Cash Flow'!$E35,IF(SUM('Cash Flow'!$F35:AL35)=-INDEX('Prelim Budget'!$C$9:$C$33,MATCH('Cash Flow'!$B35,'Prelim Budget'!$B$9:$B$33,0)),0,IF('Cash Flow'!AL35&lt;&gt;0,'Cash Flow'!AL35,0))),0)</f>
        <v>0</v>
      </c>
      <c r="AN35" s="153">
        <f ca="1">IFERROR(IF(LEFT(OFFSET(AN$2,0,-$C35),3)="A&amp;D",-INDEX('Prelim Budget'!$C$9:$C$33,MATCH('Cash Flow'!$B35,'Prelim Budget'!$B$9:$B$33,0))/'Cash Flow'!$E35,IF(SUM('Cash Flow'!$F35:AM35)=-INDEX('Prelim Budget'!$C$9:$C$33,MATCH('Cash Flow'!$B35,'Prelim Budget'!$B$9:$B$33,0)),0,IF('Cash Flow'!AM35&lt;&gt;0,'Cash Flow'!AM35,0))),0)</f>
        <v>0</v>
      </c>
      <c r="AO35" s="153">
        <f ca="1">IFERROR(IF(LEFT(OFFSET(AO$2,0,-$C35),3)="A&amp;D",-INDEX('Prelim Budget'!$C$9:$C$33,MATCH('Cash Flow'!$B35,'Prelim Budget'!$B$9:$B$33,0))/'Cash Flow'!$E35,IF(SUM('Cash Flow'!$F35:AN35)=-INDEX('Prelim Budget'!$C$9:$C$33,MATCH('Cash Flow'!$B35,'Prelim Budget'!$B$9:$B$33,0)),0,IF('Cash Flow'!AN35&lt;&gt;0,'Cash Flow'!AN35,0))),0)</f>
        <v>0</v>
      </c>
      <c r="AP35" s="153">
        <f ca="1">IFERROR(IF(LEFT(OFFSET(AP$2,0,-$C35),3)="A&amp;D",-INDEX('Prelim Budget'!$C$9:$C$33,MATCH('Cash Flow'!$B35,'Prelim Budget'!$B$9:$B$33,0))/'Cash Flow'!$E35,IF(SUM('Cash Flow'!$F35:AO35)=-INDEX('Prelim Budget'!$C$9:$C$33,MATCH('Cash Flow'!$B35,'Prelim Budget'!$B$9:$B$33,0)),0,IF('Cash Flow'!AO35&lt;&gt;0,'Cash Flow'!AO35,0))),0)</f>
        <v>0</v>
      </c>
      <c r="AQ35" s="153">
        <f ca="1">IFERROR(IF(LEFT(OFFSET(AQ$2,0,-$C35),3)="A&amp;D",-INDEX('Prelim Budget'!$C$9:$C$33,MATCH('Cash Flow'!$B35,'Prelim Budget'!$B$9:$B$33,0))/'Cash Flow'!$E35,IF(SUM('Cash Flow'!$F35:AP35)=-INDEX('Prelim Budget'!$C$9:$C$33,MATCH('Cash Flow'!$B35,'Prelim Budget'!$B$9:$B$33,0)),0,IF('Cash Flow'!AP35&lt;&gt;0,'Cash Flow'!AP35,0))),0)</f>
        <v>0</v>
      </c>
      <c r="AR35" s="153">
        <f ca="1">IFERROR(IF(LEFT(OFFSET(AR$2,0,-$C35),3)="A&amp;D",-INDEX('Prelim Budget'!$C$9:$C$33,MATCH('Cash Flow'!$B35,'Prelim Budget'!$B$9:$B$33,0))/'Cash Flow'!$E35,IF(SUM('Cash Flow'!$F35:AQ35)=-INDEX('Prelim Budget'!$C$9:$C$33,MATCH('Cash Flow'!$B35,'Prelim Budget'!$B$9:$B$33,0)),0,IF('Cash Flow'!AQ35&lt;&gt;0,'Cash Flow'!AQ35,0))),0)</f>
        <v>0</v>
      </c>
      <c r="AS35" s="153">
        <f ca="1">IFERROR(IF(LEFT(OFFSET(AS$2,0,-$C35),3)="A&amp;D",-INDEX('Prelim Budget'!$C$9:$C$33,MATCH('Cash Flow'!$B35,'Prelim Budget'!$B$9:$B$33,0))/'Cash Flow'!$E35,IF(SUM('Cash Flow'!$F35:AR35)=-INDEX('Prelim Budget'!$C$9:$C$33,MATCH('Cash Flow'!$B35,'Prelim Budget'!$B$9:$B$33,0)),0,IF('Cash Flow'!AR35&lt;&gt;0,'Cash Flow'!AR35,0))),0)</f>
        <v>0</v>
      </c>
      <c r="AT35" s="153">
        <f ca="1">IFERROR(IF(LEFT(OFFSET(AT$2,0,-$C35),3)="A&amp;D",-INDEX('Prelim Budget'!$C$9:$C$33,MATCH('Cash Flow'!$B35,'Prelim Budget'!$B$9:$B$33,0))/'Cash Flow'!$E35,IF(SUM('Cash Flow'!$F35:AS35)=-INDEX('Prelim Budget'!$C$9:$C$33,MATCH('Cash Flow'!$B35,'Prelim Budget'!$B$9:$B$33,0)),0,IF('Cash Flow'!AS35&lt;&gt;0,'Cash Flow'!AS35,0))),0)</f>
        <v>0</v>
      </c>
      <c r="AU35" s="153">
        <f ca="1">IFERROR(IF(LEFT(OFFSET(AU$2,0,-$C35),3)="A&amp;D",-INDEX('Prelim Budget'!$C$9:$C$33,MATCH('Cash Flow'!$B35,'Prelim Budget'!$B$9:$B$33,0))/'Cash Flow'!$E35,IF(SUM('Cash Flow'!$F35:AT35)=-INDEX('Prelim Budget'!$C$9:$C$33,MATCH('Cash Flow'!$B35,'Prelim Budget'!$B$9:$B$33,0)),0,IF('Cash Flow'!AT35&lt;&gt;0,'Cash Flow'!AT35,0))),0)</f>
        <v>0</v>
      </c>
      <c r="AV35" s="153">
        <f ca="1">IFERROR(IF(LEFT(OFFSET(AV$2,0,-$C35),3)="A&amp;D",-INDEX('Prelim Budget'!$C$9:$C$33,MATCH('Cash Flow'!$B35,'Prelim Budget'!$B$9:$B$33,0))/'Cash Flow'!$E35,IF(SUM('Cash Flow'!$F35:AU35)=-INDEX('Prelim Budget'!$C$9:$C$33,MATCH('Cash Flow'!$B35,'Prelim Budget'!$B$9:$B$33,0)),0,IF('Cash Flow'!AU35&lt;&gt;0,'Cash Flow'!AU35,0))),0)</f>
        <v>0</v>
      </c>
      <c r="AW35" s="153">
        <f ca="1">IFERROR(IF(LEFT(OFFSET(AW$2,0,-$C35),3)="A&amp;D",-INDEX('Prelim Budget'!$C$9:$C$33,MATCH('Cash Flow'!$B35,'Prelim Budget'!$B$9:$B$33,0))/'Cash Flow'!$E35,IF(SUM('Cash Flow'!$F35:AV35)=-INDEX('Prelim Budget'!$C$9:$C$33,MATCH('Cash Flow'!$B35,'Prelim Budget'!$B$9:$B$33,0)),0,IF('Cash Flow'!AV35&lt;&gt;0,'Cash Flow'!AV35,0))),0)</f>
        <v>0</v>
      </c>
      <c r="AX35" s="153">
        <f ca="1">IFERROR(IF(LEFT(OFFSET(AX$2,0,-$C35),3)="A&amp;D",-INDEX('Prelim Budget'!$C$9:$C$33,MATCH('Cash Flow'!$B35,'Prelim Budget'!$B$9:$B$33,0))/'Cash Flow'!$E35,IF(SUM('Cash Flow'!$F35:AW35)=-INDEX('Prelim Budget'!$C$9:$C$33,MATCH('Cash Flow'!$B35,'Prelim Budget'!$B$9:$B$33,0)),0,IF('Cash Flow'!AW35&lt;&gt;0,'Cash Flow'!AW35,0))),0)</f>
        <v>0</v>
      </c>
      <c r="AY35" s="153">
        <f ca="1">IFERROR(IF(LEFT(OFFSET(AY$2,0,-$C35),3)="A&amp;D",-INDEX('Prelim Budget'!$C$9:$C$33,MATCH('Cash Flow'!$B35,'Prelim Budget'!$B$9:$B$33,0))/'Cash Flow'!$E35,IF(SUM('Cash Flow'!$F35:AX35)=-INDEX('Prelim Budget'!$C$9:$C$33,MATCH('Cash Flow'!$B35,'Prelim Budget'!$B$9:$B$33,0)),0,IF('Cash Flow'!AX35&lt;&gt;0,'Cash Flow'!AX35,0))),0)</f>
        <v>0</v>
      </c>
      <c r="AZ35" s="153">
        <f ca="1">IFERROR(IF(LEFT(OFFSET(AZ$2,0,-$C35),3)="A&amp;D",-INDEX('Prelim Budget'!$C$9:$C$33,MATCH('Cash Flow'!$B35,'Prelim Budget'!$B$9:$B$33,0))/'Cash Flow'!$E35,IF(SUM('Cash Flow'!$F35:AY35)=-INDEX('Prelim Budget'!$C$9:$C$33,MATCH('Cash Flow'!$B35,'Prelim Budget'!$B$9:$B$33,0)),0,IF('Cash Flow'!AY35&lt;&gt;0,'Cash Flow'!AY35,0))),0)</f>
        <v>0</v>
      </c>
      <c r="BA35" s="153">
        <f ca="1">IFERROR(IF(LEFT(OFFSET(BA$2,0,-$C35),3)="A&amp;D",-INDEX('Prelim Budget'!$C$9:$C$33,MATCH('Cash Flow'!$B35,'Prelim Budget'!$B$9:$B$33,0))/'Cash Flow'!$E35,IF(SUM('Cash Flow'!$F35:AZ35)=-INDEX('Prelim Budget'!$C$9:$C$33,MATCH('Cash Flow'!$B35,'Prelim Budget'!$B$9:$B$33,0)),0,IF('Cash Flow'!AZ35&lt;&gt;0,'Cash Flow'!AZ35,0))),0)</f>
        <v>0</v>
      </c>
      <c r="BB35" s="153">
        <f ca="1">IFERROR(IF(LEFT(OFFSET(BB$2,0,-$C35),3)="A&amp;D",-INDEX('Prelim Budget'!$C$9:$C$33,MATCH('Cash Flow'!$B35,'Prelim Budget'!$B$9:$B$33,0))/'Cash Flow'!$E35,IF(SUM('Cash Flow'!$F35:BA35)=-INDEX('Prelim Budget'!$C$9:$C$33,MATCH('Cash Flow'!$B35,'Prelim Budget'!$B$9:$B$33,0)),0,IF('Cash Flow'!BA35&lt;&gt;0,'Cash Flow'!BA35,0))),0)</f>
        <v>0</v>
      </c>
      <c r="BC35" s="153">
        <f ca="1">IFERROR(IF(LEFT(OFFSET(BC$2,0,-$C35),3)="A&amp;D",-INDEX('Prelim Budget'!$C$9:$C$33,MATCH('Cash Flow'!$B35,'Prelim Budget'!$B$9:$B$33,0))/'Cash Flow'!$E35,IF(SUM('Cash Flow'!$F35:BB35)=-INDEX('Prelim Budget'!$C$9:$C$33,MATCH('Cash Flow'!$B35,'Prelim Budget'!$B$9:$B$33,0)),0,IF('Cash Flow'!BB35&lt;&gt;0,'Cash Flow'!BB35,0))),0)</f>
        <v>0</v>
      </c>
      <c r="BD35" s="153">
        <f ca="1">IFERROR(IF(LEFT(OFFSET(BD$2,0,-$C35),3)="A&amp;D",-INDEX('Prelim Budget'!$C$9:$C$33,MATCH('Cash Flow'!$B35,'Prelim Budget'!$B$9:$B$33,0))/'Cash Flow'!$E35,IF(SUM('Cash Flow'!$F35:BC35)=-INDEX('Prelim Budget'!$C$9:$C$33,MATCH('Cash Flow'!$B35,'Prelim Budget'!$B$9:$B$33,0)),0,IF('Cash Flow'!BC35&lt;&gt;0,'Cash Flow'!BC35,0))),0)</f>
        <v>0</v>
      </c>
      <c r="BE35" s="153">
        <f ca="1">IFERROR(IF(LEFT(OFFSET(BE$2,0,-$C35),3)="A&amp;D",-INDEX('Prelim Budget'!$C$9:$C$33,MATCH('Cash Flow'!$B35,'Prelim Budget'!$B$9:$B$33,0))/'Cash Flow'!$E35,IF(SUM('Cash Flow'!$F35:BD35)=-INDEX('Prelim Budget'!$C$9:$C$33,MATCH('Cash Flow'!$B35,'Prelim Budget'!$B$9:$B$33,0)),0,IF('Cash Flow'!BD35&lt;&gt;0,'Cash Flow'!BD35,0))),0)</f>
        <v>0</v>
      </c>
      <c r="BF35" s="153">
        <f ca="1">IFERROR(IF(LEFT(OFFSET(BF$2,0,-$C35),3)="A&amp;D",-INDEX('Prelim Budget'!$C$9:$C$33,MATCH('Cash Flow'!$B35,'Prelim Budget'!$B$9:$B$33,0))/'Cash Flow'!$E35,IF(SUM('Cash Flow'!$F35:BE35)=-INDEX('Prelim Budget'!$C$9:$C$33,MATCH('Cash Flow'!$B35,'Prelim Budget'!$B$9:$B$33,0)),0,IF('Cash Flow'!BE35&lt;&gt;0,'Cash Flow'!BE35,0))),0)</f>
        <v>0</v>
      </c>
      <c r="BG35" s="153">
        <f ca="1">IFERROR(IF(LEFT(OFFSET(BG$2,0,-$C35),3)="A&amp;D",-INDEX('Prelim Budget'!$C$9:$C$33,MATCH('Cash Flow'!$B35,'Prelim Budget'!$B$9:$B$33,0))/'Cash Flow'!$E35,IF(SUM('Cash Flow'!$F35:BF35)=-INDEX('Prelim Budget'!$C$9:$C$33,MATCH('Cash Flow'!$B35,'Prelim Budget'!$B$9:$B$33,0)),0,IF('Cash Flow'!BF35&lt;&gt;0,'Cash Flow'!BF35,0))),0)</f>
        <v>0</v>
      </c>
      <c r="BH35" s="153">
        <f ca="1">IFERROR(IF(LEFT(OFFSET(BH$2,0,-$C35),3)="A&amp;D",-INDEX('Prelim Budget'!$C$9:$C$33,MATCH('Cash Flow'!$B35,'Prelim Budget'!$B$9:$B$33,0))/'Cash Flow'!$E35,IF(SUM('Cash Flow'!$F35:BG35)=-INDEX('Prelim Budget'!$C$9:$C$33,MATCH('Cash Flow'!$B35,'Prelim Budget'!$B$9:$B$33,0)),0,IF('Cash Flow'!BG35&lt;&gt;0,'Cash Flow'!BG35,0))),0)</f>
        <v>0</v>
      </c>
      <c r="BI35" s="153">
        <f ca="1">IFERROR(IF(LEFT(OFFSET(BI$2,0,-$C35),3)="A&amp;D",-INDEX('Prelim Budget'!$C$9:$C$33,MATCH('Cash Flow'!$B35,'Prelim Budget'!$B$9:$B$33,0))/'Cash Flow'!$E35,IF(SUM('Cash Flow'!$F35:BH35)=-INDEX('Prelim Budget'!$C$9:$C$33,MATCH('Cash Flow'!$B35,'Prelim Budget'!$B$9:$B$33,0)),0,IF('Cash Flow'!BH35&lt;&gt;0,'Cash Flow'!BH35,0))),0)</f>
        <v>0</v>
      </c>
      <c r="BJ35" s="153">
        <f ca="1">IFERROR(IF(LEFT(OFFSET(BJ$2,0,-$C35),3)="A&amp;D",-INDEX('Prelim Budget'!$C$9:$C$33,MATCH('Cash Flow'!$B35,'Prelim Budget'!$B$9:$B$33,0))/'Cash Flow'!$E35,IF(SUM('Cash Flow'!$F35:BI35)=-INDEX('Prelim Budget'!$C$9:$C$33,MATCH('Cash Flow'!$B35,'Prelim Budget'!$B$9:$B$33,0)),0,IF('Cash Flow'!BI35&lt;&gt;0,'Cash Flow'!BI35,0))),0)</f>
        <v>0</v>
      </c>
      <c r="BK35" s="153">
        <f ca="1">IFERROR(IF(LEFT(OFFSET(BK$2,0,-$C35),3)="A&amp;D",-INDEX('Prelim Budget'!$C$9:$C$33,MATCH('Cash Flow'!$B35,'Prelim Budget'!$B$9:$B$33,0))/'Cash Flow'!$E35,IF(SUM('Cash Flow'!$F35:BJ35)=-INDEX('Prelim Budget'!$C$9:$C$33,MATCH('Cash Flow'!$B35,'Prelim Budget'!$B$9:$B$33,0)),0,IF('Cash Flow'!BJ35&lt;&gt;0,'Cash Flow'!BJ35,0))),0)</f>
        <v>0</v>
      </c>
      <c r="BL35" s="153">
        <f ca="1">IFERROR(IF(LEFT(OFFSET(BL$2,0,-$C35),3)="A&amp;D",-INDEX('Prelim Budget'!$C$9:$C$33,MATCH('Cash Flow'!$B35,'Prelim Budget'!$B$9:$B$33,0))/'Cash Flow'!$E35,IF(SUM('Cash Flow'!$F35:BK35)=-INDEX('Prelim Budget'!$C$9:$C$33,MATCH('Cash Flow'!$B35,'Prelim Budget'!$B$9:$B$33,0)),0,IF('Cash Flow'!BK35&lt;&gt;0,'Cash Flow'!BK35,0))),0)</f>
        <v>0</v>
      </c>
      <c r="BM35" s="153">
        <f ca="1">IFERROR(IF(LEFT(OFFSET(BM$2,0,-$C35),3)="A&amp;D",-INDEX('Prelim Budget'!$C$9:$C$33,MATCH('Cash Flow'!$B35,'Prelim Budget'!$B$9:$B$33,0))/'Cash Flow'!$E35,IF(SUM('Cash Flow'!$F35:BL35)=-INDEX('Prelim Budget'!$C$9:$C$33,MATCH('Cash Flow'!$B35,'Prelim Budget'!$B$9:$B$33,0)),0,IF('Cash Flow'!BL35&lt;&gt;0,'Cash Flow'!BL35,0))),0)</f>
        <v>0</v>
      </c>
      <c r="BN35" s="153">
        <f ca="1">IFERROR(IF(LEFT(OFFSET(BN$2,0,-$C35),3)="A&amp;D",-INDEX('Prelim Budget'!$C$9:$C$33,MATCH('Cash Flow'!$B35,'Prelim Budget'!$B$9:$B$33,0))/'Cash Flow'!$E35,IF(SUM('Cash Flow'!$F35:BM35)=-INDEX('Prelim Budget'!$C$9:$C$33,MATCH('Cash Flow'!$B35,'Prelim Budget'!$B$9:$B$33,0)),0,IF('Cash Flow'!BM35&lt;&gt;0,'Cash Flow'!BM35,0))),0)</f>
        <v>0</v>
      </c>
      <c r="BO35" s="50">
        <f ca="1">IFERROR(IF(LEFT(OFFSET(BO$2,0,-$C35),3)="A&amp;D",-INDEX('Prelim Budget'!$C$9:$C$33,MATCH('Cash Flow'!$B35,'Prelim Budget'!$B$9:$B$33,0))/'Cash Flow'!$E35,IF(SUM('Cash Flow'!$F35:BN35)=-INDEX('Prelim Budget'!$C$9:$C$33,MATCH('Cash Flow'!$B35,'Prelim Budget'!$B$9:$B$33,0)),0,IF('Cash Flow'!BN35&lt;&gt;0,'Cash Flow'!BN35,0))),0)</f>
        <v>0</v>
      </c>
    </row>
    <row r="36" spans="2:67" ht="14.05" customHeight="1" x14ac:dyDescent="0.4">
      <c r="B36" s="123" t="s">
        <v>161</v>
      </c>
      <c r="C36" s="80">
        <v>10</v>
      </c>
      <c r="D36" s="153">
        <f t="shared" ca="1" si="11"/>
        <v>-206000</v>
      </c>
      <c r="E36" s="82">
        <v>3</v>
      </c>
      <c r="F36" s="157"/>
      <c r="G36" s="134">
        <f ca="1">IFERROR(IF(LEFT(OFFSET(G$2,0,-$C36),3)="A&amp;D",-INDEX('Prelim Budget'!$C$9:$C$33,MATCH('Cash Flow'!$B36,'Prelim Budget'!$B$9:$B$33,0))/'Cash Flow'!$E36,IF(SUM('Cash Flow'!$F36:F36)=-INDEX('Prelim Budget'!$C$9:$C$33,MATCH('Cash Flow'!$B36,'Prelim Budget'!$B$9:$B$33,0)),0,IF('Cash Flow'!F36&lt;&gt;0,'Cash Flow'!F36,0))),0)</f>
        <v>0</v>
      </c>
      <c r="H36" s="153">
        <f ca="1">IFERROR(IF(LEFT(OFFSET(H$2,0,-$C36),3)="A&amp;D",-INDEX('Prelim Budget'!$C$9:$C$33,MATCH('Cash Flow'!$B36,'Prelim Budget'!$B$9:$B$33,0))/'Cash Flow'!$E36,IF(SUM('Cash Flow'!$F36:G36)=-INDEX('Prelim Budget'!$C$9:$C$33,MATCH('Cash Flow'!$B36,'Prelim Budget'!$B$9:$B$33,0)),0,IF('Cash Flow'!G36&lt;&gt;0,'Cash Flow'!G36,0))),0)</f>
        <v>0</v>
      </c>
      <c r="I36" s="153">
        <f ca="1">IFERROR(IF(LEFT(OFFSET(I$2,0,-$C36),3)="A&amp;D",-INDEX('Prelim Budget'!$C$9:$C$33,MATCH('Cash Flow'!$B36,'Prelim Budget'!$B$9:$B$33,0))/'Cash Flow'!$E36,IF(SUM('Cash Flow'!$F36:H36)=-INDEX('Prelim Budget'!$C$9:$C$33,MATCH('Cash Flow'!$B36,'Prelim Budget'!$B$9:$B$33,0)),0,IF('Cash Flow'!H36&lt;&gt;0,'Cash Flow'!H36,0))),0)</f>
        <v>0</v>
      </c>
      <c r="J36" s="153">
        <f ca="1">IFERROR(IF(LEFT(OFFSET(J$2,0,-$C36),3)="A&amp;D",-INDEX('Prelim Budget'!$C$9:$C$33,MATCH('Cash Flow'!$B36,'Prelim Budget'!$B$9:$B$33,0))/'Cash Flow'!$E36,IF(SUM('Cash Flow'!$F36:I36)=-INDEX('Prelim Budget'!$C$9:$C$33,MATCH('Cash Flow'!$B36,'Prelim Budget'!$B$9:$B$33,0)),0,IF('Cash Flow'!I36&lt;&gt;0,'Cash Flow'!I36,0))),0)</f>
        <v>0</v>
      </c>
      <c r="K36" s="153">
        <f ca="1">IFERROR(IF(LEFT(OFFSET(K$2,0,-$C36),3)="A&amp;D",-INDEX('Prelim Budget'!$C$9:$C$33,MATCH('Cash Flow'!$B36,'Prelim Budget'!$B$9:$B$33,0))/'Cash Flow'!$E36,IF(SUM('Cash Flow'!$F36:J36)=-INDEX('Prelim Budget'!$C$9:$C$33,MATCH('Cash Flow'!$B36,'Prelim Budget'!$B$9:$B$33,0)),0,IF('Cash Flow'!J36&lt;&gt;0,'Cash Flow'!J36,0))),0)</f>
        <v>0</v>
      </c>
      <c r="L36" s="153">
        <f ca="1">IFERROR(IF(LEFT(OFFSET(L$2,0,-$C36),3)="A&amp;D",-INDEX('Prelim Budget'!$C$9:$C$33,MATCH('Cash Flow'!$B36,'Prelim Budget'!$B$9:$B$33,0))/'Cash Flow'!$E36,IF(SUM('Cash Flow'!$F36:K36)=-INDEX('Prelim Budget'!$C$9:$C$33,MATCH('Cash Flow'!$B36,'Prelim Budget'!$B$9:$B$33,0)),0,IF('Cash Flow'!K36&lt;&gt;0,'Cash Flow'!K36,0))),0)</f>
        <v>0</v>
      </c>
      <c r="M36" s="153">
        <f ca="1">IFERROR(IF(LEFT(OFFSET(M$2,0,-$C36),3)="A&amp;D",-INDEX('Prelim Budget'!$C$9:$C$33,MATCH('Cash Flow'!$B36,'Prelim Budget'!$B$9:$B$33,0))/'Cash Flow'!$E36,IF(SUM('Cash Flow'!$F36:L36)=-INDEX('Prelim Budget'!$C$9:$C$33,MATCH('Cash Flow'!$B36,'Prelim Budget'!$B$9:$B$33,0)),0,IF('Cash Flow'!L36&lt;&gt;0,'Cash Flow'!L36,0))),0)</f>
        <v>0</v>
      </c>
      <c r="N36" s="153">
        <f ca="1">IFERROR(IF(LEFT(OFFSET(N$2,0,-$C36),3)="A&amp;D",-INDEX('Prelim Budget'!$C$9:$C$33,MATCH('Cash Flow'!$B36,'Prelim Budget'!$B$9:$B$33,0))/'Cash Flow'!$E36,IF(SUM('Cash Flow'!$F36:M36)=-INDEX('Prelim Budget'!$C$9:$C$33,MATCH('Cash Flow'!$B36,'Prelim Budget'!$B$9:$B$33,0)),0,IF('Cash Flow'!M36&lt;&gt;0,'Cash Flow'!M36,0))),0)</f>
        <v>0</v>
      </c>
      <c r="O36" s="153">
        <f ca="1">IFERROR(IF(LEFT(OFFSET(O$2,0,-$C36),3)="A&amp;D",-INDEX('Prelim Budget'!$C$9:$C$33,MATCH('Cash Flow'!$B36,'Prelim Budget'!$B$9:$B$33,0))/'Cash Flow'!$E36,IF(SUM('Cash Flow'!$F36:N36)=-INDEX('Prelim Budget'!$C$9:$C$33,MATCH('Cash Flow'!$B36,'Prelim Budget'!$B$9:$B$33,0)),0,IF('Cash Flow'!N36&lt;&gt;0,'Cash Flow'!N36,0))),0)</f>
        <v>0</v>
      </c>
      <c r="P36" s="153">
        <f ca="1">IFERROR(IF(LEFT(OFFSET(P$2,0,-$C36),3)="A&amp;D",-INDEX('Prelim Budget'!$C$9:$C$33,MATCH('Cash Flow'!$B36,'Prelim Budget'!$B$9:$B$33,0))/'Cash Flow'!$E36,IF(SUM('Cash Flow'!$F36:O36)=-INDEX('Prelim Budget'!$C$9:$C$33,MATCH('Cash Flow'!$B36,'Prelim Budget'!$B$9:$B$33,0)),0,IF('Cash Flow'!O36&lt;&gt;0,'Cash Flow'!O36,0))),0)</f>
        <v>0</v>
      </c>
      <c r="Q36" s="153">
        <f ca="1">IFERROR(IF(LEFT(OFFSET(Q$2,0,-$C36),3)="A&amp;D",-INDEX('Prelim Budget'!$C$9:$C$33,MATCH('Cash Flow'!$B36,'Prelim Budget'!$B$9:$B$33,0))/'Cash Flow'!$E36,IF(SUM('Cash Flow'!$F36:P36)=-INDEX('Prelim Budget'!$C$9:$C$33,MATCH('Cash Flow'!$B36,'Prelim Budget'!$B$9:$B$33,0)),0,IF('Cash Flow'!P36&lt;&gt;0,'Cash Flow'!P36,0))),0)</f>
        <v>0</v>
      </c>
      <c r="R36" s="153">
        <f ca="1">IFERROR(IF(LEFT(OFFSET(R$2,0,-$C36),3)="A&amp;D",-INDEX('Prelim Budget'!$C$9:$C$33,MATCH('Cash Flow'!$B36,'Prelim Budget'!$B$9:$B$33,0))/'Cash Flow'!$E36,IF(SUM('Cash Flow'!$F36:Q36)=-INDEX('Prelim Budget'!$C$9:$C$33,MATCH('Cash Flow'!$B36,'Prelim Budget'!$B$9:$B$33,0)),0,IF('Cash Flow'!Q36&lt;&gt;0,'Cash Flow'!Q36,0))),0)</f>
        <v>0</v>
      </c>
      <c r="S36" s="153">
        <f ca="1">IFERROR(IF(LEFT(OFFSET(S$2,0,-$C36),3)="A&amp;D",-INDEX('Prelim Budget'!$C$9:$C$33,MATCH('Cash Flow'!$B36,'Prelim Budget'!$B$9:$B$33,0))/'Cash Flow'!$E36,IF(SUM('Cash Flow'!$F36:R36)=-INDEX('Prelim Budget'!$C$9:$C$33,MATCH('Cash Flow'!$B36,'Prelim Budget'!$B$9:$B$33,0)),0,IF('Cash Flow'!R36&lt;&gt;0,'Cash Flow'!R36,0))),0)</f>
        <v>0</v>
      </c>
      <c r="T36" s="153">
        <f ca="1">IFERROR(IF(LEFT(OFFSET(T$2,0,-$C36),3)="A&amp;D",-INDEX('Prelim Budget'!$C$9:$C$33,MATCH('Cash Flow'!$B36,'Prelim Budget'!$B$9:$B$33,0))/'Cash Flow'!$E36,IF(SUM('Cash Flow'!$F36:S36)=-INDEX('Prelim Budget'!$C$9:$C$33,MATCH('Cash Flow'!$B36,'Prelim Budget'!$B$9:$B$33,0)),0,IF('Cash Flow'!S36&lt;&gt;0,'Cash Flow'!S36,0))),0)</f>
        <v>0</v>
      </c>
      <c r="U36" s="153">
        <f ca="1">IFERROR(IF(LEFT(OFFSET(U$2,0,-$C36),3)="A&amp;D",-INDEX('Prelim Budget'!$C$9:$C$33,MATCH('Cash Flow'!$B36,'Prelim Budget'!$B$9:$B$33,0))/'Cash Flow'!$E36,IF(SUM('Cash Flow'!$F36:T36)=-INDEX('Prelim Budget'!$C$9:$C$33,MATCH('Cash Flow'!$B36,'Prelim Budget'!$B$9:$B$33,0)),0,IF('Cash Flow'!T36&lt;&gt;0,'Cash Flow'!T36,0))),0)</f>
        <v>0</v>
      </c>
      <c r="V36" s="153">
        <f ca="1">IFERROR(IF(LEFT(OFFSET(V$2,0,-$C36),3)="A&amp;D",-INDEX('Prelim Budget'!$C$9:$C$33,MATCH('Cash Flow'!$B36,'Prelim Budget'!$B$9:$B$33,0))/'Cash Flow'!$E36,IF(SUM('Cash Flow'!$F36:U36)=-INDEX('Prelim Budget'!$C$9:$C$33,MATCH('Cash Flow'!$B36,'Prelim Budget'!$B$9:$B$33,0)),0,IF('Cash Flow'!U36&lt;&gt;0,'Cash Flow'!U36,0))),0)</f>
        <v>0</v>
      </c>
      <c r="W36" s="153">
        <f ca="1">IFERROR(IF(LEFT(OFFSET(W$2,0,-$C36),3)="A&amp;D",-INDEX('Prelim Budget'!$C$9:$C$33,MATCH('Cash Flow'!$B36,'Prelim Budget'!$B$9:$B$33,0))/'Cash Flow'!$E36,IF(SUM('Cash Flow'!$F36:V36)=-INDEX('Prelim Budget'!$C$9:$C$33,MATCH('Cash Flow'!$B36,'Prelim Budget'!$B$9:$B$33,0)),0,IF('Cash Flow'!V36&lt;&gt;0,'Cash Flow'!V36,0))),0)</f>
        <v>-68666.666666666672</v>
      </c>
      <c r="X36" s="153">
        <f ca="1">IFERROR(IF(LEFT(OFFSET(X$2,0,-$C36),3)="A&amp;D",-INDEX('Prelim Budget'!$C$9:$C$33,MATCH('Cash Flow'!$B36,'Prelim Budget'!$B$9:$B$33,0))/'Cash Flow'!$E36,IF(SUM('Cash Flow'!$F36:W36)=-INDEX('Prelim Budget'!$C$9:$C$33,MATCH('Cash Flow'!$B36,'Prelim Budget'!$B$9:$B$33,0)),0,IF('Cash Flow'!W36&lt;&gt;0,'Cash Flow'!W36,0))),0)</f>
        <v>-68666.666666666672</v>
      </c>
      <c r="Y36" s="153">
        <f ca="1">IFERROR(IF(LEFT(OFFSET(Y$2,0,-$C36),3)="A&amp;D",-INDEX('Prelim Budget'!$C$9:$C$33,MATCH('Cash Flow'!$B36,'Prelim Budget'!$B$9:$B$33,0))/'Cash Flow'!$E36,IF(SUM('Cash Flow'!$F36:X36)=-INDEX('Prelim Budget'!$C$9:$C$33,MATCH('Cash Flow'!$B36,'Prelim Budget'!$B$9:$B$33,0)),0,IF('Cash Flow'!X36&lt;&gt;0,'Cash Flow'!X36,0))),0)</f>
        <v>-68666.666666666672</v>
      </c>
      <c r="Z36" s="153">
        <f ca="1">IFERROR(IF(LEFT(OFFSET(Z$2,0,-$C36),3)="A&amp;D",-INDEX('Prelim Budget'!$C$9:$C$33,MATCH('Cash Flow'!$B36,'Prelim Budget'!$B$9:$B$33,0))/'Cash Flow'!$E36,IF(SUM('Cash Flow'!$F36:Y36)=-INDEX('Prelim Budget'!$C$9:$C$33,MATCH('Cash Flow'!$B36,'Prelim Budget'!$B$9:$B$33,0)),0,IF('Cash Flow'!Y36&lt;&gt;0,'Cash Flow'!Y36,0))),0)</f>
        <v>0</v>
      </c>
      <c r="AA36" s="153">
        <f ca="1">IFERROR(IF(LEFT(OFFSET(AA$2,0,-$C36),3)="A&amp;D",-INDEX('Prelim Budget'!$C$9:$C$33,MATCH('Cash Flow'!$B36,'Prelim Budget'!$B$9:$B$33,0))/'Cash Flow'!$E36,IF(SUM('Cash Flow'!$F36:Z36)=-INDEX('Prelim Budget'!$C$9:$C$33,MATCH('Cash Flow'!$B36,'Prelim Budget'!$B$9:$B$33,0)),0,IF('Cash Flow'!Z36&lt;&gt;0,'Cash Flow'!Z36,0))),0)</f>
        <v>0</v>
      </c>
      <c r="AB36" s="153">
        <f ca="1">IFERROR(IF(LEFT(OFFSET(AB$2,0,-$C36),3)="A&amp;D",-INDEX('Prelim Budget'!$C$9:$C$33,MATCH('Cash Flow'!$B36,'Prelim Budget'!$B$9:$B$33,0))/'Cash Flow'!$E36,IF(SUM('Cash Flow'!$F36:AA36)=-INDEX('Prelim Budget'!$C$9:$C$33,MATCH('Cash Flow'!$B36,'Prelim Budget'!$B$9:$B$33,0)),0,IF('Cash Flow'!AA36&lt;&gt;0,'Cash Flow'!AA36,0))),0)</f>
        <v>0</v>
      </c>
      <c r="AC36" s="153">
        <f ca="1">IFERROR(IF(LEFT(OFFSET(AC$2,0,-$C36),3)="A&amp;D",-INDEX('Prelim Budget'!$C$9:$C$33,MATCH('Cash Flow'!$B36,'Prelim Budget'!$B$9:$B$33,0))/'Cash Flow'!$E36,IF(SUM('Cash Flow'!$F36:AB36)=-INDEX('Prelim Budget'!$C$9:$C$33,MATCH('Cash Flow'!$B36,'Prelim Budget'!$B$9:$B$33,0)),0,IF('Cash Flow'!AB36&lt;&gt;0,'Cash Flow'!AB36,0))),0)</f>
        <v>0</v>
      </c>
      <c r="AD36" s="153">
        <f ca="1">IFERROR(IF(LEFT(OFFSET(AD$2,0,-$C36),3)="A&amp;D",-INDEX('Prelim Budget'!$C$9:$C$33,MATCH('Cash Flow'!$B36,'Prelim Budget'!$B$9:$B$33,0))/'Cash Flow'!$E36,IF(SUM('Cash Flow'!$F36:AC36)=-INDEX('Prelim Budget'!$C$9:$C$33,MATCH('Cash Flow'!$B36,'Prelim Budget'!$B$9:$B$33,0)),0,IF('Cash Flow'!AC36&lt;&gt;0,'Cash Flow'!AC36,0))),0)</f>
        <v>0</v>
      </c>
      <c r="AE36" s="153">
        <f ca="1">IFERROR(IF(LEFT(OFFSET(AE$2,0,-$C36),3)="A&amp;D",-INDEX('Prelim Budget'!$C$9:$C$33,MATCH('Cash Flow'!$B36,'Prelim Budget'!$B$9:$B$33,0))/'Cash Flow'!$E36,IF(SUM('Cash Flow'!$F36:AD36)=-INDEX('Prelim Budget'!$C$9:$C$33,MATCH('Cash Flow'!$B36,'Prelim Budget'!$B$9:$B$33,0)),0,IF('Cash Flow'!AD36&lt;&gt;0,'Cash Flow'!AD36,0))),0)</f>
        <v>0</v>
      </c>
      <c r="AF36" s="153">
        <f ca="1">IFERROR(IF(LEFT(OFFSET(AF$2,0,-$C36),3)="A&amp;D",-INDEX('Prelim Budget'!$C$9:$C$33,MATCH('Cash Flow'!$B36,'Prelim Budget'!$B$9:$B$33,0))/'Cash Flow'!$E36,IF(SUM('Cash Flow'!$F36:AE36)=-INDEX('Prelim Budget'!$C$9:$C$33,MATCH('Cash Flow'!$B36,'Prelim Budget'!$B$9:$B$33,0)),0,IF('Cash Flow'!AE36&lt;&gt;0,'Cash Flow'!AE36,0))),0)</f>
        <v>0</v>
      </c>
      <c r="AG36" s="153">
        <f ca="1">IFERROR(IF(LEFT(OFFSET(AG$2,0,-$C36),3)="A&amp;D",-INDEX('Prelim Budget'!$C$9:$C$33,MATCH('Cash Flow'!$B36,'Prelim Budget'!$B$9:$B$33,0))/'Cash Flow'!$E36,IF(SUM('Cash Flow'!$F36:AF36)=-INDEX('Prelim Budget'!$C$9:$C$33,MATCH('Cash Flow'!$B36,'Prelim Budget'!$B$9:$B$33,0)),0,IF('Cash Flow'!AF36&lt;&gt;0,'Cash Flow'!AF36,0))),0)</f>
        <v>0</v>
      </c>
      <c r="AH36" s="153">
        <f ca="1">IFERROR(IF(LEFT(OFFSET(AH$2,0,-$C36),3)="A&amp;D",-INDEX('Prelim Budget'!$C$9:$C$33,MATCH('Cash Flow'!$B36,'Prelim Budget'!$B$9:$B$33,0))/'Cash Flow'!$E36,IF(SUM('Cash Flow'!$F36:AG36)=-INDEX('Prelim Budget'!$C$9:$C$33,MATCH('Cash Flow'!$B36,'Prelim Budget'!$B$9:$B$33,0)),0,IF('Cash Flow'!AG36&lt;&gt;0,'Cash Flow'!AG36,0))),0)</f>
        <v>0</v>
      </c>
      <c r="AI36" s="153">
        <f ca="1">IFERROR(IF(LEFT(OFFSET(AI$2,0,-$C36),3)="A&amp;D",-INDEX('Prelim Budget'!$C$9:$C$33,MATCH('Cash Flow'!$B36,'Prelim Budget'!$B$9:$B$33,0))/'Cash Flow'!$E36,IF(SUM('Cash Flow'!$F36:AH36)=-INDEX('Prelim Budget'!$C$9:$C$33,MATCH('Cash Flow'!$B36,'Prelim Budget'!$B$9:$B$33,0)),0,IF('Cash Flow'!AH36&lt;&gt;0,'Cash Flow'!AH36,0))),0)</f>
        <v>0</v>
      </c>
      <c r="AJ36" s="153">
        <f ca="1">IFERROR(IF(LEFT(OFFSET(AJ$2,0,-$C36),3)="A&amp;D",-INDEX('Prelim Budget'!$C$9:$C$33,MATCH('Cash Flow'!$B36,'Prelim Budget'!$B$9:$B$33,0))/'Cash Flow'!$E36,IF(SUM('Cash Flow'!$F36:AI36)=-INDEX('Prelim Budget'!$C$9:$C$33,MATCH('Cash Flow'!$B36,'Prelim Budget'!$B$9:$B$33,0)),0,IF('Cash Flow'!AI36&lt;&gt;0,'Cash Flow'!AI36,0))),0)</f>
        <v>0</v>
      </c>
      <c r="AK36" s="153">
        <f ca="1">IFERROR(IF(LEFT(OFFSET(AK$2,0,-$C36),3)="A&amp;D",-INDEX('Prelim Budget'!$C$9:$C$33,MATCH('Cash Flow'!$B36,'Prelim Budget'!$B$9:$B$33,0))/'Cash Flow'!$E36,IF(SUM('Cash Flow'!$F36:AJ36)=-INDEX('Prelim Budget'!$C$9:$C$33,MATCH('Cash Flow'!$B36,'Prelim Budget'!$B$9:$B$33,0)),0,IF('Cash Flow'!AJ36&lt;&gt;0,'Cash Flow'!AJ36,0))),0)</f>
        <v>0</v>
      </c>
      <c r="AL36" s="153">
        <f ca="1">IFERROR(IF(LEFT(OFFSET(AL$2,0,-$C36),3)="A&amp;D",-INDEX('Prelim Budget'!$C$9:$C$33,MATCH('Cash Flow'!$B36,'Prelim Budget'!$B$9:$B$33,0))/'Cash Flow'!$E36,IF(SUM('Cash Flow'!$F36:AK36)=-INDEX('Prelim Budget'!$C$9:$C$33,MATCH('Cash Flow'!$B36,'Prelim Budget'!$B$9:$B$33,0)),0,IF('Cash Flow'!AK36&lt;&gt;0,'Cash Flow'!AK36,0))),0)</f>
        <v>0</v>
      </c>
      <c r="AM36" s="153">
        <f ca="1">IFERROR(IF(LEFT(OFFSET(AM$2,0,-$C36),3)="A&amp;D",-INDEX('Prelim Budget'!$C$9:$C$33,MATCH('Cash Flow'!$B36,'Prelim Budget'!$B$9:$B$33,0))/'Cash Flow'!$E36,IF(SUM('Cash Flow'!$F36:AL36)=-INDEX('Prelim Budget'!$C$9:$C$33,MATCH('Cash Flow'!$B36,'Prelim Budget'!$B$9:$B$33,0)),0,IF('Cash Flow'!AL36&lt;&gt;0,'Cash Flow'!AL36,0))),0)</f>
        <v>0</v>
      </c>
      <c r="AN36" s="153">
        <f ca="1">IFERROR(IF(LEFT(OFFSET(AN$2,0,-$C36),3)="A&amp;D",-INDEX('Prelim Budget'!$C$9:$C$33,MATCH('Cash Flow'!$B36,'Prelim Budget'!$B$9:$B$33,0))/'Cash Flow'!$E36,IF(SUM('Cash Flow'!$F36:AM36)=-INDEX('Prelim Budget'!$C$9:$C$33,MATCH('Cash Flow'!$B36,'Prelim Budget'!$B$9:$B$33,0)),0,IF('Cash Flow'!AM36&lt;&gt;0,'Cash Flow'!AM36,0))),0)</f>
        <v>0</v>
      </c>
      <c r="AO36" s="153">
        <f ca="1">IFERROR(IF(LEFT(OFFSET(AO$2,0,-$C36),3)="A&amp;D",-INDEX('Prelim Budget'!$C$9:$C$33,MATCH('Cash Flow'!$B36,'Prelim Budget'!$B$9:$B$33,0))/'Cash Flow'!$E36,IF(SUM('Cash Flow'!$F36:AN36)=-INDEX('Prelim Budget'!$C$9:$C$33,MATCH('Cash Flow'!$B36,'Prelim Budget'!$B$9:$B$33,0)),0,IF('Cash Flow'!AN36&lt;&gt;0,'Cash Flow'!AN36,0))),0)</f>
        <v>0</v>
      </c>
      <c r="AP36" s="153">
        <f ca="1">IFERROR(IF(LEFT(OFFSET(AP$2,0,-$C36),3)="A&amp;D",-INDEX('Prelim Budget'!$C$9:$C$33,MATCH('Cash Flow'!$B36,'Prelim Budget'!$B$9:$B$33,0))/'Cash Flow'!$E36,IF(SUM('Cash Flow'!$F36:AO36)=-INDEX('Prelim Budget'!$C$9:$C$33,MATCH('Cash Flow'!$B36,'Prelim Budget'!$B$9:$B$33,0)),0,IF('Cash Flow'!AO36&lt;&gt;0,'Cash Flow'!AO36,0))),0)</f>
        <v>0</v>
      </c>
      <c r="AQ36" s="153">
        <f ca="1">IFERROR(IF(LEFT(OFFSET(AQ$2,0,-$C36),3)="A&amp;D",-INDEX('Prelim Budget'!$C$9:$C$33,MATCH('Cash Flow'!$B36,'Prelim Budget'!$B$9:$B$33,0))/'Cash Flow'!$E36,IF(SUM('Cash Flow'!$F36:AP36)=-INDEX('Prelim Budget'!$C$9:$C$33,MATCH('Cash Flow'!$B36,'Prelim Budget'!$B$9:$B$33,0)),0,IF('Cash Flow'!AP36&lt;&gt;0,'Cash Flow'!AP36,0))),0)</f>
        <v>0</v>
      </c>
      <c r="AR36" s="153">
        <f ca="1">IFERROR(IF(LEFT(OFFSET(AR$2,0,-$C36),3)="A&amp;D",-INDEX('Prelim Budget'!$C$9:$C$33,MATCH('Cash Flow'!$B36,'Prelim Budget'!$B$9:$B$33,0))/'Cash Flow'!$E36,IF(SUM('Cash Flow'!$F36:AQ36)=-INDEX('Prelim Budget'!$C$9:$C$33,MATCH('Cash Flow'!$B36,'Prelim Budget'!$B$9:$B$33,0)),0,IF('Cash Flow'!AQ36&lt;&gt;0,'Cash Flow'!AQ36,0))),0)</f>
        <v>0</v>
      </c>
      <c r="AS36" s="153">
        <f ca="1">IFERROR(IF(LEFT(OFFSET(AS$2,0,-$C36),3)="A&amp;D",-INDEX('Prelim Budget'!$C$9:$C$33,MATCH('Cash Flow'!$B36,'Prelim Budget'!$B$9:$B$33,0))/'Cash Flow'!$E36,IF(SUM('Cash Flow'!$F36:AR36)=-INDEX('Prelim Budget'!$C$9:$C$33,MATCH('Cash Flow'!$B36,'Prelim Budget'!$B$9:$B$33,0)),0,IF('Cash Flow'!AR36&lt;&gt;0,'Cash Flow'!AR36,0))),0)</f>
        <v>0</v>
      </c>
      <c r="AT36" s="153">
        <f ca="1">IFERROR(IF(LEFT(OFFSET(AT$2,0,-$C36),3)="A&amp;D",-INDEX('Prelim Budget'!$C$9:$C$33,MATCH('Cash Flow'!$B36,'Prelim Budget'!$B$9:$B$33,0))/'Cash Flow'!$E36,IF(SUM('Cash Flow'!$F36:AS36)=-INDEX('Prelim Budget'!$C$9:$C$33,MATCH('Cash Flow'!$B36,'Prelim Budget'!$B$9:$B$33,0)),0,IF('Cash Flow'!AS36&lt;&gt;0,'Cash Flow'!AS36,0))),0)</f>
        <v>0</v>
      </c>
      <c r="AU36" s="153">
        <f ca="1">IFERROR(IF(LEFT(OFFSET(AU$2,0,-$C36),3)="A&amp;D",-INDEX('Prelim Budget'!$C$9:$C$33,MATCH('Cash Flow'!$B36,'Prelim Budget'!$B$9:$B$33,0))/'Cash Flow'!$E36,IF(SUM('Cash Flow'!$F36:AT36)=-INDEX('Prelim Budget'!$C$9:$C$33,MATCH('Cash Flow'!$B36,'Prelim Budget'!$B$9:$B$33,0)),0,IF('Cash Flow'!AT36&lt;&gt;0,'Cash Flow'!AT36,0))),0)</f>
        <v>0</v>
      </c>
      <c r="AV36" s="153">
        <f ca="1">IFERROR(IF(LEFT(OFFSET(AV$2,0,-$C36),3)="A&amp;D",-INDEX('Prelim Budget'!$C$9:$C$33,MATCH('Cash Flow'!$B36,'Prelim Budget'!$B$9:$B$33,0))/'Cash Flow'!$E36,IF(SUM('Cash Flow'!$F36:AU36)=-INDEX('Prelim Budget'!$C$9:$C$33,MATCH('Cash Flow'!$B36,'Prelim Budget'!$B$9:$B$33,0)),0,IF('Cash Flow'!AU36&lt;&gt;0,'Cash Flow'!AU36,0))),0)</f>
        <v>0</v>
      </c>
      <c r="AW36" s="153">
        <f ca="1">IFERROR(IF(LEFT(OFFSET(AW$2,0,-$C36),3)="A&amp;D",-INDEX('Prelim Budget'!$C$9:$C$33,MATCH('Cash Flow'!$B36,'Prelim Budget'!$B$9:$B$33,0))/'Cash Flow'!$E36,IF(SUM('Cash Flow'!$F36:AV36)=-INDEX('Prelim Budget'!$C$9:$C$33,MATCH('Cash Flow'!$B36,'Prelim Budget'!$B$9:$B$33,0)),0,IF('Cash Flow'!AV36&lt;&gt;0,'Cash Flow'!AV36,0))),0)</f>
        <v>0</v>
      </c>
      <c r="AX36" s="153">
        <f ca="1">IFERROR(IF(LEFT(OFFSET(AX$2,0,-$C36),3)="A&amp;D",-INDEX('Prelim Budget'!$C$9:$C$33,MATCH('Cash Flow'!$B36,'Prelim Budget'!$B$9:$B$33,0))/'Cash Flow'!$E36,IF(SUM('Cash Flow'!$F36:AW36)=-INDEX('Prelim Budget'!$C$9:$C$33,MATCH('Cash Flow'!$B36,'Prelim Budget'!$B$9:$B$33,0)),0,IF('Cash Flow'!AW36&lt;&gt;0,'Cash Flow'!AW36,0))),0)</f>
        <v>0</v>
      </c>
      <c r="AY36" s="153">
        <f ca="1">IFERROR(IF(LEFT(OFFSET(AY$2,0,-$C36),3)="A&amp;D",-INDEX('Prelim Budget'!$C$9:$C$33,MATCH('Cash Flow'!$B36,'Prelim Budget'!$B$9:$B$33,0))/'Cash Flow'!$E36,IF(SUM('Cash Flow'!$F36:AX36)=-INDEX('Prelim Budget'!$C$9:$C$33,MATCH('Cash Flow'!$B36,'Prelim Budget'!$B$9:$B$33,0)),0,IF('Cash Flow'!AX36&lt;&gt;0,'Cash Flow'!AX36,0))),0)</f>
        <v>0</v>
      </c>
      <c r="AZ36" s="153">
        <f ca="1">IFERROR(IF(LEFT(OFFSET(AZ$2,0,-$C36),3)="A&amp;D",-INDEX('Prelim Budget'!$C$9:$C$33,MATCH('Cash Flow'!$B36,'Prelim Budget'!$B$9:$B$33,0))/'Cash Flow'!$E36,IF(SUM('Cash Flow'!$F36:AY36)=-INDEX('Prelim Budget'!$C$9:$C$33,MATCH('Cash Flow'!$B36,'Prelim Budget'!$B$9:$B$33,0)),0,IF('Cash Flow'!AY36&lt;&gt;0,'Cash Flow'!AY36,0))),0)</f>
        <v>0</v>
      </c>
      <c r="BA36" s="153">
        <f ca="1">IFERROR(IF(LEFT(OFFSET(BA$2,0,-$C36),3)="A&amp;D",-INDEX('Prelim Budget'!$C$9:$C$33,MATCH('Cash Flow'!$B36,'Prelim Budget'!$B$9:$B$33,0))/'Cash Flow'!$E36,IF(SUM('Cash Flow'!$F36:AZ36)=-INDEX('Prelim Budget'!$C$9:$C$33,MATCH('Cash Flow'!$B36,'Prelim Budget'!$B$9:$B$33,0)),0,IF('Cash Flow'!AZ36&lt;&gt;0,'Cash Flow'!AZ36,0))),0)</f>
        <v>0</v>
      </c>
      <c r="BB36" s="153">
        <f ca="1">IFERROR(IF(LEFT(OFFSET(BB$2,0,-$C36),3)="A&amp;D",-INDEX('Prelim Budget'!$C$9:$C$33,MATCH('Cash Flow'!$B36,'Prelim Budget'!$B$9:$B$33,0))/'Cash Flow'!$E36,IF(SUM('Cash Flow'!$F36:BA36)=-INDEX('Prelim Budget'!$C$9:$C$33,MATCH('Cash Flow'!$B36,'Prelim Budget'!$B$9:$B$33,0)),0,IF('Cash Flow'!BA36&lt;&gt;0,'Cash Flow'!BA36,0))),0)</f>
        <v>0</v>
      </c>
      <c r="BC36" s="153">
        <f ca="1">IFERROR(IF(LEFT(OFFSET(BC$2,0,-$C36),3)="A&amp;D",-INDEX('Prelim Budget'!$C$9:$C$33,MATCH('Cash Flow'!$B36,'Prelim Budget'!$B$9:$B$33,0))/'Cash Flow'!$E36,IF(SUM('Cash Flow'!$F36:BB36)=-INDEX('Prelim Budget'!$C$9:$C$33,MATCH('Cash Flow'!$B36,'Prelim Budget'!$B$9:$B$33,0)),0,IF('Cash Flow'!BB36&lt;&gt;0,'Cash Flow'!BB36,0))),0)</f>
        <v>0</v>
      </c>
      <c r="BD36" s="153">
        <f ca="1">IFERROR(IF(LEFT(OFFSET(BD$2,0,-$C36),3)="A&amp;D",-INDEX('Prelim Budget'!$C$9:$C$33,MATCH('Cash Flow'!$B36,'Prelim Budget'!$B$9:$B$33,0))/'Cash Flow'!$E36,IF(SUM('Cash Flow'!$F36:BC36)=-INDEX('Prelim Budget'!$C$9:$C$33,MATCH('Cash Flow'!$B36,'Prelim Budget'!$B$9:$B$33,0)),0,IF('Cash Flow'!BC36&lt;&gt;0,'Cash Flow'!BC36,0))),0)</f>
        <v>0</v>
      </c>
      <c r="BE36" s="153">
        <f ca="1">IFERROR(IF(LEFT(OFFSET(BE$2,0,-$C36),3)="A&amp;D",-INDEX('Prelim Budget'!$C$9:$C$33,MATCH('Cash Flow'!$B36,'Prelim Budget'!$B$9:$B$33,0))/'Cash Flow'!$E36,IF(SUM('Cash Flow'!$F36:BD36)=-INDEX('Prelim Budget'!$C$9:$C$33,MATCH('Cash Flow'!$B36,'Prelim Budget'!$B$9:$B$33,0)),0,IF('Cash Flow'!BD36&lt;&gt;0,'Cash Flow'!BD36,0))),0)</f>
        <v>0</v>
      </c>
      <c r="BF36" s="153">
        <f ca="1">IFERROR(IF(LEFT(OFFSET(BF$2,0,-$C36),3)="A&amp;D",-INDEX('Prelim Budget'!$C$9:$C$33,MATCH('Cash Flow'!$B36,'Prelim Budget'!$B$9:$B$33,0))/'Cash Flow'!$E36,IF(SUM('Cash Flow'!$F36:BE36)=-INDEX('Prelim Budget'!$C$9:$C$33,MATCH('Cash Flow'!$B36,'Prelim Budget'!$B$9:$B$33,0)),0,IF('Cash Flow'!BE36&lt;&gt;0,'Cash Flow'!BE36,0))),0)</f>
        <v>0</v>
      </c>
      <c r="BG36" s="153">
        <f ca="1">IFERROR(IF(LEFT(OFFSET(BG$2,0,-$C36),3)="A&amp;D",-INDEX('Prelim Budget'!$C$9:$C$33,MATCH('Cash Flow'!$B36,'Prelim Budget'!$B$9:$B$33,0))/'Cash Flow'!$E36,IF(SUM('Cash Flow'!$F36:BF36)=-INDEX('Prelim Budget'!$C$9:$C$33,MATCH('Cash Flow'!$B36,'Prelim Budget'!$B$9:$B$33,0)),0,IF('Cash Flow'!BF36&lt;&gt;0,'Cash Flow'!BF36,0))),0)</f>
        <v>0</v>
      </c>
      <c r="BH36" s="153">
        <f ca="1">IFERROR(IF(LEFT(OFFSET(BH$2,0,-$C36),3)="A&amp;D",-INDEX('Prelim Budget'!$C$9:$C$33,MATCH('Cash Flow'!$B36,'Prelim Budget'!$B$9:$B$33,0))/'Cash Flow'!$E36,IF(SUM('Cash Flow'!$F36:BG36)=-INDEX('Prelim Budget'!$C$9:$C$33,MATCH('Cash Flow'!$B36,'Prelim Budget'!$B$9:$B$33,0)),0,IF('Cash Flow'!BG36&lt;&gt;0,'Cash Flow'!BG36,0))),0)</f>
        <v>0</v>
      </c>
      <c r="BI36" s="153">
        <f ca="1">IFERROR(IF(LEFT(OFFSET(BI$2,0,-$C36),3)="A&amp;D",-INDEX('Prelim Budget'!$C$9:$C$33,MATCH('Cash Flow'!$B36,'Prelim Budget'!$B$9:$B$33,0))/'Cash Flow'!$E36,IF(SUM('Cash Flow'!$F36:BH36)=-INDEX('Prelim Budget'!$C$9:$C$33,MATCH('Cash Flow'!$B36,'Prelim Budget'!$B$9:$B$33,0)),0,IF('Cash Flow'!BH36&lt;&gt;0,'Cash Flow'!BH36,0))),0)</f>
        <v>0</v>
      </c>
      <c r="BJ36" s="153">
        <f ca="1">IFERROR(IF(LEFT(OFFSET(BJ$2,0,-$C36),3)="A&amp;D",-INDEX('Prelim Budget'!$C$9:$C$33,MATCH('Cash Flow'!$B36,'Prelim Budget'!$B$9:$B$33,0))/'Cash Flow'!$E36,IF(SUM('Cash Flow'!$F36:BI36)=-INDEX('Prelim Budget'!$C$9:$C$33,MATCH('Cash Flow'!$B36,'Prelim Budget'!$B$9:$B$33,0)),0,IF('Cash Flow'!BI36&lt;&gt;0,'Cash Flow'!BI36,0))),0)</f>
        <v>0</v>
      </c>
      <c r="BK36" s="153">
        <f ca="1">IFERROR(IF(LEFT(OFFSET(BK$2,0,-$C36),3)="A&amp;D",-INDEX('Prelim Budget'!$C$9:$C$33,MATCH('Cash Flow'!$B36,'Prelim Budget'!$B$9:$B$33,0))/'Cash Flow'!$E36,IF(SUM('Cash Flow'!$F36:BJ36)=-INDEX('Prelim Budget'!$C$9:$C$33,MATCH('Cash Flow'!$B36,'Prelim Budget'!$B$9:$B$33,0)),0,IF('Cash Flow'!BJ36&lt;&gt;0,'Cash Flow'!BJ36,0))),0)</f>
        <v>0</v>
      </c>
      <c r="BL36" s="153">
        <f ca="1">IFERROR(IF(LEFT(OFFSET(BL$2,0,-$C36),3)="A&amp;D",-INDEX('Prelim Budget'!$C$9:$C$33,MATCH('Cash Flow'!$B36,'Prelim Budget'!$B$9:$B$33,0))/'Cash Flow'!$E36,IF(SUM('Cash Flow'!$F36:BK36)=-INDEX('Prelim Budget'!$C$9:$C$33,MATCH('Cash Flow'!$B36,'Prelim Budget'!$B$9:$B$33,0)),0,IF('Cash Flow'!BK36&lt;&gt;0,'Cash Flow'!BK36,0))),0)</f>
        <v>0</v>
      </c>
      <c r="BM36" s="153">
        <f ca="1">IFERROR(IF(LEFT(OFFSET(BM$2,0,-$C36),3)="A&amp;D",-INDEX('Prelim Budget'!$C$9:$C$33,MATCH('Cash Flow'!$B36,'Prelim Budget'!$B$9:$B$33,0))/'Cash Flow'!$E36,IF(SUM('Cash Flow'!$F36:BL36)=-INDEX('Prelim Budget'!$C$9:$C$33,MATCH('Cash Flow'!$B36,'Prelim Budget'!$B$9:$B$33,0)),0,IF('Cash Flow'!BL36&lt;&gt;0,'Cash Flow'!BL36,0))),0)</f>
        <v>0</v>
      </c>
      <c r="BN36" s="153">
        <f ca="1">IFERROR(IF(LEFT(OFFSET(BN$2,0,-$C36),3)="A&amp;D",-INDEX('Prelim Budget'!$C$9:$C$33,MATCH('Cash Flow'!$B36,'Prelim Budget'!$B$9:$B$33,0))/'Cash Flow'!$E36,IF(SUM('Cash Flow'!$F36:BM36)=-INDEX('Prelim Budget'!$C$9:$C$33,MATCH('Cash Flow'!$B36,'Prelim Budget'!$B$9:$B$33,0)),0,IF('Cash Flow'!BM36&lt;&gt;0,'Cash Flow'!BM36,0))),0)</f>
        <v>0</v>
      </c>
      <c r="BO36" s="50">
        <f ca="1">IFERROR(IF(LEFT(OFFSET(BO$2,0,-$C36),3)="A&amp;D",-INDEX('Prelim Budget'!$C$9:$C$33,MATCH('Cash Flow'!$B36,'Prelim Budget'!$B$9:$B$33,0))/'Cash Flow'!$E36,IF(SUM('Cash Flow'!$F36:BN36)=-INDEX('Prelim Budget'!$C$9:$C$33,MATCH('Cash Flow'!$B36,'Prelim Budget'!$B$9:$B$33,0)),0,IF('Cash Flow'!BN36&lt;&gt;0,'Cash Flow'!BN36,0))),0)</f>
        <v>0</v>
      </c>
    </row>
    <row r="37" spans="2:67" ht="14.05" customHeight="1" x14ac:dyDescent="0.4">
      <c r="B37" s="123" t="s">
        <v>164</v>
      </c>
      <c r="C37" s="80">
        <v>1</v>
      </c>
      <c r="D37" s="153">
        <f t="shared" ca="1" si="11"/>
        <v>-50000</v>
      </c>
      <c r="E37" s="82">
        <v>1</v>
      </c>
      <c r="F37" s="157"/>
      <c r="G37" s="134">
        <f ca="1">IFERROR(IF(LEFT(OFFSET(G$2,0,-$C37),3)="A&amp;D",-INDEX('Prelim Budget'!$C$9:$C$33,MATCH('Cash Flow'!$B37,'Prelim Budget'!$B$9:$B$33,0))/'Cash Flow'!$E37,IF(SUM('Cash Flow'!$F37:F37)=-INDEX('Prelim Budget'!$C$9:$C$33,MATCH('Cash Flow'!$B37,'Prelim Budget'!$B$9:$B$33,0)),0,IF('Cash Flow'!F37&lt;&gt;0,'Cash Flow'!F37,0))),0)</f>
        <v>0</v>
      </c>
      <c r="H37" s="153">
        <f ca="1">IFERROR(IF(LEFT(OFFSET(H$2,0,-$C37),3)="A&amp;D",-INDEX('Prelim Budget'!$C$9:$C$33,MATCH('Cash Flow'!$B37,'Prelim Budget'!$B$9:$B$33,0))/'Cash Flow'!$E37,IF(SUM('Cash Flow'!$F37:G37)=-INDEX('Prelim Budget'!$C$9:$C$33,MATCH('Cash Flow'!$B37,'Prelim Budget'!$B$9:$B$33,0)),0,IF('Cash Flow'!G37&lt;&gt;0,'Cash Flow'!G37,0))),0)</f>
        <v>0</v>
      </c>
      <c r="I37" s="153">
        <f ca="1">IFERROR(IF(LEFT(OFFSET(I$2,0,-$C37),3)="A&amp;D",-INDEX('Prelim Budget'!$C$9:$C$33,MATCH('Cash Flow'!$B37,'Prelim Budget'!$B$9:$B$33,0))/'Cash Flow'!$E37,IF(SUM('Cash Flow'!$F37:H37)=-INDEX('Prelim Budget'!$C$9:$C$33,MATCH('Cash Flow'!$B37,'Prelim Budget'!$B$9:$B$33,0)),0,IF('Cash Flow'!H37&lt;&gt;0,'Cash Flow'!H37,0))),0)</f>
        <v>0</v>
      </c>
      <c r="J37" s="153">
        <f ca="1">IFERROR(IF(LEFT(OFFSET(J$2,0,-$C37),3)="A&amp;D",-INDEX('Prelim Budget'!$C$9:$C$33,MATCH('Cash Flow'!$B37,'Prelim Budget'!$B$9:$B$33,0))/'Cash Flow'!$E37,IF(SUM('Cash Flow'!$F37:I37)=-INDEX('Prelim Budget'!$C$9:$C$33,MATCH('Cash Flow'!$B37,'Prelim Budget'!$B$9:$B$33,0)),0,IF('Cash Flow'!I37&lt;&gt;0,'Cash Flow'!I37,0))),0)</f>
        <v>0</v>
      </c>
      <c r="K37" s="153">
        <f ca="1">IFERROR(IF(LEFT(OFFSET(K$2,0,-$C37),3)="A&amp;D",-INDEX('Prelim Budget'!$C$9:$C$33,MATCH('Cash Flow'!$B37,'Prelim Budget'!$B$9:$B$33,0))/'Cash Flow'!$E37,IF(SUM('Cash Flow'!$F37:J37)=-INDEX('Prelim Budget'!$C$9:$C$33,MATCH('Cash Flow'!$B37,'Prelim Budget'!$B$9:$B$33,0)),0,IF('Cash Flow'!J37&lt;&gt;0,'Cash Flow'!J37,0))),0)</f>
        <v>0</v>
      </c>
      <c r="L37" s="153">
        <f ca="1">IFERROR(IF(LEFT(OFFSET(L$2,0,-$C37),3)="A&amp;D",-INDEX('Prelim Budget'!$C$9:$C$33,MATCH('Cash Flow'!$B37,'Prelim Budget'!$B$9:$B$33,0))/'Cash Flow'!$E37,IF(SUM('Cash Flow'!$F37:K37)=-INDEX('Prelim Budget'!$C$9:$C$33,MATCH('Cash Flow'!$B37,'Prelim Budget'!$B$9:$B$33,0)),0,IF('Cash Flow'!K37&lt;&gt;0,'Cash Flow'!K37,0))),0)</f>
        <v>0</v>
      </c>
      <c r="M37" s="153">
        <f ca="1">IFERROR(IF(LEFT(OFFSET(M$2,0,-$C37),3)="A&amp;D",-INDEX('Prelim Budget'!$C$9:$C$33,MATCH('Cash Flow'!$B37,'Prelim Budget'!$B$9:$B$33,0))/'Cash Flow'!$E37,IF(SUM('Cash Flow'!$F37:L37)=-INDEX('Prelim Budget'!$C$9:$C$33,MATCH('Cash Flow'!$B37,'Prelim Budget'!$B$9:$B$33,0)),0,IF('Cash Flow'!L37&lt;&gt;0,'Cash Flow'!L37,0))),0)</f>
        <v>0</v>
      </c>
      <c r="N37" s="153">
        <f ca="1">IFERROR(IF(LEFT(OFFSET(N$2,0,-$C37),3)="A&amp;D",-INDEX('Prelim Budget'!$C$9:$C$33,MATCH('Cash Flow'!$B37,'Prelim Budget'!$B$9:$B$33,0))/'Cash Flow'!$E37,IF(SUM('Cash Flow'!$F37:M37)=-INDEX('Prelim Budget'!$C$9:$C$33,MATCH('Cash Flow'!$B37,'Prelim Budget'!$B$9:$B$33,0)),0,IF('Cash Flow'!M37&lt;&gt;0,'Cash Flow'!M37,0))),0)</f>
        <v>-50000</v>
      </c>
      <c r="O37" s="153">
        <f ca="1">IFERROR(IF(LEFT(OFFSET(O$2,0,-$C37),3)="A&amp;D",-INDEX('Prelim Budget'!$C$9:$C$33,MATCH('Cash Flow'!$B37,'Prelim Budget'!$B$9:$B$33,0))/'Cash Flow'!$E37,IF(SUM('Cash Flow'!$F37:N37)=-INDEX('Prelim Budget'!$C$9:$C$33,MATCH('Cash Flow'!$B37,'Prelim Budget'!$B$9:$B$33,0)),0,IF('Cash Flow'!N37&lt;&gt;0,'Cash Flow'!N37,0))),0)</f>
        <v>0</v>
      </c>
      <c r="P37" s="153">
        <f ca="1">IFERROR(IF(LEFT(OFFSET(P$2,0,-$C37),3)="A&amp;D",-INDEX('Prelim Budget'!$C$9:$C$33,MATCH('Cash Flow'!$B37,'Prelim Budget'!$B$9:$B$33,0))/'Cash Flow'!$E37,IF(SUM('Cash Flow'!$F37:O37)=-INDEX('Prelim Budget'!$C$9:$C$33,MATCH('Cash Flow'!$B37,'Prelim Budget'!$B$9:$B$33,0)),0,IF('Cash Flow'!O37&lt;&gt;0,'Cash Flow'!O37,0))),0)</f>
        <v>0</v>
      </c>
      <c r="Q37" s="153">
        <f ca="1">IFERROR(IF(LEFT(OFFSET(Q$2,0,-$C37),3)="A&amp;D",-INDEX('Prelim Budget'!$C$9:$C$33,MATCH('Cash Flow'!$B37,'Prelim Budget'!$B$9:$B$33,0))/'Cash Flow'!$E37,IF(SUM('Cash Flow'!$F37:P37)=-INDEX('Prelim Budget'!$C$9:$C$33,MATCH('Cash Flow'!$B37,'Prelim Budget'!$B$9:$B$33,0)),0,IF('Cash Flow'!P37&lt;&gt;0,'Cash Flow'!P37,0))),0)</f>
        <v>0</v>
      </c>
      <c r="R37" s="153">
        <f ca="1">IFERROR(IF(LEFT(OFFSET(R$2,0,-$C37),3)="A&amp;D",-INDEX('Prelim Budget'!$C$9:$C$33,MATCH('Cash Flow'!$B37,'Prelim Budget'!$B$9:$B$33,0))/'Cash Flow'!$E37,IF(SUM('Cash Flow'!$F37:Q37)=-INDEX('Prelim Budget'!$C$9:$C$33,MATCH('Cash Flow'!$B37,'Prelim Budget'!$B$9:$B$33,0)),0,IF('Cash Flow'!Q37&lt;&gt;0,'Cash Flow'!Q37,0))),0)</f>
        <v>0</v>
      </c>
      <c r="S37" s="153">
        <f ca="1">IFERROR(IF(LEFT(OFFSET(S$2,0,-$C37),3)="A&amp;D",-INDEX('Prelim Budget'!$C$9:$C$33,MATCH('Cash Flow'!$B37,'Prelim Budget'!$B$9:$B$33,0))/'Cash Flow'!$E37,IF(SUM('Cash Flow'!$F37:R37)=-INDEX('Prelim Budget'!$C$9:$C$33,MATCH('Cash Flow'!$B37,'Prelim Budget'!$B$9:$B$33,0)),0,IF('Cash Flow'!R37&lt;&gt;0,'Cash Flow'!R37,0))),0)</f>
        <v>0</v>
      </c>
      <c r="T37" s="153">
        <f ca="1">IFERROR(IF(LEFT(OFFSET(T$2,0,-$C37),3)="A&amp;D",-INDEX('Prelim Budget'!$C$9:$C$33,MATCH('Cash Flow'!$B37,'Prelim Budget'!$B$9:$B$33,0))/'Cash Flow'!$E37,IF(SUM('Cash Flow'!$F37:S37)=-INDEX('Prelim Budget'!$C$9:$C$33,MATCH('Cash Flow'!$B37,'Prelim Budget'!$B$9:$B$33,0)),0,IF('Cash Flow'!S37&lt;&gt;0,'Cash Flow'!S37,0))),0)</f>
        <v>0</v>
      </c>
      <c r="U37" s="153">
        <f ca="1">IFERROR(IF(LEFT(OFFSET(U$2,0,-$C37),3)="A&amp;D",-INDEX('Prelim Budget'!$C$9:$C$33,MATCH('Cash Flow'!$B37,'Prelim Budget'!$B$9:$B$33,0))/'Cash Flow'!$E37,IF(SUM('Cash Flow'!$F37:T37)=-INDEX('Prelim Budget'!$C$9:$C$33,MATCH('Cash Flow'!$B37,'Prelim Budget'!$B$9:$B$33,0)),0,IF('Cash Flow'!T37&lt;&gt;0,'Cash Flow'!T37,0))),0)</f>
        <v>0</v>
      </c>
      <c r="V37" s="153">
        <f ca="1">IFERROR(IF(LEFT(OFFSET(V$2,0,-$C37),3)="A&amp;D",-INDEX('Prelim Budget'!$C$9:$C$33,MATCH('Cash Flow'!$B37,'Prelim Budget'!$B$9:$B$33,0))/'Cash Flow'!$E37,IF(SUM('Cash Flow'!$F37:U37)=-INDEX('Prelim Budget'!$C$9:$C$33,MATCH('Cash Flow'!$B37,'Prelim Budget'!$B$9:$B$33,0)),0,IF('Cash Flow'!U37&lt;&gt;0,'Cash Flow'!U37,0))),0)</f>
        <v>0</v>
      </c>
      <c r="W37" s="153">
        <f ca="1">IFERROR(IF(LEFT(OFFSET(W$2,0,-$C37),3)="A&amp;D",-INDEX('Prelim Budget'!$C$9:$C$33,MATCH('Cash Flow'!$B37,'Prelim Budget'!$B$9:$B$33,0))/'Cash Flow'!$E37,IF(SUM('Cash Flow'!$F37:V37)=-INDEX('Prelim Budget'!$C$9:$C$33,MATCH('Cash Flow'!$B37,'Prelim Budget'!$B$9:$B$33,0)),0,IF('Cash Flow'!V37&lt;&gt;0,'Cash Flow'!V37,0))),0)</f>
        <v>0</v>
      </c>
      <c r="X37" s="153">
        <f ca="1">IFERROR(IF(LEFT(OFFSET(X$2,0,-$C37),3)="A&amp;D",-INDEX('Prelim Budget'!$C$9:$C$33,MATCH('Cash Flow'!$B37,'Prelim Budget'!$B$9:$B$33,0))/'Cash Flow'!$E37,IF(SUM('Cash Flow'!$F37:W37)=-INDEX('Prelim Budget'!$C$9:$C$33,MATCH('Cash Flow'!$B37,'Prelim Budget'!$B$9:$B$33,0)),0,IF('Cash Flow'!W37&lt;&gt;0,'Cash Flow'!W37,0))),0)</f>
        <v>0</v>
      </c>
      <c r="Y37" s="153">
        <f ca="1">IFERROR(IF(LEFT(OFFSET(Y$2,0,-$C37),3)="A&amp;D",-INDEX('Prelim Budget'!$C$9:$C$33,MATCH('Cash Flow'!$B37,'Prelim Budget'!$B$9:$B$33,0))/'Cash Flow'!$E37,IF(SUM('Cash Flow'!$F37:X37)=-INDEX('Prelim Budget'!$C$9:$C$33,MATCH('Cash Flow'!$B37,'Prelim Budget'!$B$9:$B$33,0)),0,IF('Cash Flow'!X37&lt;&gt;0,'Cash Flow'!X37,0))),0)</f>
        <v>0</v>
      </c>
      <c r="Z37" s="153">
        <f ca="1">IFERROR(IF(LEFT(OFFSET(Z$2,0,-$C37),3)="A&amp;D",-INDEX('Prelim Budget'!$C$9:$C$33,MATCH('Cash Flow'!$B37,'Prelim Budget'!$B$9:$B$33,0))/'Cash Flow'!$E37,IF(SUM('Cash Flow'!$F37:Y37)=-INDEX('Prelim Budget'!$C$9:$C$33,MATCH('Cash Flow'!$B37,'Prelim Budget'!$B$9:$B$33,0)),0,IF('Cash Flow'!Y37&lt;&gt;0,'Cash Flow'!Y37,0))),0)</f>
        <v>0</v>
      </c>
      <c r="AA37" s="153">
        <f ca="1">IFERROR(IF(LEFT(OFFSET(AA$2,0,-$C37),3)="A&amp;D",-INDEX('Prelim Budget'!$C$9:$C$33,MATCH('Cash Flow'!$B37,'Prelim Budget'!$B$9:$B$33,0))/'Cash Flow'!$E37,IF(SUM('Cash Flow'!$F37:Z37)=-INDEX('Prelim Budget'!$C$9:$C$33,MATCH('Cash Flow'!$B37,'Prelim Budget'!$B$9:$B$33,0)),0,IF('Cash Flow'!Z37&lt;&gt;0,'Cash Flow'!Z37,0))),0)</f>
        <v>0</v>
      </c>
      <c r="AB37" s="153">
        <f ca="1">IFERROR(IF(LEFT(OFFSET(AB$2,0,-$C37),3)="A&amp;D",-INDEX('Prelim Budget'!$C$9:$C$33,MATCH('Cash Flow'!$B37,'Prelim Budget'!$B$9:$B$33,0))/'Cash Flow'!$E37,IF(SUM('Cash Flow'!$F37:AA37)=-INDEX('Prelim Budget'!$C$9:$C$33,MATCH('Cash Flow'!$B37,'Prelim Budget'!$B$9:$B$33,0)),0,IF('Cash Flow'!AA37&lt;&gt;0,'Cash Flow'!AA37,0))),0)</f>
        <v>0</v>
      </c>
      <c r="AC37" s="153">
        <f ca="1">IFERROR(IF(LEFT(OFFSET(AC$2,0,-$C37),3)="A&amp;D",-INDEX('Prelim Budget'!$C$9:$C$33,MATCH('Cash Flow'!$B37,'Prelim Budget'!$B$9:$B$33,0))/'Cash Flow'!$E37,IF(SUM('Cash Flow'!$F37:AB37)=-INDEX('Prelim Budget'!$C$9:$C$33,MATCH('Cash Flow'!$B37,'Prelim Budget'!$B$9:$B$33,0)),0,IF('Cash Flow'!AB37&lt;&gt;0,'Cash Flow'!AB37,0))),0)</f>
        <v>0</v>
      </c>
      <c r="AD37" s="153">
        <f ca="1">IFERROR(IF(LEFT(OFFSET(AD$2,0,-$C37),3)="A&amp;D",-INDEX('Prelim Budget'!$C$9:$C$33,MATCH('Cash Flow'!$B37,'Prelim Budget'!$B$9:$B$33,0))/'Cash Flow'!$E37,IF(SUM('Cash Flow'!$F37:AC37)=-INDEX('Prelim Budget'!$C$9:$C$33,MATCH('Cash Flow'!$B37,'Prelim Budget'!$B$9:$B$33,0)),0,IF('Cash Flow'!AC37&lt;&gt;0,'Cash Flow'!AC37,0))),0)</f>
        <v>0</v>
      </c>
      <c r="AE37" s="153">
        <f ca="1">IFERROR(IF(LEFT(OFFSET(AE$2,0,-$C37),3)="A&amp;D",-INDEX('Prelim Budget'!$C$9:$C$33,MATCH('Cash Flow'!$B37,'Prelim Budget'!$B$9:$B$33,0))/'Cash Flow'!$E37,IF(SUM('Cash Flow'!$F37:AD37)=-INDEX('Prelim Budget'!$C$9:$C$33,MATCH('Cash Flow'!$B37,'Prelim Budget'!$B$9:$B$33,0)),0,IF('Cash Flow'!AD37&lt;&gt;0,'Cash Flow'!AD37,0))),0)</f>
        <v>0</v>
      </c>
      <c r="AF37" s="153">
        <f ca="1">IFERROR(IF(LEFT(OFFSET(AF$2,0,-$C37),3)="A&amp;D",-INDEX('Prelim Budget'!$C$9:$C$33,MATCH('Cash Flow'!$B37,'Prelim Budget'!$B$9:$B$33,0))/'Cash Flow'!$E37,IF(SUM('Cash Flow'!$F37:AE37)=-INDEX('Prelim Budget'!$C$9:$C$33,MATCH('Cash Flow'!$B37,'Prelim Budget'!$B$9:$B$33,0)),0,IF('Cash Flow'!AE37&lt;&gt;0,'Cash Flow'!AE37,0))),0)</f>
        <v>0</v>
      </c>
      <c r="AG37" s="153">
        <f ca="1">IFERROR(IF(LEFT(OFFSET(AG$2,0,-$C37),3)="A&amp;D",-INDEX('Prelim Budget'!$C$9:$C$33,MATCH('Cash Flow'!$B37,'Prelim Budget'!$B$9:$B$33,0))/'Cash Flow'!$E37,IF(SUM('Cash Flow'!$F37:AF37)=-INDEX('Prelim Budget'!$C$9:$C$33,MATCH('Cash Flow'!$B37,'Prelim Budget'!$B$9:$B$33,0)),0,IF('Cash Flow'!AF37&lt;&gt;0,'Cash Flow'!AF37,0))),0)</f>
        <v>0</v>
      </c>
      <c r="AH37" s="153">
        <f ca="1">IFERROR(IF(LEFT(OFFSET(AH$2,0,-$C37),3)="A&amp;D",-INDEX('Prelim Budget'!$C$9:$C$33,MATCH('Cash Flow'!$B37,'Prelim Budget'!$B$9:$B$33,0))/'Cash Flow'!$E37,IF(SUM('Cash Flow'!$F37:AG37)=-INDEX('Prelim Budget'!$C$9:$C$33,MATCH('Cash Flow'!$B37,'Prelim Budget'!$B$9:$B$33,0)),0,IF('Cash Flow'!AG37&lt;&gt;0,'Cash Flow'!AG37,0))),0)</f>
        <v>0</v>
      </c>
      <c r="AI37" s="153">
        <f ca="1">IFERROR(IF(LEFT(OFFSET(AI$2,0,-$C37),3)="A&amp;D",-INDEX('Prelim Budget'!$C$9:$C$33,MATCH('Cash Flow'!$B37,'Prelim Budget'!$B$9:$B$33,0))/'Cash Flow'!$E37,IF(SUM('Cash Flow'!$F37:AH37)=-INDEX('Prelim Budget'!$C$9:$C$33,MATCH('Cash Flow'!$B37,'Prelim Budget'!$B$9:$B$33,0)),0,IF('Cash Flow'!AH37&lt;&gt;0,'Cash Flow'!AH37,0))),0)</f>
        <v>0</v>
      </c>
      <c r="AJ37" s="153">
        <f ca="1">IFERROR(IF(LEFT(OFFSET(AJ$2,0,-$C37),3)="A&amp;D",-INDEX('Prelim Budget'!$C$9:$C$33,MATCH('Cash Flow'!$B37,'Prelim Budget'!$B$9:$B$33,0))/'Cash Flow'!$E37,IF(SUM('Cash Flow'!$F37:AI37)=-INDEX('Prelim Budget'!$C$9:$C$33,MATCH('Cash Flow'!$B37,'Prelim Budget'!$B$9:$B$33,0)),0,IF('Cash Flow'!AI37&lt;&gt;0,'Cash Flow'!AI37,0))),0)</f>
        <v>0</v>
      </c>
      <c r="AK37" s="153">
        <f ca="1">IFERROR(IF(LEFT(OFFSET(AK$2,0,-$C37),3)="A&amp;D",-INDEX('Prelim Budget'!$C$9:$C$33,MATCH('Cash Flow'!$B37,'Prelim Budget'!$B$9:$B$33,0))/'Cash Flow'!$E37,IF(SUM('Cash Flow'!$F37:AJ37)=-INDEX('Prelim Budget'!$C$9:$C$33,MATCH('Cash Flow'!$B37,'Prelim Budget'!$B$9:$B$33,0)),0,IF('Cash Flow'!AJ37&lt;&gt;0,'Cash Flow'!AJ37,0))),0)</f>
        <v>0</v>
      </c>
      <c r="AL37" s="153">
        <f ca="1">IFERROR(IF(LEFT(OFFSET(AL$2,0,-$C37),3)="A&amp;D",-INDEX('Prelim Budget'!$C$9:$C$33,MATCH('Cash Flow'!$B37,'Prelim Budget'!$B$9:$B$33,0))/'Cash Flow'!$E37,IF(SUM('Cash Flow'!$F37:AK37)=-INDEX('Prelim Budget'!$C$9:$C$33,MATCH('Cash Flow'!$B37,'Prelim Budget'!$B$9:$B$33,0)),0,IF('Cash Flow'!AK37&lt;&gt;0,'Cash Flow'!AK37,0))),0)</f>
        <v>0</v>
      </c>
      <c r="AM37" s="153">
        <f ca="1">IFERROR(IF(LEFT(OFFSET(AM$2,0,-$C37),3)="A&amp;D",-INDEX('Prelim Budget'!$C$9:$C$33,MATCH('Cash Flow'!$B37,'Prelim Budget'!$B$9:$B$33,0))/'Cash Flow'!$E37,IF(SUM('Cash Flow'!$F37:AL37)=-INDEX('Prelim Budget'!$C$9:$C$33,MATCH('Cash Flow'!$B37,'Prelim Budget'!$B$9:$B$33,0)),0,IF('Cash Flow'!AL37&lt;&gt;0,'Cash Flow'!AL37,0))),0)</f>
        <v>0</v>
      </c>
      <c r="AN37" s="153">
        <f ca="1">IFERROR(IF(LEFT(OFFSET(AN$2,0,-$C37),3)="A&amp;D",-INDEX('Prelim Budget'!$C$9:$C$33,MATCH('Cash Flow'!$B37,'Prelim Budget'!$B$9:$B$33,0))/'Cash Flow'!$E37,IF(SUM('Cash Flow'!$F37:AM37)=-INDEX('Prelim Budget'!$C$9:$C$33,MATCH('Cash Flow'!$B37,'Prelim Budget'!$B$9:$B$33,0)),0,IF('Cash Flow'!AM37&lt;&gt;0,'Cash Flow'!AM37,0))),0)</f>
        <v>0</v>
      </c>
      <c r="AO37" s="153">
        <f ca="1">IFERROR(IF(LEFT(OFFSET(AO$2,0,-$C37),3)="A&amp;D",-INDEX('Prelim Budget'!$C$9:$C$33,MATCH('Cash Flow'!$B37,'Prelim Budget'!$B$9:$B$33,0))/'Cash Flow'!$E37,IF(SUM('Cash Flow'!$F37:AN37)=-INDEX('Prelim Budget'!$C$9:$C$33,MATCH('Cash Flow'!$B37,'Prelim Budget'!$B$9:$B$33,0)),0,IF('Cash Flow'!AN37&lt;&gt;0,'Cash Flow'!AN37,0))),0)</f>
        <v>0</v>
      </c>
      <c r="AP37" s="153">
        <f ca="1">IFERROR(IF(LEFT(OFFSET(AP$2,0,-$C37),3)="A&amp;D",-INDEX('Prelim Budget'!$C$9:$C$33,MATCH('Cash Flow'!$B37,'Prelim Budget'!$B$9:$B$33,0))/'Cash Flow'!$E37,IF(SUM('Cash Flow'!$F37:AO37)=-INDEX('Prelim Budget'!$C$9:$C$33,MATCH('Cash Flow'!$B37,'Prelim Budget'!$B$9:$B$33,0)),0,IF('Cash Flow'!AO37&lt;&gt;0,'Cash Flow'!AO37,0))),0)</f>
        <v>0</v>
      </c>
      <c r="AQ37" s="153">
        <f ca="1">IFERROR(IF(LEFT(OFFSET(AQ$2,0,-$C37),3)="A&amp;D",-INDEX('Prelim Budget'!$C$9:$C$33,MATCH('Cash Flow'!$B37,'Prelim Budget'!$B$9:$B$33,0))/'Cash Flow'!$E37,IF(SUM('Cash Flow'!$F37:AP37)=-INDEX('Prelim Budget'!$C$9:$C$33,MATCH('Cash Flow'!$B37,'Prelim Budget'!$B$9:$B$33,0)),0,IF('Cash Flow'!AP37&lt;&gt;0,'Cash Flow'!AP37,0))),0)</f>
        <v>0</v>
      </c>
      <c r="AR37" s="153">
        <f ca="1">IFERROR(IF(LEFT(OFFSET(AR$2,0,-$C37),3)="A&amp;D",-INDEX('Prelim Budget'!$C$9:$C$33,MATCH('Cash Flow'!$B37,'Prelim Budget'!$B$9:$B$33,0))/'Cash Flow'!$E37,IF(SUM('Cash Flow'!$F37:AQ37)=-INDEX('Prelim Budget'!$C$9:$C$33,MATCH('Cash Flow'!$B37,'Prelim Budget'!$B$9:$B$33,0)),0,IF('Cash Flow'!AQ37&lt;&gt;0,'Cash Flow'!AQ37,0))),0)</f>
        <v>0</v>
      </c>
      <c r="AS37" s="153">
        <f ca="1">IFERROR(IF(LEFT(OFFSET(AS$2,0,-$C37),3)="A&amp;D",-INDEX('Prelim Budget'!$C$9:$C$33,MATCH('Cash Flow'!$B37,'Prelim Budget'!$B$9:$B$33,0))/'Cash Flow'!$E37,IF(SUM('Cash Flow'!$F37:AR37)=-INDEX('Prelim Budget'!$C$9:$C$33,MATCH('Cash Flow'!$B37,'Prelim Budget'!$B$9:$B$33,0)),0,IF('Cash Flow'!AR37&lt;&gt;0,'Cash Flow'!AR37,0))),0)</f>
        <v>0</v>
      </c>
      <c r="AT37" s="153">
        <f ca="1">IFERROR(IF(LEFT(OFFSET(AT$2,0,-$C37),3)="A&amp;D",-INDEX('Prelim Budget'!$C$9:$C$33,MATCH('Cash Flow'!$B37,'Prelim Budget'!$B$9:$B$33,0))/'Cash Flow'!$E37,IF(SUM('Cash Flow'!$F37:AS37)=-INDEX('Prelim Budget'!$C$9:$C$33,MATCH('Cash Flow'!$B37,'Prelim Budget'!$B$9:$B$33,0)),0,IF('Cash Flow'!AS37&lt;&gt;0,'Cash Flow'!AS37,0))),0)</f>
        <v>0</v>
      </c>
      <c r="AU37" s="153">
        <f ca="1">IFERROR(IF(LEFT(OFFSET(AU$2,0,-$C37),3)="A&amp;D",-INDEX('Prelim Budget'!$C$9:$C$33,MATCH('Cash Flow'!$B37,'Prelim Budget'!$B$9:$B$33,0))/'Cash Flow'!$E37,IF(SUM('Cash Flow'!$F37:AT37)=-INDEX('Prelim Budget'!$C$9:$C$33,MATCH('Cash Flow'!$B37,'Prelim Budget'!$B$9:$B$33,0)),0,IF('Cash Flow'!AT37&lt;&gt;0,'Cash Flow'!AT37,0))),0)</f>
        <v>0</v>
      </c>
      <c r="AV37" s="153">
        <f ca="1">IFERROR(IF(LEFT(OFFSET(AV$2,0,-$C37),3)="A&amp;D",-INDEX('Prelim Budget'!$C$9:$C$33,MATCH('Cash Flow'!$B37,'Prelim Budget'!$B$9:$B$33,0))/'Cash Flow'!$E37,IF(SUM('Cash Flow'!$F37:AU37)=-INDEX('Prelim Budget'!$C$9:$C$33,MATCH('Cash Flow'!$B37,'Prelim Budget'!$B$9:$B$33,0)),0,IF('Cash Flow'!AU37&lt;&gt;0,'Cash Flow'!AU37,0))),0)</f>
        <v>0</v>
      </c>
      <c r="AW37" s="153">
        <f ca="1">IFERROR(IF(LEFT(OFFSET(AW$2,0,-$C37),3)="A&amp;D",-INDEX('Prelim Budget'!$C$9:$C$33,MATCH('Cash Flow'!$B37,'Prelim Budget'!$B$9:$B$33,0))/'Cash Flow'!$E37,IF(SUM('Cash Flow'!$F37:AV37)=-INDEX('Prelim Budget'!$C$9:$C$33,MATCH('Cash Flow'!$B37,'Prelim Budget'!$B$9:$B$33,0)),0,IF('Cash Flow'!AV37&lt;&gt;0,'Cash Flow'!AV37,0))),0)</f>
        <v>0</v>
      </c>
      <c r="AX37" s="153">
        <f ca="1">IFERROR(IF(LEFT(OFFSET(AX$2,0,-$C37),3)="A&amp;D",-INDEX('Prelim Budget'!$C$9:$C$33,MATCH('Cash Flow'!$B37,'Prelim Budget'!$B$9:$B$33,0))/'Cash Flow'!$E37,IF(SUM('Cash Flow'!$F37:AW37)=-INDEX('Prelim Budget'!$C$9:$C$33,MATCH('Cash Flow'!$B37,'Prelim Budget'!$B$9:$B$33,0)),0,IF('Cash Flow'!AW37&lt;&gt;0,'Cash Flow'!AW37,0))),0)</f>
        <v>0</v>
      </c>
      <c r="AY37" s="153">
        <f ca="1">IFERROR(IF(LEFT(OFFSET(AY$2,0,-$C37),3)="A&amp;D",-INDEX('Prelim Budget'!$C$9:$C$33,MATCH('Cash Flow'!$B37,'Prelim Budget'!$B$9:$B$33,0))/'Cash Flow'!$E37,IF(SUM('Cash Flow'!$F37:AX37)=-INDEX('Prelim Budget'!$C$9:$C$33,MATCH('Cash Flow'!$B37,'Prelim Budget'!$B$9:$B$33,0)),0,IF('Cash Flow'!AX37&lt;&gt;0,'Cash Flow'!AX37,0))),0)</f>
        <v>0</v>
      </c>
      <c r="AZ37" s="153">
        <f ca="1">IFERROR(IF(LEFT(OFFSET(AZ$2,0,-$C37),3)="A&amp;D",-INDEX('Prelim Budget'!$C$9:$C$33,MATCH('Cash Flow'!$B37,'Prelim Budget'!$B$9:$B$33,0))/'Cash Flow'!$E37,IF(SUM('Cash Flow'!$F37:AY37)=-INDEX('Prelim Budget'!$C$9:$C$33,MATCH('Cash Flow'!$B37,'Prelim Budget'!$B$9:$B$33,0)),0,IF('Cash Flow'!AY37&lt;&gt;0,'Cash Flow'!AY37,0))),0)</f>
        <v>0</v>
      </c>
      <c r="BA37" s="153">
        <f ca="1">IFERROR(IF(LEFT(OFFSET(BA$2,0,-$C37),3)="A&amp;D",-INDEX('Prelim Budget'!$C$9:$C$33,MATCH('Cash Flow'!$B37,'Prelim Budget'!$B$9:$B$33,0))/'Cash Flow'!$E37,IF(SUM('Cash Flow'!$F37:AZ37)=-INDEX('Prelim Budget'!$C$9:$C$33,MATCH('Cash Flow'!$B37,'Prelim Budget'!$B$9:$B$33,0)),0,IF('Cash Flow'!AZ37&lt;&gt;0,'Cash Flow'!AZ37,0))),0)</f>
        <v>0</v>
      </c>
      <c r="BB37" s="153">
        <f ca="1">IFERROR(IF(LEFT(OFFSET(BB$2,0,-$C37),3)="A&amp;D",-INDEX('Prelim Budget'!$C$9:$C$33,MATCH('Cash Flow'!$B37,'Prelim Budget'!$B$9:$B$33,0))/'Cash Flow'!$E37,IF(SUM('Cash Flow'!$F37:BA37)=-INDEX('Prelim Budget'!$C$9:$C$33,MATCH('Cash Flow'!$B37,'Prelim Budget'!$B$9:$B$33,0)),0,IF('Cash Flow'!BA37&lt;&gt;0,'Cash Flow'!BA37,0))),0)</f>
        <v>0</v>
      </c>
      <c r="BC37" s="153">
        <f ca="1">IFERROR(IF(LEFT(OFFSET(BC$2,0,-$C37),3)="A&amp;D",-INDEX('Prelim Budget'!$C$9:$C$33,MATCH('Cash Flow'!$B37,'Prelim Budget'!$B$9:$B$33,0))/'Cash Flow'!$E37,IF(SUM('Cash Flow'!$F37:BB37)=-INDEX('Prelim Budget'!$C$9:$C$33,MATCH('Cash Flow'!$B37,'Prelim Budget'!$B$9:$B$33,0)),0,IF('Cash Flow'!BB37&lt;&gt;0,'Cash Flow'!BB37,0))),0)</f>
        <v>0</v>
      </c>
      <c r="BD37" s="153">
        <f ca="1">IFERROR(IF(LEFT(OFFSET(BD$2,0,-$C37),3)="A&amp;D",-INDEX('Prelim Budget'!$C$9:$C$33,MATCH('Cash Flow'!$B37,'Prelim Budget'!$B$9:$B$33,0))/'Cash Flow'!$E37,IF(SUM('Cash Flow'!$F37:BC37)=-INDEX('Prelim Budget'!$C$9:$C$33,MATCH('Cash Flow'!$B37,'Prelim Budget'!$B$9:$B$33,0)),0,IF('Cash Flow'!BC37&lt;&gt;0,'Cash Flow'!BC37,0))),0)</f>
        <v>0</v>
      </c>
      <c r="BE37" s="153">
        <f ca="1">IFERROR(IF(LEFT(OFFSET(BE$2,0,-$C37),3)="A&amp;D",-INDEX('Prelim Budget'!$C$9:$C$33,MATCH('Cash Flow'!$B37,'Prelim Budget'!$B$9:$B$33,0))/'Cash Flow'!$E37,IF(SUM('Cash Flow'!$F37:BD37)=-INDEX('Prelim Budget'!$C$9:$C$33,MATCH('Cash Flow'!$B37,'Prelim Budget'!$B$9:$B$33,0)),0,IF('Cash Flow'!BD37&lt;&gt;0,'Cash Flow'!BD37,0))),0)</f>
        <v>0</v>
      </c>
      <c r="BF37" s="153">
        <f ca="1">IFERROR(IF(LEFT(OFFSET(BF$2,0,-$C37),3)="A&amp;D",-INDEX('Prelim Budget'!$C$9:$C$33,MATCH('Cash Flow'!$B37,'Prelim Budget'!$B$9:$B$33,0))/'Cash Flow'!$E37,IF(SUM('Cash Flow'!$F37:BE37)=-INDEX('Prelim Budget'!$C$9:$C$33,MATCH('Cash Flow'!$B37,'Prelim Budget'!$B$9:$B$33,0)),0,IF('Cash Flow'!BE37&lt;&gt;0,'Cash Flow'!BE37,0))),0)</f>
        <v>0</v>
      </c>
      <c r="BG37" s="153">
        <f ca="1">IFERROR(IF(LEFT(OFFSET(BG$2,0,-$C37),3)="A&amp;D",-INDEX('Prelim Budget'!$C$9:$C$33,MATCH('Cash Flow'!$B37,'Prelim Budget'!$B$9:$B$33,0))/'Cash Flow'!$E37,IF(SUM('Cash Flow'!$F37:BF37)=-INDEX('Prelim Budget'!$C$9:$C$33,MATCH('Cash Flow'!$B37,'Prelim Budget'!$B$9:$B$33,0)),0,IF('Cash Flow'!BF37&lt;&gt;0,'Cash Flow'!BF37,0))),0)</f>
        <v>0</v>
      </c>
      <c r="BH37" s="153">
        <f ca="1">IFERROR(IF(LEFT(OFFSET(BH$2,0,-$C37),3)="A&amp;D",-INDEX('Prelim Budget'!$C$9:$C$33,MATCH('Cash Flow'!$B37,'Prelim Budget'!$B$9:$B$33,0))/'Cash Flow'!$E37,IF(SUM('Cash Flow'!$F37:BG37)=-INDEX('Prelim Budget'!$C$9:$C$33,MATCH('Cash Flow'!$B37,'Prelim Budget'!$B$9:$B$33,0)),0,IF('Cash Flow'!BG37&lt;&gt;0,'Cash Flow'!BG37,0))),0)</f>
        <v>0</v>
      </c>
      <c r="BI37" s="153">
        <f ca="1">IFERROR(IF(LEFT(OFFSET(BI$2,0,-$C37),3)="A&amp;D",-INDEX('Prelim Budget'!$C$9:$C$33,MATCH('Cash Flow'!$B37,'Prelim Budget'!$B$9:$B$33,0))/'Cash Flow'!$E37,IF(SUM('Cash Flow'!$F37:BH37)=-INDEX('Prelim Budget'!$C$9:$C$33,MATCH('Cash Flow'!$B37,'Prelim Budget'!$B$9:$B$33,0)),0,IF('Cash Flow'!BH37&lt;&gt;0,'Cash Flow'!BH37,0))),0)</f>
        <v>0</v>
      </c>
      <c r="BJ37" s="153">
        <f ca="1">IFERROR(IF(LEFT(OFFSET(BJ$2,0,-$C37),3)="A&amp;D",-INDEX('Prelim Budget'!$C$9:$C$33,MATCH('Cash Flow'!$B37,'Prelim Budget'!$B$9:$B$33,0))/'Cash Flow'!$E37,IF(SUM('Cash Flow'!$F37:BI37)=-INDEX('Prelim Budget'!$C$9:$C$33,MATCH('Cash Flow'!$B37,'Prelim Budget'!$B$9:$B$33,0)),0,IF('Cash Flow'!BI37&lt;&gt;0,'Cash Flow'!BI37,0))),0)</f>
        <v>0</v>
      </c>
      <c r="BK37" s="153">
        <f ca="1">IFERROR(IF(LEFT(OFFSET(BK$2,0,-$C37),3)="A&amp;D",-INDEX('Prelim Budget'!$C$9:$C$33,MATCH('Cash Flow'!$B37,'Prelim Budget'!$B$9:$B$33,0))/'Cash Flow'!$E37,IF(SUM('Cash Flow'!$F37:BJ37)=-INDEX('Prelim Budget'!$C$9:$C$33,MATCH('Cash Flow'!$B37,'Prelim Budget'!$B$9:$B$33,0)),0,IF('Cash Flow'!BJ37&lt;&gt;0,'Cash Flow'!BJ37,0))),0)</f>
        <v>0</v>
      </c>
      <c r="BL37" s="153">
        <f ca="1">IFERROR(IF(LEFT(OFFSET(BL$2,0,-$C37),3)="A&amp;D",-INDEX('Prelim Budget'!$C$9:$C$33,MATCH('Cash Flow'!$B37,'Prelim Budget'!$B$9:$B$33,0))/'Cash Flow'!$E37,IF(SUM('Cash Flow'!$F37:BK37)=-INDEX('Prelim Budget'!$C$9:$C$33,MATCH('Cash Flow'!$B37,'Prelim Budget'!$B$9:$B$33,0)),0,IF('Cash Flow'!BK37&lt;&gt;0,'Cash Flow'!BK37,0))),0)</f>
        <v>0</v>
      </c>
      <c r="BM37" s="153">
        <f ca="1">IFERROR(IF(LEFT(OFFSET(BM$2,0,-$C37),3)="A&amp;D",-INDEX('Prelim Budget'!$C$9:$C$33,MATCH('Cash Flow'!$B37,'Prelim Budget'!$B$9:$B$33,0))/'Cash Flow'!$E37,IF(SUM('Cash Flow'!$F37:BL37)=-INDEX('Prelim Budget'!$C$9:$C$33,MATCH('Cash Flow'!$B37,'Prelim Budget'!$B$9:$B$33,0)),0,IF('Cash Flow'!BL37&lt;&gt;0,'Cash Flow'!BL37,0))),0)</f>
        <v>0</v>
      </c>
      <c r="BN37" s="153">
        <f ca="1">IFERROR(IF(LEFT(OFFSET(BN$2,0,-$C37),3)="A&amp;D",-INDEX('Prelim Budget'!$C$9:$C$33,MATCH('Cash Flow'!$B37,'Prelim Budget'!$B$9:$B$33,0))/'Cash Flow'!$E37,IF(SUM('Cash Flow'!$F37:BM37)=-INDEX('Prelim Budget'!$C$9:$C$33,MATCH('Cash Flow'!$B37,'Prelim Budget'!$B$9:$B$33,0)),0,IF('Cash Flow'!BM37&lt;&gt;0,'Cash Flow'!BM37,0))),0)</f>
        <v>0</v>
      </c>
      <c r="BO37" s="50">
        <f ca="1">IFERROR(IF(LEFT(OFFSET(BO$2,0,-$C37),3)="A&amp;D",-INDEX('Prelim Budget'!$C$9:$C$33,MATCH('Cash Flow'!$B37,'Prelim Budget'!$B$9:$B$33,0))/'Cash Flow'!$E37,IF(SUM('Cash Flow'!$F37:BN37)=-INDEX('Prelim Budget'!$C$9:$C$33,MATCH('Cash Flow'!$B37,'Prelim Budget'!$B$9:$B$33,0)),0,IF('Cash Flow'!BN37&lt;&gt;0,'Cash Flow'!BN37,0))),0)</f>
        <v>0</v>
      </c>
    </row>
    <row r="38" spans="2:67" ht="14.05" customHeight="1" x14ac:dyDescent="0.4">
      <c r="B38" s="3" t="s">
        <v>165</v>
      </c>
      <c r="C38" s="80">
        <v>0</v>
      </c>
      <c r="D38" s="153">
        <f t="shared" ca="1" si="11"/>
        <v>-50000</v>
      </c>
      <c r="E38" s="82">
        <v>1</v>
      </c>
      <c r="F38" s="157"/>
      <c r="G38" s="134">
        <f ca="1">IFERROR(IF(LEFT(OFFSET(G$2,0,-$C38),3)="A&amp;D",-INDEX('Prelim Budget'!$C$9:$C$33,MATCH('Cash Flow'!$B38,'Prelim Budget'!$B$9:$B$33,0))/'Cash Flow'!$E38,IF(SUM('Cash Flow'!$F38:F38)=-INDEX('Prelim Budget'!$C$9:$C$33,MATCH('Cash Flow'!$B38,'Prelim Budget'!$B$9:$B$33,0)),0,IF('Cash Flow'!F38&lt;&gt;0,'Cash Flow'!F38,0))),0)</f>
        <v>0</v>
      </c>
      <c r="H38" s="153">
        <f ca="1">IFERROR(IF(LEFT(OFFSET(H$2,0,-$C38),3)="A&amp;D",-INDEX('Prelim Budget'!$C$9:$C$33,MATCH('Cash Flow'!$B38,'Prelim Budget'!$B$9:$B$33,0))/'Cash Flow'!$E38,IF(SUM('Cash Flow'!$F38:G38)=-INDEX('Prelim Budget'!$C$9:$C$33,MATCH('Cash Flow'!$B38,'Prelim Budget'!$B$9:$B$33,0)),0,IF('Cash Flow'!G38&lt;&gt;0,'Cash Flow'!G38,0))),0)</f>
        <v>0</v>
      </c>
      <c r="I38" s="153">
        <f ca="1">IFERROR(IF(LEFT(OFFSET(I$2,0,-$C38),3)="A&amp;D",-INDEX('Prelim Budget'!$C$9:$C$33,MATCH('Cash Flow'!$B38,'Prelim Budget'!$B$9:$B$33,0))/'Cash Flow'!$E38,IF(SUM('Cash Flow'!$F38:H38)=-INDEX('Prelim Budget'!$C$9:$C$33,MATCH('Cash Flow'!$B38,'Prelim Budget'!$B$9:$B$33,0)),0,IF('Cash Flow'!H38&lt;&gt;0,'Cash Flow'!H38,0))),0)</f>
        <v>0</v>
      </c>
      <c r="J38" s="153">
        <f ca="1">IFERROR(IF(LEFT(OFFSET(J$2,0,-$C38),3)="A&amp;D",-INDEX('Prelim Budget'!$C$9:$C$33,MATCH('Cash Flow'!$B38,'Prelim Budget'!$B$9:$B$33,0))/'Cash Flow'!$E38,IF(SUM('Cash Flow'!$F38:I38)=-INDEX('Prelim Budget'!$C$9:$C$33,MATCH('Cash Flow'!$B38,'Prelim Budget'!$B$9:$B$33,0)),0,IF('Cash Flow'!I38&lt;&gt;0,'Cash Flow'!I38,0))),0)</f>
        <v>0</v>
      </c>
      <c r="K38" s="153">
        <f ca="1">IFERROR(IF(LEFT(OFFSET(K$2,0,-$C38),3)="A&amp;D",-INDEX('Prelim Budget'!$C$9:$C$33,MATCH('Cash Flow'!$B38,'Prelim Budget'!$B$9:$B$33,0))/'Cash Flow'!$E38,IF(SUM('Cash Flow'!$F38:J38)=-INDEX('Prelim Budget'!$C$9:$C$33,MATCH('Cash Flow'!$B38,'Prelim Budget'!$B$9:$B$33,0)),0,IF('Cash Flow'!J38&lt;&gt;0,'Cash Flow'!J38,0))),0)</f>
        <v>0</v>
      </c>
      <c r="L38" s="153">
        <f ca="1">IFERROR(IF(LEFT(OFFSET(L$2,0,-$C38),3)="A&amp;D",-INDEX('Prelim Budget'!$C$9:$C$33,MATCH('Cash Flow'!$B38,'Prelim Budget'!$B$9:$B$33,0))/'Cash Flow'!$E38,IF(SUM('Cash Flow'!$F38:K38)=-INDEX('Prelim Budget'!$C$9:$C$33,MATCH('Cash Flow'!$B38,'Prelim Budget'!$B$9:$B$33,0)),0,IF('Cash Flow'!K38&lt;&gt;0,'Cash Flow'!K38,0))),0)</f>
        <v>0</v>
      </c>
      <c r="M38" s="153">
        <f ca="1">IFERROR(IF(LEFT(OFFSET(M$2,0,-$C38),3)="A&amp;D",-INDEX('Prelim Budget'!$C$9:$C$33,MATCH('Cash Flow'!$B38,'Prelim Budget'!$B$9:$B$33,0))/'Cash Flow'!$E38,IF(SUM('Cash Flow'!$F38:L38)=-INDEX('Prelim Budget'!$C$9:$C$33,MATCH('Cash Flow'!$B38,'Prelim Budget'!$B$9:$B$33,0)),0,IF('Cash Flow'!L38&lt;&gt;0,'Cash Flow'!L38,0))),0)</f>
        <v>-50000</v>
      </c>
      <c r="N38" s="153">
        <f ca="1">IFERROR(IF(LEFT(OFFSET(N$2,0,-$C38),3)="A&amp;D",-INDEX('Prelim Budget'!$C$9:$C$33,MATCH('Cash Flow'!$B38,'Prelim Budget'!$B$9:$B$33,0))/'Cash Flow'!$E38,IF(SUM('Cash Flow'!$F38:M38)=-INDEX('Prelim Budget'!$C$9:$C$33,MATCH('Cash Flow'!$B38,'Prelim Budget'!$B$9:$B$33,0)),0,IF('Cash Flow'!M38&lt;&gt;0,'Cash Flow'!M38,0))),0)</f>
        <v>0</v>
      </c>
      <c r="O38" s="153">
        <f ca="1">IFERROR(IF(LEFT(OFFSET(O$2,0,-$C38),3)="A&amp;D",-INDEX('Prelim Budget'!$C$9:$C$33,MATCH('Cash Flow'!$B38,'Prelim Budget'!$B$9:$B$33,0))/'Cash Flow'!$E38,IF(SUM('Cash Flow'!$F38:N38)=-INDEX('Prelim Budget'!$C$9:$C$33,MATCH('Cash Flow'!$B38,'Prelim Budget'!$B$9:$B$33,0)),0,IF('Cash Flow'!N38&lt;&gt;0,'Cash Flow'!N38,0))),0)</f>
        <v>0</v>
      </c>
      <c r="P38" s="153">
        <f ca="1">IFERROR(IF(LEFT(OFFSET(P$2,0,-$C38),3)="A&amp;D",-INDEX('Prelim Budget'!$C$9:$C$33,MATCH('Cash Flow'!$B38,'Prelim Budget'!$B$9:$B$33,0))/'Cash Flow'!$E38,IF(SUM('Cash Flow'!$F38:O38)=-INDEX('Prelim Budget'!$C$9:$C$33,MATCH('Cash Flow'!$B38,'Prelim Budget'!$B$9:$B$33,0)),0,IF('Cash Flow'!O38&lt;&gt;0,'Cash Flow'!O38,0))),0)</f>
        <v>0</v>
      </c>
      <c r="Q38" s="153">
        <f ca="1">IFERROR(IF(LEFT(OFFSET(Q$2,0,-$C38),3)="A&amp;D",-INDEX('Prelim Budget'!$C$9:$C$33,MATCH('Cash Flow'!$B38,'Prelim Budget'!$B$9:$B$33,0))/'Cash Flow'!$E38,IF(SUM('Cash Flow'!$F38:P38)=-INDEX('Prelim Budget'!$C$9:$C$33,MATCH('Cash Flow'!$B38,'Prelim Budget'!$B$9:$B$33,0)),0,IF('Cash Flow'!P38&lt;&gt;0,'Cash Flow'!P38,0))),0)</f>
        <v>0</v>
      </c>
      <c r="R38" s="153">
        <f ca="1">IFERROR(IF(LEFT(OFFSET(R$2,0,-$C38),3)="A&amp;D",-INDEX('Prelim Budget'!$C$9:$C$33,MATCH('Cash Flow'!$B38,'Prelim Budget'!$B$9:$B$33,0))/'Cash Flow'!$E38,IF(SUM('Cash Flow'!$F38:Q38)=-INDEX('Prelim Budget'!$C$9:$C$33,MATCH('Cash Flow'!$B38,'Prelim Budget'!$B$9:$B$33,0)),0,IF('Cash Flow'!Q38&lt;&gt;0,'Cash Flow'!Q38,0))),0)</f>
        <v>0</v>
      </c>
      <c r="S38" s="153">
        <f ca="1">IFERROR(IF(LEFT(OFFSET(S$2,0,-$C38),3)="A&amp;D",-INDEX('Prelim Budget'!$C$9:$C$33,MATCH('Cash Flow'!$B38,'Prelim Budget'!$B$9:$B$33,0))/'Cash Flow'!$E38,IF(SUM('Cash Flow'!$F38:R38)=-INDEX('Prelim Budget'!$C$9:$C$33,MATCH('Cash Flow'!$B38,'Prelim Budget'!$B$9:$B$33,0)),0,IF('Cash Flow'!R38&lt;&gt;0,'Cash Flow'!R38,0))),0)</f>
        <v>0</v>
      </c>
      <c r="T38" s="153">
        <f ca="1">IFERROR(IF(LEFT(OFFSET(T$2,0,-$C38),3)="A&amp;D",-INDEX('Prelim Budget'!$C$9:$C$33,MATCH('Cash Flow'!$B38,'Prelim Budget'!$B$9:$B$33,0))/'Cash Flow'!$E38,IF(SUM('Cash Flow'!$F38:S38)=-INDEX('Prelim Budget'!$C$9:$C$33,MATCH('Cash Flow'!$B38,'Prelim Budget'!$B$9:$B$33,0)),0,IF('Cash Flow'!S38&lt;&gt;0,'Cash Flow'!S38,0))),0)</f>
        <v>0</v>
      </c>
      <c r="U38" s="153">
        <f ca="1">IFERROR(IF(LEFT(OFFSET(U$2,0,-$C38),3)="A&amp;D",-INDEX('Prelim Budget'!$C$9:$C$33,MATCH('Cash Flow'!$B38,'Prelim Budget'!$B$9:$B$33,0))/'Cash Flow'!$E38,IF(SUM('Cash Flow'!$F38:T38)=-INDEX('Prelim Budget'!$C$9:$C$33,MATCH('Cash Flow'!$B38,'Prelim Budget'!$B$9:$B$33,0)),0,IF('Cash Flow'!T38&lt;&gt;0,'Cash Flow'!T38,0))),0)</f>
        <v>0</v>
      </c>
      <c r="V38" s="153">
        <f ca="1">IFERROR(IF(LEFT(OFFSET(V$2,0,-$C38),3)="A&amp;D",-INDEX('Prelim Budget'!$C$9:$C$33,MATCH('Cash Flow'!$B38,'Prelim Budget'!$B$9:$B$33,0))/'Cash Flow'!$E38,IF(SUM('Cash Flow'!$F38:U38)=-INDEX('Prelim Budget'!$C$9:$C$33,MATCH('Cash Flow'!$B38,'Prelim Budget'!$B$9:$B$33,0)),0,IF('Cash Flow'!U38&lt;&gt;0,'Cash Flow'!U38,0))),0)</f>
        <v>0</v>
      </c>
      <c r="W38" s="153">
        <f ca="1">IFERROR(IF(LEFT(OFFSET(W$2,0,-$C38),3)="A&amp;D",-INDEX('Prelim Budget'!$C$9:$C$33,MATCH('Cash Flow'!$B38,'Prelim Budget'!$B$9:$B$33,0))/'Cash Flow'!$E38,IF(SUM('Cash Flow'!$F38:V38)=-INDEX('Prelim Budget'!$C$9:$C$33,MATCH('Cash Flow'!$B38,'Prelim Budget'!$B$9:$B$33,0)),0,IF('Cash Flow'!V38&lt;&gt;0,'Cash Flow'!V38,0))),0)</f>
        <v>0</v>
      </c>
      <c r="X38" s="153">
        <f ca="1">IFERROR(IF(LEFT(OFFSET(X$2,0,-$C38),3)="A&amp;D",-INDEX('Prelim Budget'!$C$9:$C$33,MATCH('Cash Flow'!$B38,'Prelim Budget'!$B$9:$B$33,0))/'Cash Flow'!$E38,IF(SUM('Cash Flow'!$F38:W38)=-INDEX('Prelim Budget'!$C$9:$C$33,MATCH('Cash Flow'!$B38,'Prelim Budget'!$B$9:$B$33,0)),0,IF('Cash Flow'!W38&lt;&gt;0,'Cash Flow'!W38,0))),0)</f>
        <v>0</v>
      </c>
      <c r="Y38" s="153">
        <f ca="1">IFERROR(IF(LEFT(OFFSET(Y$2,0,-$C38),3)="A&amp;D",-INDEX('Prelim Budget'!$C$9:$C$33,MATCH('Cash Flow'!$B38,'Prelim Budget'!$B$9:$B$33,0))/'Cash Flow'!$E38,IF(SUM('Cash Flow'!$F38:X38)=-INDEX('Prelim Budget'!$C$9:$C$33,MATCH('Cash Flow'!$B38,'Prelim Budget'!$B$9:$B$33,0)),0,IF('Cash Flow'!X38&lt;&gt;0,'Cash Flow'!X38,0))),0)</f>
        <v>0</v>
      </c>
      <c r="Z38" s="153">
        <f ca="1">IFERROR(IF(LEFT(OFFSET(Z$2,0,-$C38),3)="A&amp;D",-INDEX('Prelim Budget'!$C$9:$C$33,MATCH('Cash Flow'!$B38,'Prelim Budget'!$B$9:$B$33,0))/'Cash Flow'!$E38,IF(SUM('Cash Flow'!$F38:Y38)=-INDEX('Prelim Budget'!$C$9:$C$33,MATCH('Cash Flow'!$B38,'Prelim Budget'!$B$9:$B$33,0)),0,IF('Cash Flow'!Y38&lt;&gt;0,'Cash Flow'!Y38,0))),0)</f>
        <v>0</v>
      </c>
      <c r="AA38" s="153">
        <f ca="1">IFERROR(IF(LEFT(OFFSET(AA$2,0,-$C38),3)="A&amp;D",-INDEX('Prelim Budget'!$C$9:$C$33,MATCH('Cash Flow'!$B38,'Prelim Budget'!$B$9:$B$33,0))/'Cash Flow'!$E38,IF(SUM('Cash Flow'!$F38:Z38)=-INDEX('Prelim Budget'!$C$9:$C$33,MATCH('Cash Flow'!$B38,'Prelim Budget'!$B$9:$B$33,0)),0,IF('Cash Flow'!Z38&lt;&gt;0,'Cash Flow'!Z38,0))),0)</f>
        <v>0</v>
      </c>
      <c r="AB38" s="153">
        <f ca="1">IFERROR(IF(LEFT(OFFSET(AB$2,0,-$C38),3)="A&amp;D",-INDEX('Prelim Budget'!$C$9:$C$33,MATCH('Cash Flow'!$B38,'Prelim Budget'!$B$9:$B$33,0))/'Cash Flow'!$E38,IF(SUM('Cash Flow'!$F38:AA38)=-INDEX('Prelim Budget'!$C$9:$C$33,MATCH('Cash Flow'!$B38,'Prelim Budget'!$B$9:$B$33,0)),0,IF('Cash Flow'!AA38&lt;&gt;0,'Cash Flow'!AA38,0))),0)</f>
        <v>0</v>
      </c>
      <c r="AC38" s="153">
        <f ca="1">IFERROR(IF(LEFT(OFFSET(AC$2,0,-$C38),3)="A&amp;D",-INDEX('Prelim Budget'!$C$9:$C$33,MATCH('Cash Flow'!$B38,'Prelim Budget'!$B$9:$B$33,0))/'Cash Flow'!$E38,IF(SUM('Cash Flow'!$F38:AB38)=-INDEX('Prelim Budget'!$C$9:$C$33,MATCH('Cash Flow'!$B38,'Prelim Budget'!$B$9:$B$33,0)),0,IF('Cash Flow'!AB38&lt;&gt;0,'Cash Flow'!AB38,0))),0)</f>
        <v>0</v>
      </c>
      <c r="AD38" s="153">
        <f ca="1">IFERROR(IF(LEFT(OFFSET(AD$2,0,-$C38),3)="A&amp;D",-INDEX('Prelim Budget'!$C$9:$C$33,MATCH('Cash Flow'!$B38,'Prelim Budget'!$B$9:$B$33,0))/'Cash Flow'!$E38,IF(SUM('Cash Flow'!$F38:AC38)=-INDEX('Prelim Budget'!$C$9:$C$33,MATCH('Cash Flow'!$B38,'Prelim Budget'!$B$9:$B$33,0)),0,IF('Cash Flow'!AC38&lt;&gt;0,'Cash Flow'!AC38,0))),0)</f>
        <v>0</v>
      </c>
      <c r="AE38" s="153">
        <f ca="1">IFERROR(IF(LEFT(OFFSET(AE$2,0,-$C38),3)="A&amp;D",-INDEX('Prelim Budget'!$C$9:$C$33,MATCH('Cash Flow'!$B38,'Prelim Budget'!$B$9:$B$33,0))/'Cash Flow'!$E38,IF(SUM('Cash Flow'!$F38:AD38)=-INDEX('Prelim Budget'!$C$9:$C$33,MATCH('Cash Flow'!$B38,'Prelim Budget'!$B$9:$B$33,0)),0,IF('Cash Flow'!AD38&lt;&gt;0,'Cash Flow'!AD38,0))),0)</f>
        <v>0</v>
      </c>
      <c r="AF38" s="153">
        <f ca="1">IFERROR(IF(LEFT(OFFSET(AF$2,0,-$C38),3)="A&amp;D",-INDEX('Prelim Budget'!$C$9:$C$33,MATCH('Cash Flow'!$B38,'Prelim Budget'!$B$9:$B$33,0))/'Cash Flow'!$E38,IF(SUM('Cash Flow'!$F38:AE38)=-INDEX('Prelim Budget'!$C$9:$C$33,MATCH('Cash Flow'!$B38,'Prelim Budget'!$B$9:$B$33,0)),0,IF('Cash Flow'!AE38&lt;&gt;0,'Cash Flow'!AE38,0))),0)</f>
        <v>0</v>
      </c>
      <c r="AG38" s="153">
        <f ca="1">IFERROR(IF(LEFT(OFFSET(AG$2,0,-$C38),3)="A&amp;D",-INDEX('Prelim Budget'!$C$9:$C$33,MATCH('Cash Flow'!$B38,'Prelim Budget'!$B$9:$B$33,0))/'Cash Flow'!$E38,IF(SUM('Cash Flow'!$F38:AF38)=-INDEX('Prelim Budget'!$C$9:$C$33,MATCH('Cash Flow'!$B38,'Prelim Budget'!$B$9:$B$33,0)),0,IF('Cash Flow'!AF38&lt;&gt;0,'Cash Flow'!AF38,0))),0)</f>
        <v>0</v>
      </c>
      <c r="AH38" s="153">
        <f ca="1">IFERROR(IF(LEFT(OFFSET(AH$2,0,-$C38),3)="A&amp;D",-INDEX('Prelim Budget'!$C$9:$C$33,MATCH('Cash Flow'!$B38,'Prelim Budget'!$B$9:$B$33,0))/'Cash Flow'!$E38,IF(SUM('Cash Flow'!$F38:AG38)=-INDEX('Prelim Budget'!$C$9:$C$33,MATCH('Cash Flow'!$B38,'Prelim Budget'!$B$9:$B$33,0)),0,IF('Cash Flow'!AG38&lt;&gt;0,'Cash Flow'!AG38,0))),0)</f>
        <v>0</v>
      </c>
      <c r="AI38" s="153">
        <f ca="1">IFERROR(IF(LEFT(OFFSET(AI$2,0,-$C38),3)="A&amp;D",-INDEX('Prelim Budget'!$C$9:$C$33,MATCH('Cash Flow'!$B38,'Prelim Budget'!$B$9:$B$33,0))/'Cash Flow'!$E38,IF(SUM('Cash Flow'!$F38:AH38)=-INDEX('Prelim Budget'!$C$9:$C$33,MATCH('Cash Flow'!$B38,'Prelim Budget'!$B$9:$B$33,0)),0,IF('Cash Flow'!AH38&lt;&gt;0,'Cash Flow'!AH38,0))),0)</f>
        <v>0</v>
      </c>
      <c r="AJ38" s="153">
        <f ca="1">IFERROR(IF(LEFT(OFFSET(AJ$2,0,-$C38),3)="A&amp;D",-INDEX('Prelim Budget'!$C$9:$C$33,MATCH('Cash Flow'!$B38,'Prelim Budget'!$B$9:$B$33,0))/'Cash Flow'!$E38,IF(SUM('Cash Flow'!$F38:AI38)=-INDEX('Prelim Budget'!$C$9:$C$33,MATCH('Cash Flow'!$B38,'Prelim Budget'!$B$9:$B$33,0)),0,IF('Cash Flow'!AI38&lt;&gt;0,'Cash Flow'!AI38,0))),0)</f>
        <v>0</v>
      </c>
      <c r="AK38" s="153">
        <f ca="1">IFERROR(IF(LEFT(OFFSET(AK$2,0,-$C38),3)="A&amp;D",-INDEX('Prelim Budget'!$C$9:$C$33,MATCH('Cash Flow'!$B38,'Prelim Budget'!$B$9:$B$33,0))/'Cash Flow'!$E38,IF(SUM('Cash Flow'!$F38:AJ38)=-INDEX('Prelim Budget'!$C$9:$C$33,MATCH('Cash Flow'!$B38,'Prelim Budget'!$B$9:$B$33,0)),0,IF('Cash Flow'!AJ38&lt;&gt;0,'Cash Flow'!AJ38,0))),0)</f>
        <v>0</v>
      </c>
      <c r="AL38" s="153">
        <f ca="1">IFERROR(IF(LEFT(OFFSET(AL$2,0,-$C38),3)="A&amp;D",-INDEX('Prelim Budget'!$C$9:$C$33,MATCH('Cash Flow'!$B38,'Prelim Budget'!$B$9:$B$33,0))/'Cash Flow'!$E38,IF(SUM('Cash Flow'!$F38:AK38)=-INDEX('Prelim Budget'!$C$9:$C$33,MATCH('Cash Flow'!$B38,'Prelim Budget'!$B$9:$B$33,0)),0,IF('Cash Flow'!AK38&lt;&gt;0,'Cash Flow'!AK38,0))),0)</f>
        <v>0</v>
      </c>
      <c r="AM38" s="153">
        <f ca="1">IFERROR(IF(LEFT(OFFSET(AM$2,0,-$C38),3)="A&amp;D",-INDEX('Prelim Budget'!$C$9:$C$33,MATCH('Cash Flow'!$B38,'Prelim Budget'!$B$9:$B$33,0))/'Cash Flow'!$E38,IF(SUM('Cash Flow'!$F38:AL38)=-INDEX('Prelim Budget'!$C$9:$C$33,MATCH('Cash Flow'!$B38,'Prelim Budget'!$B$9:$B$33,0)),0,IF('Cash Flow'!AL38&lt;&gt;0,'Cash Flow'!AL38,0))),0)</f>
        <v>0</v>
      </c>
      <c r="AN38" s="153">
        <f ca="1">IFERROR(IF(LEFT(OFFSET(AN$2,0,-$C38),3)="A&amp;D",-INDEX('Prelim Budget'!$C$9:$C$33,MATCH('Cash Flow'!$B38,'Prelim Budget'!$B$9:$B$33,0))/'Cash Flow'!$E38,IF(SUM('Cash Flow'!$F38:AM38)=-INDEX('Prelim Budget'!$C$9:$C$33,MATCH('Cash Flow'!$B38,'Prelim Budget'!$B$9:$B$33,0)),0,IF('Cash Flow'!AM38&lt;&gt;0,'Cash Flow'!AM38,0))),0)</f>
        <v>0</v>
      </c>
      <c r="AO38" s="153">
        <f ca="1">IFERROR(IF(LEFT(OFFSET(AO$2,0,-$C38),3)="A&amp;D",-INDEX('Prelim Budget'!$C$9:$C$33,MATCH('Cash Flow'!$B38,'Prelim Budget'!$B$9:$B$33,0))/'Cash Flow'!$E38,IF(SUM('Cash Flow'!$F38:AN38)=-INDEX('Prelim Budget'!$C$9:$C$33,MATCH('Cash Flow'!$B38,'Prelim Budget'!$B$9:$B$33,0)),0,IF('Cash Flow'!AN38&lt;&gt;0,'Cash Flow'!AN38,0))),0)</f>
        <v>0</v>
      </c>
      <c r="AP38" s="153">
        <f ca="1">IFERROR(IF(LEFT(OFFSET(AP$2,0,-$C38),3)="A&amp;D",-INDEX('Prelim Budget'!$C$9:$C$33,MATCH('Cash Flow'!$B38,'Prelim Budget'!$B$9:$B$33,0))/'Cash Flow'!$E38,IF(SUM('Cash Flow'!$F38:AO38)=-INDEX('Prelim Budget'!$C$9:$C$33,MATCH('Cash Flow'!$B38,'Prelim Budget'!$B$9:$B$33,0)),0,IF('Cash Flow'!AO38&lt;&gt;0,'Cash Flow'!AO38,0))),0)</f>
        <v>0</v>
      </c>
      <c r="AQ38" s="153">
        <f ca="1">IFERROR(IF(LEFT(OFFSET(AQ$2,0,-$C38),3)="A&amp;D",-INDEX('Prelim Budget'!$C$9:$C$33,MATCH('Cash Flow'!$B38,'Prelim Budget'!$B$9:$B$33,0))/'Cash Flow'!$E38,IF(SUM('Cash Flow'!$F38:AP38)=-INDEX('Prelim Budget'!$C$9:$C$33,MATCH('Cash Flow'!$B38,'Prelim Budget'!$B$9:$B$33,0)),0,IF('Cash Flow'!AP38&lt;&gt;0,'Cash Flow'!AP38,0))),0)</f>
        <v>0</v>
      </c>
      <c r="AR38" s="153">
        <f ca="1">IFERROR(IF(LEFT(OFFSET(AR$2,0,-$C38),3)="A&amp;D",-INDEX('Prelim Budget'!$C$9:$C$33,MATCH('Cash Flow'!$B38,'Prelim Budget'!$B$9:$B$33,0))/'Cash Flow'!$E38,IF(SUM('Cash Flow'!$F38:AQ38)=-INDEX('Prelim Budget'!$C$9:$C$33,MATCH('Cash Flow'!$B38,'Prelim Budget'!$B$9:$B$33,0)),0,IF('Cash Flow'!AQ38&lt;&gt;0,'Cash Flow'!AQ38,0))),0)</f>
        <v>0</v>
      </c>
      <c r="AS38" s="153">
        <f ca="1">IFERROR(IF(LEFT(OFFSET(AS$2,0,-$C38),3)="A&amp;D",-INDEX('Prelim Budget'!$C$9:$C$33,MATCH('Cash Flow'!$B38,'Prelim Budget'!$B$9:$B$33,0))/'Cash Flow'!$E38,IF(SUM('Cash Flow'!$F38:AR38)=-INDEX('Prelim Budget'!$C$9:$C$33,MATCH('Cash Flow'!$B38,'Prelim Budget'!$B$9:$B$33,0)),0,IF('Cash Flow'!AR38&lt;&gt;0,'Cash Flow'!AR38,0))),0)</f>
        <v>0</v>
      </c>
      <c r="AT38" s="153">
        <f ca="1">IFERROR(IF(LEFT(OFFSET(AT$2,0,-$C38),3)="A&amp;D",-INDEX('Prelim Budget'!$C$9:$C$33,MATCH('Cash Flow'!$B38,'Prelim Budget'!$B$9:$B$33,0))/'Cash Flow'!$E38,IF(SUM('Cash Flow'!$F38:AS38)=-INDEX('Prelim Budget'!$C$9:$C$33,MATCH('Cash Flow'!$B38,'Prelim Budget'!$B$9:$B$33,0)),0,IF('Cash Flow'!AS38&lt;&gt;0,'Cash Flow'!AS38,0))),0)</f>
        <v>0</v>
      </c>
      <c r="AU38" s="153">
        <f ca="1">IFERROR(IF(LEFT(OFFSET(AU$2,0,-$C38),3)="A&amp;D",-INDEX('Prelim Budget'!$C$9:$C$33,MATCH('Cash Flow'!$B38,'Prelim Budget'!$B$9:$B$33,0))/'Cash Flow'!$E38,IF(SUM('Cash Flow'!$F38:AT38)=-INDEX('Prelim Budget'!$C$9:$C$33,MATCH('Cash Flow'!$B38,'Prelim Budget'!$B$9:$B$33,0)),0,IF('Cash Flow'!AT38&lt;&gt;0,'Cash Flow'!AT38,0))),0)</f>
        <v>0</v>
      </c>
      <c r="AV38" s="153">
        <f ca="1">IFERROR(IF(LEFT(OFFSET(AV$2,0,-$C38),3)="A&amp;D",-INDEX('Prelim Budget'!$C$9:$C$33,MATCH('Cash Flow'!$B38,'Prelim Budget'!$B$9:$B$33,0))/'Cash Flow'!$E38,IF(SUM('Cash Flow'!$F38:AU38)=-INDEX('Prelim Budget'!$C$9:$C$33,MATCH('Cash Flow'!$B38,'Prelim Budget'!$B$9:$B$33,0)),0,IF('Cash Flow'!AU38&lt;&gt;0,'Cash Flow'!AU38,0))),0)</f>
        <v>0</v>
      </c>
      <c r="AW38" s="153">
        <f ca="1">IFERROR(IF(LEFT(OFFSET(AW$2,0,-$C38),3)="A&amp;D",-INDEX('Prelim Budget'!$C$9:$C$33,MATCH('Cash Flow'!$B38,'Prelim Budget'!$B$9:$B$33,0))/'Cash Flow'!$E38,IF(SUM('Cash Flow'!$F38:AV38)=-INDEX('Prelim Budget'!$C$9:$C$33,MATCH('Cash Flow'!$B38,'Prelim Budget'!$B$9:$B$33,0)),0,IF('Cash Flow'!AV38&lt;&gt;0,'Cash Flow'!AV38,0))),0)</f>
        <v>0</v>
      </c>
      <c r="AX38" s="153">
        <f ca="1">IFERROR(IF(LEFT(OFFSET(AX$2,0,-$C38),3)="A&amp;D",-INDEX('Prelim Budget'!$C$9:$C$33,MATCH('Cash Flow'!$B38,'Prelim Budget'!$B$9:$B$33,0))/'Cash Flow'!$E38,IF(SUM('Cash Flow'!$F38:AW38)=-INDEX('Prelim Budget'!$C$9:$C$33,MATCH('Cash Flow'!$B38,'Prelim Budget'!$B$9:$B$33,0)),0,IF('Cash Flow'!AW38&lt;&gt;0,'Cash Flow'!AW38,0))),0)</f>
        <v>0</v>
      </c>
      <c r="AY38" s="153">
        <f ca="1">IFERROR(IF(LEFT(OFFSET(AY$2,0,-$C38),3)="A&amp;D",-INDEX('Prelim Budget'!$C$9:$C$33,MATCH('Cash Flow'!$B38,'Prelim Budget'!$B$9:$B$33,0))/'Cash Flow'!$E38,IF(SUM('Cash Flow'!$F38:AX38)=-INDEX('Prelim Budget'!$C$9:$C$33,MATCH('Cash Flow'!$B38,'Prelim Budget'!$B$9:$B$33,0)),0,IF('Cash Flow'!AX38&lt;&gt;0,'Cash Flow'!AX38,0))),0)</f>
        <v>0</v>
      </c>
      <c r="AZ38" s="153">
        <f ca="1">IFERROR(IF(LEFT(OFFSET(AZ$2,0,-$C38),3)="A&amp;D",-INDEX('Prelim Budget'!$C$9:$C$33,MATCH('Cash Flow'!$B38,'Prelim Budget'!$B$9:$B$33,0))/'Cash Flow'!$E38,IF(SUM('Cash Flow'!$F38:AY38)=-INDEX('Prelim Budget'!$C$9:$C$33,MATCH('Cash Flow'!$B38,'Prelim Budget'!$B$9:$B$33,0)),0,IF('Cash Flow'!AY38&lt;&gt;0,'Cash Flow'!AY38,0))),0)</f>
        <v>0</v>
      </c>
      <c r="BA38" s="153">
        <f ca="1">IFERROR(IF(LEFT(OFFSET(BA$2,0,-$C38),3)="A&amp;D",-INDEX('Prelim Budget'!$C$9:$C$33,MATCH('Cash Flow'!$B38,'Prelim Budget'!$B$9:$B$33,0))/'Cash Flow'!$E38,IF(SUM('Cash Flow'!$F38:AZ38)=-INDEX('Prelim Budget'!$C$9:$C$33,MATCH('Cash Flow'!$B38,'Prelim Budget'!$B$9:$B$33,0)),0,IF('Cash Flow'!AZ38&lt;&gt;0,'Cash Flow'!AZ38,0))),0)</f>
        <v>0</v>
      </c>
      <c r="BB38" s="153">
        <f ca="1">IFERROR(IF(LEFT(OFFSET(BB$2,0,-$C38),3)="A&amp;D",-INDEX('Prelim Budget'!$C$9:$C$33,MATCH('Cash Flow'!$B38,'Prelim Budget'!$B$9:$B$33,0))/'Cash Flow'!$E38,IF(SUM('Cash Flow'!$F38:BA38)=-INDEX('Prelim Budget'!$C$9:$C$33,MATCH('Cash Flow'!$B38,'Prelim Budget'!$B$9:$B$33,0)),0,IF('Cash Flow'!BA38&lt;&gt;0,'Cash Flow'!BA38,0))),0)</f>
        <v>0</v>
      </c>
      <c r="BC38" s="153">
        <f ca="1">IFERROR(IF(LEFT(OFFSET(BC$2,0,-$C38),3)="A&amp;D",-INDEX('Prelim Budget'!$C$9:$C$33,MATCH('Cash Flow'!$B38,'Prelim Budget'!$B$9:$B$33,0))/'Cash Flow'!$E38,IF(SUM('Cash Flow'!$F38:BB38)=-INDEX('Prelim Budget'!$C$9:$C$33,MATCH('Cash Flow'!$B38,'Prelim Budget'!$B$9:$B$33,0)),0,IF('Cash Flow'!BB38&lt;&gt;0,'Cash Flow'!BB38,0))),0)</f>
        <v>0</v>
      </c>
      <c r="BD38" s="153">
        <f ca="1">IFERROR(IF(LEFT(OFFSET(BD$2,0,-$C38),3)="A&amp;D",-INDEX('Prelim Budget'!$C$9:$C$33,MATCH('Cash Flow'!$B38,'Prelim Budget'!$B$9:$B$33,0))/'Cash Flow'!$E38,IF(SUM('Cash Flow'!$F38:BC38)=-INDEX('Prelim Budget'!$C$9:$C$33,MATCH('Cash Flow'!$B38,'Prelim Budget'!$B$9:$B$33,0)),0,IF('Cash Flow'!BC38&lt;&gt;0,'Cash Flow'!BC38,0))),0)</f>
        <v>0</v>
      </c>
      <c r="BE38" s="153">
        <f ca="1">IFERROR(IF(LEFT(OFFSET(BE$2,0,-$C38),3)="A&amp;D",-INDEX('Prelim Budget'!$C$9:$C$33,MATCH('Cash Flow'!$B38,'Prelim Budget'!$B$9:$B$33,0))/'Cash Flow'!$E38,IF(SUM('Cash Flow'!$F38:BD38)=-INDEX('Prelim Budget'!$C$9:$C$33,MATCH('Cash Flow'!$B38,'Prelim Budget'!$B$9:$B$33,0)),0,IF('Cash Flow'!BD38&lt;&gt;0,'Cash Flow'!BD38,0))),0)</f>
        <v>0</v>
      </c>
      <c r="BF38" s="153">
        <f ca="1">IFERROR(IF(LEFT(OFFSET(BF$2,0,-$C38),3)="A&amp;D",-INDEX('Prelim Budget'!$C$9:$C$33,MATCH('Cash Flow'!$B38,'Prelim Budget'!$B$9:$B$33,0))/'Cash Flow'!$E38,IF(SUM('Cash Flow'!$F38:BE38)=-INDEX('Prelim Budget'!$C$9:$C$33,MATCH('Cash Flow'!$B38,'Prelim Budget'!$B$9:$B$33,0)),0,IF('Cash Flow'!BE38&lt;&gt;0,'Cash Flow'!BE38,0))),0)</f>
        <v>0</v>
      </c>
      <c r="BG38" s="153">
        <f ca="1">IFERROR(IF(LEFT(OFFSET(BG$2,0,-$C38),3)="A&amp;D",-INDEX('Prelim Budget'!$C$9:$C$33,MATCH('Cash Flow'!$B38,'Prelim Budget'!$B$9:$B$33,0))/'Cash Flow'!$E38,IF(SUM('Cash Flow'!$F38:BF38)=-INDEX('Prelim Budget'!$C$9:$C$33,MATCH('Cash Flow'!$B38,'Prelim Budget'!$B$9:$B$33,0)),0,IF('Cash Flow'!BF38&lt;&gt;0,'Cash Flow'!BF38,0))),0)</f>
        <v>0</v>
      </c>
      <c r="BH38" s="153">
        <f ca="1">IFERROR(IF(LEFT(OFFSET(BH$2,0,-$C38),3)="A&amp;D",-INDEX('Prelim Budget'!$C$9:$C$33,MATCH('Cash Flow'!$B38,'Prelim Budget'!$B$9:$B$33,0))/'Cash Flow'!$E38,IF(SUM('Cash Flow'!$F38:BG38)=-INDEX('Prelim Budget'!$C$9:$C$33,MATCH('Cash Flow'!$B38,'Prelim Budget'!$B$9:$B$33,0)),0,IF('Cash Flow'!BG38&lt;&gt;0,'Cash Flow'!BG38,0))),0)</f>
        <v>0</v>
      </c>
      <c r="BI38" s="153">
        <f ca="1">IFERROR(IF(LEFT(OFFSET(BI$2,0,-$C38),3)="A&amp;D",-INDEX('Prelim Budget'!$C$9:$C$33,MATCH('Cash Flow'!$B38,'Prelim Budget'!$B$9:$B$33,0))/'Cash Flow'!$E38,IF(SUM('Cash Flow'!$F38:BH38)=-INDEX('Prelim Budget'!$C$9:$C$33,MATCH('Cash Flow'!$B38,'Prelim Budget'!$B$9:$B$33,0)),0,IF('Cash Flow'!BH38&lt;&gt;0,'Cash Flow'!BH38,0))),0)</f>
        <v>0</v>
      </c>
      <c r="BJ38" s="153">
        <f ca="1">IFERROR(IF(LEFT(OFFSET(BJ$2,0,-$C38),3)="A&amp;D",-INDEX('Prelim Budget'!$C$9:$C$33,MATCH('Cash Flow'!$B38,'Prelim Budget'!$B$9:$B$33,0))/'Cash Flow'!$E38,IF(SUM('Cash Flow'!$F38:BI38)=-INDEX('Prelim Budget'!$C$9:$C$33,MATCH('Cash Flow'!$B38,'Prelim Budget'!$B$9:$B$33,0)),0,IF('Cash Flow'!BI38&lt;&gt;0,'Cash Flow'!BI38,0))),0)</f>
        <v>0</v>
      </c>
      <c r="BK38" s="153">
        <f ca="1">IFERROR(IF(LEFT(OFFSET(BK$2,0,-$C38),3)="A&amp;D",-INDEX('Prelim Budget'!$C$9:$C$33,MATCH('Cash Flow'!$B38,'Prelim Budget'!$B$9:$B$33,0))/'Cash Flow'!$E38,IF(SUM('Cash Flow'!$F38:BJ38)=-INDEX('Prelim Budget'!$C$9:$C$33,MATCH('Cash Flow'!$B38,'Prelim Budget'!$B$9:$B$33,0)),0,IF('Cash Flow'!BJ38&lt;&gt;0,'Cash Flow'!BJ38,0))),0)</f>
        <v>0</v>
      </c>
      <c r="BL38" s="153">
        <f ca="1">IFERROR(IF(LEFT(OFFSET(BL$2,0,-$C38),3)="A&amp;D",-INDEX('Prelim Budget'!$C$9:$C$33,MATCH('Cash Flow'!$B38,'Prelim Budget'!$B$9:$B$33,0))/'Cash Flow'!$E38,IF(SUM('Cash Flow'!$F38:BK38)=-INDEX('Prelim Budget'!$C$9:$C$33,MATCH('Cash Flow'!$B38,'Prelim Budget'!$B$9:$B$33,0)),0,IF('Cash Flow'!BK38&lt;&gt;0,'Cash Flow'!BK38,0))),0)</f>
        <v>0</v>
      </c>
      <c r="BM38" s="153">
        <f ca="1">IFERROR(IF(LEFT(OFFSET(BM$2,0,-$C38),3)="A&amp;D",-INDEX('Prelim Budget'!$C$9:$C$33,MATCH('Cash Flow'!$B38,'Prelim Budget'!$B$9:$B$33,0))/'Cash Flow'!$E38,IF(SUM('Cash Flow'!$F38:BL38)=-INDEX('Prelim Budget'!$C$9:$C$33,MATCH('Cash Flow'!$B38,'Prelim Budget'!$B$9:$B$33,0)),0,IF('Cash Flow'!BL38&lt;&gt;0,'Cash Flow'!BL38,0))),0)</f>
        <v>0</v>
      </c>
      <c r="BN38" s="153">
        <f ca="1">IFERROR(IF(LEFT(OFFSET(BN$2,0,-$C38),3)="A&amp;D",-INDEX('Prelim Budget'!$C$9:$C$33,MATCH('Cash Flow'!$B38,'Prelim Budget'!$B$9:$B$33,0))/'Cash Flow'!$E38,IF(SUM('Cash Flow'!$F38:BM38)=-INDEX('Prelim Budget'!$C$9:$C$33,MATCH('Cash Flow'!$B38,'Prelim Budget'!$B$9:$B$33,0)),0,IF('Cash Flow'!BM38&lt;&gt;0,'Cash Flow'!BM38,0))),0)</f>
        <v>0</v>
      </c>
      <c r="BO38" s="50">
        <f ca="1">IFERROR(IF(LEFT(OFFSET(BO$2,0,-$C38),3)="A&amp;D",-INDEX('Prelim Budget'!$C$9:$C$33,MATCH('Cash Flow'!$B38,'Prelim Budget'!$B$9:$B$33,0))/'Cash Flow'!$E38,IF(SUM('Cash Flow'!$F38:BN38)=-INDEX('Prelim Budget'!$C$9:$C$33,MATCH('Cash Flow'!$B38,'Prelim Budget'!$B$9:$B$33,0)),0,IF('Cash Flow'!BN38&lt;&gt;0,'Cash Flow'!BN38,0))),0)</f>
        <v>0</v>
      </c>
    </row>
    <row r="39" spans="2:67" ht="14.05" customHeight="1" x14ac:dyDescent="0.4">
      <c r="B39" s="3" t="s">
        <v>166</v>
      </c>
      <c r="C39" s="80">
        <v>0</v>
      </c>
      <c r="D39" s="153">
        <f t="shared" ca="1" si="11"/>
        <v>0</v>
      </c>
      <c r="E39" s="82">
        <v>0</v>
      </c>
      <c r="F39" s="157"/>
      <c r="G39" s="134">
        <f ca="1">IFERROR(IF(LEFT(OFFSET(G$2,0,-$C39),3)="A&amp;D",-INDEX('Prelim Budget'!$C$9:$C$33,MATCH('Cash Flow'!$B39,'Prelim Budget'!$B$9:$B$33,0))/'Cash Flow'!$E39,IF(SUM('Cash Flow'!$F39:F39)=-INDEX('Prelim Budget'!$C$9:$C$33,MATCH('Cash Flow'!$B39,'Prelim Budget'!$B$9:$B$33,0)),0,IF('Cash Flow'!F39&lt;&gt;0,'Cash Flow'!F39,0))),0)</f>
        <v>0</v>
      </c>
      <c r="H39" s="153">
        <f ca="1">IFERROR(IF(LEFT(OFFSET(H$2,0,-$C39),3)="A&amp;D",-INDEX('Prelim Budget'!$C$9:$C$33,MATCH('Cash Flow'!$B39,'Prelim Budget'!$B$9:$B$33,0))/'Cash Flow'!$E39,IF(SUM('Cash Flow'!$F39:G39)=-INDEX('Prelim Budget'!$C$9:$C$33,MATCH('Cash Flow'!$B39,'Prelim Budget'!$B$9:$B$33,0)),0,IF('Cash Flow'!G39&lt;&gt;0,'Cash Flow'!G39,0))),0)</f>
        <v>0</v>
      </c>
      <c r="I39" s="153">
        <f ca="1">IFERROR(IF(LEFT(OFFSET(I$2,0,-$C39),3)="A&amp;D",-INDEX('Prelim Budget'!$C$9:$C$33,MATCH('Cash Flow'!$B39,'Prelim Budget'!$B$9:$B$33,0))/'Cash Flow'!$E39,IF(SUM('Cash Flow'!$F39:H39)=-INDEX('Prelim Budget'!$C$9:$C$33,MATCH('Cash Flow'!$B39,'Prelim Budget'!$B$9:$B$33,0)),0,IF('Cash Flow'!H39&lt;&gt;0,'Cash Flow'!H39,0))),0)</f>
        <v>0</v>
      </c>
      <c r="J39" s="153">
        <f ca="1">IFERROR(IF(LEFT(OFFSET(J$2,0,-$C39),3)="A&amp;D",-INDEX('Prelim Budget'!$C$9:$C$33,MATCH('Cash Flow'!$B39,'Prelim Budget'!$B$9:$B$33,0))/'Cash Flow'!$E39,IF(SUM('Cash Flow'!$F39:I39)=-INDEX('Prelim Budget'!$C$9:$C$33,MATCH('Cash Flow'!$B39,'Prelim Budget'!$B$9:$B$33,0)),0,IF('Cash Flow'!I39&lt;&gt;0,'Cash Flow'!I39,0))),0)</f>
        <v>0</v>
      </c>
      <c r="K39" s="153">
        <f ca="1">IFERROR(IF(LEFT(OFFSET(K$2,0,-$C39),3)="A&amp;D",-INDEX('Prelim Budget'!$C$9:$C$33,MATCH('Cash Flow'!$B39,'Prelim Budget'!$B$9:$B$33,0))/'Cash Flow'!$E39,IF(SUM('Cash Flow'!$F39:J39)=-INDEX('Prelim Budget'!$C$9:$C$33,MATCH('Cash Flow'!$B39,'Prelim Budget'!$B$9:$B$33,0)),0,IF('Cash Flow'!J39&lt;&gt;0,'Cash Flow'!J39,0))),0)</f>
        <v>0</v>
      </c>
      <c r="L39" s="153">
        <f ca="1">IFERROR(IF(LEFT(OFFSET(L$2,0,-$C39),3)="A&amp;D",-INDEX('Prelim Budget'!$C$9:$C$33,MATCH('Cash Flow'!$B39,'Prelim Budget'!$B$9:$B$33,0))/'Cash Flow'!$E39,IF(SUM('Cash Flow'!$F39:K39)=-INDEX('Prelim Budget'!$C$9:$C$33,MATCH('Cash Flow'!$B39,'Prelim Budget'!$B$9:$B$33,0)),0,IF('Cash Flow'!K39&lt;&gt;0,'Cash Flow'!K39,0))),0)</f>
        <v>0</v>
      </c>
      <c r="M39" s="153">
        <f ca="1">IFERROR(IF(LEFT(OFFSET(M$2,0,-$C39),3)="A&amp;D",-INDEX('Prelim Budget'!$C$9:$C$33,MATCH('Cash Flow'!$B39,'Prelim Budget'!$B$9:$B$33,0))/'Cash Flow'!$E39,IF(SUM('Cash Flow'!$F39:L39)=-INDEX('Prelim Budget'!$C$9:$C$33,MATCH('Cash Flow'!$B39,'Prelim Budget'!$B$9:$B$33,0)),0,IF('Cash Flow'!L39&lt;&gt;0,'Cash Flow'!L39,0))),0)</f>
        <v>0</v>
      </c>
      <c r="N39" s="153">
        <f ca="1">IFERROR(IF(LEFT(OFFSET(N$2,0,-$C39),3)="A&amp;D",-INDEX('Prelim Budget'!$C$9:$C$33,MATCH('Cash Flow'!$B39,'Prelim Budget'!$B$9:$B$33,0))/'Cash Flow'!$E39,IF(SUM('Cash Flow'!$F39:M39)=-INDEX('Prelim Budget'!$C$9:$C$33,MATCH('Cash Flow'!$B39,'Prelim Budget'!$B$9:$B$33,0)),0,IF('Cash Flow'!M39&lt;&gt;0,'Cash Flow'!M39,0))),0)</f>
        <v>0</v>
      </c>
      <c r="O39" s="153">
        <f ca="1">IFERROR(IF(LEFT(OFFSET(O$2,0,-$C39),3)="A&amp;D",-INDEX('Prelim Budget'!$C$9:$C$33,MATCH('Cash Flow'!$B39,'Prelim Budget'!$B$9:$B$33,0))/'Cash Flow'!$E39,IF(SUM('Cash Flow'!$F39:N39)=-INDEX('Prelim Budget'!$C$9:$C$33,MATCH('Cash Flow'!$B39,'Prelim Budget'!$B$9:$B$33,0)),0,IF('Cash Flow'!N39&lt;&gt;0,'Cash Flow'!N39,0))),0)</f>
        <v>0</v>
      </c>
      <c r="P39" s="153">
        <f ca="1">IFERROR(IF(LEFT(OFFSET(P$2,0,-$C39),3)="A&amp;D",-INDEX('Prelim Budget'!$C$9:$C$33,MATCH('Cash Flow'!$B39,'Prelim Budget'!$B$9:$B$33,0))/'Cash Flow'!$E39,IF(SUM('Cash Flow'!$F39:O39)=-INDEX('Prelim Budget'!$C$9:$C$33,MATCH('Cash Flow'!$B39,'Prelim Budget'!$B$9:$B$33,0)),0,IF('Cash Flow'!O39&lt;&gt;0,'Cash Flow'!O39,0))),0)</f>
        <v>0</v>
      </c>
      <c r="Q39" s="153">
        <f ca="1">IFERROR(IF(LEFT(OFFSET(Q$2,0,-$C39),3)="A&amp;D",-INDEX('Prelim Budget'!$C$9:$C$33,MATCH('Cash Flow'!$B39,'Prelim Budget'!$B$9:$B$33,0))/'Cash Flow'!$E39,IF(SUM('Cash Flow'!$F39:P39)=-INDEX('Prelim Budget'!$C$9:$C$33,MATCH('Cash Flow'!$B39,'Prelim Budget'!$B$9:$B$33,0)),0,IF('Cash Flow'!P39&lt;&gt;0,'Cash Flow'!P39,0))),0)</f>
        <v>0</v>
      </c>
      <c r="R39" s="153">
        <f ca="1">IFERROR(IF(LEFT(OFFSET(R$2,0,-$C39),3)="A&amp;D",-INDEX('Prelim Budget'!$C$9:$C$33,MATCH('Cash Flow'!$B39,'Prelim Budget'!$B$9:$B$33,0))/'Cash Flow'!$E39,IF(SUM('Cash Flow'!$F39:Q39)=-INDEX('Prelim Budget'!$C$9:$C$33,MATCH('Cash Flow'!$B39,'Prelim Budget'!$B$9:$B$33,0)),0,IF('Cash Flow'!Q39&lt;&gt;0,'Cash Flow'!Q39,0))),0)</f>
        <v>0</v>
      </c>
      <c r="S39" s="153">
        <f ca="1">IFERROR(IF(LEFT(OFFSET(S$2,0,-$C39),3)="A&amp;D",-INDEX('Prelim Budget'!$C$9:$C$33,MATCH('Cash Flow'!$B39,'Prelim Budget'!$B$9:$B$33,0))/'Cash Flow'!$E39,IF(SUM('Cash Flow'!$F39:R39)=-INDEX('Prelim Budget'!$C$9:$C$33,MATCH('Cash Flow'!$B39,'Prelim Budget'!$B$9:$B$33,0)),0,IF('Cash Flow'!R39&lt;&gt;0,'Cash Flow'!R39,0))),0)</f>
        <v>0</v>
      </c>
      <c r="T39" s="153">
        <f ca="1">IFERROR(IF(LEFT(OFFSET(T$2,0,-$C39),3)="A&amp;D",-INDEX('Prelim Budget'!$C$9:$C$33,MATCH('Cash Flow'!$B39,'Prelim Budget'!$B$9:$B$33,0))/'Cash Flow'!$E39,IF(SUM('Cash Flow'!$F39:S39)=-INDEX('Prelim Budget'!$C$9:$C$33,MATCH('Cash Flow'!$B39,'Prelim Budget'!$B$9:$B$33,0)),0,IF('Cash Flow'!S39&lt;&gt;0,'Cash Flow'!S39,0))),0)</f>
        <v>0</v>
      </c>
      <c r="U39" s="153">
        <f ca="1">IFERROR(IF(LEFT(OFFSET(U$2,0,-$C39),3)="A&amp;D",-INDEX('Prelim Budget'!$C$9:$C$33,MATCH('Cash Flow'!$B39,'Prelim Budget'!$B$9:$B$33,0))/'Cash Flow'!$E39,IF(SUM('Cash Flow'!$F39:T39)=-INDEX('Prelim Budget'!$C$9:$C$33,MATCH('Cash Flow'!$B39,'Prelim Budget'!$B$9:$B$33,0)),0,IF('Cash Flow'!T39&lt;&gt;0,'Cash Flow'!T39,0))),0)</f>
        <v>0</v>
      </c>
      <c r="V39" s="153">
        <f ca="1">IFERROR(IF(LEFT(OFFSET(V$2,0,-$C39),3)="A&amp;D",-INDEX('Prelim Budget'!$C$9:$C$33,MATCH('Cash Flow'!$B39,'Prelim Budget'!$B$9:$B$33,0))/'Cash Flow'!$E39,IF(SUM('Cash Flow'!$F39:U39)=-INDEX('Prelim Budget'!$C$9:$C$33,MATCH('Cash Flow'!$B39,'Prelim Budget'!$B$9:$B$33,0)),0,IF('Cash Flow'!U39&lt;&gt;0,'Cash Flow'!U39,0))),0)</f>
        <v>0</v>
      </c>
      <c r="W39" s="153">
        <f ca="1">IFERROR(IF(LEFT(OFFSET(W$2,0,-$C39),3)="A&amp;D",-INDEX('Prelim Budget'!$C$9:$C$33,MATCH('Cash Flow'!$B39,'Prelim Budget'!$B$9:$B$33,0))/'Cash Flow'!$E39,IF(SUM('Cash Flow'!$F39:V39)=-INDEX('Prelim Budget'!$C$9:$C$33,MATCH('Cash Flow'!$B39,'Prelim Budget'!$B$9:$B$33,0)),0,IF('Cash Flow'!V39&lt;&gt;0,'Cash Flow'!V39,0))),0)</f>
        <v>0</v>
      </c>
      <c r="X39" s="153">
        <f ca="1">IFERROR(IF(LEFT(OFFSET(X$2,0,-$C39),3)="A&amp;D",-INDEX('Prelim Budget'!$C$9:$C$33,MATCH('Cash Flow'!$B39,'Prelim Budget'!$B$9:$B$33,0))/'Cash Flow'!$E39,IF(SUM('Cash Flow'!$F39:W39)=-INDEX('Prelim Budget'!$C$9:$C$33,MATCH('Cash Flow'!$B39,'Prelim Budget'!$B$9:$B$33,0)),0,IF('Cash Flow'!W39&lt;&gt;0,'Cash Flow'!W39,0))),0)</f>
        <v>0</v>
      </c>
      <c r="Y39" s="153">
        <f ca="1">IFERROR(IF(LEFT(OFFSET(Y$2,0,-$C39),3)="A&amp;D",-INDEX('Prelim Budget'!$C$9:$C$33,MATCH('Cash Flow'!$B39,'Prelim Budget'!$B$9:$B$33,0))/'Cash Flow'!$E39,IF(SUM('Cash Flow'!$F39:X39)=-INDEX('Prelim Budget'!$C$9:$C$33,MATCH('Cash Flow'!$B39,'Prelim Budget'!$B$9:$B$33,0)),0,IF('Cash Flow'!X39&lt;&gt;0,'Cash Flow'!X39,0))),0)</f>
        <v>0</v>
      </c>
      <c r="Z39" s="153">
        <f ca="1">IFERROR(IF(LEFT(OFFSET(Z$2,0,-$C39),3)="A&amp;D",-INDEX('Prelim Budget'!$C$9:$C$33,MATCH('Cash Flow'!$B39,'Prelim Budget'!$B$9:$B$33,0))/'Cash Flow'!$E39,IF(SUM('Cash Flow'!$F39:Y39)=-INDEX('Prelim Budget'!$C$9:$C$33,MATCH('Cash Flow'!$B39,'Prelim Budget'!$B$9:$B$33,0)),0,IF('Cash Flow'!Y39&lt;&gt;0,'Cash Flow'!Y39,0))),0)</f>
        <v>0</v>
      </c>
      <c r="AA39" s="153">
        <f ca="1">IFERROR(IF(LEFT(OFFSET(AA$2,0,-$C39),3)="A&amp;D",-INDEX('Prelim Budget'!$C$9:$C$33,MATCH('Cash Flow'!$B39,'Prelim Budget'!$B$9:$B$33,0))/'Cash Flow'!$E39,IF(SUM('Cash Flow'!$F39:Z39)=-INDEX('Prelim Budget'!$C$9:$C$33,MATCH('Cash Flow'!$B39,'Prelim Budget'!$B$9:$B$33,0)),0,IF('Cash Flow'!Z39&lt;&gt;0,'Cash Flow'!Z39,0))),0)</f>
        <v>0</v>
      </c>
      <c r="AB39" s="153">
        <f ca="1">IFERROR(IF(LEFT(OFFSET(AB$2,0,-$C39),3)="A&amp;D",-INDEX('Prelim Budget'!$C$9:$C$33,MATCH('Cash Flow'!$B39,'Prelim Budget'!$B$9:$B$33,0))/'Cash Flow'!$E39,IF(SUM('Cash Flow'!$F39:AA39)=-INDEX('Prelim Budget'!$C$9:$C$33,MATCH('Cash Flow'!$B39,'Prelim Budget'!$B$9:$B$33,0)),0,IF('Cash Flow'!AA39&lt;&gt;0,'Cash Flow'!AA39,0))),0)</f>
        <v>0</v>
      </c>
      <c r="AC39" s="153">
        <f ca="1">IFERROR(IF(LEFT(OFFSET(AC$2,0,-$C39),3)="A&amp;D",-INDEX('Prelim Budget'!$C$9:$C$33,MATCH('Cash Flow'!$B39,'Prelim Budget'!$B$9:$B$33,0))/'Cash Flow'!$E39,IF(SUM('Cash Flow'!$F39:AB39)=-INDEX('Prelim Budget'!$C$9:$C$33,MATCH('Cash Flow'!$B39,'Prelim Budget'!$B$9:$B$33,0)),0,IF('Cash Flow'!AB39&lt;&gt;0,'Cash Flow'!AB39,0))),0)</f>
        <v>0</v>
      </c>
      <c r="AD39" s="153">
        <f ca="1">IFERROR(IF(LEFT(OFFSET(AD$2,0,-$C39),3)="A&amp;D",-INDEX('Prelim Budget'!$C$9:$C$33,MATCH('Cash Flow'!$B39,'Prelim Budget'!$B$9:$B$33,0))/'Cash Flow'!$E39,IF(SUM('Cash Flow'!$F39:AC39)=-INDEX('Prelim Budget'!$C$9:$C$33,MATCH('Cash Flow'!$B39,'Prelim Budget'!$B$9:$B$33,0)),0,IF('Cash Flow'!AC39&lt;&gt;0,'Cash Flow'!AC39,0))),0)</f>
        <v>0</v>
      </c>
      <c r="AE39" s="153">
        <f ca="1">IFERROR(IF(LEFT(OFFSET(AE$2,0,-$C39),3)="A&amp;D",-INDEX('Prelim Budget'!$C$9:$C$33,MATCH('Cash Flow'!$B39,'Prelim Budget'!$B$9:$B$33,0))/'Cash Flow'!$E39,IF(SUM('Cash Flow'!$F39:AD39)=-INDEX('Prelim Budget'!$C$9:$C$33,MATCH('Cash Flow'!$B39,'Prelim Budget'!$B$9:$B$33,0)),0,IF('Cash Flow'!AD39&lt;&gt;0,'Cash Flow'!AD39,0))),0)</f>
        <v>0</v>
      </c>
      <c r="AF39" s="153">
        <f ca="1">IFERROR(IF(LEFT(OFFSET(AF$2,0,-$C39),3)="A&amp;D",-INDEX('Prelim Budget'!$C$9:$C$33,MATCH('Cash Flow'!$B39,'Prelim Budget'!$B$9:$B$33,0))/'Cash Flow'!$E39,IF(SUM('Cash Flow'!$F39:AE39)=-INDEX('Prelim Budget'!$C$9:$C$33,MATCH('Cash Flow'!$B39,'Prelim Budget'!$B$9:$B$33,0)),0,IF('Cash Flow'!AE39&lt;&gt;0,'Cash Flow'!AE39,0))),0)</f>
        <v>0</v>
      </c>
      <c r="AG39" s="153">
        <f ca="1">IFERROR(IF(LEFT(OFFSET(AG$2,0,-$C39),3)="A&amp;D",-INDEX('Prelim Budget'!$C$9:$C$33,MATCH('Cash Flow'!$B39,'Prelim Budget'!$B$9:$B$33,0))/'Cash Flow'!$E39,IF(SUM('Cash Flow'!$F39:AF39)=-INDEX('Prelim Budget'!$C$9:$C$33,MATCH('Cash Flow'!$B39,'Prelim Budget'!$B$9:$B$33,0)),0,IF('Cash Flow'!AF39&lt;&gt;0,'Cash Flow'!AF39,0))),0)</f>
        <v>0</v>
      </c>
      <c r="AH39" s="153">
        <f ca="1">IFERROR(IF(LEFT(OFFSET(AH$2,0,-$C39),3)="A&amp;D",-INDEX('Prelim Budget'!$C$9:$C$33,MATCH('Cash Flow'!$B39,'Prelim Budget'!$B$9:$B$33,0))/'Cash Flow'!$E39,IF(SUM('Cash Flow'!$F39:AG39)=-INDEX('Prelim Budget'!$C$9:$C$33,MATCH('Cash Flow'!$B39,'Prelim Budget'!$B$9:$B$33,0)),0,IF('Cash Flow'!AG39&lt;&gt;0,'Cash Flow'!AG39,0))),0)</f>
        <v>0</v>
      </c>
      <c r="AI39" s="153">
        <f ca="1">IFERROR(IF(LEFT(OFFSET(AI$2,0,-$C39),3)="A&amp;D",-INDEX('Prelim Budget'!$C$9:$C$33,MATCH('Cash Flow'!$B39,'Prelim Budget'!$B$9:$B$33,0))/'Cash Flow'!$E39,IF(SUM('Cash Flow'!$F39:AH39)=-INDEX('Prelim Budget'!$C$9:$C$33,MATCH('Cash Flow'!$B39,'Prelim Budget'!$B$9:$B$33,0)),0,IF('Cash Flow'!AH39&lt;&gt;0,'Cash Flow'!AH39,0))),0)</f>
        <v>0</v>
      </c>
      <c r="AJ39" s="153">
        <f ca="1">IFERROR(IF(LEFT(OFFSET(AJ$2,0,-$C39),3)="A&amp;D",-INDEX('Prelim Budget'!$C$9:$C$33,MATCH('Cash Flow'!$B39,'Prelim Budget'!$B$9:$B$33,0))/'Cash Flow'!$E39,IF(SUM('Cash Flow'!$F39:AI39)=-INDEX('Prelim Budget'!$C$9:$C$33,MATCH('Cash Flow'!$B39,'Prelim Budget'!$B$9:$B$33,0)),0,IF('Cash Flow'!AI39&lt;&gt;0,'Cash Flow'!AI39,0))),0)</f>
        <v>0</v>
      </c>
      <c r="AK39" s="153">
        <f ca="1">IFERROR(IF(LEFT(OFFSET(AK$2,0,-$C39),3)="A&amp;D",-INDEX('Prelim Budget'!$C$9:$C$33,MATCH('Cash Flow'!$B39,'Prelim Budget'!$B$9:$B$33,0))/'Cash Flow'!$E39,IF(SUM('Cash Flow'!$F39:AJ39)=-INDEX('Prelim Budget'!$C$9:$C$33,MATCH('Cash Flow'!$B39,'Prelim Budget'!$B$9:$B$33,0)),0,IF('Cash Flow'!AJ39&lt;&gt;0,'Cash Flow'!AJ39,0))),0)</f>
        <v>0</v>
      </c>
      <c r="AL39" s="153">
        <f ca="1">IFERROR(IF(LEFT(OFFSET(AL$2,0,-$C39),3)="A&amp;D",-INDEX('Prelim Budget'!$C$9:$C$33,MATCH('Cash Flow'!$B39,'Prelim Budget'!$B$9:$B$33,0))/'Cash Flow'!$E39,IF(SUM('Cash Flow'!$F39:AK39)=-INDEX('Prelim Budget'!$C$9:$C$33,MATCH('Cash Flow'!$B39,'Prelim Budget'!$B$9:$B$33,0)),0,IF('Cash Flow'!AK39&lt;&gt;0,'Cash Flow'!AK39,0))),0)</f>
        <v>0</v>
      </c>
      <c r="AM39" s="153">
        <f ca="1">IFERROR(IF(LEFT(OFFSET(AM$2,0,-$C39),3)="A&amp;D",-INDEX('Prelim Budget'!$C$9:$C$33,MATCH('Cash Flow'!$B39,'Prelim Budget'!$B$9:$B$33,0))/'Cash Flow'!$E39,IF(SUM('Cash Flow'!$F39:AL39)=-INDEX('Prelim Budget'!$C$9:$C$33,MATCH('Cash Flow'!$B39,'Prelim Budget'!$B$9:$B$33,0)),0,IF('Cash Flow'!AL39&lt;&gt;0,'Cash Flow'!AL39,0))),0)</f>
        <v>0</v>
      </c>
      <c r="AN39" s="153">
        <f ca="1">IFERROR(IF(LEFT(OFFSET(AN$2,0,-$C39),3)="A&amp;D",-INDEX('Prelim Budget'!$C$9:$C$33,MATCH('Cash Flow'!$B39,'Prelim Budget'!$B$9:$B$33,0))/'Cash Flow'!$E39,IF(SUM('Cash Flow'!$F39:AM39)=-INDEX('Prelim Budget'!$C$9:$C$33,MATCH('Cash Flow'!$B39,'Prelim Budget'!$B$9:$B$33,0)),0,IF('Cash Flow'!AM39&lt;&gt;0,'Cash Flow'!AM39,0))),0)</f>
        <v>0</v>
      </c>
      <c r="AO39" s="153">
        <f ca="1">IFERROR(IF(LEFT(OFFSET(AO$2,0,-$C39),3)="A&amp;D",-INDEX('Prelim Budget'!$C$9:$C$33,MATCH('Cash Flow'!$B39,'Prelim Budget'!$B$9:$B$33,0))/'Cash Flow'!$E39,IF(SUM('Cash Flow'!$F39:AN39)=-INDEX('Prelim Budget'!$C$9:$C$33,MATCH('Cash Flow'!$B39,'Prelim Budget'!$B$9:$B$33,0)),0,IF('Cash Flow'!AN39&lt;&gt;0,'Cash Flow'!AN39,0))),0)</f>
        <v>0</v>
      </c>
      <c r="AP39" s="153">
        <f ca="1">IFERROR(IF(LEFT(OFFSET(AP$2,0,-$C39),3)="A&amp;D",-INDEX('Prelim Budget'!$C$9:$C$33,MATCH('Cash Flow'!$B39,'Prelim Budget'!$B$9:$B$33,0))/'Cash Flow'!$E39,IF(SUM('Cash Flow'!$F39:AO39)=-INDEX('Prelim Budget'!$C$9:$C$33,MATCH('Cash Flow'!$B39,'Prelim Budget'!$B$9:$B$33,0)),0,IF('Cash Flow'!AO39&lt;&gt;0,'Cash Flow'!AO39,0))),0)</f>
        <v>0</v>
      </c>
      <c r="AQ39" s="153">
        <f ca="1">IFERROR(IF(LEFT(OFFSET(AQ$2,0,-$C39),3)="A&amp;D",-INDEX('Prelim Budget'!$C$9:$C$33,MATCH('Cash Flow'!$B39,'Prelim Budget'!$B$9:$B$33,0))/'Cash Flow'!$E39,IF(SUM('Cash Flow'!$F39:AP39)=-INDEX('Prelim Budget'!$C$9:$C$33,MATCH('Cash Flow'!$B39,'Prelim Budget'!$B$9:$B$33,0)),0,IF('Cash Flow'!AP39&lt;&gt;0,'Cash Flow'!AP39,0))),0)</f>
        <v>0</v>
      </c>
      <c r="AR39" s="153">
        <f ca="1">IFERROR(IF(LEFT(OFFSET(AR$2,0,-$C39),3)="A&amp;D",-INDEX('Prelim Budget'!$C$9:$C$33,MATCH('Cash Flow'!$B39,'Prelim Budget'!$B$9:$B$33,0))/'Cash Flow'!$E39,IF(SUM('Cash Flow'!$F39:AQ39)=-INDEX('Prelim Budget'!$C$9:$C$33,MATCH('Cash Flow'!$B39,'Prelim Budget'!$B$9:$B$33,0)),0,IF('Cash Flow'!AQ39&lt;&gt;0,'Cash Flow'!AQ39,0))),0)</f>
        <v>0</v>
      </c>
      <c r="AS39" s="153">
        <f ca="1">IFERROR(IF(LEFT(OFFSET(AS$2,0,-$C39),3)="A&amp;D",-INDEX('Prelim Budget'!$C$9:$C$33,MATCH('Cash Flow'!$B39,'Prelim Budget'!$B$9:$B$33,0))/'Cash Flow'!$E39,IF(SUM('Cash Flow'!$F39:AR39)=-INDEX('Prelim Budget'!$C$9:$C$33,MATCH('Cash Flow'!$B39,'Prelim Budget'!$B$9:$B$33,0)),0,IF('Cash Flow'!AR39&lt;&gt;0,'Cash Flow'!AR39,0))),0)</f>
        <v>0</v>
      </c>
      <c r="AT39" s="153">
        <f ca="1">IFERROR(IF(LEFT(OFFSET(AT$2,0,-$C39),3)="A&amp;D",-INDEX('Prelim Budget'!$C$9:$C$33,MATCH('Cash Flow'!$B39,'Prelim Budget'!$B$9:$B$33,0))/'Cash Flow'!$E39,IF(SUM('Cash Flow'!$F39:AS39)=-INDEX('Prelim Budget'!$C$9:$C$33,MATCH('Cash Flow'!$B39,'Prelim Budget'!$B$9:$B$33,0)),0,IF('Cash Flow'!AS39&lt;&gt;0,'Cash Flow'!AS39,0))),0)</f>
        <v>0</v>
      </c>
      <c r="AU39" s="153">
        <f ca="1">IFERROR(IF(LEFT(OFFSET(AU$2,0,-$C39),3)="A&amp;D",-INDEX('Prelim Budget'!$C$9:$C$33,MATCH('Cash Flow'!$B39,'Prelim Budget'!$B$9:$B$33,0))/'Cash Flow'!$E39,IF(SUM('Cash Flow'!$F39:AT39)=-INDEX('Prelim Budget'!$C$9:$C$33,MATCH('Cash Flow'!$B39,'Prelim Budget'!$B$9:$B$33,0)),0,IF('Cash Flow'!AT39&lt;&gt;0,'Cash Flow'!AT39,0))),0)</f>
        <v>0</v>
      </c>
      <c r="AV39" s="153">
        <f ca="1">IFERROR(IF(LEFT(OFFSET(AV$2,0,-$C39),3)="A&amp;D",-INDEX('Prelim Budget'!$C$9:$C$33,MATCH('Cash Flow'!$B39,'Prelim Budget'!$B$9:$B$33,0))/'Cash Flow'!$E39,IF(SUM('Cash Flow'!$F39:AU39)=-INDEX('Prelim Budget'!$C$9:$C$33,MATCH('Cash Flow'!$B39,'Prelim Budget'!$B$9:$B$33,0)),0,IF('Cash Flow'!AU39&lt;&gt;0,'Cash Flow'!AU39,0))),0)</f>
        <v>0</v>
      </c>
      <c r="AW39" s="153">
        <f ca="1">IFERROR(IF(LEFT(OFFSET(AW$2,0,-$C39),3)="A&amp;D",-INDEX('Prelim Budget'!$C$9:$C$33,MATCH('Cash Flow'!$B39,'Prelim Budget'!$B$9:$B$33,0))/'Cash Flow'!$E39,IF(SUM('Cash Flow'!$F39:AV39)=-INDEX('Prelim Budget'!$C$9:$C$33,MATCH('Cash Flow'!$B39,'Prelim Budget'!$B$9:$B$33,0)),0,IF('Cash Flow'!AV39&lt;&gt;0,'Cash Flow'!AV39,0))),0)</f>
        <v>0</v>
      </c>
      <c r="AX39" s="153">
        <f ca="1">IFERROR(IF(LEFT(OFFSET(AX$2,0,-$C39),3)="A&amp;D",-INDEX('Prelim Budget'!$C$9:$C$33,MATCH('Cash Flow'!$B39,'Prelim Budget'!$B$9:$B$33,0))/'Cash Flow'!$E39,IF(SUM('Cash Flow'!$F39:AW39)=-INDEX('Prelim Budget'!$C$9:$C$33,MATCH('Cash Flow'!$B39,'Prelim Budget'!$B$9:$B$33,0)),0,IF('Cash Flow'!AW39&lt;&gt;0,'Cash Flow'!AW39,0))),0)</f>
        <v>0</v>
      </c>
      <c r="AY39" s="153">
        <f ca="1">IFERROR(IF(LEFT(OFFSET(AY$2,0,-$C39),3)="A&amp;D",-INDEX('Prelim Budget'!$C$9:$C$33,MATCH('Cash Flow'!$B39,'Prelim Budget'!$B$9:$B$33,0))/'Cash Flow'!$E39,IF(SUM('Cash Flow'!$F39:AX39)=-INDEX('Prelim Budget'!$C$9:$C$33,MATCH('Cash Flow'!$B39,'Prelim Budget'!$B$9:$B$33,0)),0,IF('Cash Flow'!AX39&lt;&gt;0,'Cash Flow'!AX39,0))),0)</f>
        <v>0</v>
      </c>
      <c r="AZ39" s="153">
        <f ca="1">IFERROR(IF(LEFT(OFFSET(AZ$2,0,-$C39),3)="A&amp;D",-INDEX('Prelim Budget'!$C$9:$C$33,MATCH('Cash Flow'!$B39,'Prelim Budget'!$B$9:$B$33,0))/'Cash Flow'!$E39,IF(SUM('Cash Flow'!$F39:AY39)=-INDEX('Prelim Budget'!$C$9:$C$33,MATCH('Cash Flow'!$B39,'Prelim Budget'!$B$9:$B$33,0)),0,IF('Cash Flow'!AY39&lt;&gt;0,'Cash Flow'!AY39,0))),0)</f>
        <v>0</v>
      </c>
      <c r="BA39" s="153">
        <f ca="1">IFERROR(IF(LEFT(OFFSET(BA$2,0,-$C39),3)="A&amp;D",-INDEX('Prelim Budget'!$C$9:$C$33,MATCH('Cash Flow'!$B39,'Prelim Budget'!$B$9:$B$33,0))/'Cash Flow'!$E39,IF(SUM('Cash Flow'!$F39:AZ39)=-INDEX('Prelim Budget'!$C$9:$C$33,MATCH('Cash Flow'!$B39,'Prelim Budget'!$B$9:$B$33,0)),0,IF('Cash Flow'!AZ39&lt;&gt;0,'Cash Flow'!AZ39,0))),0)</f>
        <v>0</v>
      </c>
      <c r="BB39" s="153">
        <f ca="1">IFERROR(IF(LEFT(OFFSET(BB$2,0,-$C39),3)="A&amp;D",-INDEX('Prelim Budget'!$C$9:$C$33,MATCH('Cash Flow'!$B39,'Prelim Budget'!$B$9:$B$33,0))/'Cash Flow'!$E39,IF(SUM('Cash Flow'!$F39:BA39)=-INDEX('Prelim Budget'!$C$9:$C$33,MATCH('Cash Flow'!$B39,'Prelim Budget'!$B$9:$B$33,0)),0,IF('Cash Flow'!BA39&lt;&gt;0,'Cash Flow'!BA39,0))),0)</f>
        <v>0</v>
      </c>
      <c r="BC39" s="153">
        <f ca="1">IFERROR(IF(LEFT(OFFSET(BC$2,0,-$C39),3)="A&amp;D",-INDEX('Prelim Budget'!$C$9:$C$33,MATCH('Cash Flow'!$B39,'Prelim Budget'!$B$9:$B$33,0))/'Cash Flow'!$E39,IF(SUM('Cash Flow'!$F39:BB39)=-INDEX('Prelim Budget'!$C$9:$C$33,MATCH('Cash Flow'!$B39,'Prelim Budget'!$B$9:$B$33,0)),0,IF('Cash Flow'!BB39&lt;&gt;0,'Cash Flow'!BB39,0))),0)</f>
        <v>0</v>
      </c>
      <c r="BD39" s="153">
        <f ca="1">IFERROR(IF(LEFT(OFFSET(BD$2,0,-$C39),3)="A&amp;D",-INDEX('Prelim Budget'!$C$9:$C$33,MATCH('Cash Flow'!$B39,'Prelim Budget'!$B$9:$B$33,0))/'Cash Flow'!$E39,IF(SUM('Cash Flow'!$F39:BC39)=-INDEX('Prelim Budget'!$C$9:$C$33,MATCH('Cash Flow'!$B39,'Prelim Budget'!$B$9:$B$33,0)),0,IF('Cash Flow'!BC39&lt;&gt;0,'Cash Flow'!BC39,0))),0)</f>
        <v>0</v>
      </c>
      <c r="BE39" s="153">
        <f ca="1">IFERROR(IF(LEFT(OFFSET(BE$2,0,-$C39),3)="A&amp;D",-INDEX('Prelim Budget'!$C$9:$C$33,MATCH('Cash Flow'!$B39,'Prelim Budget'!$B$9:$B$33,0))/'Cash Flow'!$E39,IF(SUM('Cash Flow'!$F39:BD39)=-INDEX('Prelim Budget'!$C$9:$C$33,MATCH('Cash Flow'!$B39,'Prelim Budget'!$B$9:$B$33,0)),0,IF('Cash Flow'!BD39&lt;&gt;0,'Cash Flow'!BD39,0))),0)</f>
        <v>0</v>
      </c>
      <c r="BF39" s="153">
        <f ca="1">IFERROR(IF(LEFT(OFFSET(BF$2,0,-$C39),3)="A&amp;D",-INDEX('Prelim Budget'!$C$9:$C$33,MATCH('Cash Flow'!$B39,'Prelim Budget'!$B$9:$B$33,0))/'Cash Flow'!$E39,IF(SUM('Cash Flow'!$F39:BE39)=-INDEX('Prelim Budget'!$C$9:$C$33,MATCH('Cash Flow'!$B39,'Prelim Budget'!$B$9:$B$33,0)),0,IF('Cash Flow'!BE39&lt;&gt;0,'Cash Flow'!BE39,0))),0)</f>
        <v>0</v>
      </c>
      <c r="BG39" s="153">
        <f ca="1">IFERROR(IF(LEFT(OFFSET(BG$2,0,-$C39),3)="A&amp;D",-INDEX('Prelim Budget'!$C$9:$C$33,MATCH('Cash Flow'!$B39,'Prelim Budget'!$B$9:$B$33,0))/'Cash Flow'!$E39,IF(SUM('Cash Flow'!$F39:BF39)=-INDEX('Prelim Budget'!$C$9:$C$33,MATCH('Cash Flow'!$B39,'Prelim Budget'!$B$9:$B$33,0)),0,IF('Cash Flow'!BF39&lt;&gt;0,'Cash Flow'!BF39,0))),0)</f>
        <v>0</v>
      </c>
      <c r="BH39" s="153">
        <f ca="1">IFERROR(IF(LEFT(OFFSET(BH$2,0,-$C39),3)="A&amp;D",-INDEX('Prelim Budget'!$C$9:$C$33,MATCH('Cash Flow'!$B39,'Prelim Budget'!$B$9:$B$33,0))/'Cash Flow'!$E39,IF(SUM('Cash Flow'!$F39:BG39)=-INDEX('Prelim Budget'!$C$9:$C$33,MATCH('Cash Flow'!$B39,'Prelim Budget'!$B$9:$B$33,0)),0,IF('Cash Flow'!BG39&lt;&gt;0,'Cash Flow'!BG39,0))),0)</f>
        <v>0</v>
      </c>
      <c r="BI39" s="153">
        <f ca="1">IFERROR(IF(LEFT(OFFSET(BI$2,0,-$C39),3)="A&amp;D",-INDEX('Prelim Budget'!$C$9:$C$33,MATCH('Cash Flow'!$B39,'Prelim Budget'!$B$9:$B$33,0))/'Cash Flow'!$E39,IF(SUM('Cash Flow'!$F39:BH39)=-INDEX('Prelim Budget'!$C$9:$C$33,MATCH('Cash Flow'!$B39,'Prelim Budget'!$B$9:$B$33,0)),0,IF('Cash Flow'!BH39&lt;&gt;0,'Cash Flow'!BH39,0))),0)</f>
        <v>0</v>
      </c>
      <c r="BJ39" s="153">
        <f ca="1">IFERROR(IF(LEFT(OFFSET(BJ$2,0,-$C39),3)="A&amp;D",-INDEX('Prelim Budget'!$C$9:$C$33,MATCH('Cash Flow'!$B39,'Prelim Budget'!$B$9:$B$33,0))/'Cash Flow'!$E39,IF(SUM('Cash Flow'!$F39:BI39)=-INDEX('Prelim Budget'!$C$9:$C$33,MATCH('Cash Flow'!$B39,'Prelim Budget'!$B$9:$B$33,0)),0,IF('Cash Flow'!BI39&lt;&gt;0,'Cash Flow'!BI39,0))),0)</f>
        <v>0</v>
      </c>
      <c r="BK39" s="153">
        <f ca="1">IFERROR(IF(LEFT(OFFSET(BK$2,0,-$C39),3)="A&amp;D",-INDEX('Prelim Budget'!$C$9:$C$33,MATCH('Cash Flow'!$B39,'Prelim Budget'!$B$9:$B$33,0))/'Cash Flow'!$E39,IF(SUM('Cash Flow'!$F39:BJ39)=-INDEX('Prelim Budget'!$C$9:$C$33,MATCH('Cash Flow'!$B39,'Prelim Budget'!$B$9:$B$33,0)),0,IF('Cash Flow'!BJ39&lt;&gt;0,'Cash Flow'!BJ39,0))),0)</f>
        <v>0</v>
      </c>
      <c r="BL39" s="153">
        <f ca="1">IFERROR(IF(LEFT(OFFSET(BL$2,0,-$C39),3)="A&amp;D",-INDEX('Prelim Budget'!$C$9:$C$33,MATCH('Cash Flow'!$B39,'Prelim Budget'!$B$9:$B$33,0))/'Cash Flow'!$E39,IF(SUM('Cash Flow'!$F39:BK39)=-INDEX('Prelim Budget'!$C$9:$C$33,MATCH('Cash Flow'!$B39,'Prelim Budget'!$B$9:$B$33,0)),0,IF('Cash Flow'!BK39&lt;&gt;0,'Cash Flow'!BK39,0))),0)</f>
        <v>0</v>
      </c>
      <c r="BM39" s="153">
        <f ca="1">IFERROR(IF(LEFT(OFFSET(BM$2,0,-$C39),3)="A&amp;D",-INDEX('Prelim Budget'!$C$9:$C$33,MATCH('Cash Flow'!$B39,'Prelim Budget'!$B$9:$B$33,0))/'Cash Flow'!$E39,IF(SUM('Cash Flow'!$F39:BL39)=-INDEX('Prelim Budget'!$C$9:$C$33,MATCH('Cash Flow'!$B39,'Prelim Budget'!$B$9:$B$33,0)),0,IF('Cash Flow'!BL39&lt;&gt;0,'Cash Flow'!BL39,0))),0)</f>
        <v>0</v>
      </c>
      <c r="BN39" s="153">
        <f ca="1">IFERROR(IF(LEFT(OFFSET(BN$2,0,-$C39),3)="A&amp;D",-INDEX('Prelim Budget'!$C$9:$C$33,MATCH('Cash Flow'!$B39,'Prelim Budget'!$B$9:$B$33,0))/'Cash Flow'!$E39,IF(SUM('Cash Flow'!$F39:BM39)=-INDEX('Prelim Budget'!$C$9:$C$33,MATCH('Cash Flow'!$B39,'Prelim Budget'!$B$9:$B$33,0)),0,IF('Cash Flow'!BM39&lt;&gt;0,'Cash Flow'!BM39,0))),0)</f>
        <v>0</v>
      </c>
      <c r="BO39" s="50">
        <f ca="1">IFERROR(IF(LEFT(OFFSET(BO$2,0,-$C39),3)="A&amp;D",-INDEX('Prelim Budget'!$C$9:$C$33,MATCH('Cash Flow'!$B39,'Prelim Budget'!$B$9:$B$33,0))/'Cash Flow'!$E39,IF(SUM('Cash Flow'!$F39:BN39)=-INDEX('Prelim Budget'!$C$9:$C$33,MATCH('Cash Flow'!$B39,'Prelim Budget'!$B$9:$B$33,0)),0,IF('Cash Flow'!BN39&lt;&gt;0,'Cash Flow'!BN39,0))),0)</f>
        <v>0</v>
      </c>
    </row>
    <row r="40" spans="2:67" ht="14.05" customHeight="1" x14ac:dyDescent="0.4">
      <c r="B40" s="3" t="s">
        <v>168</v>
      </c>
      <c r="C40" s="80">
        <v>1</v>
      </c>
      <c r="D40" s="153">
        <f t="shared" ca="1" si="11"/>
        <v>-55000.000000000007</v>
      </c>
      <c r="E40" s="82">
        <v>12</v>
      </c>
      <c r="F40" s="157"/>
      <c r="G40" s="134">
        <f ca="1">IFERROR(IF(LEFT(OFFSET(G$2,0,-$C40),3)="A&amp;D",-INDEX('Prelim Budget'!$C$9:$C$33,MATCH('Cash Flow'!$B40,'Prelim Budget'!$B$9:$B$33,0))/'Cash Flow'!$E40,IF(SUM('Cash Flow'!$F40:F40)=-INDEX('Prelim Budget'!$C$9:$C$33,MATCH('Cash Flow'!$B40,'Prelim Budget'!$B$9:$B$33,0)),0,IF('Cash Flow'!F40&lt;&gt;0,'Cash Flow'!F40,0))),0)</f>
        <v>0</v>
      </c>
      <c r="H40" s="153">
        <f ca="1">IFERROR(IF(LEFT(OFFSET(H$2,0,-$C40),3)="A&amp;D",-INDEX('Prelim Budget'!$C$9:$C$33,MATCH('Cash Flow'!$B40,'Prelim Budget'!$B$9:$B$33,0))/'Cash Flow'!$E40,IF(SUM('Cash Flow'!$F40:G40)=-INDEX('Prelim Budget'!$C$9:$C$33,MATCH('Cash Flow'!$B40,'Prelim Budget'!$B$9:$B$33,0)),0,IF('Cash Flow'!G40&lt;&gt;0,'Cash Flow'!G40,0))),0)</f>
        <v>0</v>
      </c>
      <c r="I40" s="153">
        <f ca="1">IFERROR(IF(LEFT(OFFSET(I$2,0,-$C40),3)="A&amp;D",-INDEX('Prelim Budget'!$C$9:$C$33,MATCH('Cash Flow'!$B40,'Prelim Budget'!$B$9:$B$33,0))/'Cash Flow'!$E40,IF(SUM('Cash Flow'!$F40:H40)=-INDEX('Prelim Budget'!$C$9:$C$33,MATCH('Cash Flow'!$B40,'Prelim Budget'!$B$9:$B$33,0)),0,IF('Cash Flow'!H40&lt;&gt;0,'Cash Flow'!H40,0))),0)</f>
        <v>0</v>
      </c>
      <c r="J40" s="153">
        <f ca="1">IFERROR(IF(LEFT(OFFSET(J$2,0,-$C40),3)="A&amp;D",-INDEX('Prelim Budget'!$C$9:$C$33,MATCH('Cash Flow'!$B40,'Prelim Budget'!$B$9:$B$33,0))/'Cash Flow'!$E40,IF(SUM('Cash Flow'!$F40:I40)=-INDEX('Prelim Budget'!$C$9:$C$33,MATCH('Cash Flow'!$B40,'Prelim Budget'!$B$9:$B$33,0)),0,IF('Cash Flow'!I40&lt;&gt;0,'Cash Flow'!I40,0))),0)</f>
        <v>0</v>
      </c>
      <c r="K40" s="153">
        <f ca="1">IFERROR(IF(LEFT(OFFSET(K$2,0,-$C40),3)="A&amp;D",-INDEX('Prelim Budget'!$C$9:$C$33,MATCH('Cash Flow'!$B40,'Prelim Budget'!$B$9:$B$33,0))/'Cash Flow'!$E40,IF(SUM('Cash Flow'!$F40:J40)=-INDEX('Prelim Budget'!$C$9:$C$33,MATCH('Cash Flow'!$B40,'Prelim Budget'!$B$9:$B$33,0)),0,IF('Cash Flow'!J40&lt;&gt;0,'Cash Flow'!J40,0))),0)</f>
        <v>0</v>
      </c>
      <c r="L40" s="153">
        <f ca="1">IFERROR(IF(LEFT(OFFSET(L$2,0,-$C40),3)="A&amp;D",-INDEX('Prelim Budget'!$C$9:$C$33,MATCH('Cash Flow'!$B40,'Prelim Budget'!$B$9:$B$33,0))/'Cash Flow'!$E40,IF(SUM('Cash Flow'!$F40:K40)=-INDEX('Prelim Budget'!$C$9:$C$33,MATCH('Cash Flow'!$B40,'Prelim Budget'!$B$9:$B$33,0)),0,IF('Cash Flow'!K40&lt;&gt;0,'Cash Flow'!K40,0))),0)</f>
        <v>0</v>
      </c>
      <c r="M40" s="153">
        <f ca="1">IFERROR(IF(LEFT(OFFSET(M$2,0,-$C40),3)="A&amp;D",-INDEX('Prelim Budget'!$C$9:$C$33,MATCH('Cash Flow'!$B40,'Prelim Budget'!$B$9:$B$33,0))/'Cash Flow'!$E40,IF(SUM('Cash Flow'!$F40:L40)=-INDEX('Prelim Budget'!$C$9:$C$33,MATCH('Cash Flow'!$B40,'Prelim Budget'!$B$9:$B$33,0)),0,IF('Cash Flow'!L40&lt;&gt;0,'Cash Flow'!L40,0))),0)</f>
        <v>0</v>
      </c>
      <c r="N40" s="153">
        <f ca="1">IFERROR(IF(LEFT(OFFSET(N$2,0,-$C40),3)="A&amp;D",-INDEX('Prelim Budget'!$C$9:$C$33,MATCH('Cash Flow'!$B40,'Prelim Budget'!$B$9:$B$33,0))/'Cash Flow'!$E40,IF(SUM('Cash Flow'!$F40:M40)=-INDEX('Prelim Budget'!$C$9:$C$33,MATCH('Cash Flow'!$B40,'Prelim Budget'!$B$9:$B$33,0)),0,IF('Cash Flow'!M40&lt;&gt;0,'Cash Flow'!M40,0))),0)</f>
        <v>-4583.333333333333</v>
      </c>
      <c r="O40" s="153">
        <f ca="1">IFERROR(IF(LEFT(OFFSET(O$2,0,-$C40),3)="A&amp;D",-INDEX('Prelim Budget'!$C$9:$C$33,MATCH('Cash Flow'!$B40,'Prelim Budget'!$B$9:$B$33,0))/'Cash Flow'!$E40,IF(SUM('Cash Flow'!$F40:N40)=-INDEX('Prelim Budget'!$C$9:$C$33,MATCH('Cash Flow'!$B40,'Prelim Budget'!$B$9:$B$33,0)),0,IF('Cash Flow'!N40&lt;&gt;0,'Cash Flow'!N40,0))),0)</f>
        <v>-4583.333333333333</v>
      </c>
      <c r="P40" s="153">
        <f ca="1">IFERROR(IF(LEFT(OFFSET(P$2,0,-$C40),3)="A&amp;D",-INDEX('Prelim Budget'!$C$9:$C$33,MATCH('Cash Flow'!$B40,'Prelim Budget'!$B$9:$B$33,0))/'Cash Flow'!$E40,IF(SUM('Cash Flow'!$F40:O40)=-INDEX('Prelim Budget'!$C$9:$C$33,MATCH('Cash Flow'!$B40,'Prelim Budget'!$B$9:$B$33,0)),0,IF('Cash Flow'!O40&lt;&gt;0,'Cash Flow'!O40,0))),0)</f>
        <v>-4583.333333333333</v>
      </c>
      <c r="Q40" s="153">
        <f ca="1">IFERROR(IF(LEFT(OFFSET(Q$2,0,-$C40),3)="A&amp;D",-INDEX('Prelim Budget'!$C$9:$C$33,MATCH('Cash Flow'!$B40,'Prelim Budget'!$B$9:$B$33,0))/'Cash Flow'!$E40,IF(SUM('Cash Flow'!$F40:P40)=-INDEX('Prelim Budget'!$C$9:$C$33,MATCH('Cash Flow'!$B40,'Prelim Budget'!$B$9:$B$33,0)),0,IF('Cash Flow'!P40&lt;&gt;0,'Cash Flow'!P40,0))),0)</f>
        <v>-4583.333333333333</v>
      </c>
      <c r="R40" s="153">
        <f ca="1">IFERROR(IF(LEFT(OFFSET(R$2,0,-$C40),3)="A&amp;D",-INDEX('Prelim Budget'!$C$9:$C$33,MATCH('Cash Flow'!$B40,'Prelim Budget'!$B$9:$B$33,0))/'Cash Flow'!$E40,IF(SUM('Cash Flow'!$F40:Q40)=-INDEX('Prelim Budget'!$C$9:$C$33,MATCH('Cash Flow'!$B40,'Prelim Budget'!$B$9:$B$33,0)),0,IF('Cash Flow'!Q40&lt;&gt;0,'Cash Flow'!Q40,0))),0)</f>
        <v>-4583.333333333333</v>
      </c>
      <c r="S40" s="153">
        <f ca="1">IFERROR(IF(LEFT(OFFSET(S$2,0,-$C40),3)="A&amp;D",-INDEX('Prelim Budget'!$C$9:$C$33,MATCH('Cash Flow'!$B40,'Prelim Budget'!$B$9:$B$33,0))/'Cash Flow'!$E40,IF(SUM('Cash Flow'!$F40:R40)=-INDEX('Prelim Budget'!$C$9:$C$33,MATCH('Cash Flow'!$B40,'Prelim Budget'!$B$9:$B$33,0)),0,IF('Cash Flow'!R40&lt;&gt;0,'Cash Flow'!R40,0))),0)</f>
        <v>-4583.333333333333</v>
      </c>
      <c r="T40" s="153">
        <f ca="1">IFERROR(IF(LEFT(OFFSET(T$2,0,-$C40),3)="A&amp;D",-INDEX('Prelim Budget'!$C$9:$C$33,MATCH('Cash Flow'!$B40,'Prelim Budget'!$B$9:$B$33,0))/'Cash Flow'!$E40,IF(SUM('Cash Flow'!$F40:S40)=-INDEX('Prelim Budget'!$C$9:$C$33,MATCH('Cash Flow'!$B40,'Prelim Budget'!$B$9:$B$33,0)),0,IF('Cash Flow'!S40&lt;&gt;0,'Cash Flow'!S40,0))),0)</f>
        <v>-4583.333333333333</v>
      </c>
      <c r="U40" s="153">
        <f ca="1">IFERROR(IF(LEFT(OFFSET(U$2,0,-$C40),3)="A&amp;D",-INDEX('Prelim Budget'!$C$9:$C$33,MATCH('Cash Flow'!$B40,'Prelim Budget'!$B$9:$B$33,0))/'Cash Flow'!$E40,IF(SUM('Cash Flow'!$F40:T40)=-INDEX('Prelim Budget'!$C$9:$C$33,MATCH('Cash Flow'!$B40,'Prelim Budget'!$B$9:$B$33,0)),0,IF('Cash Flow'!T40&lt;&gt;0,'Cash Flow'!T40,0))),0)</f>
        <v>-4583.333333333333</v>
      </c>
      <c r="V40" s="153">
        <f ca="1">IFERROR(IF(LEFT(OFFSET(V$2,0,-$C40),3)="A&amp;D",-INDEX('Prelim Budget'!$C$9:$C$33,MATCH('Cash Flow'!$B40,'Prelim Budget'!$B$9:$B$33,0))/'Cash Flow'!$E40,IF(SUM('Cash Flow'!$F40:U40)=-INDEX('Prelim Budget'!$C$9:$C$33,MATCH('Cash Flow'!$B40,'Prelim Budget'!$B$9:$B$33,0)),0,IF('Cash Flow'!U40&lt;&gt;0,'Cash Flow'!U40,0))),0)</f>
        <v>-4583.333333333333</v>
      </c>
      <c r="W40" s="153">
        <f ca="1">IFERROR(IF(LEFT(OFFSET(W$2,0,-$C40),3)="A&amp;D",-INDEX('Prelim Budget'!$C$9:$C$33,MATCH('Cash Flow'!$B40,'Prelim Budget'!$B$9:$B$33,0))/'Cash Flow'!$E40,IF(SUM('Cash Flow'!$F40:V40)=-INDEX('Prelim Budget'!$C$9:$C$33,MATCH('Cash Flow'!$B40,'Prelim Budget'!$B$9:$B$33,0)),0,IF('Cash Flow'!V40&lt;&gt;0,'Cash Flow'!V40,0))),0)</f>
        <v>-4583.333333333333</v>
      </c>
      <c r="X40" s="153">
        <f ca="1">IFERROR(IF(LEFT(OFFSET(X$2,0,-$C40),3)="A&amp;D",-INDEX('Prelim Budget'!$C$9:$C$33,MATCH('Cash Flow'!$B40,'Prelim Budget'!$B$9:$B$33,0))/'Cash Flow'!$E40,IF(SUM('Cash Flow'!$F40:W40)=-INDEX('Prelim Budget'!$C$9:$C$33,MATCH('Cash Flow'!$B40,'Prelim Budget'!$B$9:$B$33,0)),0,IF('Cash Flow'!W40&lt;&gt;0,'Cash Flow'!W40,0))),0)</f>
        <v>-4583.333333333333</v>
      </c>
      <c r="Y40" s="153">
        <f ca="1">IFERROR(IF(LEFT(OFFSET(Y$2,0,-$C40),3)="A&amp;D",-INDEX('Prelim Budget'!$C$9:$C$33,MATCH('Cash Flow'!$B40,'Prelim Budget'!$B$9:$B$33,0))/'Cash Flow'!$E40,IF(SUM('Cash Flow'!$F40:X40)=-INDEX('Prelim Budget'!$C$9:$C$33,MATCH('Cash Flow'!$B40,'Prelim Budget'!$B$9:$B$33,0)),0,IF('Cash Flow'!X40&lt;&gt;0,'Cash Flow'!X40,0))),0)</f>
        <v>-4583.333333333333</v>
      </c>
      <c r="Z40" s="153">
        <f ca="1">IFERROR(IF(LEFT(OFFSET(Z$2,0,-$C40),3)="A&amp;D",-INDEX('Prelim Budget'!$C$9:$C$33,MATCH('Cash Flow'!$B40,'Prelim Budget'!$B$9:$B$33,0))/'Cash Flow'!$E40,IF(SUM('Cash Flow'!$F40:Y40)=-INDEX('Prelim Budget'!$C$9:$C$33,MATCH('Cash Flow'!$B40,'Prelim Budget'!$B$9:$B$33,0)),0,IF('Cash Flow'!Y40&lt;&gt;0,'Cash Flow'!Y40,0))),0)</f>
        <v>0</v>
      </c>
      <c r="AA40" s="153">
        <f ca="1">IFERROR(IF(LEFT(OFFSET(AA$2,0,-$C40),3)="A&amp;D",-INDEX('Prelim Budget'!$C$9:$C$33,MATCH('Cash Flow'!$B40,'Prelim Budget'!$B$9:$B$33,0))/'Cash Flow'!$E40,IF(SUM('Cash Flow'!$F40:Z40)=-INDEX('Prelim Budget'!$C$9:$C$33,MATCH('Cash Flow'!$B40,'Prelim Budget'!$B$9:$B$33,0)),0,IF('Cash Flow'!Z40&lt;&gt;0,'Cash Flow'!Z40,0))),0)</f>
        <v>0</v>
      </c>
      <c r="AB40" s="153">
        <f ca="1">IFERROR(IF(LEFT(OFFSET(AB$2,0,-$C40),3)="A&amp;D",-INDEX('Prelim Budget'!$C$9:$C$33,MATCH('Cash Flow'!$B40,'Prelim Budget'!$B$9:$B$33,0))/'Cash Flow'!$E40,IF(SUM('Cash Flow'!$F40:AA40)=-INDEX('Prelim Budget'!$C$9:$C$33,MATCH('Cash Flow'!$B40,'Prelim Budget'!$B$9:$B$33,0)),0,IF('Cash Flow'!AA40&lt;&gt;0,'Cash Flow'!AA40,0))),0)</f>
        <v>0</v>
      </c>
      <c r="AC40" s="153">
        <f ca="1">IFERROR(IF(LEFT(OFFSET(AC$2,0,-$C40),3)="A&amp;D",-INDEX('Prelim Budget'!$C$9:$C$33,MATCH('Cash Flow'!$B40,'Prelim Budget'!$B$9:$B$33,0))/'Cash Flow'!$E40,IF(SUM('Cash Flow'!$F40:AB40)=-INDEX('Prelim Budget'!$C$9:$C$33,MATCH('Cash Flow'!$B40,'Prelim Budget'!$B$9:$B$33,0)),0,IF('Cash Flow'!AB40&lt;&gt;0,'Cash Flow'!AB40,0))),0)</f>
        <v>0</v>
      </c>
      <c r="AD40" s="153">
        <f ca="1">IFERROR(IF(LEFT(OFFSET(AD$2,0,-$C40),3)="A&amp;D",-INDEX('Prelim Budget'!$C$9:$C$33,MATCH('Cash Flow'!$B40,'Prelim Budget'!$B$9:$B$33,0))/'Cash Flow'!$E40,IF(SUM('Cash Flow'!$F40:AC40)=-INDEX('Prelim Budget'!$C$9:$C$33,MATCH('Cash Flow'!$B40,'Prelim Budget'!$B$9:$B$33,0)),0,IF('Cash Flow'!AC40&lt;&gt;0,'Cash Flow'!AC40,0))),0)</f>
        <v>0</v>
      </c>
      <c r="AE40" s="153">
        <f ca="1">IFERROR(IF(LEFT(OFFSET(AE$2,0,-$C40),3)="A&amp;D",-INDEX('Prelim Budget'!$C$9:$C$33,MATCH('Cash Flow'!$B40,'Prelim Budget'!$B$9:$B$33,0))/'Cash Flow'!$E40,IF(SUM('Cash Flow'!$F40:AD40)=-INDEX('Prelim Budget'!$C$9:$C$33,MATCH('Cash Flow'!$B40,'Prelim Budget'!$B$9:$B$33,0)),0,IF('Cash Flow'!AD40&lt;&gt;0,'Cash Flow'!AD40,0))),0)</f>
        <v>0</v>
      </c>
      <c r="AF40" s="153">
        <f ca="1">IFERROR(IF(LEFT(OFFSET(AF$2,0,-$C40),3)="A&amp;D",-INDEX('Prelim Budget'!$C$9:$C$33,MATCH('Cash Flow'!$B40,'Prelim Budget'!$B$9:$B$33,0))/'Cash Flow'!$E40,IF(SUM('Cash Flow'!$F40:AE40)=-INDEX('Prelim Budget'!$C$9:$C$33,MATCH('Cash Flow'!$B40,'Prelim Budget'!$B$9:$B$33,0)),0,IF('Cash Flow'!AE40&lt;&gt;0,'Cash Flow'!AE40,0))),0)</f>
        <v>0</v>
      </c>
      <c r="AG40" s="153">
        <f ca="1">IFERROR(IF(LEFT(OFFSET(AG$2,0,-$C40),3)="A&amp;D",-INDEX('Prelim Budget'!$C$9:$C$33,MATCH('Cash Flow'!$B40,'Prelim Budget'!$B$9:$B$33,0))/'Cash Flow'!$E40,IF(SUM('Cash Flow'!$F40:AF40)=-INDEX('Prelim Budget'!$C$9:$C$33,MATCH('Cash Flow'!$B40,'Prelim Budget'!$B$9:$B$33,0)),0,IF('Cash Flow'!AF40&lt;&gt;0,'Cash Flow'!AF40,0))),0)</f>
        <v>0</v>
      </c>
      <c r="AH40" s="153">
        <f ca="1">IFERROR(IF(LEFT(OFFSET(AH$2,0,-$C40),3)="A&amp;D",-INDEX('Prelim Budget'!$C$9:$C$33,MATCH('Cash Flow'!$B40,'Prelim Budget'!$B$9:$B$33,0))/'Cash Flow'!$E40,IF(SUM('Cash Flow'!$F40:AG40)=-INDEX('Prelim Budget'!$C$9:$C$33,MATCH('Cash Flow'!$B40,'Prelim Budget'!$B$9:$B$33,0)),0,IF('Cash Flow'!AG40&lt;&gt;0,'Cash Flow'!AG40,0))),0)</f>
        <v>0</v>
      </c>
      <c r="AI40" s="153">
        <f ca="1">IFERROR(IF(LEFT(OFFSET(AI$2,0,-$C40),3)="A&amp;D",-INDEX('Prelim Budget'!$C$9:$C$33,MATCH('Cash Flow'!$B40,'Prelim Budget'!$B$9:$B$33,0))/'Cash Flow'!$E40,IF(SUM('Cash Flow'!$F40:AH40)=-INDEX('Prelim Budget'!$C$9:$C$33,MATCH('Cash Flow'!$B40,'Prelim Budget'!$B$9:$B$33,0)),0,IF('Cash Flow'!AH40&lt;&gt;0,'Cash Flow'!AH40,0))),0)</f>
        <v>0</v>
      </c>
      <c r="AJ40" s="153">
        <f ca="1">IFERROR(IF(LEFT(OFFSET(AJ$2,0,-$C40),3)="A&amp;D",-INDEX('Prelim Budget'!$C$9:$C$33,MATCH('Cash Flow'!$B40,'Prelim Budget'!$B$9:$B$33,0))/'Cash Flow'!$E40,IF(SUM('Cash Flow'!$F40:AI40)=-INDEX('Prelim Budget'!$C$9:$C$33,MATCH('Cash Flow'!$B40,'Prelim Budget'!$B$9:$B$33,0)),0,IF('Cash Flow'!AI40&lt;&gt;0,'Cash Flow'!AI40,0))),0)</f>
        <v>0</v>
      </c>
      <c r="AK40" s="153">
        <f ca="1">IFERROR(IF(LEFT(OFFSET(AK$2,0,-$C40),3)="A&amp;D",-INDEX('Prelim Budget'!$C$9:$C$33,MATCH('Cash Flow'!$B40,'Prelim Budget'!$B$9:$B$33,0))/'Cash Flow'!$E40,IF(SUM('Cash Flow'!$F40:AJ40)=-INDEX('Prelim Budget'!$C$9:$C$33,MATCH('Cash Flow'!$B40,'Prelim Budget'!$B$9:$B$33,0)),0,IF('Cash Flow'!AJ40&lt;&gt;0,'Cash Flow'!AJ40,0))),0)</f>
        <v>0</v>
      </c>
      <c r="AL40" s="153">
        <f ca="1">IFERROR(IF(LEFT(OFFSET(AL$2,0,-$C40),3)="A&amp;D",-INDEX('Prelim Budget'!$C$9:$C$33,MATCH('Cash Flow'!$B40,'Prelim Budget'!$B$9:$B$33,0))/'Cash Flow'!$E40,IF(SUM('Cash Flow'!$F40:AK40)=-INDEX('Prelim Budget'!$C$9:$C$33,MATCH('Cash Flow'!$B40,'Prelim Budget'!$B$9:$B$33,0)),0,IF('Cash Flow'!AK40&lt;&gt;0,'Cash Flow'!AK40,0))),0)</f>
        <v>0</v>
      </c>
      <c r="AM40" s="153">
        <f ca="1">IFERROR(IF(LEFT(OFFSET(AM$2,0,-$C40),3)="A&amp;D",-INDEX('Prelim Budget'!$C$9:$C$33,MATCH('Cash Flow'!$B40,'Prelim Budget'!$B$9:$B$33,0))/'Cash Flow'!$E40,IF(SUM('Cash Flow'!$F40:AL40)=-INDEX('Prelim Budget'!$C$9:$C$33,MATCH('Cash Flow'!$B40,'Prelim Budget'!$B$9:$B$33,0)),0,IF('Cash Flow'!AL40&lt;&gt;0,'Cash Flow'!AL40,0))),0)</f>
        <v>0</v>
      </c>
      <c r="AN40" s="153">
        <f ca="1">IFERROR(IF(LEFT(OFFSET(AN$2,0,-$C40),3)="A&amp;D",-INDEX('Prelim Budget'!$C$9:$C$33,MATCH('Cash Flow'!$B40,'Prelim Budget'!$B$9:$B$33,0))/'Cash Flow'!$E40,IF(SUM('Cash Flow'!$F40:AM40)=-INDEX('Prelim Budget'!$C$9:$C$33,MATCH('Cash Flow'!$B40,'Prelim Budget'!$B$9:$B$33,0)),0,IF('Cash Flow'!AM40&lt;&gt;0,'Cash Flow'!AM40,0))),0)</f>
        <v>0</v>
      </c>
      <c r="AO40" s="153">
        <f ca="1">IFERROR(IF(LEFT(OFFSET(AO$2,0,-$C40),3)="A&amp;D",-INDEX('Prelim Budget'!$C$9:$C$33,MATCH('Cash Flow'!$B40,'Prelim Budget'!$B$9:$B$33,0))/'Cash Flow'!$E40,IF(SUM('Cash Flow'!$F40:AN40)=-INDEX('Prelim Budget'!$C$9:$C$33,MATCH('Cash Flow'!$B40,'Prelim Budget'!$B$9:$B$33,0)),0,IF('Cash Flow'!AN40&lt;&gt;0,'Cash Flow'!AN40,0))),0)</f>
        <v>0</v>
      </c>
      <c r="AP40" s="153">
        <f ca="1">IFERROR(IF(LEFT(OFFSET(AP$2,0,-$C40),3)="A&amp;D",-INDEX('Prelim Budget'!$C$9:$C$33,MATCH('Cash Flow'!$B40,'Prelim Budget'!$B$9:$B$33,0))/'Cash Flow'!$E40,IF(SUM('Cash Flow'!$F40:AO40)=-INDEX('Prelim Budget'!$C$9:$C$33,MATCH('Cash Flow'!$B40,'Prelim Budget'!$B$9:$B$33,0)),0,IF('Cash Flow'!AO40&lt;&gt;0,'Cash Flow'!AO40,0))),0)</f>
        <v>0</v>
      </c>
      <c r="AQ40" s="153">
        <f ca="1">IFERROR(IF(LEFT(OFFSET(AQ$2,0,-$C40),3)="A&amp;D",-INDEX('Prelim Budget'!$C$9:$C$33,MATCH('Cash Flow'!$B40,'Prelim Budget'!$B$9:$B$33,0))/'Cash Flow'!$E40,IF(SUM('Cash Flow'!$F40:AP40)=-INDEX('Prelim Budget'!$C$9:$C$33,MATCH('Cash Flow'!$B40,'Prelim Budget'!$B$9:$B$33,0)),0,IF('Cash Flow'!AP40&lt;&gt;0,'Cash Flow'!AP40,0))),0)</f>
        <v>0</v>
      </c>
      <c r="AR40" s="153">
        <f ca="1">IFERROR(IF(LEFT(OFFSET(AR$2,0,-$C40),3)="A&amp;D",-INDEX('Prelim Budget'!$C$9:$C$33,MATCH('Cash Flow'!$B40,'Prelim Budget'!$B$9:$B$33,0))/'Cash Flow'!$E40,IF(SUM('Cash Flow'!$F40:AQ40)=-INDEX('Prelim Budget'!$C$9:$C$33,MATCH('Cash Flow'!$B40,'Prelim Budget'!$B$9:$B$33,0)),0,IF('Cash Flow'!AQ40&lt;&gt;0,'Cash Flow'!AQ40,0))),0)</f>
        <v>0</v>
      </c>
      <c r="AS40" s="153">
        <f ca="1">IFERROR(IF(LEFT(OFFSET(AS$2,0,-$C40),3)="A&amp;D",-INDEX('Prelim Budget'!$C$9:$C$33,MATCH('Cash Flow'!$B40,'Prelim Budget'!$B$9:$B$33,0))/'Cash Flow'!$E40,IF(SUM('Cash Flow'!$F40:AR40)=-INDEX('Prelim Budget'!$C$9:$C$33,MATCH('Cash Flow'!$B40,'Prelim Budget'!$B$9:$B$33,0)),0,IF('Cash Flow'!AR40&lt;&gt;0,'Cash Flow'!AR40,0))),0)</f>
        <v>0</v>
      </c>
      <c r="AT40" s="153">
        <f ca="1">IFERROR(IF(LEFT(OFFSET(AT$2,0,-$C40),3)="A&amp;D",-INDEX('Prelim Budget'!$C$9:$C$33,MATCH('Cash Flow'!$B40,'Prelim Budget'!$B$9:$B$33,0))/'Cash Flow'!$E40,IF(SUM('Cash Flow'!$F40:AS40)=-INDEX('Prelim Budget'!$C$9:$C$33,MATCH('Cash Flow'!$B40,'Prelim Budget'!$B$9:$B$33,0)),0,IF('Cash Flow'!AS40&lt;&gt;0,'Cash Flow'!AS40,0))),0)</f>
        <v>0</v>
      </c>
      <c r="AU40" s="153">
        <f ca="1">IFERROR(IF(LEFT(OFFSET(AU$2,0,-$C40),3)="A&amp;D",-INDEX('Prelim Budget'!$C$9:$C$33,MATCH('Cash Flow'!$B40,'Prelim Budget'!$B$9:$B$33,0))/'Cash Flow'!$E40,IF(SUM('Cash Flow'!$F40:AT40)=-INDEX('Prelim Budget'!$C$9:$C$33,MATCH('Cash Flow'!$B40,'Prelim Budget'!$B$9:$B$33,0)),0,IF('Cash Flow'!AT40&lt;&gt;0,'Cash Flow'!AT40,0))),0)</f>
        <v>0</v>
      </c>
      <c r="AV40" s="153">
        <f ca="1">IFERROR(IF(LEFT(OFFSET(AV$2,0,-$C40),3)="A&amp;D",-INDEX('Prelim Budget'!$C$9:$C$33,MATCH('Cash Flow'!$B40,'Prelim Budget'!$B$9:$B$33,0))/'Cash Flow'!$E40,IF(SUM('Cash Flow'!$F40:AU40)=-INDEX('Prelim Budget'!$C$9:$C$33,MATCH('Cash Flow'!$B40,'Prelim Budget'!$B$9:$B$33,0)),0,IF('Cash Flow'!AU40&lt;&gt;0,'Cash Flow'!AU40,0))),0)</f>
        <v>0</v>
      </c>
      <c r="AW40" s="153">
        <f ca="1">IFERROR(IF(LEFT(OFFSET(AW$2,0,-$C40),3)="A&amp;D",-INDEX('Prelim Budget'!$C$9:$C$33,MATCH('Cash Flow'!$B40,'Prelim Budget'!$B$9:$B$33,0))/'Cash Flow'!$E40,IF(SUM('Cash Flow'!$F40:AV40)=-INDEX('Prelim Budget'!$C$9:$C$33,MATCH('Cash Flow'!$B40,'Prelim Budget'!$B$9:$B$33,0)),0,IF('Cash Flow'!AV40&lt;&gt;0,'Cash Flow'!AV40,0))),0)</f>
        <v>0</v>
      </c>
      <c r="AX40" s="153">
        <f ca="1">IFERROR(IF(LEFT(OFFSET(AX$2,0,-$C40),3)="A&amp;D",-INDEX('Prelim Budget'!$C$9:$C$33,MATCH('Cash Flow'!$B40,'Prelim Budget'!$B$9:$B$33,0))/'Cash Flow'!$E40,IF(SUM('Cash Flow'!$F40:AW40)=-INDEX('Prelim Budget'!$C$9:$C$33,MATCH('Cash Flow'!$B40,'Prelim Budget'!$B$9:$B$33,0)),0,IF('Cash Flow'!AW40&lt;&gt;0,'Cash Flow'!AW40,0))),0)</f>
        <v>0</v>
      </c>
      <c r="AY40" s="153">
        <f ca="1">IFERROR(IF(LEFT(OFFSET(AY$2,0,-$C40),3)="A&amp;D",-INDEX('Prelim Budget'!$C$9:$C$33,MATCH('Cash Flow'!$B40,'Prelim Budget'!$B$9:$B$33,0))/'Cash Flow'!$E40,IF(SUM('Cash Flow'!$F40:AX40)=-INDEX('Prelim Budget'!$C$9:$C$33,MATCH('Cash Flow'!$B40,'Prelim Budget'!$B$9:$B$33,0)),0,IF('Cash Flow'!AX40&lt;&gt;0,'Cash Flow'!AX40,0))),0)</f>
        <v>0</v>
      </c>
      <c r="AZ40" s="153">
        <f ca="1">IFERROR(IF(LEFT(OFFSET(AZ$2,0,-$C40),3)="A&amp;D",-INDEX('Prelim Budget'!$C$9:$C$33,MATCH('Cash Flow'!$B40,'Prelim Budget'!$B$9:$B$33,0))/'Cash Flow'!$E40,IF(SUM('Cash Flow'!$F40:AY40)=-INDEX('Prelim Budget'!$C$9:$C$33,MATCH('Cash Flow'!$B40,'Prelim Budget'!$B$9:$B$33,0)),0,IF('Cash Flow'!AY40&lt;&gt;0,'Cash Flow'!AY40,0))),0)</f>
        <v>0</v>
      </c>
      <c r="BA40" s="153">
        <f ca="1">IFERROR(IF(LEFT(OFFSET(BA$2,0,-$C40),3)="A&amp;D",-INDEX('Prelim Budget'!$C$9:$C$33,MATCH('Cash Flow'!$B40,'Prelim Budget'!$B$9:$B$33,0))/'Cash Flow'!$E40,IF(SUM('Cash Flow'!$F40:AZ40)=-INDEX('Prelim Budget'!$C$9:$C$33,MATCH('Cash Flow'!$B40,'Prelim Budget'!$B$9:$B$33,0)),0,IF('Cash Flow'!AZ40&lt;&gt;0,'Cash Flow'!AZ40,0))),0)</f>
        <v>0</v>
      </c>
      <c r="BB40" s="153">
        <f ca="1">IFERROR(IF(LEFT(OFFSET(BB$2,0,-$C40),3)="A&amp;D",-INDEX('Prelim Budget'!$C$9:$C$33,MATCH('Cash Flow'!$B40,'Prelim Budget'!$B$9:$B$33,0))/'Cash Flow'!$E40,IF(SUM('Cash Flow'!$F40:BA40)=-INDEX('Prelim Budget'!$C$9:$C$33,MATCH('Cash Flow'!$B40,'Prelim Budget'!$B$9:$B$33,0)),0,IF('Cash Flow'!BA40&lt;&gt;0,'Cash Flow'!BA40,0))),0)</f>
        <v>0</v>
      </c>
      <c r="BC40" s="153">
        <f ca="1">IFERROR(IF(LEFT(OFFSET(BC$2,0,-$C40),3)="A&amp;D",-INDEX('Prelim Budget'!$C$9:$C$33,MATCH('Cash Flow'!$B40,'Prelim Budget'!$B$9:$B$33,0))/'Cash Flow'!$E40,IF(SUM('Cash Flow'!$F40:BB40)=-INDEX('Prelim Budget'!$C$9:$C$33,MATCH('Cash Flow'!$B40,'Prelim Budget'!$B$9:$B$33,0)),0,IF('Cash Flow'!BB40&lt;&gt;0,'Cash Flow'!BB40,0))),0)</f>
        <v>0</v>
      </c>
      <c r="BD40" s="153">
        <f ca="1">IFERROR(IF(LEFT(OFFSET(BD$2,0,-$C40),3)="A&amp;D",-INDEX('Prelim Budget'!$C$9:$C$33,MATCH('Cash Flow'!$B40,'Prelim Budget'!$B$9:$B$33,0))/'Cash Flow'!$E40,IF(SUM('Cash Flow'!$F40:BC40)=-INDEX('Prelim Budget'!$C$9:$C$33,MATCH('Cash Flow'!$B40,'Prelim Budget'!$B$9:$B$33,0)),0,IF('Cash Flow'!BC40&lt;&gt;0,'Cash Flow'!BC40,0))),0)</f>
        <v>0</v>
      </c>
      <c r="BE40" s="153">
        <f ca="1">IFERROR(IF(LEFT(OFFSET(BE$2,0,-$C40),3)="A&amp;D",-INDEX('Prelim Budget'!$C$9:$C$33,MATCH('Cash Flow'!$B40,'Prelim Budget'!$B$9:$B$33,0))/'Cash Flow'!$E40,IF(SUM('Cash Flow'!$F40:BD40)=-INDEX('Prelim Budget'!$C$9:$C$33,MATCH('Cash Flow'!$B40,'Prelim Budget'!$B$9:$B$33,0)),0,IF('Cash Flow'!BD40&lt;&gt;0,'Cash Flow'!BD40,0))),0)</f>
        <v>0</v>
      </c>
      <c r="BF40" s="153">
        <f ca="1">IFERROR(IF(LEFT(OFFSET(BF$2,0,-$C40),3)="A&amp;D",-INDEX('Prelim Budget'!$C$9:$C$33,MATCH('Cash Flow'!$B40,'Prelim Budget'!$B$9:$B$33,0))/'Cash Flow'!$E40,IF(SUM('Cash Flow'!$F40:BE40)=-INDEX('Prelim Budget'!$C$9:$C$33,MATCH('Cash Flow'!$B40,'Prelim Budget'!$B$9:$B$33,0)),0,IF('Cash Flow'!BE40&lt;&gt;0,'Cash Flow'!BE40,0))),0)</f>
        <v>0</v>
      </c>
      <c r="BG40" s="153">
        <f ca="1">IFERROR(IF(LEFT(OFFSET(BG$2,0,-$C40),3)="A&amp;D",-INDEX('Prelim Budget'!$C$9:$C$33,MATCH('Cash Flow'!$B40,'Prelim Budget'!$B$9:$B$33,0))/'Cash Flow'!$E40,IF(SUM('Cash Flow'!$F40:BF40)=-INDEX('Prelim Budget'!$C$9:$C$33,MATCH('Cash Flow'!$B40,'Prelim Budget'!$B$9:$B$33,0)),0,IF('Cash Flow'!BF40&lt;&gt;0,'Cash Flow'!BF40,0))),0)</f>
        <v>0</v>
      </c>
      <c r="BH40" s="153">
        <f ca="1">IFERROR(IF(LEFT(OFFSET(BH$2,0,-$C40),3)="A&amp;D",-INDEX('Prelim Budget'!$C$9:$C$33,MATCH('Cash Flow'!$B40,'Prelim Budget'!$B$9:$B$33,0))/'Cash Flow'!$E40,IF(SUM('Cash Flow'!$F40:BG40)=-INDEX('Prelim Budget'!$C$9:$C$33,MATCH('Cash Flow'!$B40,'Prelim Budget'!$B$9:$B$33,0)),0,IF('Cash Flow'!BG40&lt;&gt;0,'Cash Flow'!BG40,0))),0)</f>
        <v>0</v>
      </c>
      <c r="BI40" s="153">
        <f ca="1">IFERROR(IF(LEFT(OFFSET(BI$2,0,-$C40),3)="A&amp;D",-INDEX('Prelim Budget'!$C$9:$C$33,MATCH('Cash Flow'!$B40,'Prelim Budget'!$B$9:$B$33,0))/'Cash Flow'!$E40,IF(SUM('Cash Flow'!$F40:BH40)=-INDEX('Prelim Budget'!$C$9:$C$33,MATCH('Cash Flow'!$B40,'Prelim Budget'!$B$9:$B$33,0)),0,IF('Cash Flow'!BH40&lt;&gt;0,'Cash Flow'!BH40,0))),0)</f>
        <v>0</v>
      </c>
      <c r="BJ40" s="153">
        <f ca="1">IFERROR(IF(LEFT(OFFSET(BJ$2,0,-$C40),3)="A&amp;D",-INDEX('Prelim Budget'!$C$9:$C$33,MATCH('Cash Flow'!$B40,'Prelim Budget'!$B$9:$B$33,0))/'Cash Flow'!$E40,IF(SUM('Cash Flow'!$F40:BI40)=-INDEX('Prelim Budget'!$C$9:$C$33,MATCH('Cash Flow'!$B40,'Prelim Budget'!$B$9:$B$33,0)),0,IF('Cash Flow'!BI40&lt;&gt;0,'Cash Flow'!BI40,0))),0)</f>
        <v>0</v>
      </c>
      <c r="BK40" s="153">
        <f ca="1">IFERROR(IF(LEFT(OFFSET(BK$2,0,-$C40),3)="A&amp;D",-INDEX('Prelim Budget'!$C$9:$C$33,MATCH('Cash Flow'!$B40,'Prelim Budget'!$B$9:$B$33,0))/'Cash Flow'!$E40,IF(SUM('Cash Flow'!$F40:BJ40)=-INDEX('Prelim Budget'!$C$9:$C$33,MATCH('Cash Flow'!$B40,'Prelim Budget'!$B$9:$B$33,0)),0,IF('Cash Flow'!BJ40&lt;&gt;0,'Cash Flow'!BJ40,0))),0)</f>
        <v>0</v>
      </c>
      <c r="BL40" s="153">
        <f ca="1">IFERROR(IF(LEFT(OFFSET(BL$2,0,-$C40),3)="A&amp;D",-INDEX('Prelim Budget'!$C$9:$C$33,MATCH('Cash Flow'!$B40,'Prelim Budget'!$B$9:$B$33,0))/'Cash Flow'!$E40,IF(SUM('Cash Flow'!$F40:BK40)=-INDEX('Prelim Budget'!$C$9:$C$33,MATCH('Cash Flow'!$B40,'Prelim Budget'!$B$9:$B$33,0)),0,IF('Cash Flow'!BK40&lt;&gt;0,'Cash Flow'!BK40,0))),0)</f>
        <v>0</v>
      </c>
      <c r="BM40" s="153">
        <f ca="1">IFERROR(IF(LEFT(OFFSET(BM$2,0,-$C40),3)="A&amp;D",-INDEX('Prelim Budget'!$C$9:$C$33,MATCH('Cash Flow'!$B40,'Prelim Budget'!$B$9:$B$33,0))/'Cash Flow'!$E40,IF(SUM('Cash Flow'!$F40:BL40)=-INDEX('Prelim Budget'!$C$9:$C$33,MATCH('Cash Flow'!$B40,'Prelim Budget'!$B$9:$B$33,0)),0,IF('Cash Flow'!BL40&lt;&gt;0,'Cash Flow'!BL40,0))),0)</f>
        <v>0</v>
      </c>
      <c r="BN40" s="153">
        <f ca="1">IFERROR(IF(LEFT(OFFSET(BN$2,0,-$C40),3)="A&amp;D",-INDEX('Prelim Budget'!$C$9:$C$33,MATCH('Cash Flow'!$B40,'Prelim Budget'!$B$9:$B$33,0))/'Cash Flow'!$E40,IF(SUM('Cash Flow'!$F40:BM40)=-INDEX('Prelim Budget'!$C$9:$C$33,MATCH('Cash Flow'!$B40,'Prelim Budget'!$B$9:$B$33,0)),0,IF('Cash Flow'!BM40&lt;&gt;0,'Cash Flow'!BM40,0))),0)</f>
        <v>0</v>
      </c>
      <c r="BO40" s="50">
        <f ca="1">IFERROR(IF(LEFT(OFFSET(BO$2,0,-$C40),3)="A&amp;D",-INDEX('Prelim Budget'!$C$9:$C$33,MATCH('Cash Flow'!$B40,'Prelim Budget'!$B$9:$B$33,0))/'Cash Flow'!$E40,IF(SUM('Cash Flow'!$F40:BN40)=-INDEX('Prelim Budget'!$C$9:$C$33,MATCH('Cash Flow'!$B40,'Prelim Budget'!$B$9:$B$33,0)),0,IF('Cash Flow'!BN40&lt;&gt;0,'Cash Flow'!BN40,0))),0)</f>
        <v>0</v>
      </c>
    </row>
    <row r="41" spans="2:67" ht="14.05" customHeight="1" x14ac:dyDescent="0.4">
      <c r="B41" s="123" t="s">
        <v>170</v>
      </c>
      <c r="C41" s="80">
        <v>12</v>
      </c>
      <c r="D41" s="153">
        <f t="shared" ca="1" si="11"/>
        <v>-75000</v>
      </c>
      <c r="E41" s="82">
        <v>1</v>
      </c>
      <c r="F41" s="157"/>
      <c r="G41" s="134">
        <f ca="1">IFERROR(IF(LEFT(OFFSET(G$2,0,-$C41),3)="A&amp;D",-INDEX('Prelim Budget'!$C$9:$C$33,MATCH('Cash Flow'!$B41,'Prelim Budget'!$B$9:$B$33,0))/'Cash Flow'!$E41,IF(SUM('Cash Flow'!$F41:F41)=-INDEX('Prelim Budget'!$C$9:$C$33,MATCH('Cash Flow'!$B41,'Prelim Budget'!$B$9:$B$33,0)),0,IF('Cash Flow'!F41&lt;&gt;0,'Cash Flow'!F41,0))),0)</f>
        <v>0</v>
      </c>
      <c r="H41" s="153">
        <f ca="1">IFERROR(IF(LEFT(OFFSET(H$2,0,-$C41),3)="A&amp;D",-INDEX('Prelim Budget'!$C$9:$C$33,MATCH('Cash Flow'!$B41,'Prelim Budget'!$B$9:$B$33,0))/'Cash Flow'!$E41,IF(SUM('Cash Flow'!$F41:G41)=-INDEX('Prelim Budget'!$C$9:$C$33,MATCH('Cash Flow'!$B41,'Prelim Budget'!$B$9:$B$33,0)),0,IF('Cash Flow'!G41&lt;&gt;0,'Cash Flow'!G41,0))),0)</f>
        <v>0</v>
      </c>
      <c r="I41" s="153">
        <f ca="1">IFERROR(IF(LEFT(OFFSET(I$2,0,-$C41),3)="A&amp;D",-INDEX('Prelim Budget'!$C$9:$C$33,MATCH('Cash Flow'!$B41,'Prelim Budget'!$B$9:$B$33,0))/'Cash Flow'!$E41,IF(SUM('Cash Flow'!$F41:H41)=-INDEX('Prelim Budget'!$C$9:$C$33,MATCH('Cash Flow'!$B41,'Prelim Budget'!$B$9:$B$33,0)),0,IF('Cash Flow'!H41&lt;&gt;0,'Cash Flow'!H41,0))),0)</f>
        <v>0</v>
      </c>
      <c r="J41" s="153">
        <f ca="1">IFERROR(IF(LEFT(OFFSET(J$2,0,-$C41),3)="A&amp;D",-INDEX('Prelim Budget'!$C$9:$C$33,MATCH('Cash Flow'!$B41,'Prelim Budget'!$B$9:$B$33,0))/'Cash Flow'!$E41,IF(SUM('Cash Flow'!$F41:I41)=-INDEX('Prelim Budget'!$C$9:$C$33,MATCH('Cash Flow'!$B41,'Prelim Budget'!$B$9:$B$33,0)),0,IF('Cash Flow'!I41&lt;&gt;0,'Cash Flow'!I41,0))),0)</f>
        <v>0</v>
      </c>
      <c r="K41" s="153">
        <f ca="1">IFERROR(IF(LEFT(OFFSET(K$2,0,-$C41),3)="A&amp;D",-INDEX('Prelim Budget'!$C$9:$C$33,MATCH('Cash Flow'!$B41,'Prelim Budget'!$B$9:$B$33,0))/'Cash Flow'!$E41,IF(SUM('Cash Flow'!$F41:J41)=-INDEX('Prelim Budget'!$C$9:$C$33,MATCH('Cash Flow'!$B41,'Prelim Budget'!$B$9:$B$33,0)),0,IF('Cash Flow'!J41&lt;&gt;0,'Cash Flow'!J41,0))),0)</f>
        <v>0</v>
      </c>
      <c r="L41" s="153">
        <f ca="1">IFERROR(IF(LEFT(OFFSET(L$2,0,-$C41),3)="A&amp;D",-INDEX('Prelim Budget'!$C$9:$C$33,MATCH('Cash Flow'!$B41,'Prelim Budget'!$B$9:$B$33,0))/'Cash Flow'!$E41,IF(SUM('Cash Flow'!$F41:K41)=-INDEX('Prelim Budget'!$C$9:$C$33,MATCH('Cash Flow'!$B41,'Prelim Budget'!$B$9:$B$33,0)),0,IF('Cash Flow'!K41&lt;&gt;0,'Cash Flow'!K41,0))),0)</f>
        <v>0</v>
      </c>
      <c r="M41" s="153">
        <f ca="1">IFERROR(IF(LEFT(OFFSET(M$2,0,-$C41),3)="A&amp;D",-INDEX('Prelim Budget'!$C$9:$C$33,MATCH('Cash Flow'!$B41,'Prelim Budget'!$B$9:$B$33,0))/'Cash Flow'!$E41,IF(SUM('Cash Flow'!$F41:L41)=-INDEX('Prelim Budget'!$C$9:$C$33,MATCH('Cash Flow'!$B41,'Prelim Budget'!$B$9:$B$33,0)),0,IF('Cash Flow'!L41&lt;&gt;0,'Cash Flow'!L41,0))),0)</f>
        <v>0</v>
      </c>
      <c r="N41" s="153">
        <f ca="1">IFERROR(IF(LEFT(OFFSET(N$2,0,-$C41),3)="A&amp;D",-INDEX('Prelim Budget'!$C$9:$C$33,MATCH('Cash Flow'!$B41,'Prelim Budget'!$B$9:$B$33,0))/'Cash Flow'!$E41,IF(SUM('Cash Flow'!$F41:M41)=-INDEX('Prelim Budget'!$C$9:$C$33,MATCH('Cash Flow'!$B41,'Prelim Budget'!$B$9:$B$33,0)),0,IF('Cash Flow'!M41&lt;&gt;0,'Cash Flow'!M41,0))),0)</f>
        <v>0</v>
      </c>
      <c r="O41" s="153">
        <f ca="1">IFERROR(IF(LEFT(OFFSET(O$2,0,-$C41),3)="A&amp;D",-INDEX('Prelim Budget'!$C$9:$C$33,MATCH('Cash Flow'!$B41,'Prelim Budget'!$B$9:$B$33,0))/'Cash Flow'!$E41,IF(SUM('Cash Flow'!$F41:N41)=-INDEX('Prelim Budget'!$C$9:$C$33,MATCH('Cash Flow'!$B41,'Prelim Budget'!$B$9:$B$33,0)),0,IF('Cash Flow'!N41&lt;&gt;0,'Cash Flow'!N41,0))),0)</f>
        <v>0</v>
      </c>
      <c r="P41" s="153">
        <f ca="1">IFERROR(IF(LEFT(OFFSET(P$2,0,-$C41),3)="A&amp;D",-INDEX('Prelim Budget'!$C$9:$C$33,MATCH('Cash Flow'!$B41,'Prelim Budget'!$B$9:$B$33,0))/'Cash Flow'!$E41,IF(SUM('Cash Flow'!$F41:O41)=-INDEX('Prelim Budget'!$C$9:$C$33,MATCH('Cash Flow'!$B41,'Prelim Budget'!$B$9:$B$33,0)),0,IF('Cash Flow'!O41&lt;&gt;0,'Cash Flow'!O41,0))),0)</f>
        <v>0</v>
      </c>
      <c r="Q41" s="153">
        <f ca="1">IFERROR(IF(LEFT(OFFSET(Q$2,0,-$C41),3)="A&amp;D",-INDEX('Prelim Budget'!$C$9:$C$33,MATCH('Cash Flow'!$B41,'Prelim Budget'!$B$9:$B$33,0))/'Cash Flow'!$E41,IF(SUM('Cash Flow'!$F41:P41)=-INDEX('Prelim Budget'!$C$9:$C$33,MATCH('Cash Flow'!$B41,'Prelim Budget'!$B$9:$B$33,0)),0,IF('Cash Flow'!P41&lt;&gt;0,'Cash Flow'!P41,0))),0)</f>
        <v>0</v>
      </c>
      <c r="R41" s="153">
        <f ca="1">IFERROR(IF(LEFT(OFFSET(R$2,0,-$C41),3)="A&amp;D",-INDEX('Prelim Budget'!$C$9:$C$33,MATCH('Cash Flow'!$B41,'Prelim Budget'!$B$9:$B$33,0))/'Cash Flow'!$E41,IF(SUM('Cash Flow'!$F41:Q41)=-INDEX('Prelim Budget'!$C$9:$C$33,MATCH('Cash Flow'!$B41,'Prelim Budget'!$B$9:$B$33,0)),0,IF('Cash Flow'!Q41&lt;&gt;0,'Cash Flow'!Q41,0))),0)</f>
        <v>0</v>
      </c>
      <c r="S41" s="153">
        <f ca="1">IFERROR(IF(LEFT(OFFSET(S$2,0,-$C41),3)="A&amp;D",-INDEX('Prelim Budget'!$C$9:$C$33,MATCH('Cash Flow'!$B41,'Prelim Budget'!$B$9:$B$33,0))/'Cash Flow'!$E41,IF(SUM('Cash Flow'!$F41:R41)=-INDEX('Prelim Budget'!$C$9:$C$33,MATCH('Cash Flow'!$B41,'Prelim Budget'!$B$9:$B$33,0)),0,IF('Cash Flow'!R41&lt;&gt;0,'Cash Flow'!R41,0))),0)</f>
        <v>0</v>
      </c>
      <c r="T41" s="153">
        <f ca="1">IFERROR(IF(LEFT(OFFSET(T$2,0,-$C41),3)="A&amp;D",-INDEX('Prelim Budget'!$C$9:$C$33,MATCH('Cash Flow'!$B41,'Prelim Budget'!$B$9:$B$33,0))/'Cash Flow'!$E41,IF(SUM('Cash Flow'!$F41:S41)=-INDEX('Prelim Budget'!$C$9:$C$33,MATCH('Cash Flow'!$B41,'Prelim Budget'!$B$9:$B$33,0)),0,IF('Cash Flow'!S41&lt;&gt;0,'Cash Flow'!S41,0))),0)</f>
        <v>0</v>
      </c>
      <c r="U41" s="153">
        <f ca="1">IFERROR(IF(LEFT(OFFSET(U$2,0,-$C41),3)="A&amp;D",-INDEX('Prelim Budget'!$C$9:$C$33,MATCH('Cash Flow'!$B41,'Prelim Budget'!$B$9:$B$33,0))/'Cash Flow'!$E41,IF(SUM('Cash Flow'!$F41:T41)=-INDEX('Prelim Budget'!$C$9:$C$33,MATCH('Cash Flow'!$B41,'Prelim Budget'!$B$9:$B$33,0)),0,IF('Cash Flow'!T41&lt;&gt;0,'Cash Flow'!T41,0))),0)</f>
        <v>0</v>
      </c>
      <c r="V41" s="153">
        <f ca="1">IFERROR(IF(LEFT(OFFSET(V$2,0,-$C41),3)="A&amp;D",-INDEX('Prelim Budget'!$C$9:$C$33,MATCH('Cash Flow'!$B41,'Prelim Budget'!$B$9:$B$33,0))/'Cash Flow'!$E41,IF(SUM('Cash Flow'!$F41:U41)=-INDEX('Prelim Budget'!$C$9:$C$33,MATCH('Cash Flow'!$B41,'Prelim Budget'!$B$9:$B$33,0)),0,IF('Cash Flow'!U41&lt;&gt;0,'Cash Flow'!U41,0))),0)</f>
        <v>0</v>
      </c>
      <c r="W41" s="153">
        <f ca="1">IFERROR(IF(LEFT(OFFSET(W$2,0,-$C41),3)="A&amp;D",-INDEX('Prelim Budget'!$C$9:$C$33,MATCH('Cash Flow'!$B41,'Prelim Budget'!$B$9:$B$33,0))/'Cash Flow'!$E41,IF(SUM('Cash Flow'!$F41:V41)=-INDEX('Prelim Budget'!$C$9:$C$33,MATCH('Cash Flow'!$B41,'Prelim Budget'!$B$9:$B$33,0)),0,IF('Cash Flow'!V41&lt;&gt;0,'Cash Flow'!V41,0))),0)</f>
        <v>0</v>
      </c>
      <c r="X41" s="153">
        <f ca="1">IFERROR(IF(LEFT(OFFSET(X$2,0,-$C41),3)="A&amp;D",-INDEX('Prelim Budget'!$C$9:$C$33,MATCH('Cash Flow'!$B41,'Prelim Budget'!$B$9:$B$33,0))/'Cash Flow'!$E41,IF(SUM('Cash Flow'!$F41:W41)=-INDEX('Prelim Budget'!$C$9:$C$33,MATCH('Cash Flow'!$B41,'Prelim Budget'!$B$9:$B$33,0)),0,IF('Cash Flow'!W41&lt;&gt;0,'Cash Flow'!W41,0))),0)</f>
        <v>0</v>
      </c>
      <c r="Y41" s="153">
        <f ca="1">IFERROR(IF(LEFT(OFFSET(Y$2,0,-$C41),3)="A&amp;D",-INDEX('Prelim Budget'!$C$9:$C$33,MATCH('Cash Flow'!$B41,'Prelim Budget'!$B$9:$B$33,0))/'Cash Flow'!$E41,IF(SUM('Cash Flow'!$F41:X41)=-INDEX('Prelim Budget'!$C$9:$C$33,MATCH('Cash Flow'!$B41,'Prelim Budget'!$B$9:$B$33,0)),0,IF('Cash Flow'!X41&lt;&gt;0,'Cash Flow'!X41,0))),0)</f>
        <v>-75000</v>
      </c>
      <c r="Z41" s="153">
        <f ca="1">IFERROR(IF(LEFT(OFFSET(Z$2,0,-$C41),3)="A&amp;D",-INDEX('Prelim Budget'!$C$9:$C$33,MATCH('Cash Flow'!$B41,'Prelim Budget'!$B$9:$B$33,0))/'Cash Flow'!$E41,IF(SUM('Cash Flow'!$F41:Y41)=-INDEX('Prelim Budget'!$C$9:$C$33,MATCH('Cash Flow'!$B41,'Prelim Budget'!$B$9:$B$33,0)),0,IF('Cash Flow'!Y41&lt;&gt;0,'Cash Flow'!Y41,0))),0)</f>
        <v>0</v>
      </c>
      <c r="AA41" s="153">
        <f ca="1">IFERROR(IF(LEFT(OFFSET(AA$2,0,-$C41),3)="A&amp;D",-INDEX('Prelim Budget'!$C$9:$C$33,MATCH('Cash Flow'!$B41,'Prelim Budget'!$B$9:$B$33,0))/'Cash Flow'!$E41,IF(SUM('Cash Flow'!$F41:Z41)=-INDEX('Prelim Budget'!$C$9:$C$33,MATCH('Cash Flow'!$B41,'Prelim Budget'!$B$9:$B$33,0)),0,IF('Cash Flow'!Z41&lt;&gt;0,'Cash Flow'!Z41,0))),0)</f>
        <v>0</v>
      </c>
      <c r="AB41" s="153">
        <f ca="1">IFERROR(IF(LEFT(OFFSET(AB$2,0,-$C41),3)="A&amp;D",-INDEX('Prelim Budget'!$C$9:$C$33,MATCH('Cash Flow'!$B41,'Prelim Budget'!$B$9:$B$33,0))/'Cash Flow'!$E41,IF(SUM('Cash Flow'!$F41:AA41)=-INDEX('Prelim Budget'!$C$9:$C$33,MATCH('Cash Flow'!$B41,'Prelim Budget'!$B$9:$B$33,0)),0,IF('Cash Flow'!AA41&lt;&gt;0,'Cash Flow'!AA41,0))),0)</f>
        <v>0</v>
      </c>
      <c r="AC41" s="153">
        <f ca="1">IFERROR(IF(LEFT(OFFSET(AC$2,0,-$C41),3)="A&amp;D",-INDEX('Prelim Budget'!$C$9:$C$33,MATCH('Cash Flow'!$B41,'Prelim Budget'!$B$9:$B$33,0))/'Cash Flow'!$E41,IF(SUM('Cash Flow'!$F41:AB41)=-INDEX('Prelim Budget'!$C$9:$C$33,MATCH('Cash Flow'!$B41,'Prelim Budget'!$B$9:$B$33,0)),0,IF('Cash Flow'!AB41&lt;&gt;0,'Cash Flow'!AB41,0))),0)</f>
        <v>0</v>
      </c>
      <c r="AD41" s="153">
        <f ca="1">IFERROR(IF(LEFT(OFFSET(AD$2,0,-$C41),3)="A&amp;D",-INDEX('Prelim Budget'!$C$9:$C$33,MATCH('Cash Flow'!$B41,'Prelim Budget'!$B$9:$B$33,0))/'Cash Flow'!$E41,IF(SUM('Cash Flow'!$F41:AC41)=-INDEX('Prelim Budget'!$C$9:$C$33,MATCH('Cash Flow'!$B41,'Prelim Budget'!$B$9:$B$33,0)),0,IF('Cash Flow'!AC41&lt;&gt;0,'Cash Flow'!AC41,0))),0)</f>
        <v>0</v>
      </c>
      <c r="AE41" s="153">
        <f ca="1">IFERROR(IF(LEFT(OFFSET(AE$2,0,-$C41),3)="A&amp;D",-INDEX('Prelim Budget'!$C$9:$C$33,MATCH('Cash Flow'!$B41,'Prelim Budget'!$B$9:$B$33,0))/'Cash Flow'!$E41,IF(SUM('Cash Flow'!$F41:AD41)=-INDEX('Prelim Budget'!$C$9:$C$33,MATCH('Cash Flow'!$B41,'Prelim Budget'!$B$9:$B$33,0)),0,IF('Cash Flow'!AD41&lt;&gt;0,'Cash Flow'!AD41,0))),0)</f>
        <v>0</v>
      </c>
      <c r="AF41" s="153">
        <f ca="1">IFERROR(IF(LEFT(OFFSET(AF$2,0,-$C41),3)="A&amp;D",-INDEX('Prelim Budget'!$C$9:$C$33,MATCH('Cash Flow'!$B41,'Prelim Budget'!$B$9:$B$33,0))/'Cash Flow'!$E41,IF(SUM('Cash Flow'!$F41:AE41)=-INDEX('Prelim Budget'!$C$9:$C$33,MATCH('Cash Flow'!$B41,'Prelim Budget'!$B$9:$B$33,0)),0,IF('Cash Flow'!AE41&lt;&gt;0,'Cash Flow'!AE41,0))),0)</f>
        <v>0</v>
      </c>
      <c r="AG41" s="153">
        <f ca="1">IFERROR(IF(LEFT(OFFSET(AG$2,0,-$C41),3)="A&amp;D",-INDEX('Prelim Budget'!$C$9:$C$33,MATCH('Cash Flow'!$B41,'Prelim Budget'!$B$9:$B$33,0))/'Cash Flow'!$E41,IF(SUM('Cash Flow'!$F41:AF41)=-INDEX('Prelim Budget'!$C$9:$C$33,MATCH('Cash Flow'!$B41,'Prelim Budget'!$B$9:$B$33,0)),0,IF('Cash Flow'!AF41&lt;&gt;0,'Cash Flow'!AF41,0))),0)</f>
        <v>0</v>
      </c>
      <c r="AH41" s="153">
        <f ca="1">IFERROR(IF(LEFT(OFFSET(AH$2,0,-$C41),3)="A&amp;D",-INDEX('Prelim Budget'!$C$9:$C$33,MATCH('Cash Flow'!$B41,'Prelim Budget'!$B$9:$B$33,0))/'Cash Flow'!$E41,IF(SUM('Cash Flow'!$F41:AG41)=-INDEX('Prelim Budget'!$C$9:$C$33,MATCH('Cash Flow'!$B41,'Prelim Budget'!$B$9:$B$33,0)),0,IF('Cash Flow'!AG41&lt;&gt;0,'Cash Flow'!AG41,0))),0)</f>
        <v>0</v>
      </c>
      <c r="AI41" s="153">
        <f ca="1">IFERROR(IF(LEFT(OFFSET(AI$2,0,-$C41),3)="A&amp;D",-INDEX('Prelim Budget'!$C$9:$C$33,MATCH('Cash Flow'!$B41,'Prelim Budget'!$B$9:$B$33,0))/'Cash Flow'!$E41,IF(SUM('Cash Flow'!$F41:AH41)=-INDEX('Prelim Budget'!$C$9:$C$33,MATCH('Cash Flow'!$B41,'Prelim Budget'!$B$9:$B$33,0)),0,IF('Cash Flow'!AH41&lt;&gt;0,'Cash Flow'!AH41,0))),0)</f>
        <v>0</v>
      </c>
      <c r="AJ41" s="153">
        <f ca="1">IFERROR(IF(LEFT(OFFSET(AJ$2,0,-$C41),3)="A&amp;D",-INDEX('Prelim Budget'!$C$9:$C$33,MATCH('Cash Flow'!$B41,'Prelim Budget'!$B$9:$B$33,0))/'Cash Flow'!$E41,IF(SUM('Cash Flow'!$F41:AI41)=-INDEX('Prelim Budget'!$C$9:$C$33,MATCH('Cash Flow'!$B41,'Prelim Budget'!$B$9:$B$33,0)),0,IF('Cash Flow'!AI41&lt;&gt;0,'Cash Flow'!AI41,0))),0)</f>
        <v>0</v>
      </c>
      <c r="AK41" s="153">
        <f ca="1">IFERROR(IF(LEFT(OFFSET(AK$2,0,-$C41),3)="A&amp;D",-INDEX('Prelim Budget'!$C$9:$C$33,MATCH('Cash Flow'!$B41,'Prelim Budget'!$B$9:$B$33,0))/'Cash Flow'!$E41,IF(SUM('Cash Flow'!$F41:AJ41)=-INDEX('Prelim Budget'!$C$9:$C$33,MATCH('Cash Flow'!$B41,'Prelim Budget'!$B$9:$B$33,0)),0,IF('Cash Flow'!AJ41&lt;&gt;0,'Cash Flow'!AJ41,0))),0)</f>
        <v>0</v>
      </c>
      <c r="AL41" s="153">
        <f ca="1">IFERROR(IF(LEFT(OFFSET(AL$2,0,-$C41),3)="A&amp;D",-INDEX('Prelim Budget'!$C$9:$C$33,MATCH('Cash Flow'!$B41,'Prelim Budget'!$B$9:$B$33,0))/'Cash Flow'!$E41,IF(SUM('Cash Flow'!$F41:AK41)=-INDEX('Prelim Budget'!$C$9:$C$33,MATCH('Cash Flow'!$B41,'Prelim Budget'!$B$9:$B$33,0)),0,IF('Cash Flow'!AK41&lt;&gt;0,'Cash Flow'!AK41,0))),0)</f>
        <v>0</v>
      </c>
      <c r="AM41" s="153">
        <f ca="1">IFERROR(IF(LEFT(OFFSET(AM$2,0,-$C41),3)="A&amp;D",-INDEX('Prelim Budget'!$C$9:$C$33,MATCH('Cash Flow'!$B41,'Prelim Budget'!$B$9:$B$33,0))/'Cash Flow'!$E41,IF(SUM('Cash Flow'!$F41:AL41)=-INDEX('Prelim Budget'!$C$9:$C$33,MATCH('Cash Flow'!$B41,'Prelim Budget'!$B$9:$B$33,0)),0,IF('Cash Flow'!AL41&lt;&gt;0,'Cash Flow'!AL41,0))),0)</f>
        <v>0</v>
      </c>
      <c r="AN41" s="153">
        <f ca="1">IFERROR(IF(LEFT(OFFSET(AN$2,0,-$C41),3)="A&amp;D",-INDEX('Prelim Budget'!$C$9:$C$33,MATCH('Cash Flow'!$B41,'Prelim Budget'!$B$9:$B$33,0))/'Cash Flow'!$E41,IF(SUM('Cash Flow'!$F41:AM41)=-INDEX('Prelim Budget'!$C$9:$C$33,MATCH('Cash Flow'!$B41,'Prelim Budget'!$B$9:$B$33,0)),0,IF('Cash Flow'!AM41&lt;&gt;0,'Cash Flow'!AM41,0))),0)</f>
        <v>0</v>
      </c>
      <c r="AO41" s="153">
        <f ca="1">IFERROR(IF(LEFT(OFFSET(AO$2,0,-$C41),3)="A&amp;D",-INDEX('Prelim Budget'!$C$9:$C$33,MATCH('Cash Flow'!$B41,'Prelim Budget'!$B$9:$B$33,0))/'Cash Flow'!$E41,IF(SUM('Cash Flow'!$F41:AN41)=-INDEX('Prelim Budget'!$C$9:$C$33,MATCH('Cash Flow'!$B41,'Prelim Budget'!$B$9:$B$33,0)),0,IF('Cash Flow'!AN41&lt;&gt;0,'Cash Flow'!AN41,0))),0)</f>
        <v>0</v>
      </c>
      <c r="AP41" s="153">
        <f ca="1">IFERROR(IF(LEFT(OFFSET(AP$2,0,-$C41),3)="A&amp;D",-INDEX('Prelim Budget'!$C$9:$C$33,MATCH('Cash Flow'!$B41,'Prelim Budget'!$B$9:$B$33,0))/'Cash Flow'!$E41,IF(SUM('Cash Flow'!$F41:AO41)=-INDEX('Prelim Budget'!$C$9:$C$33,MATCH('Cash Flow'!$B41,'Prelim Budget'!$B$9:$B$33,0)),0,IF('Cash Flow'!AO41&lt;&gt;0,'Cash Flow'!AO41,0))),0)</f>
        <v>0</v>
      </c>
      <c r="AQ41" s="153">
        <f ca="1">IFERROR(IF(LEFT(OFFSET(AQ$2,0,-$C41),3)="A&amp;D",-INDEX('Prelim Budget'!$C$9:$C$33,MATCH('Cash Flow'!$B41,'Prelim Budget'!$B$9:$B$33,0))/'Cash Flow'!$E41,IF(SUM('Cash Flow'!$F41:AP41)=-INDEX('Prelim Budget'!$C$9:$C$33,MATCH('Cash Flow'!$B41,'Prelim Budget'!$B$9:$B$33,0)),0,IF('Cash Flow'!AP41&lt;&gt;0,'Cash Flow'!AP41,0))),0)</f>
        <v>0</v>
      </c>
      <c r="AR41" s="153">
        <f ca="1">IFERROR(IF(LEFT(OFFSET(AR$2,0,-$C41),3)="A&amp;D",-INDEX('Prelim Budget'!$C$9:$C$33,MATCH('Cash Flow'!$B41,'Prelim Budget'!$B$9:$B$33,0))/'Cash Flow'!$E41,IF(SUM('Cash Flow'!$F41:AQ41)=-INDEX('Prelim Budget'!$C$9:$C$33,MATCH('Cash Flow'!$B41,'Prelim Budget'!$B$9:$B$33,0)),0,IF('Cash Flow'!AQ41&lt;&gt;0,'Cash Flow'!AQ41,0))),0)</f>
        <v>0</v>
      </c>
      <c r="AS41" s="153">
        <f ca="1">IFERROR(IF(LEFT(OFFSET(AS$2,0,-$C41),3)="A&amp;D",-INDEX('Prelim Budget'!$C$9:$C$33,MATCH('Cash Flow'!$B41,'Prelim Budget'!$B$9:$B$33,0))/'Cash Flow'!$E41,IF(SUM('Cash Flow'!$F41:AR41)=-INDEX('Prelim Budget'!$C$9:$C$33,MATCH('Cash Flow'!$B41,'Prelim Budget'!$B$9:$B$33,0)),0,IF('Cash Flow'!AR41&lt;&gt;0,'Cash Flow'!AR41,0))),0)</f>
        <v>0</v>
      </c>
      <c r="AT41" s="153">
        <f ca="1">IFERROR(IF(LEFT(OFFSET(AT$2,0,-$C41),3)="A&amp;D",-INDEX('Prelim Budget'!$C$9:$C$33,MATCH('Cash Flow'!$B41,'Prelim Budget'!$B$9:$B$33,0))/'Cash Flow'!$E41,IF(SUM('Cash Flow'!$F41:AS41)=-INDEX('Prelim Budget'!$C$9:$C$33,MATCH('Cash Flow'!$B41,'Prelim Budget'!$B$9:$B$33,0)),0,IF('Cash Flow'!AS41&lt;&gt;0,'Cash Flow'!AS41,0))),0)</f>
        <v>0</v>
      </c>
      <c r="AU41" s="153">
        <f ca="1">IFERROR(IF(LEFT(OFFSET(AU$2,0,-$C41),3)="A&amp;D",-INDEX('Prelim Budget'!$C$9:$C$33,MATCH('Cash Flow'!$B41,'Prelim Budget'!$B$9:$B$33,0))/'Cash Flow'!$E41,IF(SUM('Cash Flow'!$F41:AT41)=-INDEX('Prelim Budget'!$C$9:$C$33,MATCH('Cash Flow'!$B41,'Prelim Budget'!$B$9:$B$33,0)),0,IF('Cash Flow'!AT41&lt;&gt;0,'Cash Flow'!AT41,0))),0)</f>
        <v>0</v>
      </c>
      <c r="AV41" s="153">
        <f ca="1">IFERROR(IF(LEFT(OFFSET(AV$2,0,-$C41),3)="A&amp;D",-INDEX('Prelim Budget'!$C$9:$C$33,MATCH('Cash Flow'!$B41,'Prelim Budget'!$B$9:$B$33,0))/'Cash Flow'!$E41,IF(SUM('Cash Flow'!$F41:AU41)=-INDEX('Prelim Budget'!$C$9:$C$33,MATCH('Cash Flow'!$B41,'Prelim Budget'!$B$9:$B$33,0)),0,IF('Cash Flow'!AU41&lt;&gt;0,'Cash Flow'!AU41,0))),0)</f>
        <v>0</v>
      </c>
      <c r="AW41" s="153">
        <f ca="1">IFERROR(IF(LEFT(OFFSET(AW$2,0,-$C41),3)="A&amp;D",-INDEX('Prelim Budget'!$C$9:$C$33,MATCH('Cash Flow'!$B41,'Prelim Budget'!$B$9:$B$33,0))/'Cash Flow'!$E41,IF(SUM('Cash Flow'!$F41:AV41)=-INDEX('Prelim Budget'!$C$9:$C$33,MATCH('Cash Flow'!$B41,'Prelim Budget'!$B$9:$B$33,0)),0,IF('Cash Flow'!AV41&lt;&gt;0,'Cash Flow'!AV41,0))),0)</f>
        <v>0</v>
      </c>
      <c r="AX41" s="153">
        <f ca="1">IFERROR(IF(LEFT(OFFSET(AX$2,0,-$C41),3)="A&amp;D",-INDEX('Prelim Budget'!$C$9:$C$33,MATCH('Cash Flow'!$B41,'Prelim Budget'!$B$9:$B$33,0))/'Cash Flow'!$E41,IF(SUM('Cash Flow'!$F41:AW41)=-INDEX('Prelim Budget'!$C$9:$C$33,MATCH('Cash Flow'!$B41,'Prelim Budget'!$B$9:$B$33,0)),0,IF('Cash Flow'!AW41&lt;&gt;0,'Cash Flow'!AW41,0))),0)</f>
        <v>0</v>
      </c>
      <c r="AY41" s="153">
        <f ca="1">IFERROR(IF(LEFT(OFFSET(AY$2,0,-$C41),3)="A&amp;D",-INDEX('Prelim Budget'!$C$9:$C$33,MATCH('Cash Flow'!$B41,'Prelim Budget'!$B$9:$B$33,0))/'Cash Flow'!$E41,IF(SUM('Cash Flow'!$F41:AX41)=-INDEX('Prelim Budget'!$C$9:$C$33,MATCH('Cash Flow'!$B41,'Prelim Budget'!$B$9:$B$33,0)),0,IF('Cash Flow'!AX41&lt;&gt;0,'Cash Flow'!AX41,0))),0)</f>
        <v>0</v>
      </c>
      <c r="AZ41" s="153">
        <f ca="1">IFERROR(IF(LEFT(OFFSET(AZ$2,0,-$C41),3)="A&amp;D",-INDEX('Prelim Budget'!$C$9:$C$33,MATCH('Cash Flow'!$B41,'Prelim Budget'!$B$9:$B$33,0))/'Cash Flow'!$E41,IF(SUM('Cash Flow'!$F41:AY41)=-INDEX('Prelim Budget'!$C$9:$C$33,MATCH('Cash Flow'!$B41,'Prelim Budget'!$B$9:$B$33,0)),0,IF('Cash Flow'!AY41&lt;&gt;0,'Cash Flow'!AY41,0))),0)</f>
        <v>0</v>
      </c>
      <c r="BA41" s="153">
        <f ca="1">IFERROR(IF(LEFT(OFFSET(BA$2,0,-$C41),3)="A&amp;D",-INDEX('Prelim Budget'!$C$9:$C$33,MATCH('Cash Flow'!$B41,'Prelim Budget'!$B$9:$B$33,0))/'Cash Flow'!$E41,IF(SUM('Cash Flow'!$F41:AZ41)=-INDEX('Prelim Budget'!$C$9:$C$33,MATCH('Cash Flow'!$B41,'Prelim Budget'!$B$9:$B$33,0)),0,IF('Cash Flow'!AZ41&lt;&gt;0,'Cash Flow'!AZ41,0))),0)</f>
        <v>0</v>
      </c>
      <c r="BB41" s="153">
        <f ca="1">IFERROR(IF(LEFT(OFFSET(BB$2,0,-$C41),3)="A&amp;D",-INDEX('Prelim Budget'!$C$9:$C$33,MATCH('Cash Flow'!$B41,'Prelim Budget'!$B$9:$B$33,0))/'Cash Flow'!$E41,IF(SUM('Cash Flow'!$F41:BA41)=-INDEX('Prelim Budget'!$C$9:$C$33,MATCH('Cash Flow'!$B41,'Prelim Budget'!$B$9:$B$33,0)),0,IF('Cash Flow'!BA41&lt;&gt;0,'Cash Flow'!BA41,0))),0)</f>
        <v>0</v>
      </c>
      <c r="BC41" s="153">
        <f ca="1">IFERROR(IF(LEFT(OFFSET(BC$2,0,-$C41),3)="A&amp;D",-INDEX('Prelim Budget'!$C$9:$C$33,MATCH('Cash Flow'!$B41,'Prelim Budget'!$B$9:$B$33,0))/'Cash Flow'!$E41,IF(SUM('Cash Flow'!$F41:BB41)=-INDEX('Prelim Budget'!$C$9:$C$33,MATCH('Cash Flow'!$B41,'Prelim Budget'!$B$9:$B$33,0)),0,IF('Cash Flow'!BB41&lt;&gt;0,'Cash Flow'!BB41,0))),0)</f>
        <v>0</v>
      </c>
      <c r="BD41" s="153">
        <f ca="1">IFERROR(IF(LEFT(OFFSET(BD$2,0,-$C41),3)="A&amp;D",-INDEX('Prelim Budget'!$C$9:$C$33,MATCH('Cash Flow'!$B41,'Prelim Budget'!$B$9:$B$33,0))/'Cash Flow'!$E41,IF(SUM('Cash Flow'!$F41:BC41)=-INDEX('Prelim Budget'!$C$9:$C$33,MATCH('Cash Flow'!$B41,'Prelim Budget'!$B$9:$B$33,0)),0,IF('Cash Flow'!BC41&lt;&gt;0,'Cash Flow'!BC41,0))),0)</f>
        <v>0</v>
      </c>
      <c r="BE41" s="153">
        <f ca="1">IFERROR(IF(LEFT(OFFSET(BE$2,0,-$C41),3)="A&amp;D",-INDEX('Prelim Budget'!$C$9:$C$33,MATCH('Cash Flow'!$B41,'Prelim Budget'!$B$9:$B$33,0))/'Cash Flow'!$E41,IF(SUM('Cash Flow'!$F41:BD41)=-INDEX('Prelim Budget'!$C$9:$C$33,MATCH('Cash Flow'!$B41,'Prelim Budget'!$B$9:$B$33,0)),0,IF('Cash Flow'!BD41&lt;&gt;0,'Cash Flow'!BD41,0))),0)</f>
        <v>0</v>
      </c>
      <c r="BF41" s="153">
        <f ca="1">IFERROR(IF(LEFT(OFFSET(BF$2,0,-$C41),3)="A&amp;D",-INDEX('Prelim Budget'!$C$9:$C$33,MATCH('Cash Flow'!$B41,'Prelim Budget'!$B$9:$B$33,0))/'Cash Flow'!$E41,IF(SUM('Cash Flow'!$F41:BE41)=-INDEX('Prelim Budget'!$C$9:$C$33,MATCH('Cash Flow'!$B41,'Prelim Budget'!$B$9:$B$33,0)),0,IF('Cash Flow'!BE41&lt;&gt;0,'Cash Flow'!BE41,0))),0)</f>
        <v>0</v>
      </c>
      <c r="BG41" s="153">
        <f ca="1">IFERROR(IF(LEFT(OFFSET(BG$2,0,-$C41),3)="A&amp;D",-INDEX('Prelim Budget'!$C$9:$C$33,MATCH('Cash Flow'!$B41,'Prelim Budget'!$B$9:$B$33,0))/'Cash Flow'!$E41,IF(SUM('Cash Flow'!$F41:BF41)=-INDEX('Prelim Budget'!$C$9:$C$33,MATCH('Cash Flow'!$B41,'Prelim Budget'!$B$9:$B$33,0)),0,IF('Cash Flow'!BF41&lt;&gt;0,'Cash Flow'!BF41,0))),0)</f>
        <v>0</v>
      </c>
      <c r="BH41" s="153">
        <f ca="1">IFERROR(IF(LEFT(OFFSET(BH$2,0,-$C41),3)="A&amp;D",-INDEX('Prelim Budget'!$C$9:$C$33,MATCH('Cash Flow'!$B41,'Prelim Budget'!$B$9:$B$33,0))/'Cash Flow'!$E41,IF(SUM('Cash Flow'!$F41:BG41)=-INDEX('Prelim Budget'!$C$9:$C$33,MATCH('Cash Flow'!$B41,'Prelim Budget'!$B$9:$B$33,0)),0,IF('Cash Flow'!BG41&lt;&gt;0,'Cash Flow'!BG41,0))),0)</f>
        <v>0</v>
      </c>
      <c r="BI41" s="153">
        <f ca="1">IFERROR(IF(LEFT(OFFSET(BI$2,0,-$C41),3)="A&amp;D",-INDEX('Prelim Budget'!$C$9:$C$33,MATCH('Cash Flow'!$B41,'Prelim Budget'!$B$9:$B$33,0))/'Cash Flow'!$E41,IF(SUM('Cash Flow'!$F41:BH41)=-INDEX('Prelim Budget'!$C$9:$C$33,MATCH('Cash Flow'!$B41,'Prelim Budget'!$B$9:$B$33,0)),0,IF('Cash Flow'!BH41&lt;&gt;0,'Cash Flow'!BH41,0))),0)</f>
        <v>0</v>
      </c>
      <c r="BJ41" s="153">
        <f ca="1">IFERROR(IF(LEFT(OFFSET(BJ$2,0,-$C41),3)="A&amp;D",-INDEX('Prelim Budget'!$C$9:$C$33,MATCH('Cash Flow'!$B41,'Prelim Budget'!$B$9:$B$33,0))/'Cash Flow'!$E41,IF(SUM('Cash Flow'!$F41:BI41)=-INDEX('Prelim Budget'!$C$9:$C$33,MATCH('Cash Flow'!$B41,'Prelim Budget'!$B$9:$B$33,0)),0,IF('Cash Flow'!BI41&lt;&gt;0,'Cash Flow'!BI41,0))),0)</f>
        <v>0</v>
      </c>
      <c r="BK41" s="153">
        <f ca="1">IFERROR(IF(LEFT(OFFSET(BK$2,0,-$C41),3)="A&amp;D",-INDEX('Prelim Budget'!$C$9:$C$33,MATCH('Cash Flow'!$B41,'Prelim Budget'!$B$9:$B$33,0))/'Cash Flow'!$E41,IF(SUM('Cash Flow'!$F41:BJ41)=-INDEX('Prelim Budget'!$C$9:$C$33,MATCH('Cash Flow'!$B41,'Prelim Budget'!$B$9:$B$33,0)),0,IF('Cash Flow'!BJ41&lt;&gt;0,'Cash Flow'!BJ41,0))),0)</f>
        <v>0</v>
      </c>
      <c r="BL41" s="153">
        <f ca="1">IFERROR(IF(LEFT(OFFSET(BL$2,0,-$C41),3)="A&amp;D",-INDEX('Prelim Budget'!$C$9:$C$33,MATCH('Cash Flow'!$B41,'Prelim Budget'!$B$9:$B$33,0))/'Cash Flow'!$E41,IF(SUM('Cash Flow'!$F41:BK41)=-INDEX('Prelim Budget'!$C$9:$C$33,MATCH('Cash Flow'!$B41,'Prelim Budget'!$B$9:$B$33,0)),0,IF('Cash Flow'!BK41&lt;&gt;0,'Cash Flow'!BK41,0))),0)</f>
        <v>0</v>
      </c>
      <c r="BM41" s="153">
        <f ca="1">IFERROR(IF(LEFT(OFFSET(BM$2,0,-$C41),3)="A&amp;D",-INDEX('Prelim Budget'!$C$9:$C$33,MATCH('Cash Flow'!$B41,'Prelim Budget'!$B$9:$B$33,0))/'Cash Flow'!$E41,IF(SUM('Cash Flow'!$F41:BL41)=-INDEX('Prelim Budget'!$C$9:$C$33,MATCH('Cash Flow'!$B41,'Prelim Budget'!$B$9:$B$33,0)),0,IF('Cash Flow'!BL41&lt;&gt;0,'Cash Flow'!BL41,0))),0)</f>
        <v>0</v>
      </c>
      <c r="BN41" s="153">
        <f ca="1">IFERROR(IF(LEFT(OFFSET(BN$2,0,-$C41),3)="A&amp;D",-INDEX('Prelim Budget'!$C$9:$C$33,MATCH('Cash Flow'!$B41,'Prelim Budget'!$B$9:$B$33,0))/'Cash Flow'!$E41,IF(SUM('Cash Flow'!$F41:BM41)=-INDEX('Prelim Budget'!$C$9:$C$33,MATCH('Cash Flow'!$B41,'Prelim Budget'!$B$9:$B$33,0)),0,IF('Cash Flow'!BM41&lt;&gt;0,'Cash Flow'!BM41,0))),0)</f>
        <v>0</v>
      </c>
      <c r="BO41" s="50">
        <f ca="1">IFERROR(IF(LEFT(OFFSET(BO$2,0,-$C41),3)="A&amp;D",-INDEX('Prelim Budget'!$C$9:$C$33,MATCH('Cash Flow'!$B41,'Prelim Budget'!$B$9:$B$33,0))/'Cash Flow'!$E41,IF(SUM('Cash Flow'!$F41:BN41)=-INDEX('Prelim Budget'!$C$9:$C$33,MATCH('Cash Flow'!$B41,'Prelim Budget'!$B$9:$B$33,0)),0,IF('Cash Flow'!BN41&lt;&gt;0,'Cash Flow'!BN41,0))),0)</f>
        <v>0</v>
      </c>
    </row>
    <row r="42" spans="2:67" ht="14.05" customHeight="1" x14ac:dyDescent="0.4">
      <c r="B42" s="123" t="s">
        <v>172</v>
      </c>
      <c r="C42" s="80">
        <v>0</v>
      </c>
      <c r="D42" s="153">
        <f t="shared" ca="1" si="11"/>
        <v>0</v>
      </c>
      <c r="E42" s="82">
        <v>0</v>
      </c>
      <c r="F42" s="157"/>
      <c r="G42" s="134">
        <f ca="1">IFERROR(IF(LEFT(OFFSET(G$2,0,-$C42),3)="A&amp;D",-INDEX('Prelim Budget'!$C$9:$C$33,MATCH('Cash Flow'!$B42,'Prelim Budget'!$B$9:$B$33,0))/'Cash Flow'!$E42,IF(SUM('Cash Flow'!$F42:F42)=-INDEX('Prelim Budget'!$C$9:$C$33,MATCH('Cash Flow'!$B42,'Prelim Budget'!$B$9:$B$33,0)),0,IF('Cash Flow'!F42&lt;&gt;0,'Cash Flow'!F42,0))),0)</f>
        <v>0</v>
      </c>
      <c r="H42" s="153">
        <f ca="1">IFERROR(IF(LEFT(OFFSET(H$2,0,-$C42),3)="A&amp;D",-INDEX('Prelim Budget'!$C$9:$C$33,MATCH('Cash Flow'!$B42,'Prelim Budget'!$B$9:$B$33,0))/'Cash Flow'!$E42,IF(SUM('Cash Flow'!$F42:G42)=-INDEX('Prelim Budget'!$C$9:$C$33,MATCH('Cash Flow'!$B42,'Prelim Budget'!$B$9:$B$33,0)),0,IF('Cash Flow'!G42&lt;&gt;0,'Cash Flow'!G42,0))),0)</f>
        <v>0</v>
      </c>
      <c r="I42" s="153">
        <f ca="1">IFERROR(IF(LEFT(OFFSET(I$2,0,-$C42),3)="A&amp;D",-INDEX('Prelim Budget'!$C$9:$C$33,MATCH('Cash Flow'!$B42,'Prelim Budget'!$B$9:$B$33,0))/'Cash Flow'!$E42,IF(SUM('Cash Flow'!$F42:H42)=-INDEX('Prelim Budget'!$C$9:$C$33,MATCH('Cash Flow'!$B42,'Prelim Budget'!$B$9:$B$33,0)),0,IF('Cash Flow'!H42&lt;&gt;0,'Cash Flow'!H42,0))),0)</f>
        <v>0</v>
      </c>
      <c r="J42" s="153">
        <f ca="1">IFERROR(IF(LEFT(OFFSET(J$2,0,-$C42),3)="A&amp;D",-INDEX('Prelim Budget'!$C$9:$C$33,MATCH('Cash Flow'!$B42,'Prelim Budget'!$B$9:$B$33,0))/'Cash Flow'!$E42,IF(SUM('Cash Flow'!$F42:I42)=-INDEX('Prelim Budget'!$C$9:$C$33,MATCH('Cash Flow'!$B42,'Prelim Budget'!$B$9:$B$33,0)),0,IF('Cash Flow'!I42&lt;&gt;0,'Cash Flow'!I42,0))),0)</f>
        <v>0</v>
      </c>
      <c r="K42" s="153">
        <f ca="1">IFERROR(IF(LEFT(OFFSET(K$2,0,-$C42),3)="A&amp;D",-INDEX('Prelim Budget'!$C$9:$C$33,MATCH('Cash Flow'!$B42,'Prelim Budget'!$B$9:$B$33,0))/'Cash Flow'!$E42,IF(SUM('Cash Flow'!$F42:J42)=-INDEX('Prelim Budget'!$C$9:$C$33,MATCH('Cash Flow'!$B42,'Prelim Budget'!$B$9:$B$33,0)),0,IF('Cash Flow'!J42&lt;&gt;0,'Cash Flow'!J42,0))),0)</f>
        <v>0</v>
      </c>
      <c r="L42" s="153">
        <f ca="1">IFERROR(IF(LEFT(OFFSET(L$2,0,-$C42),3)="A&amp;D",-INDEX('Prelim Budget'!$C$9:$C$33,MATCH('Cash Flow'!$B42,'Prelim Budget'!$B$9:$B$33,0))/'Cash Flow'!$E42,IF(SUM('Cash Flow'!$F42:K42)=-INDEX('Prelim Budget'!$C$9:$C$33,MATCH('Cash Flow'!$B42,'Prelim Budget'!$B$9:$B$33,0)),0,IF('Cash Flow'!K42&lt;&gt;0,'Cash Flow'!K42,0))),0)</f>
        <v>0</v>
      </c>
      <c r="M42" s="153">
        <f ca="1">IFERROR(IF(LEFT(OFFSET(M$2,0,-$C42),3)="A&amp;D",-INDEX('Prelim Budget'!$C$9:$C$33,MATCH('Cash Flow'!$B42,'Prelim Budget'!$B$9:$B$33,0))/'Cash Flow'!$E42,IF(SUM('Cash Flow'!$F42:L42)=-INDEX('Prelim Budget'!$C$9:$C$33,MATCH('Cash Flow'!$B42,'Prelim Budget'!$B$9:$B$33,0)),0,IF('Cash Flow'!L42&lt;&gt;0,'Cash Flow'!L42,0))),0)</f>
        <v>0</v>
      </c>
      <c r="N42" s="153">
        <f ca="1">IFERROR(IF(LEFT(OFFSET(N$2,0,-$C42),3)="A&amp;D",-INDEX('Prelim Budget'!$C$9:$C$33,MATCH('Cash Flow'!$B42,'Prelim Budget'!$B$9:$B$33,0))/'Cash Flow'!$E42,IF(SUM('Cash Flow'!$F42:M42)=-INDEX('Prelim Budget'!$C$9:$C$33,MATCH('Cash Flow'!$B42,'Prelim Budget'!$B$9:$B$33,0)),0,IF('Cash Flow'!M42&lt;&gt;0,'Cash Flow'!M42,0))),0)</f>
        <v>0</v>
      </c>
      <c r="O42" s="153">
        <f ca="1">IFERROR(IF(LEFT(OFFSET(O$2,0,-$C42),3)="A&amp;D",-INDEX('Prelim Budget'!$C$9:$C$33,MATCH('Cash Flow'!$B42,'Prelim Budget'!$B$9:$B$33,0))/'Cash Flow'!$E42,IF(SUM('Cash Flow'!$F42:N42)=-INDEX('Prelim Budget'!$C$9:$C$33,MATCH('Cash Flow'!$B42,'Prelim Budget'!$B$9:$B$33,0)),0,IF('Cash Flow'!N42&lt;&gt;0,'Cash Flow'!N42,0))),0)</f>
        <v>0</v>
      </c>
      <c r="P42" s="153">
        <f ca="1">IFERROR(IF(LEFT(OFFSET(P$2,0,-$C42),3)="A&amp;D",-INDEX('Prelim Budget'!$C$9:$C$33,MATCH('Cash Flow'!$B42,'Prelim Budget'!$B$9:$B$33,0))/'Cash Flow'!$E42,IF(SUM('Cash Flow'!$F42:O42)=-INDEX('Prelim Budget'!$C$9:$C$33,MATCH('Cash Flow'!$B42,'Prelim Budget'!$B$9:$B$33,0)),0,IF('Cash Flow'!O42&lt;&gt;0,'Cash Flow'!O42,0))),0)</f>
        <v>0</v>
      </c>
      <c r="Q42" s="153">
        <f ca="1">IFERROR(IF(LEFT(OFFSET(Q$2,0,-$C42),3)="A&amp;D",-INDEX('Prelim Budget'!$C$9:$C$33,MATCH('Cash Flow'!$B42,'Prelim Budget'!$B$9:$B$33,0))/'Cash Flow'!$E42,IF(SUM('Cash Flow'!$F42:P42)=-INDEX('Prelim Budget'!$C$9:$C$33,MATCH('Cash Flow'!$B42,'Prelim Budget'!$B$9:$B$33,0)),0,IF('Cash Flow'!P42&lt;&gt;0,'Cash Flow'!P42,0))),0)</f>
        <v>0</v>
      </c>
      <c r="R42" s="153">
        <f ca="1">IFERROR(IF(LEFT(OFFSET(R$2,0,-$C42),3)="A&amp;D",-INDEX('Prelim Budget'!$C$9:$C$33,MATCH('Cash Flow'!$B42,'Prelim Budget'!$B$9:$B$33,0))/'Cash Flow'!$E42,IF(SUM('Cash Flow'!$F42:Q42)=-INDEX('Prelim Budget'!$C$9:$C$33,MATCH('Cash Flow'!$B42,'Prelim Budget'!$B$9:$B$33,0)),0,IF('Cash Flow'!Q42&lt;&gt;0,'Cash Flow'!Q42,0))),0)</f>
        <v>0</v>
      </c>
      <c r="S42" s="153">
        <f ca="1">IFERROR(IF(LEFT(OFFSET(S$2,0,-$C42),3)="A&amp;D",-INDEX('Prelim Budget'!$C$9:$C$33,MATCH('Cash Flow'!$B42,'Prelim Budget'!$B$9:$B$33,0))/'Cash Flow'!$E42,IF(SUM('Cash Flow'!$F42:R42)=-INDEX('Prelim Budget'!$C$9:$C$33,MATCH('Cash Flow'!$B42,'Prelim Budget'!$B$9:$B$33,0)),0,IF('Cash Flow'!R42&lt;&gt;0,'Cash Flow'!R42,0))),0)</f>
        <v>0</v>
      </c>
      <c r="T42" s="153">
        <f ca="1">IFERROR(IF(LEFT(OFFSET(T$2,0,-$C42),3)="A&amp;D",-INDEX('Prelim Budget'!$C$9:$C$33,MATCH('Cash Flow'!$B42,'Prelim Budget'!$B$9:$B$33,0))/'Cash Flow'!$E42,IF(SUM('Cash Flow'!$F42:S42)=-INDEX('Prelim Budget'!$C$9:$C$33,MATCH('Cash Flow'!$B42,'Prelim Budget'!$B$9:$B$33,0)),0,IF('Cash Flow'!S42&lt;&gt;0,'Cash Flow'!S42,0))),0)</f>
        <v>0</v>
      </c>
      <c r="U42" s="153">
        <f ca="1">IFERROR(IF(LEFT(OFFSET(U$2,0,-$C42),3)="A&amp;D",-INDEX('Prelim Budget'!$C$9:$C$33,MATCH('Cash Flow'!$B42,'Prelim Budget'!$B$9:$B$33,0))/'Cash Flow'!$E42,IF(SUM('Cash Flow'!$F42:T42)=-INDEX('Prelim Budget'!$C$9:$C$33,MATCH('Cash Flow'!$B42,'Prelim Budget'!$B$9:$B$33,0)),0,IF('Cash Flow'!T42&lt;&gt;0,'Cash Flow'!T42,0))),0)</f>
        <v>0</v>
      </c>
      <c r="V42" s="153">
        <f ca="1">IFERROR(IF(LEFT(OFFSET(V$2,0,-$C42),3)="A&amp;D",-INDEX('Prelim Budget'!$C$9:$C$33,MATCH('Cash Flow'!$B42,'Prelim Budget'!$B$9:$B$33,0))/'Cash Flow'!$E42,IF(SUM('Cash Flow'!$F42:U42)=-INDEX('Prelim Budget'!$C$9:$C$33,MATCH('Cash Flow'!$B42,'Prelim Budget'!$B$9:$B$33,0)),0,IF('Cash Flow'!U42&lt;&gt;0,'Cash Flow'!U42,0))),0)</f>
        <v>0</v>
      </c>
      <c r="W42" s="153">
        <f ca="1">IFERROR(IF(LEFT(OFFSET(W$2,0,-$C42),3)="A&amp;D",-INDEX('Prelim Budget'!$C$9:$C$33,MATCH('Cash Flow'!$B42,'Prelim Budget'!$B$9:$B$33,0))/'Cash Flow'!$E42,IF(SUM('Cash Flow'!$F42:V42)=-INDEX('Prelim Budget'!$C$9:$C$33,MATCH('Cash Flow'!$B42,'Prelim Budget'!$B$9:$B$33,0)),0,IF('Cash Flow'!V42&lt;&gt;0,'Cash Flow'!V42,0))),0)</f>
        <v>0</v>
      </c>
      <c r="X42" s="153">
        <f ca="1">IFERROR(IF(LEFT(OFFSET(X$2,0,-$C42),3)="A&amp;D",-INDEX('Prelim Budget'!$C$9:$C$33,MATCH('Cash Flow'!$B42,'Prelim Budget'!$B$9:$B$33,0))/'Cash Flow'!$E42,IF(SUM('Cash Flow'!$F42:W42)=-INDEX('Prelim Budget'!$C$9:$C$33,MATCH('Cash Flow'!$B42,'Prelim Budget'!$B$9:$B$33,0)),0,IF('Cash Flow'!W42&lt;&gt;0,'Cash Flow'!W42,0))),0)</f>
        <v>0</v>
      </c>
      <c r="Y42" s="153">
        <f ca="1">IFERROR(IF(LEFT(OFFSET(Y$2,0,-$C42),3)="A&amp;D",-INDEX('Prelim Budget'!$C$9:$C$33,MATCH('Cash Flow'!$B42,'Prelim Budget'!$B$9:$B$33,0))/'Cash Flow'!$E42,IF(SUM('Cash Flow'!$F42:X42)=-INDEX('Prelim Budget'!$C$9:$C$33,MATCH('Cash Flow'!$B42,'Prelim Budget'!$B$9:$B$33,0)),0,IF('Cash Flow'!X42&lt;&gt;0,'Cash Flow'!X42,0))),0)</f>
        <v>0</v>
      </c>
      <c r="Z42" s="153">
        <f ca="1">IFERROR(IF(LEFT(OFFSET(Z$2,0,-$C42),3)="A&amp;D",-INDEX('Prelim Budget'!$C$9:$C$33,MATCH('Cash Flow'!$B42,'Prelim Budget'!$B$9:$B$33,0))/'Cash Flow'!$E42,IF(SUM('Cash Flow'!$F42:Y42)=-INDEX('Prelim Budget'!$C$9:$C$33,MATCH('Cash Flow'!$B42,'Prelim Budget'!$B$9:$B$33,0)),0,IF('Cash Flow'!Y42&lt;&gt;0,'Cash Flow'!Y42,0))),0)</f>
        <v>0</v>
      </c>
      <c r="AA42" s="153">
        <f ca="1">IFERROR(IF(LEFT(OFFSET(AA$2,0,-$C42),3)="A&amp;D",-INDEX('Prelim Budget'!$C$9:$C$33,MATCH('Cash Flow'!$B42,'Prelim Budget'!$B$9:$B$33,0))/'Cash Flow'!$E42,IF(SUM('Cash Flow'!$F42:Z42)=-INDEX('Prelim Budget'!$C$9:$C$33,MATCH('Cash Flow'!$B42,'Prelim Budget'!$B$9:$B$33,0)),0,IF('Cash Flow'!Z42&lt;&gt;0,'Cash Flow'!Z42,0))),0)</f>
        <v>0</v>
      </c>
      <c r="AB42" s="153">
        <f ca="1">IFERROR(IF(LEFT(OFFSET(AB$2,0,-$C42),3)="A&amp;D",-INDEX('Prelim Budget'!$C$9:$C$33,MATCH('Cash Flow'!$B42,'Prelim Budget'!$B$9:$B$33,0))/'Cash Flow'!$E42,IF(SUM('Cash Flow'!$F42:AA42)=-INDEX('Prelim Budget'!$C$9:$C$33,MATCH('Cash Flow'!$B42,'Prelim Budget'!$B$9:$B$33,0)),0,IF('Cash Flow'!AA42&lt;&gt;0,'Cash Flow'!AA42,0))),0)</f>
        <v>0</v>
      </c>
      <c r="AC42" s="153">
        <f ca="1">IFERROR(IF(LEFT(OFFSET(AC$2,0,-$C42),3)="A&amp;D",-INDEX('Prelim Budget'!$C$9:$C$33,MATCH('Cash Flow'!$B42,'Prelim Budget'!$B$9:$B$33,0))/'Cash Flow'!$E42,IF(SUM('Cash Flow'!$F42:AB42)=-INDEX('Prelim Budget'!$C$9:$C$33,MATCH('Cash Flow'!$B42,'Prelim Budget'!$B$9:$B$33,0)),0,IF('Cash Flow'!AB42&lt;&gt;0,'Cash Flow'!AB42,0))),0)</f>
        <v>0</v>
      </c>
      <c r="AD42" s="153">
        <f ca="1">IFERROR(IF(LEFT(OFFSET(AD$2,0,-$C42),3)="A&amp;D",-INDEX('Prelim Budget'!$C$9:$C$33,MATCH('Cash Flow'!$B42,'Prelim Budget'!$B$9:$B$33,0))/'Cash Flow'!$E42,IF(SUM('Cash Flow'!$F42:AC42)=-INDEX('Prelim Budget'!$C$9:$C$33,MATCH('Cash Flow'!$B42,'Prelim Budget'!$B$9:$B$33,0)),0,IF('Cash Flow'!AC42&lt;&gt;0,'Cash Flow'!AC42,0))),0)</f>
        <v>0</v>
      </c>
      <c r="AE42" s="153">
        <f ca="1">IFERROR(IF(LEFT(OFFSET(AE$2,0,-$C42),3)="A&amp;D",-INDEX('Prelim Budget'!$C$9:$C$33,MATCH('Cash Flow'!$B42,'Prelim Budget'!$B$9:$B$33,0))/'Cash Flow'!$E42,IF(SUM('Cash Flow'!$F42:AD42)=-INDEX('Prelim Budget'!$C$9:$C$33,MATCH('Cash Flow'!$B42,'Prelim Budget'!$B$9:$B$33,0)),0,IF('Cash Flow'!AD42&lt;&gt;0,'Cash Flow'!AD42,0))),0)</f>
        <v>0</v>
      </c>
      <c r="AF42" s="153">
        <f ca="1">IFERROR(IF(LEFT(OFFSET(AF$2,0,-$C42),3)="A&amp;D",-INDEX('Prelim Budget'!$C$9:$C$33,MATCH('Cash Flow'!$B42,'Prelim Budget'!$B$9:$B$33,0))/'Cash Flow'!$E42,IF(SUM('Cash Flow'!$F42:AE42)=-INDEX('Prelim Budget'!$C$9:$C$33,MATCH('Cash Flow'!$B42,'Prelim Budget'!$B$9:$B$33,0)),0,IF('Cash Flow'!AE42&lt;&gt;0,'Cash Flow'!AE42,0))),0)</f>
        <v>0</v>
      </c>
      <c r="AG42" s="153">
        <f ca="1">IFERROR(IF(LEFT(OFFSET(AG$2,0,-$C42),3)="A&amp;D",-INDEX('Prelim Budget'!$C$9:$C$33,MATCH('Cash Flow'!$B42,'Prelim Budget'!$B$9:$B$33,0))/'Cash Flow'!$E42,IF(SUM('Cash Flow'!$F42:AF42)=-INDEX('Prelim Budget'!$C$9:$C$33,MATCH('Cash Flow'!$B42,'Prelim Budget'!$B$9:$B$33,0)),0,IF('Cash Flow'!AF42&lt;&gt;0,'Cash Flow'!AF42,0))),0)</f>
        <v>0</v>
      </c>
      <c r="AH42" s="153">
        <f ca="1">IFERROR(IF(LEFT(OFFSET(AH$2,0,-$C42),3)="A&amp;D",-INDEX('Prelim Budget'!$C$9:$C$33,MATCH('Cash Flow'!$B42,'Prelim Budget'!$B$9:$B$33,0))/'Cash Flow'!$E42,IF(SUM('Cash Flow'!$F42:AG42)=-INDEX('Prelim Budget'!$C$9:$C$33,MATCH('Cash Flow'!$B42,'Prelim Budget'!$B$9:$B$33,0)),0,IF('Cash Flow'!AG42&lt;&gt;0,'Cash Flow'!AG42,0))),0)</f>
        <v>0</v>
      </c>
      <c r="AI42" s="153">
        <f ca="1">IFERROR(IF(LEFT(OFFSET(AI$2,0,-$C42),3)="A&amp;D",-INDEX('Prelim Budget'!$C$9:$C$33,MATCH('Cash Flow'!$B42,'Prelim Budget'!$B$9:$B$33,0))/'Cash Flow'!$E42,IF(SUM('Cash Flow'!$F42:AH42)=-INDEX('Prelim Budget'!$C$9:$C$33,MATCH('Cash Flow'!$B42,'Prelim Budget'!$B$9:$B$33,0)),0,IF('Cash Flow'!AH42&lt;&gt;0,'Cash Flow'!AH42,0))),0)</f>
        <v>0</v>
      </c>
      <c r="AJ42" s="153">
        <f ca="1">IFERROR(IF(LEFT(OFFSET(AJ$2,0,-$C42),3)="A&amp;D",-INDEX('Prelim Budget'!$C$9:$C$33,MATCH('Cash Flow'!$B42,'Prelim Budget'!$B$9:$B$33,0))/'Cash Flow'!$E42,IF(SUM('Cash Flow'!$F42:AI42)=-INDEX('Prelim Budget'!$C$9:$C$33,MATCH('Cash Flow'!$B42,'Prelim Budget'!$B$9:$B$33,0)),0,IF('Cash Flow'!AI42&lt;&gt;0,'Cash Flow'!AI42,0))),0)</f>
        <v>0</v>
      </c>
      <c r="AK42" s="153">
        <f ca="1">IFERROR(IF(LEFT(OFFSET(AK$2,0,-$C42),3)="A&amp;D",-INDEX('Prelim Budget'!$C$9:$C$33,MATCH('Cash Flow'!$B42,'Prelim Budget'!$B$9:$B$33,0))/'Cash Flow'!$E42,IF(SUM('Cash Flow'!$F42:AJ42)=-INDEX('Prelim Budget'!$C$9:$C$33,MATCH('Cash Flow'!$B42,'Prelim Budget'!$B$9:$B$33,0)),0,IF('Cash Flow'!AJ42&lt;&gt;0,'Cash Flow'!AJ42,0))),0)</f>
        <v>0</v>
      </c>
      <c r="AL42" s="153">
        <f ca="1">IFERROR(IF(LEFT(OFFSET(AL$2,0,-$C42),3)="A&amp;D",-INDEX('Prelim Budget'!$C$9:$C$33,MATCH('Cash Flow'!$B42,'Prelim Budget'!$B$9:$B$33,0))/'Cash Flow'!$E42,IF(SUM('Cash Flow'!$F42:AK42)=-INDEX('Prelim Budget'!$C$9:$C$33,MATCH('Cash Flow'!$B42,'Prelim Budget'!$B$9:$B$33,0)),0,IF('Cash Flow'!AK42&lt;&gt;0,'Cash Flow'!AK42,0))),0)</f>
        <v>0</v>
      </c>
      <c r="AM42" s="153">
        <f ca="1">IFERROR(IF(LEFT(OFFSET(AM$2,0,-$C42),3)="A&amp;D",-INDEX('Prelim Budget'!$C$9:$C$33,MATCH('Cash Flow'!$B42,'Prelim Budget'!$B$9:$B$33,0))/'Cash Flow'!$E42,IF(SUM('Cash Flow'!$F42:AL42)=-INDEX('Prelim Budget'!$C$9:$C$33,MATCH('Cash Flow'!$B42,'Prelim Budget'!$B$9:$B$33,0)),0,IF('Cash Flow'!AL42&lt;&gt;0,'Cash Flow'!AL42,0))),0)</f>
        <v>0</v>
      </c>
      <c r="AN42" s="153">
        <f ca="1">IFERROR(IF(LEFT(OFFSET(AN$2,0,-$C42),3)="A&amp;D",-INDEX('Prelim Budget'!$C$9:$C$33,MATCH('Cash Flow'!$B42,'Prelim Budget'!$B$9:$B$33,0))/'Cash Flow'!$E42,IF(SUM('Cash Flow'!$F42:AM42)=-INDEX('Prelim Budget'!$C$9:$C$33,MATCH('Cash Flow'!$B42,'Prelim Budget'!$B$9:$B$33,0)),0,IF('Cash Flow'!AM42&lt;&gt;0,'Cash Flow'!AM42,0))),0)</f>
        <v>0</v>
      </c>
      <c r="AO42" s="153">
        <f ca="1">IFERROR(IF(LEFT(OFFSET(AO$2,0,-$C42),3)="A&amp;D",-INDEX('Prelim Budget'!$C$9:$C$33,MATCH('Cash Flow'!$B42,'Prelim Budget'!$B$9:$B$33,0))/'Cash Flow'!$E42,IF(SUM('Cash Flow'!$F42:AN42)=-INDEX('Prelim Budget'!$C$9:$C$33,MATCH('Cash Flow'!$B42,'Prelim Budget'!$B$9:$B$33,0)),0,IF('Cash Flow'!AN42&lt;&gt;0,'Cash Flow'!AN42,0))),0)</f>
        <v>0</v>
      </c>
      <c r="AP42" s="153">
        <f ca="1">IFERROR(IF(LEFT(OFFSET(AP$2,0,-$C42),3)="A&amp;D",-INDEX('Prelim Budget'!$C$9:$C$33,MATCH('Cash Flow'!$B42,'Prelim Budget'!$B$9:$B$33,0))/'Cash Flow'!$E42,IF(SUM('Cash Flow'!$F42:AO42)=-INDEX('Prelim Budget'!$C$9:$C$33,MATCH('Cash Flow'!$B42,'Prelim Budget'!$B$9:$B$33,0)),0,IF('Cash Flow'!AO42&lt;&gt;0,'Cash Flow'!AO42,0))),0)</f>
        <v>0</v>
      </c>
      <c r="AQ42" s="153">
        <f ca="1">IFERROR(IF(LEFT(OFFSET(AQ$2,0,-$C42),3)="A&amp;D",-INDEX('Prelim Budget'!$C$9:$C$33,MATCH('Cash Flow'!$B42,'Prelim Budget'!$B$9:$B$33,0))/'Cash Flow'!$E42,IF(SUM('Cash Flow'!$F42:AP42)=-INDEX('Prelim Budget'!$C$9:$C$33,MATCH('Cash Flow'!$B42,'Prelim Budget'!$B$9:$B$33,0)),0,IF('Cash Flow'!AP42&lt;&gt;0,'Cash Flow'!AP42,0))),0)</f>
        <v>0</v>
      </c>
      <c r="AR42" s="153">
        <f ca="1">IFERROR(IF(LEFT(OFFSET(AR$2,0,-$C42),3)="A&amp;D",-INDEX('Prelim Budget'!$C$9:$C$33,MATCH('Cash Flow'!$B42,'Prelim Budget'!$B$9:$B$33,0))/'Cash Flow'!$E42,IF(SUM('Cash Flow'!$F42:AQ42)=-INDEX('Prelim Budget'!$C$9:$C$33,MATCH('Cash Flow'!$B42,'Prelim Budget'!$B$9:$B$33,0)),0,IF('Cash Flow'!AQ42&lt;&gt;0,'Cash Flow'!AQ42,0))),0)</f>
        <v>0</v>
      </c>
      <c r="AS42" s="153">
        <f ca="1">IFERROR(IF(LEFT(OFFSET(AS$2,0,-$C42),3)="A&amp;D",-INDEX('Prelim Budget'!$C$9:$C$33,MATCH('Cash Flow'!$B42,'Prelim Budget'!$B$9:$B$33,0))/'Cash Flow'!$E42,IF(SUM('Cash Flow'!$F42:AR42)=-INDEX('Prelim Budget'!$C$9:$C$33,MATCH('Cash Flow'!$B42,'Prelim Budget'!$B$9:$B$33,0)),0,IF('Cash Flow'!AR42&lt;&gt;0,'Cash Flow'!AR42,0))),0)</f>
        <v>0</v>
      </c>
      <c r="AT42" s="153">
        <f ca="1">IFERROR(IF(LEFT(OFFSET(AT$2,0,-$C42),3)="A&amp;D",-INDEX('Prelim Budget'!$C$9:$C$33,MATCH('Cash Flow'!$B42,'Prelim Budget'!$B$9:$B$33,0))/'Cash Flow'!$E42,IF(SUM('Cash Flow'!$F42:AS42)=-INDEX('Prelim Budget'!$C$9:$C$33,MATCH('Cash Flow'!$B42,'Prelim Budget'!$B$9:$B$33,0)),0,IF('Cash Flow'!AS42&lt;&gt;0,'Cash Flow'!AS42,0))),0)</f>
        <v>0</v>
      </c>
      <c r="AU42" s="153">
        <f ca="1">IFERROR(IF(LEFT(OFFSET(AU$2,0,-$C42),3)="A&amp;D",-INDEX('Prelim Budget'!$C$9:$C$33,MATCH('Cash Flow'!$B42,'Prelim Budget'!$B$9:$B$33,0))/'Cash Flow'!$E42,IF(SUM('Cash Flow'!$F42:AT42)=-INDEX('Prelim Budget'!$C$9:$C$33,MATCH('Cash Flow'!$B42,'Prelim Budget'!$B$9:$B$33,0)),0,IF('Cash Flow'!AT42&lt;&gt;0,'Cash Flow'!AT42,0))),0)</f>
        <v>0</v>
      </c>
      <c r="AV42" s="153">
        <f ca="1">IFERROR(IF(LEFT(OFFSET(AV$2,0,-$C42),3)="A&amp;D",-INDEX('Prelim Budget'!$C$9:$C$33,MATCH('Cash Flow'!$B42,'Prelim Budget'!$B$9:$B$33,0))/'Cash Flow'!$E42,IF(SUM('Cash Flow'!$F42:AU42)=-INDEX('Prelim Budget'!$C$9:$C$33,MATCH('Cash Flow'!$B42,'Prelim Budget'!$B$9:$B$33,0)),0,IF('Cash Flow'!AU42&lt;&gt;0,'Cash Flow'!AU42,0))),0)</f>
        <v>0</v>
      </c>
      <c r="AW42" s="153">
        <f ca="1">IFERROR(IF(LEFT(OFFSET(AW$2,0,-$C42),3)="A&amp;D",-INDEX('Prelim Budget'!$C$9:$C$33,MATCH('Cash Flow'!$B42,'Prelim Budget'!$B$9:$B$33,0))/'Cash Flow'!$E42,IF(SUM('Cash Flow'!$F42:AV42)=-INDEX('Prelim Budget'!$C$9:$C$33,MATCH('Cash Flow'!$B42,'Prelim Budget'!$B$9:$B$33,0)),0,IF('Cash Flow'!AV42&lt;&gt;0,'Cash Flow'!AV42,0))),0)</f>
        <v>0</v>
      </c>
      <c r="AX42" s="153">
        <f ca="1">IFERROR(IF(LEFT(OFFSET(AX$2,0,-$C42),3)="A&amp;D",-INDEX('Prelim Budget'!$C$9:$C$33,MATCH('Cash Flow'!$B42,'Prelim Budget'!$B$9:$B$33,0))/'Cash Flow'!$E42,IF(SUM('Cash Flow'!$F42:AW42)=-INDEX('Prelim Budget'!$C$9:$C$33,MATCH('Cash Flow'!$B42,'Prelim Budget'!$B$9:$B$33,0)),0,IF('Cash Flow'!AW42&lt;&gt;0,'Cash Flow'!AW42,0))),0)</f>
        <v>0</v>
      </c>
      <c r="AY42" s="153">
        <f ca="1">IFERROR(IF(LEFT(OFFSET(AY$2,0,-$C42),3)="A&amp;D",-INDEX('Prelim Budget'!$C$9:$C$33,MATCH('Cash Flow'!$B42,'Prelim Budget'!$B$9:$B$33,0))/'Cash Flow'!$E42,IF(SUM('Cash Flow'!$F42:AX42)=-INDEX('Prelim Budget'!$C$9:$C$33,MATCH('Cash Flow'!$B42,'Prelim Budget'!$B$9:$B$33,0)),0,IF('Cash Flow'!AX42&lt;&gt;0,'Cash Flow'!AX42,0))),0)</f>
        <v>0</v>
      </c>
      <c r="AZ42" s="153">
        <f ca="1">IFERROR(IF(LEFT(OFFSET(AZ$2,0,-$C42),3)="A&amp;D",-INDEX('Prelim Budget'!$C$9:$C$33,MATCH('Cash Flow'!$B42,'Prelim Budget'!$B$9:$B$33,0))/'Cash Flow'!$E42,IF(SUM('Cash Flow'!$F42:AY42)=-INDEX('Prelim Budget'!$C$9:$C$33,MATCH('Cash Flow'!$B42,'Prelim Budget'!$B$9:$B$33,0)),0,IF('Cash Flow'!AY42&lt;&gt;0,'Cash Flow'!AY42,0))),0)</f>
        <v>0</v>
      </c>
      <c r="BA42" s="153">
        <f ca="1">IFERROR(IF(LEFT(OFFSET(BA$2,0,-$C42),3)="A&amp;D",-INDEX('Prelim Budget'!$C$9:$C$33,MATCH('Cash Flow'!$B42,'Prelim Budget'!$B$9:$B$33,0))/'Cash Flow'!$E42,IF(SUM('Cash Flow'!$F42:AZ42)=-INDEX('Prelim Budget'!$C$9:$C$33,MATCH('Cash Flow'!$B42,'Prelim Budget'!$B$9:$B$33,0)),0,IF('Cash Flow'!AZ42&lt;&gt;0,'Cash Flow'!AZ42,0))),0)</f>
        <v>0</v>
      </c>
      <c r="BB42" s="153">
        <f ca="1">IFERROR(IF(LEFT(OFFSET(BB$2,0,-$C42),3)="A&amp;D",-INDEX('Prelim Budget'!$C$9:$C$33,MATCH('Cash Flow'!$B42,'Prelim Budget'!$B$9:$B$33,0))/'Cash Flow'!$E42,IF(SUM('Cash Flow'!$F42:BA42)=-INDEX('Prelim Budget'!$C$9:$C$33,MATCH('Cash Flow'!$B42,'Prelim Budget'!$B$9:$B$33,0)),0,IF('Cash Flow'!BA42&lt;&gt;0,'Cash Flow'!BA42,0))),0)</f>
        <v>0</v>
      </c>
      <c r="BC42" s="153">
        <f ca="1">IFERROR(IF(LEFT(OFFSET(BC$2,0,-$C42),3)="A&amp;D",-INDEX('Prelim Budget'!$C$9:$C$33,MATCH('Cash Flow'!$B42,'Prelim Budget'!$B$9:$B$33,0))/'Cash Flow'!$E42,IF(SUM('Cash Flow'!$F42:BB42)=-INDEX('Prelim Budget'!$C$9:$C$33,MATCH('Cash Flow'!$B42,'Prelim Budget'!$B$9:$B$33,0)),0,IF('Cash Flow'!BB42&lt;&gt;0,'Cash Flow'!BB42,0))),0)</f>
        <v>0</v>
      </c>
      <c r="BD42" s="153">
        <f ca="1">IFERROR(IF(LEFT(OFFSET(BD$2,0,-$C42),3)="A&amp;D",-INDEX('Prelim Budget'!$C$9:$C$33,MATCH('Cash Flow'!$B42,'Prelim Budget'!$B$9:$B$33,0))/'Cash Flow'!$E42,IF(SUM('Cash Flow'!$F42:BC42)=-INDEX('Prelim Budget'!$C$9:$C$33,MATCH('Cash Flow'!$B42,'Prelim Budget'!$B$9:$B$33,0)),0,IF('Cash Flow'!BC42&lt;&gt;0,'Cash Flow'!BC42,0))),0)</f>
        <v>0</v>
      </c>
      <c r="BE42" s="153">
        <f ca="1">IFERROR(IF(LEFT(OFFSET(BE$2,0,-$C42),3)="A&amp;D",-INDEX('Prelim Budget'!$C$9:$C$33,MATCH('Cash Flow'!$B42,'Prelim Budget'!$B$9:$B$33,0))/'Cash Flow'!$E42,IF(SUM('Cash Flow'!$F42:BD42)=-INDEX('Prelim Budget'!$C$9:$C$33,MATCH('Cash Flow'!$B42,'Prelim Budget'!$B$9:$B$33,0)),0,IF('Cash Flow'!BD42&lt;&gt;0,'Cash Flow'!BD42,0))),0)</f>
        <v>0</v>
      </c>
      <c r="BF42" s="153">
        <f ca="1">IFERROR(IF(LEFT(OFFSET(BF$2,0,-$C42),3)="A&amp;D",-INDEX('Prelim Budget'!$C$9:$C$33,MATCH('Cash Flow'!$B42,'Prelim Budget'!$B$9:$B$33,0))/'Cash Flow'!$E42,IF(SUM('Cash Flow'!$F42:BE42)=-INDEX('Prelim Budget'!$C$9:$C$33,MATCH('Cash Flow'!$B42,'Prelim Budget'!$B$9:$B$33,0)),0,IF('Cash Flow'!BE42&lt;&gt;0,'Cash Flow'!BE42,0))),0)</f>
        <v>0</v>
      </c>
      <c r="BG42" s="153">
        <f ca="1">IFERROR(IF(LEFT(OFFSET(BG$2,0,-$C42),3)="A&amp;D",-INDEX('Prelim Budget'!$C$9:$C$33,MATCH('Cash Flow'!$B42,'Prelim Budget'!$B$9:$B$33,0))/'Cash Flow'!$E42,IF(SUM('Cash Flow'!$F42:BF42)=-INDEX('Prelim Budget'!$C$9:$C$33,MATCH('Cash Flow'!$B42,'Prelim Budget'!$B$9:$B$33,0)),0,IF('Cash Flow'!BF42&lt;&gt;0,'Cash Flow'!BF42,0))),0)</f>
        <v>0</v>
      </c>
      <c r="BH42" s="153">
        <f ca="1">IFERROR(IF(LEFT(OFFSET(BH$2,0,-$C42),3)="A&amp;D",-INDEX('Prelim Budget'!$C$9:$C$33,MATCH('Cash Flow'!$B42,'Prelim Budget'!$B$9:$B$33,0))/'Cash Flow'!$E42,IF(SUM('Cash Flow'!$F42:BG42)=-INDEX('Prelim Budget'!$C$9:$C$33,MATCH('Cash Flow'!$B42,'Prelim Budget'!$B$9:$B$33,0)),0,IF('Cash Flow'!BG42&lt;&gt;0,'Cash Flow'!BG42,0))),0)</f>
        <v>0</v>
      </c>
      <c r="BI42" s="153">
        <f ca="1">IFERROR(IF(LEFT(OFFSET(BI$2,0,-$C42),3)="A&amp;D",-INDEX('Prelim Budget'!$C$9:$C$33,MATCH('Cash Flow'!$B42,'Prelim Budget'!$B$9:$B$33,0))/'Cash Flow'!$E42,IF(SUM('Cash Flow'!$F42:BH42)=-INDEX('Prelim Budget'!$C$9:$C$33,MATCH('Cash Flow'!$B42,'Prelim Budget'!$B$9:$B$33,0)),0,IF('Cash Flow'!BH42&lt;&gt;0,'Cash Flow'!BH42,0))),0)</f>
        <v>0</v>
      </c>
      <c r="BJ42" s="153">
        <f ca="1">IFERROR(IF(LEFT(OFFSET(BJ$2,0,-$C42),3)="A&amp;D",-INDEX('Prelim Budget'!$C$9:$C$33,MATCH('Cash Flow'!$B42,'Prelim Budget'!$B$9:$B$33,0))/'Cash Flow'!$E42,IF(SUM('Cash Flow'!$F42:BI42)=-INDEX('Prelim Budget'!$C$9:$C$33,MATCH('Cash Flow'!$B42,'Prelim Budget'!$B$9:$B$33,0)),0,IF('Cash Flow'!BI42&lt;&gt;0,'Cash Flow'!BI42,0))),0)</f>
        <v>0</v>
      </c>
      <c r="BK42" s="153">
        <f ca="1">IFERROR(IF(LEFT(OFFSET(BK$2,0,-$C42),3)="A&amp;D",-INDEX('Prelim Budget'!$C$9:$C$33,MATCH('Cash Flow'!$B42,'Prelim Budget'!$B$9:$B$33,0))/'Cash Flow'!$E42,IF(SUM('Cash Flow'!$F42:BJ42)=-INDEX('Prelim Budget'!$C$9:$C$33,MATCH('Cash Flow'!$B42,'Prelim Budget'!$B$9:$B$33,0)),0,IF('Cash Flow'!BJ42&lt;&gt;0,'Cash Flow'!BJ42,0))),0)</f>
        <v>0</v>
      </c>
      <c r="BL42" s="153">
        <f ca="1">IFERROR(IF(LEFT(OFFSET(BL$2,0,-$C42),3)="A&amp;D",-INDEX('Prelim Budget'!$C$9:$C$33,MATCH('Cash Flow'!$B42,'Prelim Budget'!$B$9:$B$33,0))/'Cash Flow'!$E42,IF(SUM('Cash Flow'!$F42:BK42)=-INDEX('Prelim Budget'!$C$9:$C$33,MATCH('Cash Flow'!$B42,'Prelim Budget'!$B$9:$B$33,0)),0,IF('Cash Flow'!BK42&lt;&gt;0,'Cash Flow'!BK42,0))),0)</f>
        <v>0</v>
      </c>
      <c r="BM42" s="153">
        <f ca="1">IFERROR(IF(LEFT(OFFSET(BM$2,0,-$C42),3)="A&amp;D",-INDEX('Prelim Budget'!$C$9:$C$33,MATCH('Cash Flow'!$B42,'Prelim Budget'!$B$9:$B$33,0))/'Cash Flow'!$E42,IF(SUM('Cash Flow'!$F42:BL42)=-INDEX('Prelim Budget'!$C$9:$C$33,MATCH('Cash Flow'!$B42,'Prelim Budget'!$B$9:$B$33,0)),0,IF('Cash Flow'!BL42&lt;&gt;0,'Cash Flow'!BL42,0))),0)</f>
        <v>0</v>
      </c>
      <c r="BN42" s="153">
        <f ca="1">IFERROR(IF(LEFT(OFFSET(BN$2,0,-$C42),3)="A&amp;D",-INDEX('Prelim Budget'!$C$9:$C$33,MATCH('Cash Flow'!$B42,'Prelim Budget'!$B$9:$B$33,0))/'Cash Flow'!$E42,IF(SUM('Cash Flow'!$F42:BM42)=-INDEX('Prelim Budget'!$C$9:$C$33,MATCH('Cash Flow'!$B42,'Prelim Budget'!$B$9:$B$33,0)),0,IF('Cash Flow'!BM42&lt;&gt;0,'Cash Flow'!BM42,0))),0)</f>
        <v>0</v>
      </c>
      <c r="BO42" s="50">
        <f ca="1">IFERROR(IF(LEFT(OFFSET(BO$2,0,-$C42),3)="A&amp;D",-INDEX('Prelim Budget'!$C$9:$C$33,MATCH('Cash Flow'!$B42,'Prelim Budget'!$B$9:$B$33,0))/'Cash Flow'!$E42,IF(SUM('Cash Flow'!$F42:BN42)=-INDEX('Prelim Budget'!$C$9:$C$33,MATCH('Cash Flow'!$B42,'Prelim Budget'!$B$9:$B$33,0)),0,IF('Cash Flow'!BN42&lt;&gt;0,'Cash Flow'!BN42,0))),0)</f>
        <v>0</v>
      </c>
    </row>
    <row r="43" spans="2:67" ht="14.05" customHeight="1" x14ac:dyDescent="0.4">
      <c r="B43" s="3" t="s">
        <v>174</v>
      </c>
      <c r="C43" s="80">
        <v>3</v>
      </c>
      <c r="D43" s="153">
        <f t="shared" ca="1" si="11"/>
        <v>-354555</v>
      </c>
      <c r="E43" s="82">
        <v>12</v>
      </c>
      <c r="F43" s="157"/>
      <c r="G43" s="134">
        <f ca="1">IFERROR(IF(LEFT(OFFSET(G$2,0,-$C43),3)="A&amp;D",-INDEX('Prelim Budget'!$C$9:$C$33,MATCH('Cash Flow'!$B43,'Prelim Budget'!$B$9:$B$33,0))/'Cash Flow'!$E43,IF(SUM('Cash Flow'!$F43:F43)=-INDEX('Prelim Budget'!$C$9:$C$33,MATCH('Cash Flow'!$B43,'Prelim Budget'!$B$9:$B$33,0)),0,IF('Cash Flow'!F43&lt;&gt;0,'Cash Flow'!F43,0))),0)</f>
        <v>0</v>
      </c>
      <c r="H43" s="153">
        <f ca="1">IFERROR(IF(LEFT(OFFSET(H$2,0,-$C43),3)="A&amp;D",-INDEX('Prelim Budget'!$C$9:$C$33,MATCH('Cash Flow'!$B43,'Prelim Budget'!$B$9:$B$33,0))/'Cash Flow'!$E43,IF(SUM('Cash Flow'!$F43:G43)=-INDEX('Prelim Budget'!$C$9:$C$33,MATCH('Cash Flow'!$B43,'Prelim Budget'!$B$9:$B$33,0)),0,IF('Cash Flow'!G43&lt;&gt;0,'Cash Flow'!G43,0))),0)</f>
        <v>0</v>
      </c>
      <c r="I43" s="153">
        <f ca="1">IFERROR(IF(LEFT(OFFSET(I$2,0,-$C43),3)="A&amp;D",-INDEX('Prelim Budget'!$C$9:$C$33,MATCH('Cash Flow'!$B43,'Prelim Budget'!$B$9:$B$33,0))/'Cash Flow'!$E43,IF(SUM('Cash Flow'!$F43:H43)=-INDEX('Prelim Budget'!$C$9:$C$33,MATCH('Cash Flow'!$B43,'Prelim Budget'!$B$9:$B$33,0)),0,IF('Cash Flow'!H43&lt;&gt;0,'Cash Flow'!H43,0))),0)</f>
        <v>0</v>
      </c>
      <c r="J43" s="153">
        <f ca="1">IFERROR(IF(LEFT(OFFSET(J$2,0,-$C43),3)="A&amp;D",-INDEX('Prelim Budget'!$C$9:$C$33,MATCH('Cash Flow'!$B43,'Prelim Budget'!$B$9:$B$33,0))/'Cash Flow'!$E43,IF(SUM('Cash Flow'!$F43:I43)=-INDEX('Prelim Budget'!$C$9:$C$33,MATCH('Cash Flow'!$B43,'Prelim Budget'!$B$9:$B$33,0)),0,IF('Cash Flow'!I43&lt;&gt;0,'Cash Flow'!I43,0))),0)</f>
        <v>0</v>
      </c>
      <c r="K43" s="153">
        <f ca="1">IFERROR(IF(LEFT(OFFSET(K$2,0,-$C43),3)="A&amp;D",-INDEX('Prelim Budget'!$C$9:$C$33,MATCH('Cash Flow'!$B43,'Prelim Budget'!$B$9:$B$33,0))/'Cash Flow'!$E43,IF(SUM('Cash Flow'!$F43:J43)=-INDEX('Prelim Budget'!$C$9:$C$33,MATCH('Cash Flow'!$B43,'Prelim Budget'!$B$9:$B$33,0)),0,IF('Cash Flow'!J43&lt;&gt;0,'Cash Flow'!J43,0))),0)</f>
        <v>0</v>
      </c>
      <c r="L43" s="153">
        <f ca="1">IFERROR(IF(LEFT(OFFSET(L$2,0,-$C43),3)="A&amp;D",-INDEX('Prelim Budget'!$C$9:$C$33,MATCH('Cash Flow'!$B43,'Prelim Budget'!$B$9:$B$33,0))/'Cash Flow'!$E43,IF(SUM('Cash Flow'!$F43:K43)=-INDEX('Prelim Budget'!$C$9:$C$33,MATCH('Cash Flow'!$B43,'Prelim Budget'!$B$9:$B$33,0)),0,IF('Cash Flow'!K43&lt;&gt;0,'Cash Flow'!K43,0))),0)</f>
        <v>0</v>
      </c>
      <c r="M43" s="153">
        <f ca="1">IFERROR(IF(LEFT(OFFSET(M$2,0,-$C43),3)="A&amp;D",-INDEX('Prelim Budget'!$C$9:$C$33,MATCH('Cash Flow'!$B43,'Prelim Budget'!$B$9:$B$33,0))/'Cash Flow'!$E43,IF(SUM('Cash Flow'!$F43:L43)=-INDEX('Prelim Budget'!$C$9:$C$33,MATCH('Cash Flow'!$B43,'Prelim Budget'!$B$9:$B$33,0)),0,IF('Cash Flow'!L43&lt;&gt;0,'Cash Flow'!L43,0))),0)</f>
        <v>0</v>
      </c>
      <c r="N43" s="153">
        <f ca="1">IFERROR(IF(LEFT(OFFSET(N$2,0,-$C43),3)="A&amp;D",-INDEX('Prelim Budget'!$C$9:$C$33,MATCH('Cash Flow'!$B43,'Prelim Budget'!$B$9:$B$33,0))/'Cash Flow'!$E43,IF(SUM('Cash Flow'!$F43:M43)=-INDEX('Prelim Budget'!$C$9:$C$33,MATCH('Cash Flow'!$B43,'Prelim Budget'!$B$9:$B$33,0)),0,IF('Cash Flow'!M43&lt;&gt;0,'Cash Flow'!M43,0))),0)</f>
        <v>0</v>
      </c>
      <c r="O43" s="153">
        <f ca="1">IFERROR(IF(LEFT(OFFSET(O$2,0,-$C43),3)="A&amp;D",-INDEX('Prelim Budget'!$C$9:$C$33,MATCH('Cash Flow'!$B43,'Prelim Budget'!$B$9:$B$33,0))/'Cash Flow'!$E43,IF(SUM('Cash Flow'!$F43:N43)=-INDEX('Prelim Budget'!$C$9:$C$33,MATCH('Cash Flow'!$B43,'Prelim Budget'!$B$9:$B$33,0)),0,IF('Cash Flow'!N43&lt;&gt;0,'Cash Flow'!N43,0))),0)</f>
        <v>0</v>
      </c>
      <c r="P43" s="153">
        <f ca="1">IFERROR(IF(LEFT(OFFSET(P$2,0,-$C43),3)="A&amp;D",-INDEX('Prelim Budget'!$C$9:$C$33,MATCH('Cash Flow'!$B43,'Prelim Budget'!$B$9:$B$33,0))/'Cash Flow'!$E43,IF(SUM('Cash Flow'!$F43:O43)=-INDEX('Prelim Budget'!$C$9:$C$33,MATCH('Cash Flow'!$B43,'Prelim Budget'!$B$9:$B$33,0)),0,IF('Cash Flow'!O43&lt;&gt;0,'Cash Flow'!O43,0))),0)</f>
        <v>-29546.25</v>
      </c>
      <c r="Q43" s="153">
        <f ca="1">IFERROR(IF(LEFT(OFFSET(Q$2,0,-$C43),3)="A&amp;D",-INDEX('Prelim Budget'!$C$9:$C$33,MATCH('Cash Flow'!$B43,'Prelim Budget'!$B$9:$B$33,0))/'Cash Flow'!$E43,IF(SUM('Cash Flow'!$F43:P43)=-INDEX('Prelim Budget'!$C$9:$C$33,MATCH('Cash Flow'!$B43,'Prelim Budget'!$B$9:$B$33,0)),0,IF('Cash Flow'!P43&lt;&gt;0,'Cash Flow'!P43,0))),0)</f>
        <v>-29546.25</v>
      </c>
      <c r="R43" s="153">
        <f ca="1">IFERROR(IF(LEFT(OFFSET(R$2,0,-$C43),3)="A&amp;D",-INDEX('Prelim Budget'!$C$9:$C$33,MATCH('Cash Flow'!$B43,'Prelim Budget'!$B$9:$B$33,0))/'Cash Flow'!$E43,IF(SUM('Cash Flow'!$F43:Q43)=-INDEX('Prelim Budget'!$C$9:$C$33,MATCH('Cash Flow'!$B43,'Prelim Budget'!$B$9:$B$33,0)),0,IF('Cash Flow'!Q43&lt;&gt;0,'Cash Flow'!Q43,0))),0)</f>
        <v>-29546.25</v>
      </c>
      <c r="S43" s="153">
        <f ca="1">IFERROR(IF(LEFT(OFFSET(S$2,0,-$C43),3)="A&amp;D",-INDEX('Prelim Budget'!$C$9:$C$33,MATCH('Cash Flow'!$B43,'Prelim Budget'!$B$9:$B$33,0))/'Cash Flow'!$E43,IF(SUM('Cash Flow'!$F43:R43)=-INDEX('Prelim Budget'!$C$9:$C$33,MATCH('Cash Flow'!$B43,'Prelim Budget'!$B$9:$B$33,0)),0,IF('Cash Flow'!R43&lt;&gt;0,'Cash Flow'!R43,0))),0)</f>
        <v>-29546.25</v>
      </c>
      <c r="T43" s="153">
        <f ca="1">IFERROR(IF(LEFT(OFFSET(T$2,0,-$C43),3)="A&amp;D",-INDEX('Prelim Budget'!$C$9:$C$33,MATCH('Cash Flow'!$B43,'Prelim Budget'!$B$9:$B$33,0))/'Cash Flow'!$E43,IF(SUM('Cash Flow'!$F43:S43)=-INDEX('Prelim Budget'!$C$9:$C$33,MATCH('Cash Flow'!$B43,'Prelim Budget'!$B$9:$B$33,0)),0,IF('Cash Flow'!S43&lt;&gt;0,'Cash Flow'!S43,0))),0)</f>
        <v>-29546.25</v>
      </c>
      <c r="U43" s="153">
        <f ca="1">IFERROR(IF(LEFT(OFFSET(U$2,0,-$C43),3)="A&amp;D",-INDEX('Prelim Budget'!$C$9:$C$33,MATCH('Cash Flow'!$B43,'Prelim Budget'!$B$9:$B$33,0))/'Cash Flow'!$E43,IF(SUM('Cash Flow'!$F43:T43)=-INDEX('Prelim Budget'!$C$9:$C$33,MATCH('Cash Flow'!$B43,'Prelim Budget'!$B$9:$B$33,0)),0,IF('Cash Flow'!T43&lt;&gt;0,'Cash Flow'!T43,0))),0)</f>
        <v>-29546.25</v>
      </c>
      <c r="V43" s="153">
        <f ca="1">IFERROR(IF(LEFT(OFFSET(V$2,0,-$C43),3)="A&amp;D",-INDEX('Prelim Budget'!$C$9:$C$33,MATCH('Cash Flow'!$B43,'Prelim Budget'!$B$9:$B$33,0))/'Cash Flow'!$E43,IF(SUM('Cash Flow'!$F43:U43)=-INDEX('Prelim Budget'!$C$9:$C$33,MATCH('Cash Flow'!$B43,'Prelim Budget'!$B$9:$B$33,0)),0,IF('Cash Flow'!U43&lt;&gt;0,'Cash Flow'!U43,0))),0)</f>
        <v>-29546.25</v>
      </c>
      <c r="W43" s="153">
        <f ca="1">IFERROR(IF(LEFT(OFFSET(W$2,0,-$C43),3)="A&amp;D",-INDEX('Prelim Budget'!$C$9:$C$33,MATCH('Cash Flow'!$B43,'Prelim Budget'!$B$9:$B$33,0))/'Cash Flow'!$E43,IF(SUM('Cash Flow'!$F43:V43)=-INDEX('Prelim Budget'!$C$9:$C$33,MATCH('Cash Flow'!$B43,'Prelim Budget'!$B$9:$B$33,0)),0,IF('Cash Flow'!V43&lt;&gt;0,'Cash Flow'!V43,0))),0)</f>
        <v>-29546.25</v>
      </c>
      <c r="X43" s="153">
        <f ca="1">IFERROR(IF(LEFT(OFFSET(X$2,0,-$C43),3)="A&amp;D",-INDEX('Prelim Budget'!$C$9:$C$33,MATCH('Cash Flow'!$B43,'Prelim Budget'!$B$9:$B$33,0))/'Cash Flow'!$E43,IF(SUM('Cash Flow'!$F43:W43)=-INDEX('Prelim Budget'!$C$9:$C$33,MATCH('Cash Flow'!$B43,'Prelim Budget'!$B$9:$B$33,0)),0,IF('Cash Flow'!W43&lt;&gt;0,'Cash Flow'!W43,0))),0)</f>
        <v>-29546.25</v>
      </c>
      <c r="Y43" s="153">
        <f ca="1">IFERROR(IF(LEFT(OFFSET(Y$2,0,-$C43),3)="A&amp;D",-INDEX('Prelim Budget'!$C$9:$C$33,MATCH('Cash Flow'!$B43,'Prelim Budget'!$B$9:$B$33,0))/'Cash Flow'!$E43,IF(SUM('Cash Flow'!$F43:X43)=-INDEX('Prelim Budget'!$C$9:$C$33,MATCH('Cash Flow'!$B43,'Prelim Budget'!$B$9:$B$33,0)),0,IF('Cash Flow'!X43&lt;&gt;0,'Cash Flow'!X43,0))),0)</f>
        <v>-29546.25</v>
      </c>
      <c r="Z43" s="153">
        <f ca="1">IFERROR(IF(LEFT(OFFSET(Z$2,0,-$C43),3)="A&amp;D",-INDEX('Prelim Budget'!$C$9:$C$33,MATCH('Cash Flow'!$B43,'Prelim Budget'!$B$9:$B$33,0))/'Cash Flow'!$E43,IF(SUM('Cash Flow'!$F43:Y43)=-INDEX('Prelim Budget'!$C$9:$C$33,MATCH('Cash Flow'!$B43,'Prelim Budget'!$B$9:$B$33,0)),0,IF('Cash Flow'!Y43&lt;&gt;0,'Cash Flow'!Y43,0))),0)</f>
        <v>-29546.25</v>
      </c>
      <c r="AA43" s="153">
        <f ca="1">IFERROR(IF(LEFT(OFFSET(AA$2,0,-$C43),3)="A&amp;D",-INDEX('Prelim Budget'!$C$9:$C$33,MATCH('Cash Flow'!$B43,'Prelim Budget'!$B$9:$B$33,0))/'Cash Flow'!$E43,IF(SUM('Cash Flow'!$F43:Z43)=-INDEX('Prelim Budget'!$C$9:$C$33,MATCH('Cash Flow'!$B43,'Prelim Budget'!$B$9:$B$33,0)),0,IF('Cash Flow'!Z43&lt;&gt;0,'Cash Flow'!Z43,0))),0)</f>
        <v>-29546.25</v>
      </c>
      <c r="AB43" s="153">
        <f ca="1">IFERROR(IF(LEFT(OFFSET(AB$2,0,-$C43),3)="A&amp;D",-INDEX('Prelim Budget'!$C$9:$C$33,MATCH('Cash Flow'!$B43,'Prelim Budget'!$B$9:$B$33,0))/'Cash Flow'!$E43,IF(SUM('Cash Flow'!$F43:AA43)=-INDEX('Prelim Budget'!$C$9:$C$33,MATCH('Cash Flow'!$B43,'Prelim Budget'!$B$9:$B$33,0)),0,IF('Cash Flow'!AA43&lt;&gt;0,'Cash Flow'!AA43,0))),0)</f>
        <v>0</v>
      </c>
      <c r="AC43" s="153">
        <f ca="1">IFERROR(IF(LEFT(OFFSET(AC$2,0,-$C43),3)="A&amp;D",-INDEX('Prelim Budget'!$C$9:$C$33,MATCH('Cash Flow'!$B43,'Prelim Budget'!$B$9:$B$33,0))/'Cash Flow'!$E43,IF(SUM('Cash Flow'!$F43:AB43)=-INDEX('Prelim Budget'!$C$9:$C$33,MATCH('Cash Flow'!$B43,'Prelim Budget'!$B$9:$B$33,0)),0,IF('Cash Flow'!AB43&lt;&gt;0,'Cash Flow'!AB43,0))),0)</f>
        <v>0</v>
      </c>
      <c r="AD43" s="153">
        <f ca="1">IFERROR(IF(LEFT(OFFSET(AD$2,0,-$C43),3)="A&amp;D",-INDEX('Prelim Budget'!$C$9:$C$33,MATCH('Cash Flow'!$B43,'Prelim Budget'!$B$9:$B$33,0))/'Cash Flow'!$E43,IF(SUM('Cash Flow'!$F43:AC43)=-INDEX('Prelim Budget'!$C$9:$C$33,MATCH('Cash Flow'!$B43,'Prelim Budget'!$B$9:$B$33,0)),0,IF('Cash Flow'!AC43&lt;&gt;0,'Cash Flow'!AC43,0))),0)</f>
        <v>0</v>
      </c>
      <c r="AE43" s="153">
        <f ca="1">IFERROR(IF(LEFT(OFFSET(AE$2,0,-$C43),3)="A&amp;D",-INDEX('Prelim Budget'!$C$9:$C$33,MATCH('Cash Flow'!$B43,'Prelim Budget'!$B$9:$B$33,0))/'Cash Flow'!$E43,IF(SUM('Cash Flow'!$F43:AD43)=-INDEX('Prelim Budget'!$C$9:$C$33,MATCH('Cash Flow'!$B43,'Prelim Budget'!$B$9:$B$33,0)),0,IF('Cash Flow'!AD43&lt;&gt;0,'Cash Flow'!AD43,0))),0)</f>
        <v>0</v>
      </c>
      <c r="AF43" s="153">
        <f ca="1">IFERROR(IF(LEFT(OFFSET(AF$2,0,-$C43),3)="A&amp;D",-INDEX('Prelim Budget'!$C$9:$C$33,MATCH('Cash Flow'!$B43,'Prelim Budget'!$B$9:$B$33,0))/'Cash Flow'!$E43,IF(SUM('Cash Flow'!$F43:AE43)=-INDEX('Prelim Budget'!$C$9:$C$33,MATCH('Cash Flow'!$B43,'Prelim Budget'!$B$9:$B$33,0)),0,IF('Cash Flow'!AE43&lt;&gt;0,'Cash Flow'!AE43,0))),0)</f>
        <v>0</v>
      </c>
      <c r="AG43" s="153">
        <f ca="1">IFERROR(IF(LEFT(OFFSET(AG$2,0,-$C43),3)="A&amp;D",-INDEX('Prelim Budget'!$C$9:$C$33,MATCH('Cash Flow'!$B43,'Prelim Budget'!$B$9:$B$33,0))/'Cash Flow'!$E43,IF(SUM('Cash Flow'!$F43:AF43)=-INDEX('Prelim Budget'!$C$9:$C$33,MATCH('Cash Flow'!$B43,'Prelim Budget'!$B$9:$B$33,0)),0,IF('Cash Flow'!AF43&lt;&gt;0,'Cash Flow'!AF43,0))),0)</f>
        <v>0</v>
      </c>
      <c r="AH43" s="153">
        <f ca="1">IFERROR(IF(LEFT(OFFSET(AH$2,0,-$C43),3)="A&amp;D",-INDEX('Prelim Budget'!$C$9:$C$33,MATCH('Cash Flow'!$B43,'Prelim Budget'!$B$9:$B$33,0))/'Cash Flow'!$E43,IF(SUM('Cash Flow'!$F43:AG43)=-INDEX('Prelim Budget'!$C$9:$C$33,MATCH('Cash Flow'!$B43,'Prelim Budget'!$B$9:$B$33,0)),0,IF('Cash Flow'!AG43&lt;&gt;0,'Cash Flow'!AG43,0))),0)</f>
        <v>0</v>
      </c>
      <c r="AI43" s="153">
        <f ca="1">IFERROR(IF(LEFT(OFFSET(AI$2,0,-$C43),3)="A&amp;D",-INDEX('Prelim Budget'!$C$9:$C$33,MATCH('Cash Flow'!$B43,'Prelim Budget'!$B$9:$B$33,0))/'Cash Flow'!$E43,IF(SUM('Cash Flow'!$F43:AH43)=-INDEX('Prelim Budget'!$C$9:$C$33,MATCH('Cash Flow'!$B43,'Prelim Budget'!$B$9:$B$33,0)),0,IF('Cash Flow'!AH43&lt;&gt;0,'Cash Flow'!AH43,0))),0)</f>
        <v>0</v>
      </c>
      <c r="AJ43" s="153">
        <f ca="1">IFERROR(IF(LEFT(OFFSET(AJ$2,0,-$C43),3)="A&amp;D",-INDEX('Prelim Budget'!$C$9:$C$33,MATCH('Cash Flow'!$B43,'Prelim Budget'!$B$9:$B$33,0))/'Cash Flow'!$E43,IF(SUM('Cash Flow'!$F43:AI43)=-INDEX('Prelim Budget'!$C$9:$C$33,MATCH('Cash Flow'!$B43,'Prelim Budget'!$B$9:$B$33,0)),0,IF('Cash Flow'!AI43&lt;&gt;0,'Cash Flow'!AI43,0))),0)</f>
        <v>0</v>
      </c>
      <c r="AK43" s="153">
        <f ca="1">IFERROR(IF(LEFT(OFFSET(AK$2,0,-$C43),3)="A&amp;D",-INDEX('Prelim Budget'!$C$9:$C$33,MATCH('Cash Flow'!$B43,'Prelim Budget'!$B$9:$B$33,0))/'Cash Flow'!$E43,IF(SUM('Cash Flow'!$F43:AJ43)=-INDEX('Prelim Budget'!$C$9:$C$33,MATCH('Cash Flow'!$B43,'Prelim Budget'!$B$9:$B$33,0)),0,IF('Cash Flow'!AJ43&lt;&gt;0,'Cash Flow'!AJ43,0))),0)</f>
        <v>0</v>
      </c>
      <c r="AL43" s="153">
        <f ca="1">IFERROR(IF(LEFT(OFFSET(AL$2,0,-$C43),3)="A&amp;D",-INDEX('Prelim Budget'!$C$9:$C$33,MATCH('Cash Flow'!$B43,'Prelim Budget'!$B$9:$B$33,0))/'Cash Flow'!$E43,IF(SUM('Cash Flow'!$F43:AK43)=-INDEX('Prelim Budget'!$C$9:$C$33,MATCH('Cash Flow'!$B43,'Prelim Budget'!$B$9:$B$33,0)),0,IF('Cash Flow'!AK43&lt;&gt;0,'Cash Flow'!AK43,0))),0)</f>
        <v>0</v>
      </c>
      <c r="AM43" s="153">
        <f ca="1">IFERROR(IF(LEFT(OFFSET(AM$2,0,-$C43),3)="A&amp;D",-INDEX('Prelim Budget'!$C$9:$C$33,MATCH('Cash Flow'!$B43,'Prelim Budget'!$B$9:$B$33,0))/'Cash Flow'!$E43,IF(SUM('Cash Flow'!$F43:AL43)=-INDEX('Prelim Budget'!$C$9:$C$33,MATCH('Cash Flow'!$B43,'Prelim Budget'!$B$9:$B$33,0)),0,IF('Cash Flow'!AL43&lt;&gt;0,'Cash Flow'!AL43,0))),0)</f>
        <v>0</v>
      </c>
      <c r="AN43" s="153">
        <f ca="1">IFERROR(IF(LEFT(OFFSET(AN$2,0,-$C43),3)="A&amp;D",-INDEX('Prelim Budget'!$C$9:$C$33,MATCH('Cash Flow'!$B43,'Prelim Budget'!$B$9:$B$33,0))/'Cash Flow'!$E43,IF(SUM('Cash Flow'!$F43:AM43)=-INDEX('Prelim Budget'!$C$9:$C$33,MATCH('Cash Flow'!$B43,'Prelim Budget'!$B$9:$B$33,0)),0,IF('Cash Flow'!AM43&lt;&gt;0,'Cash Flow'!AM43,0))),0)</f>
        <v>0</v>
      </c>
      <c r="AO43" s="153">
        <f ca="1">IFERROR(IF(LEFT(OFFSET(AO$2,0,-$C43),3)="A&amp;D",-INDEX('Prelim Budget'!$C$9:$C$33,MATCH('Cash Flow'!$B43,'Prelim Budget'!$B$9:$B$33,0))/'Cash Flow'!$E43,IF(SUM('Cash Flow'!$F43:AN43)=-INDEX('Prelim Budget'!$C$9:$C$33,MATCH('Cash Flow'!$B43,'Prelim Budget'!$B$9:$B$33,0)),0,IF('Cash Flow'!AN43&lt;&gt;0,'Cash Flow'!AN43,0))),0)</f>
        <v>0</v>
      </c>
      <c r="AP43" s="153">
        <f ca="1">IFERROR(IF(LEFT(OFFSET(AP$2,0,-$C43),3)="A&amp;D",-INDEX('Prelim Budget'!$C$9:$C$33,MATCH('Cash Flow'!$B43,'Prelim Budget'!$B$9:$B$33,0))/'Cash Flow'!$E43,IF(SUM('Cash Flow'!$F43:AO43)=-INDEX('Prelim Budget'!$C$9:$C$33,MATCH('Cash Flow'!$B43,'Prelim Budget'!$B$9:$B$33,0)),0,IF('Cash Flow'!AO43&lt;&gt;0,'Cash Flow'!AO43,0))),0)</f>
        <v>0</v>
      </c>
      <c r="AQ43" s="153">
        <f ca="1">IFERROR(IF(LEFT(OFFSET(AQ$2,0,-$C43),3)="A&amp;D",-INDEX('Prelim Budget'!$C$9:$C$33,MATCH('Cash Flow'!$B43,'Prelim Budget'!$B$9:$B$33,0))/'Cash Flow'!$E43,IF(SUM('Cash Flow'!$F43:AP43)=-INDEX('Prelim Budget'!$C$9:$C$33,MATCH('Cash Flow'!$B43,'Prelim Budget'!$B$9:$B$33,0)),0,IF('Cash Flow'!AP43&lt;&gt;0,'Cash Flow'!AP43,0))),0)</f>
        <v>0</v>
      </c>
      <c r="AR43" s="153">
        <f ca="1">IFERROR(IF(LEFT(OFFSET(AR$2,0,-$C43),3)="A&amp;D",-INDEX('Prelim Budget'!$C$9:$C$33,MATCH('Cash Flow'!$B43,'Prelim Budget'!$B$9:$B$33,0))/'Cash Flow'!$E43,IF(SUM('Cash Flow'!$F43:AQ43)=-INDEX('Prelim Budget'!$C$9:$C$33,MATCH('Cash Flow'!$B43,'Prelim Budget'!$B$9:$B$33,0)),0,IF('Cash Flow'!AQ43&lt;&gt;0,'Cash Flow'!AQ43,0))),0)</f>
        <v>0</v>
      </c>
      <c r="AS43" s="153">
        <f ca="1">IFERROR(IF(LEFT(OFFSET(AS$2,0,-$C43),3)="A&amp;D",-INDEX('Prelim Budget'!$C$9:$C$33,MATCH('Cash Flow'!$B43,'Prelim Budget'!$B$9:$B$33,0))/'Cash Flow'!$E43,IF(SUM('Cash Flow'!$F43:AR43)=-INDEX('Prelim Budget'!$C$9:$C$33,MATCH('Cash Flow'!$B43,'Prelim Budget'!$B$9:$B$33,0)),0,IF('Cash Flow'!AR43&lt;&gt;0,'Cash Flow'!AR43,0))),0)</f>
        <v>0</v>
      </c>
      <c r="AT43" s="153">
        <f ca="1">IFERROR(IF(LEFT(OFFSET(AT$2,0,-$C43),3)="A&amp;D",-INDEX('Prelim Budget'!$C$9:$C$33,MATCH('Cash Flow'!$B43,'Prelim Budget'!$B$9:$B$33,0))/'Cash Flow'!$E43,IF(SUM('Cash Flow'!$F43:AS43)=-INDEX('Prelim Budget'!$C$9:$C$33,MATCH('Cash Flow'!$B43,'Prelim Budget'!$B$9:$B$33,0)),0,IF('Cash Flow'!AS43&lt;&gt;0,'Cash Flow'!AS43,0))),0)</f>
        <v>0</v>
      </c>
      <c r="AU43" s="153">
        <f ca="1">IFERROR(IF(LEFT(OFFSET(AU$2,0,-$C43),3)="A&amp;D",-INDEX('Prelim Budget'!$C$9:$C$33,MATCH('Cash Flow'!$B43,'Prelim Budget'!$B$9:$B$33,0))/'Cash Flow'!$E43,IF(SUM('Cash Flow'!$F43:AT43)=-INDEX('Prelim Budget'!$C$9:$C$33,MATCH('Cash Flow'!$B43,'Prelim Budget'!$B$9:$B$33,0)),0,IF('Cash Flow'!AT43&lt;&gt;0,'Cash Flow'!AT43,0))),0)</f>
        <v>0</v>
      </c>
      <c r="AV43" s="153">
        <f ca="1">IFERROR(IF(LEFT(OFFSET(AV$2,0,-$C43),3)="A&amp;D",-INDEX('Prelim Budget'!$C$9:$C$33,MATCH('Cash Flow'!$B43,'Prelim Budget'!$B$9:$B$33,0))/'Cash Flow'!$E43,IF(SUM('Cash Flow'!$F43:AU43)=-INDEX('Prelim Budget'!$C$9:$C$33,MATCH('Cash Flow'!$B43,'Prelim Budget'!$B$9:$B$33,0)),0,IF('Cash Flow'!AU43&lt;&gt;0,'Cash Flow'!AU43,0))),0)</f>
        <v>0</v>
      </c>
      <c r="AW43" s="153">
        <f ca="1">IFERROR(IF(LEFT(OFFSET(AW$2,0,-$C43),3)="A&amp;D",-INDEX('Prelim Budget'!$C$9:$C$33,MATCH('Cash Flow'!$B43,'Prelim Budget'!$B$9:$B$33,0))/'Cash Flow'!$E43,IF(SUM('Cash Flow'!$F43:AV43)=-INDEX('Prelim Budget'!$C$9:$C$33,MATCH('Cash Flow'!$B43,'Prelim Budget'!$B$9:$B$33,0)),0,IF('Cash Flow'!AV43&lt;&gt;0,'Cash Flow'!AV43,0))),0)</f>
        <v>0</v>
      </c>
      <c r="AX43" s="153">
        <f ca="1">IFERROR(IF(LEFT(OFFSET(AX$2,0,-$C43),3)="A&amp;D",-INDEX('Prelim Budget'!$C$9:$C$33,MATCH('Cash Flow'!$B43,'Prelim Budget'!$B$9:$B$33,0))/'Cash Flow'!$E43,IF(SUM('Cash Flow'!$F43:AW43)=-INDEX('Prelim Budget'!$C$9:$C$33,MATCH('Cash Flow'!$B43,'Prelim Budget'!$B$9:$B$33,0)),0,IF('Cash Flow'!AW43&lt;&gt;0,'Cash Flow'!AW43,0))),0)</f>
        <v>0</v>
      </c>
      <c r="AY43" s="153">
        <f ca="1">IFERROR(IF(LEFT(OFFSET(AY$2,0,-$C43),3)="A&amp;D",-INDEX('Prelim Budget'!$C$9:$C$33,MATCH('Cash Flow'!$B43,'Prelim Budget'!$B$9:$B$33,0))/'Cash Flow'!$E43,IF(SUM('Cash Flow'!$F43:AX43)=-INDEX('Prelim Budget'!$C$9:$C$33,MATCH('Cash Flow'!$B43,'Prelim Budget'!$B$9:$B$33,0)),0,IF('Cash Flow'!AX43&lt;&gt;0,'Cash Flow'!AX43,0))),0)</f>
        <v>0</v>
      </c>
      <c r="AZ43" s="153">
        <f ca="1">IFERROR(IF(LEFT(OFFSET(AZ$2,0,-$C43),3)="A&amp;D",-INDEX('Prelim Budget'!$C$9:$C$33,MATCH('Cash Flow'!$B43,'Prelim Budget'!$B$9:$B$33,0))/'Cash Flow'!$E43,IF(SUM('Cash Flow'!$F43:AY43)=-INDEX('Prelim Budget'!$C$9:$C$33,MATCH('Cash Flow'!$B43,'Prelim Budget'!$B$9:$B$33,0)),0,IF('Cash Flow'!AY43&lt;&gt;0,'Cash Flow'!AY43,0))),0)</f>
        <v>0</v>
      </c>
      <c r="BA43" s="153">
        <f ca="1">IFERROR(IF(LEFT(OFFSET(BA$2,0,-$C43),3)="A&amp;D",-INDEX('Prelim Budget'!$C$9:$C$33,MATCH('Cash Flow'!$B43,'Prelim Budget'!$B$9:$B$33,0))/'Cash Flow'!$E43,IF(SUM('Cash Flow'!$F43:AZ43)=-INDEX('Prelim Budget'!$C$9:$C$33,MATCH('Cash Flow'!$B43,'Prelim Budget'!$B$9:$B$33,0)),0,IF('Cash Flow'!AZ43&lt;&gt;0,'Cash Flow'!AZ43,0))),0)</f>
        <v>0</v>
      </c>
      <c r="BB43" s="153">
        <f ca="1">IFERROR(IF(LEFT(OFFSET(BB$2,0,-$C43),3)="A&amp;D",-INDEX('Prelim Budget'!$C$9:$C$33,MATCH('Cash Flow'!$B43,'Prelim Budget'!$B$9:$B$33,0))/'Cash Flow'!$E43,IF(SUM('Cash Flow'!$F43:BA43)=-INDEX('Prelim Budget'!$C$9:$C$33,MATCH('Cash Flow'!$B43,'Prelim Budget'!$B$9:$B$33,0)),0,IF('Cash Flow'!BA43&lt;&gt;0,'Cash Flow'!BA43,0))),0)</f>
        <v>0</v>
      </c>
      <c r="BC43" s="153">
        <f ca="1">IFERROR(IF(LEFT(OFFSET(BC$2,0,-$C43),3)="A&amp;D",-INDEX('Prelim Budget'!$C$9:$C$33,MATCH('Cash Flow'!$B43,'Prelim Budget'!$B$9:$B$33,0))/'Cash Flow'!$E43,IF(SUM('Cash Flow'!$F43:BB43)=-INDEX('Prelim Budget'!$C$9:$C$33,MATCH('Cash Flow'!$B43,'Prelim Budget'!$B$9:$B$33,0)),0,IF('Cash Flow'!BB43&lt;&gt;0,'Cash Flow'!BB43,0))),0)</f>
        <v>0</v>
      </c>
      <c r="BD43" s="153">
        <f ca="1">IFERROR(IF(LEFT(OFFSET(BD$2,0,-$C43),3)="A&amp;D",-INDEX('Prelim Budget'!$C$9:$C$33,MATCH('Cash Flow'!$B43,'Prelim Budget'!$B$9:$B$33,0))/'Cash Flow'!$E43,IF(SUM('Cash Flow'!$F43:BC43)=-INDEX('Prelim Budget'!$C$9:$C$33,MATCH('Cash Flow'!$B43,'Prelim Budget'!$B$9:$B$33,0)),0,IF('Cash Flow'!BC43&lt;&gt;0,'Cash Flow'!BC43,0))),0)</f>
        <v>0</v>
      </c>
      <c r="BE43" s="153">
        <f ca="1">IFERROR(IF(LEFT(OFFSET(BE$2,0,-$C43),3)="A&amp;D",-INDEX('Prelim Budget'!$C$9:$C$33,MATCH('Cash Flow'!$B43,'Prelim Budget'!$B$9:$B$33,0))/'Cash Flow'!$E43,IF(SUM('Cash Flow'!$F43:BD43)=-INDEX('Prelim Budget'!$C$9:$C$33,MATCH('Cash Flow'!$B43,'Prelim Budget'!$B$9:$B$33,0)),0,IF('Cash Flow'!BD43&lt;&gt;0,'Cash Flow'!BD43,0))),0)</f>
        <v>0</v>
      </c>
      <c r="BF43" s="153">
        <f ca="1">IFERROR(IF(LEFT(OFFSET(BF$2,0,-$C43),3)="A&amp;D",-INDEX('Prelim Budget'!$C$9:$C$33,MATCH('Cash Flow'!$B43,'Prelim Budget'!$B$9:$B$33,0))/'Cash Flow'!$E43,IF(SUM('Cash Flow'!$F43:BE43)=-INDEX('Prelim Budget'!$C$9:$C$33,MATCH('Cash Flow'!$B43,'Prelim Budget'!$B$9:$B$33,0)),0,IF('Cash Flow'!BE43&lt;&gt;0,'Cash Flow'!BE43,0))),0)</f>
        <v>0</v>
      </c>
      <c r="BG43" s="153">
        <f ca="1">IFERROR(IF(LEFT(OFFSET(BG$2,0,-$C43),3)="A&amp;D",-INDEX('Prelim Budget'!$C$9:$C$33,MATCH('Cash Flow'!$B43,'Prelim Budget'!$B$9:$B$33,0))/'Cash Flow'!$E43,IF(SUM('Cash Flow'!$F43:BF43)=-INDEX('Prelim Budget'!$C$9:$C$33,MATCH('Cash Flow'!$B43,'Prelim Budget'!$B$9:$B$33,0)),0,IF('Cash Flow'!BF43&lt;&gt;0,'Cash Flow'!BF43,0))),0)</f>
        <v>0</v>
      </c>
      <c r="BH43" s="153">
        <f ca="1">IFERROR(IF(LEFT(OFFSET(BH$2,0,-$C43),3)="A&amp;D",-INDEX('Prelim Budget'!$C$9:$C$33,MATCH('Cash Flow'!$B43,'Prelim Budget'!$B$9:$B$33,0))/'Cash Flow'!$E43,IF(SUM('Cash Flow'!$F43:BG43)=-INDEX('Prelim Budget'!$C$9:$C$33,MATCH('Cash Flow'!$B43,'Prelim Budget'!$B$9:$B$33,0)),0,IF('Cash Flow'!BG43&lt;&gt;0,'Cash Flow'!BG43,0))),0)</f>
        <v>0</v>
      </c>
      <c r="BI43" s="153">
        <f ca="1">IFERROR(IF(LEFT(OFFSET(BI$2,0,-$C43),3)="A&amp;D",-INDEX('Prelim Budget'!$C$9:$C$33,MATCH('Cash Flow'!$B43,'Prelim Budget'!$B$9:$B$33,0))/'Cash Flow'!$E43,IF(SUM('Cash Flow'!$F43:BH43)=-INDEX('Prelim Budget'!$C$9:$C$33,MATCH('Cash Flow'!$B43,'Prelim Budget'!$B$9:$B$33,0)),0,IF('Cash Flow'!BH43&lt;&gt;0,'Cash Flow'!BH43,0))),0)</f>
        <v>0</v>
      </c>
      <c r="BJ43" s="153">
        <f ca="1">IFERROR(IF(LEFT(OFFSET(BJ$2,0,-$C43),3)="A&amp;D",-INDEX('Prelim Budget'!$C$9:$C$33,MATCH('Cash Flow'!$B43,'Prelim Budget'!$B$9:$B$33,0))/'Cash Flow'!$E43,IF(SUM('Cash Flow'!$F43:BI43)=-INDEX('Prelim Budget'!$C$9:$C$33,MATCH('Cash Flow'!$B43,'Prelim Budget'!$B$9:$B$33,0)),0,IF('Cash Flow'!BI43&lt;&gt;0,'Cash Flow'!BI43,0))),0)</f>
        <v>0</v>
      </c>
      <c r="BK43" s="153">
        <f ca="1">IFERROR(IF(LEFT(OFFSET(BK$2,0,-$C43),3)="A&amp;D",-INDEX('Prelim Budget'!$C$9:$C$33,MATCH('Cash Flow'!$B43,'Prelim Budget'!$B$9:$B$33,0))/'Cash Flow'!$E43,IF(SUM('Cash Flow'!$F43:BJ43)=-INDEX('Prelim Budget'!$C$9:$C$33,MATCH('Cash Flow'!$B43,'Prelim Budget'!$B$9:$B$33,0)),0,IF('Cash Flow'!BJ43&lt;&gt;0,'Cash Flow'!BJ43,0))),0)</f>
        <v>0</v>
      </c>
      <c r="BL43" s="153">
        <f ca="1">IFERROR(IF(LEFT(OFFSET(BL$2,0,-$C43),3)="A&amp;D",-INDEX('Prelim Budget'!$C$9:$C$33,MATCH('Cash Flow'!$B43,'Prelim Budget'!$B$9:$B$33,0))/'Cash Flow'!$E43,IF(SUM('Cash Flow'!$F43:BK43)=-INDEX('Prelim Budget'!$C$9:$C$33,MATCH('Cash Flow'!$B43,'Prelim Budget'!$B$9:$B$33,0)),0,IF('Cash Flow'!BK43&lt;&gt;0,'Cash Flow'!BK43,0))),0)</f>
        <v>0</v>
      </c>
      <c r="BM43" s="153">
        <f ca="1">IFERROR(IF(LEFT(OFFSET(BM$2,0,-$C43),3)="A&amp;D",-INDEX('Prelim Budget'!$C$9:$C$33,MATCH('Cash Flow'!$B43,'Prelim Budget'!$B$9:$B$33,0))/'Cash Flow'!$E43,IF(SUM('Cash Flow'!$F43:BL43)=-INDEX('Prelim Budget'!$C$9:$C$33,MATCH('Cash Flow'!$B43,'Prelim Budget'!$B$9:$B$33,0)),0,IF('Cash Flow'!BL43&lt;&gt;0,'Cash Flow'!BL43,0))),0)</f>
        <v>0</v>
      </c>
      <c r="BN43" s="153">
        <f ca="1">IFERROR(IF(LEFT(OFFSET(BN$2,0,-$C43),3)="A&amp;D",-INDEX('Prelim Budget'!$C$9:$C$33,MATCH('Cash Flow'!$B43,'Prelim Budget'!$B$9:$B$33,0))/'Cash Flow'!$E43,IF(SUM('Cash Flow'!$F43:BM43)=-INDEX('Prelim Budget'!$C$9:$C$33,MATCH('Cash Flow'!$B43,'Prelim Budget'!$B$9:$B$33,0)),0,IF('Cash Flow'!BM43&lt;&gt;0,'Cash Flow'!BM43,0))),0)</f>
        <v>0</v>
      </c>
      <c r="BO43" s="50">
        <f ca="1">IFERROR(IF(LEFT(OFFSET(BO$2,0,-$C43),3)="A&amp;D",-INDEX('Prelim Budget'!$C$9:$C$33,MATCH('Cash Flow'!$B43,'Prelim Budget'!$B$9:$B$33,0))/'Cash Flow'!$E43,IF(SUM('Cash Flow'!$F43:BN43)=-INDEX('Prelim Budget'!$C$9:$C$33,MATCH('Cash Flow'!$B43,'Prelim Budget'!$B$9:$B$33,0)),0,IF('Cash Flow'!BN43&lt;&gt;0,'Cash Flow'!BN43,0))),0)</f>
        <v>0</v>
      </c>
    </row>
    <row r="44" spans="2:67" ht="14.05" customHeight="1" x14ac:dyDescent="0.4">
      <c r="B44" s="121" t="s">
        <v>181</v>
      </c>
      <c r="C44" s="4"/>
      <c r="D44" s="153">
        <f t="shared" ca="1" si="11"/>
        <v>-10300</v>
      </c>
      <c r="E44" s="50"/>
      <c r="F44" s="157"/>
      <c r="G44" s="134">
        <f ca="1">-Assumptions!$C$34*'Sales Proceeds &amp; MUD'!G$6</f>
        <v>0</v>
      </c>
      <c r="H44" s="153">
        <f ca="1">-Assumptions!$C$34*'Sales Proceeds &amp; MUD'!H$6</f>
        <v>0</v>
      </c>
      <c r="I44" s="153">
        <f ca="1">-Assumptions!$C$34*'Sales Proceeds &amp; MUD'!I$6</f>
        <v>0</v>
      </c>
      <c r="J44" s="153">
        <f ca="1">-Assumptions!$C$34*'Sales Proceeds &amp; MUD'!J$6</f>
        <v>0</v>
      </c>
      <c r="K44" s="153">
        <f ca="1">-Assumptions!$C$34*'Sales Proceeds &amp; MUD'!K$6</f>
        <v>0</v>
      </c>
      <c r="L44" s="153">
        <f ca="1">-Assumptions!$C$34*'Sales Proceeds &amp; MUD'!L$6</f>
        <v>0</v>
      </c>
      <c r="M44" s="153">
        <f ca="1">-Assumptions!$C$34*'Sales Proceeds &amp; MUD'!M$6</f>
        <v>0</v>
      </c>
      <c r="N44" s="153">
        <f ca="1">-Assumptions!$C$34*'Sales Proceeds &amp; MUD'!N$6</f>
        <v>0</v>
      </c>
      <c r="O44" s="153">
        <f ca="1">-Assumptions!$C$34*'Sales Proceeds &amp; MUD'!O$6</f>
        <v>0</v>
      </c>
      <c r="P44" s="153">
        <f ca="1">-Assumptions!$C$34*'Sales Proceeds &amp; MUD'!P$6</f>
        <v>0</v>
      </c>
      <c r="Q44" s="153">
        <f ca="1">-Assumptions!$C$34*'Sales Proceeds &amp; MUD'!Q$6</f>
        <v>0</v>
      </c>
      <c r="R44" s="153">
        <f ca="1">-Assumptions!$C$34*'Sales Proceeds &amp; MUD'!R$6</f>
        <v>0</v>
      </c>
      <c r="S44" s="153">
        <f ca="1">-Assumptions!$C$34*'Sales Proceeds &amp; MUD'!S$6</f>
        <v>0</v>
      </c>
      <c r="T44" s="153">
        <f ca="1">-Assumptions!$C$34*'Sales Proceeds &amp; MUD'!T$6</f>
        <v>0</v>
      </c>
      <c r="U44" s="153">
        <f ca="1">-Assumptions!$C$34*'Sales Proceeds &amp; MUD'!U$6</f>
        <v>0</v>
      </c>
      <c r="V44" s="153">
        <f ca="1">-Assumptions!$C$34*'Sales Proceeds &amp; MUD'!V$6</f>
        <v>0</v>
      </c>
      <c r="W44" s="153">
        <f ca="1">-Assumptions!$C$34*'Sales Proceeds &amp; MUD'!W$6</f>
        <v>0</v>
      </c>
      <c r="X44" s="153">
        <f ca="1">-Assumptions!$C$34*'Sales Proceeds &amp; MUD'!X$6</f>
        <v>0</v>
      </c>
      <c r="Y44" s="153">
        <f ca="1">-Assumptions!$C$34*'Sales Proceeds &amp; MUD'!Y$6</f>
        <v>-1000</v>
      </c>
      <c r="Z44" s="153">
        <f ca="1">-Assumptions!$C$34*'Sales Proceeds &amp; MUD'!Z$6</f>
        <v>0</v>
      </c>
      <c r="AA44" s="153">
        <f ca="1">-Assumptions!$C$34*'Sales Proceeds &amp; MUD'!AA$6</f>
        <v>0</v>
      </c>
      <c r="AB44" s="153">
        <f ca="1">-Assumptions!$C$34*'Sales Proceeds &amp; MUD'!AB$6</f>
        <v>-1000</v>
      </c>
      <c r="AC44" s="153">
        <f ca="1">-Assumptions!$C$34*'Sales Proceeds &amp; MUD'!AC$6</f>
        <v>0</v>
      </c>
      <c r="AD44" s="153">
        <f ca="1">-Assumptions!$C$34*'Sales Proceeds &amp; MUD'!AD$6</f>
        <v>0</v>
      </c>
      <c r="AE44" s="153">
        <f ca="1">-Assumptions!$C$34*'Sales Proceeds &amp; MUD'!AE$6</f>
        <v>-1000</v>
      </c>
      <c r="AF44" s="153">
        <f ca="1">-Assumptions!$C$34*'Sales Proceeds &amp; MUD'!AF$6</f>
        <v>0</v>
      </c>
      <c r="AG44" s="153">
        <f ca="1">-Assumptions!$C$34*'Sales Proceeds &amp; MUD'!AG$6</f>
        <v>0</v>
      </c>
      <c r="AH44" s="153">
        <f ca="1">-Assumptions!$C$34*'Sales Proceeds &amp; MUD'!AH$6</f>
        <v>-1000</v>
      </c>
      <c r="AI44" s="153">
        <f ca="1">-Assumptions!$C$34*'Sales Proceeds &amp; MUD'!AI$6</f>
        <v>0</v>
      </c>
      <c r="AJ44" s="153">
        <f ca="1">-Assumptions!$C$34*'Sales Proceeds &amp; MUD'!AJ$6</f>
        <v>0</v>
      </c>
      <c r="AK44" s="153">
        <f ca="1">-Assumptions!$C$34*'Sales Proceeds &amp; MUD'!AK$6</f>
        <v>-1000</v>
      </c>
      <c r="AL44" s="153">
        <f ca="1">-Assumptions!$C$34*'Sales Proceeds &amp; MUD'!AL$6</f>
        <v>0</v>
      </c>
      <c r="AM44" s="153">
        <f ca="1">-Assumptions!$C$34*'Sales Proceeds &amp; MUD'!AM$6</f>
        <v>0</v>
      </c>
      <c r="AN44" s="153">
        <f ca="1">-Assumptions!$C$34*'Sales Proceeds &amp; MUD'!AN$6</f>
        <v>-1000</v>
      </c>
      <c r="AO44" s="153">
        <f ca="1">-Assumptions!$C$34*'Sales Proceeds &amp; MUD'!AO$6</f>
        <v>0</v>
      </c>
      <c r="AP44" s="153">
        <f ca="1">-Assumptions!$C$34*'Sales Proceeds &amp; MUD'!AP$6</f>
        <v>0</v>
      </c>
      <c r="AQ44" s="153">
        <f ca="1">-Assumptions!$C$34*'Sales Proceeds &amp; MUD'!AQ$6</f>
        <v>-1000</v>
      </c>
      <c r="AR44" s="153">
        <f ca="1">-Assumptions!$C$34*'Sales Proceeds &amp; MUD'!AR$6</f>
        <v>0</v>
      </c>
      <c r="AS44" s="153">
        <f ca="1">-Assumptions!$C$34*'Sales Proceeds &amp; MUD'!AS$6</f>
        <v>0</v>
      </c>
      <c r="AT44" s="153">
        <f ca="1">-Assumptions!$C$34*'Sales Proceeds &amp; MUD'!AT$6</f>
        <v>-1000</v>
      </c>
      <c r="AU44" s="153">
        <f ca="1">-Assumptions!$C$34*'Sales Proceeds &amp; MUD'!AU$6</f>
        <v>0</v>
      </c>
      <c r="AV44" s="153">
        <f ca="1">-Assumptions!$C$34*'Sales Proceeds &amp; MUD'!AV$6</f>
        <v>0</v>
      </c>
      <c r="AW44" s="153">
        <f ca="1">-Assumptions!$C$34*'Sales Proceeds &amp; MUD'!AW$6</f>
        <v>-1000</v>
      </c>
      <c r="AX44" s="153">
        <f ca="1">-Assumptions!$C$34*'Sales Proceeds &amp; MUD'!AX$6</f>
        <v>0</v>
      </c>
      <c r="AY44" s="153">
        <f ca="1">-Assumptions!$C$34*'Sales Proceeds &amp; MUD'!AY$6</f>
        <v>0</v>
      </c>
      <c r="AZ44" s="153">
        <f ca="1">-Assumptions!$C$34*'Sales Proceeds &amp; MUD'!AZ$6</f>
        <v>-1000</v>
      </c>
      <c r="BA44" s="153">
        <f ca="1">-Assumptions!$C$34*'Sales Proceeds &amp; MUD'!BA$6</f>
        <v>0</v>
      </c>
      <c r="BB44" s="153">
        <f ca="1">-Assumptions!$C$34*'Sales Proceeds &amp; MUD'!BB$6</f>
        <v>0</v>
      </c>
      <c r="BC44" s="153">
        <f ca="1">-Assumptions!$C$34*'Sales Proceeds &amp; MUD'!BC$6</f>
        <v>-300</v>
      </c>
      <c r="BD44" s="153">
        <f ca="1">-Assumptions!$C$34*'Sales Proceeds &amp; MUD'!BD$6</f>
        <v>0</v>
      </c>
      <c r="BE44" s="153">
        <f ca="1">-Assumptions!$C$34*'Sales Proceeds &amp; MUD'!BE$6</f>
        <v>0</v>
      </c>
      <c r="BF44" s="153">
        <f ca="1">-Assumptions!$C$34*'Sales Proceeds &amp; MUD'!BF$6</f>
        <v>0</v>
      </c>
      <c r="BG44" s="153">
        <f ca="1">-Assumptions!$C$34*'Sales Proceeds &amp; MUD'!BG$6</f>
        <v>0</v>
      </c>
      <c r="BH44" s="153">
        <f ca="1">-Assumptions!$C$34*'Sales Proceeds &amp; MUD'!BH$6</f>
        <v>0</v>
      </c>
      <c r="BI44" s="153">
        <f ca="1">-Assumptions!$C$34*'Sales Proceeds &amp; MUD'!BI$6</f>
        <v>0</v>
      </c>
      <c r="BJ44" s="153">
        <f ca="1">-Assumptions!$C$34*'Sales Proceeds &amp; MUD'!BJ$6</f>
        <v>0</v>
      </c>
      <c r="BK44" s="153">
        <f ca="1">-Assumptions!$C$34*'Sales Proceeds &amp; MUD'!BK$6</f>
        <v>0</v>
      </c>
      <c r="BL44" s="153">
        <f ca="1">-Assumptions!$C$34*'Sales Proceeds &amp; MUD'!BL$6</f>
        <v>0</v>
      </c>
      <c r="BM44" s="153">
        <f ca="1">-Assumptions!$C$34*'Sales Proceeds &amp; MUD'!BM$6</f>
        <v>0</v>
      </c>
      <c r="BN44" s="153">
        <f ca="1">-Assumptions!$C$34*'Sales Proceeds &amp; MUD'!BN$6</f>
        <v>0</v>
      </c>
      <c r="BO44" s="50">
        <f ca="1">-Assumptions!$C$34*'Sales Proceeds &amp; MUD'!BO$6</f>
        <v>0</v>
      </c>
    </row>
    <row r="45" spans="2:67" ht="14.05" customHeight="1" x14ac:dyDescent="0.4">
      <c r="B45" s="121" t="s">
        <v>182</v>
      </c>
      <c r="C45" s="4"/>
      <c r="D45" s="153">
        <f t="shared" ca="1" si="11"/>
        <v>-287113.125</v>
      </c>
      <c r="E45" s="50"/>
      <c r="F45" s="157"/>
      <c r="G45" s="134">
        <f ca="1">IFERROR(IF(LEFT(OFFSET(G$2,0,-$C45),3)="A&amp;D",-INDEX('Prelim Budget'!$C$9:$C$33,MATCH('Cash Flow'!$B45,'Prelim Budget'!$B$9:$B$33,0))/'Cash Flow'!$E45,IF(SUM('Cash Flow'!$F45:F45)=-INDEX('Prelim Budget'!$C$9:$C$33,MATCH('Cash Flow'!$B45,'Prelim Budget'!$B$9:$B$33,0)),0,IF('Cash Flow'!F45&lt;&gt;0,'Cash Flow'!F45,0))),0)</f>
        <v>0</v>
      </c>
      <c r="H45" s="153">
        <f ca="1">IFERROR(IF(LEFT(OFFSET(H$2,0,-$C45),3)="A&amp;D",-INDEX('Prelim Budget'!$C$9:$C$33,MATCH('Cash Flow'!$B45,'Prelim Budget'!$B$9:$B$33,0))/'Cash Flow'!$E45,IF(SUM('Cash Flow'!$F45:G45)=-INDEX('Prelim Budget'!$C$9:$C$33,MATCH('Cash Flow'!$B45,'Prelim Budget'!$B$9:$B$33,0)),0,IF('Cash Flow'!G45&lt;&gt;0,'Cash Flow'!G45,0))),0)</f>
        <v>0</v>
      </c>
      <c r="I45" s="153">
        <f ca="1">IFERROR(IF(LEFT(OFFSET(I$2,0,-$C45),3)="A&amp;D",-INDEX('Prelim Budget'!$C$9:$C$33,MATCH('Cash Flow'!$B45,'Prelim Budget'!$B$9:$B$33,0))/'Cash Flow'!$E45,IF(SUM('Cash Flow'!$F45:H45)=-INDEX('Prelim Budget'!$C$9:$C$33,MATCH('Cash Flow'!$B45,'Prelim Budget'!$B$9:$B$33,0)),0,IF('Cash Flow'!H45&lt;&gt;0,'Cash Flow'!H45,0))),0)</f>
        <v>0</v>
      </c>
      <c r="J45" s="153">
        <f ca="1">IFERROR(IF(LEFT(OFFSET(J$2,0,-$C45),3)="A&amp;D",-INDEX('Prelim Budget'!$C$9:$C$33,MATCH('Cash Flow'!$B45,'Prelim Budget'!$B$9:$B$33,0))/'Cash Flow'!$E45,IF(SUM('Cash Flow'!$F45:I45)=-INDEX('Prelim Budget'!$C$9:$C$33,MATCH('Cash Flow'!$B45,'Prelim Budget'!$B$9:$B$33,0)),0,IF('Cash Flow'!I45&lt;&gt;0,'Cash Flow'!I45,0))),0)</f>
        <v>0</v>
      </c>
      <c r="K45" s="153">
        <f ca="1">IFERROR(IF(LEFT(OFFSET(K$2,0,-$C45),3)="A&amp;D",-INDEX('Prelim Budget'!$C$9:$C$33,MATCH('Cash Flow'!$B45,'Prelim Budget'!$B$9:$B$33,0))/'Cash Flow'!$E45,IF(SUM('Cash Flow'!$F45:J45)=-INDEX('Prelim Budget'!$C$9:$C$33,MATCH('Cash Flow'!$B45,'Prelim Budget'!$B$9:$B$33,0)),0,IF('Cash Flow'!J45&lt;&gt;0,'Cash Flow'!J45,0))),0)</f>
        <v>0</v>
      </c>
      <c r="L45" s="153">
        <f ca="1">IFERROR(IF(LEFT(OFFSET(L$2,0,-$C45),3)="A&amp;D",-INDEX('Prelim Budget'!$C$9:$C$33,MATCH('Cash Flow'!$B45,'Prelim Budget'!$B$9:$B$33,0))/'Cash Flow'!$E45,IF(SUM('Cash Flow'!$F45:K45)=-INDEX('Prelim Budget'!$C$9:$C$33,MATCH('Cash Flow'!$B45,'Prelim Budget'!$B$9:$B$33,0)),0,IF('Cash Flow'!K45&lt;&gt;0,'Cash Flow'!K45,0))),0)</f>
        <v>0</v>
      </c>
      <c r="M45" s="153">
        <f ca="1">IFERROR(IF(LEFT(OFFSET(M$2,0,-$C45),3)="A&amp;D",-INDEX('Prelim Budget'!$C$9:$C$33,MATCH('Cash Flow'!$B45,'Prelim Budget'!$B$9:$B$33,0))/'Cash Flow'!$E45,IF(SUM('Cash Flow'!$F45:L45)=-INDEX('Prelim Budget'!$C$9:$C$33,MATCH('Cash Flow'!$B45,'Prelim Budget'!$B$9:$B$33,0)),0,IF('Cash Flow'!L45&lt;&gt;0,'Cash Flow'!L45,0))),0)</f>
        <v>0</v>
      </c>
      <c r="N45" s="153">
        <f ca="1">IFERROR(IF(LEFT(OFFSET(N$2,0,-$C45),3)="A&amp;D",-INDEX('Prelim Budget'!$C$9:$C$33,MATCH('Cash Flow'!$B45,'Prelim Budget'!$B$9:$B$33,0))/'Cash Flow'!$E45,IF(SUM('Cash Flow'!$F45:M45)=-INDEX('Prelim Budget'!$C$9:$C$33,MATCH('Cash Flow'!$B45,'Prelim Budget'!$B$9:$B$33,0)),0,IF('Cash Flow'!M45&lt;&gt;0,'Cash Flow'!M45,0))),0)</f>
        <v>0</v>
      </c>
      <c r="O45" s="153">
        <f ca="1">IFERROR(IF(LEFT(OFFSET(O$2,0,-$C45),3)="A&amp;D",-INDEX('Prelim Budget'!$C$9:$C$33,MATCH('Cash Flow'!$B45,'Prelim Budget'!$B$9:$B$33,0))/'Cash Flow'!$E45,IF(SUM('Cash Flow'!$F45:N45)=-INDEX('Prelim Budget'!$C$9:$C$33,MATCH('Cash Flow'!$B45,'Prelim Budget'!$B$9:$B$33,0)),0,IF('Cash Flow'!N45&lt;&gt;0,'Cash Flow'!N45,0))),0)</f>
        <v>0</v>
      </c>
      <c r="P45" s="153">
        <f ca="1">IFERROR(IF(LEFT(OFFSET(P$2,0,-$C45),3)="A&amp;D",-INDEX('Prelim Budget'!$C$9:$C$33,MATCH('Cash Flow'!$B45,'Prelim Budget'!$B$9:$B$33,0))/'Cash Flow'!$E45,IF(SUM('Cash Flow'!$F45:O45)=-INDEX('Prelim Budget'!$C$9:$C$33,MATCH('Cash Flow'!$B45,'Prelim Budget'!$B$9:$B$33,0)),0,IF('Cash Flow'!O45&lt;&gt;0,'Cash Flow'!O45,0))),0)</f>
        <v>0</v>
      </c>
      <c r="Q45" s="153">
        <f ca="1">IFERROR(IF(LEFT(OFFSET(Q$2,0,-$C45),3)="A&amp;D",-INDEX('Prelim Budget'!$C$9:$C$33,MATCH('Cash Flow'!$B45,'Prelim Budget'!$B$9:$B$33,0))/'Cash Flow'!$E45,IF(SUM('Cash Flow'!$F45:P45)=-INDEX('Prelim Budget'!$C$9:$C$33,MATCH('Cash Flow'!$B45,'Prelim Budget'!$B$9:$B$33,0)),0,IF('Cash Flow'!P45&lt;&gt;0,'Cash Flow'!P45,0))),0)</f>
        <v>0</v>
      </c>
      <c r="R45" s="153">
        <f ca="1">IFERROR(IF(LEFT(OFFSET(R$2,0,-$C45),3)="A&amp;D",-INDEX('Prelim Budget'!$C$9:$C$33,MATCH('Cash Flow'!$B45,'Prelim Budget'!$B$9:$B$33,0))/'Cash Flow'!$E45,IF(SUM('Cash Flow'!$F45:Q45)=-INDEX('Prelim Budget'!$C$9:$C$33,MATCH('Cash Flow'!$B45,'Prelim Budget'!$B$9:$B$33,0)),0,IF('Cash Flow'!Q45&lt;&gt;0,'Cash Flow'!Q45,0))),0)</f>
        <v>0</v>
      </c>
      <c r="S45" s="153">
        <f>-(Assumptions!$C$35*Assumptions!$C$32)/2</f>
        <v>-15079.375</v>
      </c>
      <c r="T45" s="153">
        <f ca="1">IFERROR(IF(LEFT(OFFSET(T$2,0,-$C45),3)="A&amp;D",-INDEX('Prelim Budget'!$C$9:$C$33,MATCH('Cash Flow'!$B45,'Prelim Budget'!$B$9:$B$33,0))/'Cash Flow'!$E45,IF(SUM('Cash Flow'!$F45:S45)=-INDEX('Prelim Budget'!$C$9:$C$33,MATCH('Cash Flow'!$B45,'Prelim Budget'!$B$9:$B$33,0)),0,IF('Cash Flow'!S45&lt;&gt;0,'Cash Flow'!S45,0))),0)</f>
        <v>0</v>
      </c>
      <c r="U45" s="153">
        <f ca="1">IFERROR(IF(LEFT(OFFSET(U$2,0,-$C45),3)="A&amp;D",-INDEX('Prelim Budget'!$C$9:$C$33,MATCH('Cash Flow'!$B45,'Prelim Budget'!$B$9:$B$33,0))/'Cash Flow'!$E45,IF(SUM('Cash Flow'!$F45:T45)=-INDEX('Prelim Budget'!$C$9:$C$33,MATCH('Cash Flow'!$B45,'Prelim Budget'!$B$9:$B$33,0)),0,IF('Cash Flow'!T45&lt;&gt;0,'Cash Flow'!T45,0))),0)</f>
        <v>0</v>
      </c>
      <c r="V45" s="153">
        <f ca="1">IFERROR(IF(LEFT(OFFSET(V$2,0,-$C45),3)="A&amp;D",-INDEX('Prelim Budget'!$C$9:$C$33,MATCH('Cash Flow'!$B45,'Prelim Budget'!$B$9:$B$33,0))/'Cash Flow'!$E45,IF(SUM('Cash Flow'!$F45:U45)=-INDEX('Prelim Budget'!$C$9:$C$33,MATCH('Cash Flow'!$B45,'Prelim Budget'!$B$9:$B$33,0)),0,IF('Cash Flow'!U45&lt;&gt;0,'Cash Flow'!U45,0))),0)</f>
        <v>0</v>
      </c>
      <c r="W45" s="153">
        <f ca="1">IFERROR(IF(LEFT(OFFSET(W$2,0,-$C45),3)="A&amp;D",-INDEX('Prelim Budget'!$C$9:$C$33,MATCH('Cash Flow'!$B45,'Prelim Budget'!$B$9:$B$33,0))/'Cash Flow'!$E45,IF(SUM('Cash Flow'!$F45:V45)=-INDEX('Prelim Budget'!$C$9:$C$33,MATCH('Cash Flow'!$B45,'Prelim Budget'!$B$9:$B$33,0)),0,IF('Cash Flow'!V45&lt;&gt;0,'Cash Flow'!V45,0))),0)</f>
        <v>0</v>
      </c>
      <c r="X45" s="153">
        <f ca="1">IFERROR(IF(LEFT(OFFSET(X$2,0,-$C45),3)="A&amp;D",-INDEX('Prelim Budget'!$C$9:$C$33,MATCH('Cash Flow'!$B45,'Prelim Budget'!$B$9:$B$33,0))/'Cash Flow'!$E45,IF(SUM('Cash Flow'!$F45:W45)=-INDEX('Prelim Budget'!$C$9:$C$33,MATCH('Cash Flow'!$B45,'Prelim Budget'!$B$9:$B$33,0)),0,IF('Cash Flow'!W45&lt;&gt;0,'Cash Flow'!W45,0))),0)</f>
        <v>0</v>
      </c>
      <c r="Y45" s="153">
        <f ca="1">IFERROR(IF(LEFT(OFFSET(Y$2,0,-$C45),3)="A&amp;D",-INDEX('Prelim Budget'!$C$9:$C$33,MATCH('Cash Flow'!$B45,'Prelim Budget'!$B$9:$B$33,0))/'Cash Flow'!$E45,IF(SUM('Cash Flow'!$F45:X45)=-INDEX('Prelim Budget'!$C$9:$C$33,MATCH('Cash Flow'!$B45,'Prelim Budget'!$B$9:$B$33,0)),0,IF('Cash Flow'!X45&lt;&gt;0,'Cash Flow'!X45,0))),0)</f>
        <v>0</v>
      </c>
      <c r="Z45" s="153">
        <f ca="1">IFERROR(IF(LEFT(OFFSET(Z$2,0,-$C45),3)="A&amp;D",-INDEX('Prelim Budget'!$C$9:$C$33,MATCH('Cash Flow'!$B45,'Prelim Budget'!$B$9:$B$33,0))/'Cash Flow'!$E45,IF(SUM('Cash Flow'!$F45:Y45)=-INDEX('Prelim Budget'!$C$9:$C$33,MATCH('Cash Flow'!$B45,'Prelim Budget'!$B$9:$B$33,0)),0,IF('Cash Flow'!Y45&lt;&gt;0,'Cash Flow'!Y45,0))),0)</f>
        <v>0</v>
      </c>
      <c r="AA45" s="153">
        <f ca="1">IFERROR(IF(LEFT(OFFSET(AA$2,0,-$C45),3)="A&amp;D",-INDEX('Prelim Budget'!$C$9:$C$33,MATCH('Cash Flow'!$B45,'Prelim Budget'!$B$9:$B$33,0))/'Cash Flow'!$E45,IF(SUM('Cash Flow'!$F45:Z45)=-INDEX('Prelim Budget'!$C$9:$C$33,MATCH('Cash Flow'!$B45,'Prelim Budget'!$B$9:$B$33,0)),0,IF('Cash Flow'!Z45&lt;&gt;0,'Cash Flow'!Z45,0))),0)</f>
        <v>0</v>
      </c>
      <c r="AB45" s="153">
        <f ca="1">IFERROR(IF(LEFT(OFFSET(AB$2,0,-$C45),3)="A&amp;D",-INDEX('Prelim Budget'!$C$9:$C$33,MATCH('Cash Flow'!$B45,'Prelim Budget'!$B$9:$B$33,0))/'Cash Flow'!$E45,IF(SUM('Cash Flow'!$F45:AA45)=-INDEX('Prelim Budget'!$C$9:$C$33,MATCH('Cash Flow'!$B45,'Prelim Budget'!$B$9:$B$33,0)),0,IF('Cash Flow'!AA45&lt;&gt;0,'Cash Flow'!AA45,0))),0)</f>
        <v>0</v>
      </c>
      <c r="AC45" s="153">
        <f ca="1">IFERROR(IF(LEFT(OFFSET(AC$2,0,-$C45),3)="A&amp;D",-INDEX('Prelim Budget'!$C$9:$C$33,MATCH('Cash Flow'!$B45,'Prelim Budget'!$B$9:$B$33,0))/'Cash Flow'!$E45,IF(SUM('Cash Flow'!$F45:AB45)=-INDEX('Prelim Budget'!$C$9:$C$33,MATCH('Cash Flow'!$B45,'Prelim Budget'!$B$9:$B$33,0)),0,IF('Cash Flow'!AB45&lt;&gt;0,'Cash Flow'!AB45,0))),0)</f>
        <v>0</v>
      </c>
      <c r="AD45" s="153">
        <f ca="1">IFERROR(IF(LEFT(OFFSET(AD$2,0,-$C45),3)="A&amp;D",-INDEX('Prelim Budget'!$C$9:$C$33,MATCH('Cash Flow'!$B45,'Prelim Budget'!$B$9:$B$33,0))/'Cash Flow'!$E45,IF(SUM('Cash Flow'!$F45:AC45)=-INDEX('Prelim Budget'!$C$9:$C$33,MATCH('Cash Flow'!$B45,'Prelim Budget'!$B$9:$B$33,0)),0,IF('Cash Flow'!AC45&lt;&gt;0,'Cash Flow'!AC45,0))),0)</f>
        <v>0</v>
      </c>
      <c r="AE45" s="153">
        <f>-(Assumptions!$C$35*Assumptions!$C$32)</f>
        <v>-30158.75</v>
      </c>
      <c r="AF45" s="153">
        <f ca="1">IFERROR(IF(LEFT(OFFSET(AF$2,0,-$C45),3)="A&amp;D",-INDEX('Prelim Budget'!$C$9:$C$33,MATCH('Cash Flow'!$B45,'Prelim Budget'!$B$9:$B$33,0))/'Cash Flow'!$E45,IF(SUM('Cash Flow'!$F45:AE45)=-INDEX('Prelim Budget'!$C$9:$C$33,MATCH('Cash Flow'!$B45,'Prelim Budget'!$B$9:$B$33,0)),0,IF('Cash Flow'!AE45&lt;&gt;0,'Cash Flow'!AE45,0))),0)</f>
        <v>0</v>
      </c>
      <c r="AG45" s="153">
        <f ca="1">IFERROR(IF(LEFT(OFFSET(AG$2,0,-$C45),3)="A&amp;D",-INDEX('Prelim Budget'!$C$9:$C$33,MATCH('Cash Flow'!$B45,'Prelim Budget'!$B$9:$B$33,0))/'Cash Flow'!$E45,IF(SUM('Cash Flow'!$F45:AF45)=-INDEX('Prelim Budget'!$C$9:$C$33,MATCH('Cash Flow'!$B45,'Prelim Budget'!$B$9:$B$33,0)),0,IF('Cash Flow'!AF45&lt;&gt;0,'Cash Flow'!AF45,0))),0)</f>
        <v>0</v>
      </c>
      <c r="AH45" s="153">
        <f ca="1">IFERROR(IF(LEFT(OFFSET(AH$2,0,-$C45),3)="A&amp;D",-INDEX('Prelim Budget'!$C$9:$C$33,MATCH('Cash Flow'!$B45,'Prelim Budget'!$B$9:$B$33,0))/'Cash Flow'!$E45,IF(SUM('Cash Flow'!$F45:AG45)=-INDEX('Prelim Budget'!$C$9:$C$33,MATCH('Cash Flow'!$B45,'Prelim Budget'!$B$9:$B$33,0)),0,IF('Cash Flow'!AG45&lt;&gt;0,'Cash Flow'!AG45,0))),0)</f>
        <v>0</v>
      </c>
      <c r="AI45" s="153">
        <f ca="1">IFERROR(IF(LEFT(OFFSET(AI$2,0,-$C45),3)="A&amp;D",-INDEX('Prelim Budget'!$C$9:$C$33,MATCH('Cash Flow'!$B45,'Prelim Budget'!$B$9:$B$33,0))/'Cash Flow'!$E45,IF(SUM('Cash Flow'!$F45:AH45)=-INDEX('Prelim Budget'!$C$9:$C$33,MATCH('Cash Flow'!$B45,'Prelim Budget'!$B$9:$B$33,0)),0,IF('Cash Flow'!AH45&lt;&gt;0,'Cash Flow'!AH45,0))),0)</f>
        <v>0</v>
      </c>
      <c r="AJ45" s="153">
        <f ca="1">IFERROR(IF(LEFT(OFFSET(AJ$2,0,-$C45),3)="A&amp;D",-INDEX('Prelim Budget'!$C$9:$C$33,MATCH('Cash Flow'!$B45,'Prelim Budget'!$B$9:$B$33,0))/'Cash Flow'!$E45,IF(SUM('Cash Flow'!$F45:AI45)=-INDEX('Prelim Budget'!$C$9:$C$33,MATCH('Cash Flow'!$B45,'Prelim Budget'!$B$9:$B$33,0)),0,IF('Cash Flow'!AI45&lt;&gt;0,'Cash Flow'!AI45,0))),0)</f>
        <v>0</v>
      </c>
      <c r="AK45" s="153">
        <f ca="1">IFERROR(IF(LEFT(OFFSET(AK$2,0,-$C45),3)="A&amp;D",-INDEX('Prelim Budget'!$C$9:$C$33,MATCH('Cash Flow'!$B45,'Prelim Budget'!$B$9:$B$33,0))/'Cash Flow'!$E45,IF(SUM('Cash Flow'!$F45:AJ45)=-INDEX('Prelim Budget'!$C$9:$C$33,MATCH('Cash Flow'!$B45,'Prelim Budget'!$B$9:$B$33,0)),0,IF('Cash Flow'!AJ45&lt;&gt;0,'Cash Flow'!AJ45,0))),0)</f>
        <v>0</v>
      </c>
      <c r="AL45" s="153">
        <f ca="1">IFERROR(IF(LEFT(OFFSET(AL$2,0,-$C45),3)="A&amp;D",-INDEX('Prelim Budget'!$C$9:$C$33,MATCH('Cash Flow'!$B45,'Prelim Budget'!$B$9:$B$33,0))/'Cash Flow'!$E45,IF(SUM('Cash Flow'!$F45:AK45)=-INDEX('Prelim Budget'!$C$9:$C$33,MATCH('Cash Flow'!$B45,'Prelim Budget'!$B$9:$B$33,0)),0,IF('Cash Flow'!AK45&lt;&gt;0,'Cash Flow'!AK45,0))),0)</f>
        <v>0</v>
      </c>
      <c r="AM45" s="153">
        <f ca="1">IFERROR(IF(LEFT(OFFSET(AM$2,0,-$C45),3)="A&amp;D",-INDEX('Prelim Budget'!$C$9:$C$33,MATCH('Cash Flow'!$B45,'Prelim Budget'!$B$9:$B$33,0))/'Cash Flow'!$E45,IF(SUM('Cash Flow'!$F45:AL45)=-INDEX('Prelim Budget'!$C$9:$C$33,MATCH('Cash Flow'!$B45,'Prelim Budget'!$B$9:$B$33,0)),0,IF('Cash Flow'!AL45&lt;&gt;0,'Cash Flow'!AL45,0))),0)</f>
        <v>0</v>
      </c>
      <c r="AN45" s="153">
        <f ca="1">IFERROR(IF(LEFT(OFFSET(AN$2,0,-$C45),3)="A&amp;D",-INDEX('Prelim Budget'!$C$9:$C$33,MATCH('Cash Flow'!$B45,'Prelim Budget'!$B$9:$B$33,0))/'Cash Flow'!$E45,IF(SUM('Cash Flow'!$F45:AM45)=-INDEX('Prelim Budget'!$C$9:$C$33,MATCH('Cash Flow'!$B45,'Prelim Budget'!$B$9:$B$33,0)),0,IF('Cash Flow'!AM45&lt;&gt;0,'Cash Flow'!AM45,0))),0)</f>
        <v>0</v>
      </c>
      <c r="AO45" s="153">
        <f ca="1">IFERROR(IF(LEFT(OFFSET(AO$2,0,-$C45),3)="A&amp;D",-INDEX('Prelim Budget'!$C$9:$C$33,MATCH('Cash Flow'!$B45,'Prelim Budget'!$B$9:$B$33,0))/'Cash Flow'!$E45,IF(SUM('Cash Flow'!$F45:AN45)=-INDEX('Prelim Budget'!$C$9:$C$33,MATCH('Cash Flow'!$B45,'Prelim Budget'!$B$9:$B$33,0)),0,IF('Cash Flow'!AN45&lt;&gt;0,'Cash Flow'!AN45,0))),0)</f>
        <v>0</v>
      </c>
      <c r="AP45" s="153">
        <f ca="1">IFERROR(IF(LEFT(OFFSET(AP$2,0,-$C45),3)="A&amp;D",-INDEX('Prelim Budget'!$C$9:$C$33,MATCH('Cash Flow'!$B45,'Prelim Budget'!$B$9:$B$33,0))/'Cash Flow'!$E45,IF(SUM('Cash Flow'!$F45:AO45)=-INDEX('Prelim Budget'!$C$9:$C$33,MATCH('Cash Flow'!$B45,'Prelim Budget'!$B$9:$B$33,0)),0,IF('Cash Flow'!AO45&lt;&gt;0,'Cash Flow'!AO45,0))),0)</f>
        <v>0</v>
      </c>
      <c r="AQ45" s="153">
        <f ca="1">-(Assumptions!$C$31-'Sales Proceeds &amp; MUD'!AD7)*Assumptions!$C$30*Assumptions!$C$36</f>
        <v>-155625</v>
      </c>
      <c r="AR45" s="153">
        <f ca="1">IFERROR(IF(LEFT(OFFSET(AR$2,0,-$C45),3)="A&amp;D",-INDEX('Prelim Budget'!$C$9:$C$33,MATCH('Cash Flow'!$B45,'Prelim Budget'!$B$9:$B$33,0))/'Cash Flow'!$E45,IF(SUM('Cash Flow'!$F45:AQ45)=-INDEX('Prelim Budget'!$C$9:$C$33,MATCH('Cash Flow'!$B45,'Prelim Budget'!$B$9:$B$33,0)),0,IF('Cash Flow'!AQ45&lt;&gt;0,'Cash Flow'!AQ45,0))),0)</f>
        <v>0</v>
      </c>
      <c r="AS45" s="153">
        <f ca="1">IFERROR(IF(LEFT(OFFSET(AS$2,0,-$C45),3)="A&amp;D",-INDEX('Prelim Budget'!$C$9:$C$33,MATCH('Cash Flow'!$B45,'Prelim Budget'!$B$9:$B$33,0))/'Cash Flow'!$E45,IF(SUM('Cash Flow'!$F45:AR45)=-INDEX('Prelim Budget'!$C$9:$C$33,MATCH('Cash Flow'!$B45,'Prelim Budget'!$B$9:$B$33,0)),0,IF('Cash Flow'!AR45&lt;&gt;0,'Cash Flow'!AR45,0))),0)</f>
        <v>0</v>
      </c>
      <c r="AT45" s="153">
        <f ca="1">IFERROR(IF(LEFT(OFFSET(AT$2,0,-$C45),3)="A&amp;D",-INDEX('Prelim Budget'!$C$9:$C$33,MATCH('Cash Flow'!$B45,'Prelim Budget'!$B$9:$B$33,0))/'Cash Flow'!$E45,IF(SUM('Cash Flow'!$F45:AS45)=-INDEX('Prelim Budget'!$C$9:$C$33,MATCH('Cash Flow'!$B45,'Prelim Budget'!$B$9:$B$33,0)),0,IF('Cash Flow'!AS45&lt;&gt;0,'Cash Flow'!AS45,0))),0)</f>
        <v>0</v>
      </c>
      <c r="AU45" s="153">
        <f ca="1">IFERROR(IF(LEFT(OFFSET(AU$2,0,-$C45),3)="A&amp;D",-INDEX('Prelim Budget'!$C$9:$C$33,MATCH('Cash Flow'!$B45,'Prelim Budget'!$B$9:$B$33,0))/'Cash Flow'!$E45,IF(SUM('Cash Flow'!$F45:AT45)=-INDEX('Prelim Budget'!$C$9:$C$33,MATCH('Cash Flow'!$B45,'Prelim Budget'!$B$9:$B$33,0)),0,IF('Cash Flow'!AT45&lt;&gt;0,'Cash Flow'!AT45,0))),0)</f>
        <v>0</v>
      </c>
      <c r="AV45" s="153">
        <f ca="1">IFERROR(IF(LEFT(OFFSET(AV$2,0,-$C45),3)="A&amp;D",-INDEX('Prelim Budget'!$C$9:$C$33,MATCH('Cash Flow'!$B45,'Prelim Budget'!$B$9:$B$33,0))/'Cash Flow'!$E45,IF(SUM('Cash Flow'!$F45:AU45)=-INDEX('Prelim Budget'!$C$9:$C$33,MATCH('Cash Flow'!$B45,'Prelim Budget'!$B$9:$B$33,0)),0,IF('Cash Flow'!AU45&lt;&gt;0,'Cash Flow'!AU45,0))),0)</f>
        <v>0</v>
      </c>
      <c r="AW45" s="153">
        <f ca="1">IFERROR(IF(LEFT(OFFSET(AW$2,0,-$C45),3)="A&amp;D",-INDEX('Prelim Budget'!$C$9:$C$33,MATCH('Cash Flow'!$B45,'Prelim Budget'!$B$9:$B$33,0))/'Cash Flow'!$E45,IF(SUM('Cash Flow'!$F45:AV45)=-INDEX('Prelim Budget'!$C$9:$C$33,MATCH('Cash Flow'!$B45,'Prelim Budget'!$B$9:$B$33,0)),0,IF('Cash Flow'!AV45&lt;&gt;0,'Cash Flow'!AV45,0))),0)</f>
        <v>0</v>
      </c>
      <c r="AX45" s="153">
        <f ca="1">IFERROR(IF(LEFT(OFFSET(AX$2,0,-$C45),3)="A&amp;D",-INDEX('Prelim Budget'!$C$9:$C$33,MATCH('Cash Flow'!$B45,'Prelim Budget'!$B$9:$B$33,0))/'Cash Flow'!$E45,IF(SUM('Cash Flow'!$F45:AW45)=-INDEX('Prelim Budget'!$C$9:$C$33,MATCH('Cash Flow'!$B45,'Prelim Budget'!$B$9:$B$33,0)),0,IF('Cash Flow'!AW45&lt;&gt;0,'Cash Flow'!AW45,0))),0)</f>
        <v>0</v>
      </c>
      <c r="AY45" s="153">
        <f ca="1">IFERROR(IF(LEFT(OFFSET(AY$2,0,-$C45),3)="A&amp;D",-INDEX('Prelim Budget'!$C$9:$C$33,MATCH('Cash Flow'!$B45,'Prelim Budget'!$B$9:$B$33,0))/'Cash Flow'!$E45,IF(SUM('Cash Flow'!$F45:AX45)=-INDEX('Prelim Budget'!$C$9:$C$33,MATCH('Cash Flow'!$B45,'Prelim Budget'!$B$9:$B$33,0)),0,IF('Cash Flow'!AX45&lt;&gt;0,'Cash Flow'!AX45,0))),0)</f>
        <v>0</v>
      </c>
      <c r="AZ45" s="153">
        <f ca="1">IFERROR(IF(LEFT(OFFSET(AZ$2,0,-$C45),3)="A&amp;D",-INDEX('Prelim Budget'!$C$9:$C$33,MATCH('Cash Flow'!$B45,'Prelim Budget'!$B$9:$B$33,0))/'Cash Flow'!$E45,IF(SUM('Cash Flow'!$F45:AY45)=-INDEX('Prelim Budget'!$C$9:$C$33,MATCH('Cash Flow'!$B45,'Prelim Budget'!$B$9:$B$33,0)),0,IF('Cash Flow'!AY45&lt;&gt;0,'Cash Flow'!AY45,0))),0)</f>
        <v>0</v>
      </c>
      <c r="BA45" s="153">
        <f ca="1">IFERROR(IF(LEFT(OFFSET(BA$2,0,-$C45),3)="A&amp;D",-INDEX('Prelim Budget'!$C$9:$C$33,MATCH('Cash Flow'!$B45,'Prelim Budget'!$B$9:$B$33,0))/'Cash Flow'!$E45,IF(SUM('Cash Flow'!$F45:AZ45)=-INDEX('Prelim Budget'!$C$9:$C$33,MATCH('Cash Flow'!$B45,'Prelim Budget'!$B$9:$B$33,0)),0,IF('Cash Flow'!AZ45&lt;&gt;0,'Cash Flow'!AZ45,0))),0)</f>
        <v>0</v>
      </c>
      <c r="BB45" s="153">
        <f ca="1">IFERROR(IF(LEFT(OFFSET(BB$2,0,-$C45),3)="A&amp;D",-INDEX('Prelim Budget'!$C$9:$C$33,MATCH('Cash Flow'!$B45,'Prelim Budget'!$B$9:$B$33,0))/'Cash Flow'!$E45,IF(SUM('Cash Flow'!$F45:BA45)=-INDEX('Prelim Budget'!$C$9:$C$33,MATCH('Cash Flow'!$B45,'Prelim Budget'!$B$9:$B$33,0)),0,IF('Cash Flow'!BA45&lt;&gt;0,'Cash Flow'!BA45,0))),0)</f>
        <v>0</v>
      </c>
      <c r="BC45" s="153">
        <f ca="1">-(Assumptions!$C$31-'Sales Proceeds &amp; MUD'!AP7)*Assumptions!$C$30*Assumptions!$C$36</f>
        <v>-80625</v>
      </c>
      <c r="BD45" s="153">
        <f ca="1">IFERROR(IF(LEFT(OFFSET(BD$2,0,-$C45),3)="A&amp;D",-INDEX('Prelim Budget'!$C$9:$C$33,MATCH('Cash Flow'!$B45,'Prelim Budget'!$B$9:$B$33,0))/'Cash Flow'!$E45,IF(SUM('Cash Flow'!$F45:BC45)=-INDEX('Prelim Budget'!$C$9:$C$33,MATCH('Cash Flow'!$B45,'Prelim Budget'!$B$9:$B$33,0)),0,IF('Cash Flow'!BC45&lt;&gt;0,'Cash Flow'!BC45,0))),0)</f>
        <v>0</v>
      </c>
      <c r="BE45" s="153">
        <f ca="1">IFERROR(IF(LEFT(OFFSET(BE$2,0,-$C45),3)="A&amp;D",-INDEX('Prelim Budget'!$C$9:$C$33,MATCH('Cash Flow'!$B45,'Prelim Budget'!$B$9:$B$33,0))/'Cash Flow'!$E45,IF(SUM('Cash Flow'!$F45:BD45)=-INDEX('Prelim Budget'!$C$9:$C$33,MATCH('Cash Flow'!$B45,'Prelim Budget'!$B$9:$B$33,0)),0,IF('Cash Flow'!BD45&lt;&gt;0,'Cash Flow'!BD45,0))),0)</f>
        <v>0</v>
      </c>
      <c r="BF45" s="153">
        <f ca="1">IFERROR(IF(LEFT(OFFSET(BF$2,0,-$C45),3)="A&amp;D",-INDEX('Prelim Budget'!$C$9:$C$33,MATCH('Cash Flow'!$B45,'Prelim Budget'!$B$9:$B$33,0))/'Cash Flow'!$E45,IF(SUM('Cash Flow'!$F45:BE45)=-INDEX('Prelim Budget'!$C$9:$C$33,MATCH('Cash Flow'!$B45,'Prelim Budget'!$B$9:$B$33,0)),0,IF('Cash Flow'!BE45&lt;&gt;0,'Cash Flow'!BE45,0))),0)</f>
        <v>0</v>
      </c>
      <c r="BG45" s="153">
        <f ca="1">IFERROR(IF(LEFT(OFFSET(BG$2,0,-$C45),3)="A&amp;D",-INDEX('Prelim Budget'!$C$9:$C$33,MATCH('Cash Flow'!$B45,'Prelim Budget'!$B$9:$B$33,0))/'Cash Flow'!$E45,IF(SUM('Cash Flow'!$F45:BF45)=-INDEX('Prelim Budget'!$C$9:$C$33,MATCH('Cash Flow'!$B45,'Prelim Budget'!$B$9:$B$33,0)),0,IF('Cash Flow'!BF45&lt;&gt;0,'Cash Flow'!BF45,0))),0)</f>
        <v>0</v>
      </c>
      <c r="BH45" s="153">
        <f ca="1">IFERROR(IF(LEFT(OFFSET(BH$2,0,-$C45),3)="A&amp;D",-INDEX('Prelim Budget'!$C$9:$C$33,MATCH('Cash Flow'!$B45,'Prelim Budget'!$B$9:$B$33,0))/'Cash Flow'!$E45,IF(SUM('Cash Flow'!$F45:BG45)=-INDEX('Prelim Budget'!$C$9:$C$33,MATCH('Cash Flow'!$B45,'Prelim Budget'!$B$9:$B$33,0)),0,IF('Cash Flow'!BG45&lt;&gt;0,'Cash Flow'!BG45,0))),0)</f>
        <v>0</v>
      </c>
      <c r="BI45" s="153">
        <f ca="1">IFERROR(IF(LEFT(OFFSET(BI$2,0,-$C45),3)="A&amp;D",-INDEX('Prelim Budget'!$C$9:$C$33,MATCH('Cash Flow'!$B45,'Prelim Budget'!$B$9:$B$33,0))/'Cash Flow'!$E45,IF(SUM('Cash Flow'!$F45:BH45)=-INDEX('Prelim Budget'!$C$9:$C$33,MATCH('Cash Flow'!$B45,'Prelim Budget'!$B$9:$B$33,0)),0,IF('Cash Flow'!BH45&lt;&gt;0,'Cash Flow'!BH45,0))),0)</f>
        <v>0</v>
      </c>
      <c r="BJ45" s="153">
        <f ca="1">IFERROR(IF(LEFT(OFFSET(BJ$2,0,-$C45),3)="A&amp;D",-INDEX('Prelim Budget'!$C$9:$C$33,MATCH('Cash Flow'!$B45,'Prelim Budget'!$B$9:$B$33,0))/'Cash Flow'!$E45,IF(SUM('Cash Flow'!$F45:BI45)=-INDEX('Prelim Budget'!$C$9:$C$33,MATCH('Cash Flow'!$B45,'Prelim Budget'!$B$9:$B$33,0)),0,IF('Cash Flow'!BI45&lt;&gt;0,'Cash Flow'!BI45,0))),0)</f>
        <v>0</v>
      </c>
      <c r="BK45" s="153">
        <f ca="1">IFERROR(IF(LEFT(OFFSET(BK$2,0,-$C45),3)="A&amp;D",-INDEX('Prelim Budget'!$C$9:$C$33,MATCH('Cash Flow'!$B45,'Prelim Budget'!$B$9:$B$33,0))/'Cash Flow'!$E45,IF(SUM('Cash Flow'!$F45:BJ45)=-INDEX('Prelim Budget'!$C$9:$C$33,MATCH('Cash Flow'!$B45,'Prelim Budget'!$B$9:$B$33,0)),0,IF('Cash Flow'!BJ45&lt;&gt;0,'Cash Flow'!BJ45,0))),0)</f>
        <v>0</v>
      </c>
      <c r="BL45" s="153">
        <f ca="1">IFERROR(IF(LEFT(OFFSET(BL$2,0,-$C45),3)="A&amp;D",-INDEX('Prelim Budget'!$C$9:$C$33,MATCH('Cash Flow'!$B45,'Prelim Budget'!$B$9:$B$33,0))/'Cash Flow'!$E45,IF(SUM('Cash Flow'!$F45:BK45)=-INDEX('Prelim Budget'!$C$9:$C$33,MATCH('Cash Flow'!$B45,'Prelim Budget'!$B$9:$B$33,0)),0,IF('Cash Flow'!BK45&lt;&gt;0,'Cash Flow'!BK45,0))),0)</f>
        <v>0</v>
      </c>
      <c r="BM45" s="153">
        <f ca="1">IFERROR(IF(LEFT(OFFSET(BM$2,0,-$C45),3)="A&amp;D",-INDEX('Prelim Budget'!$C$9:$C$33,MATCH('Cash Flow'!$B45,'Prelim Budget'!$B$9:$B$33,0))/'Cash Flow'!$E45,IF(SUM('Cash Flow'!$F45:BL45)=-INDEX('Prelim Budget'!$C$9:$C$33,MATCH('Cash Flow'!$B45,'Prelim Budget'!$B$9:$B$33,0)),0,IF('Cash Flow'!BL45&lt;&gt;0,'Cash Flow'!BL45,0))),0)</f>
        <v>0</v>
      </c>
      <c r="BN45" s="153">
        <f ca="1">IFERROR(IF(LEFT(OFFSET(BN$2,0,-$C45),3)="A&amp;D",-INDEX('Prelim Budget'!$C$9:$C$33,MATCH('Cash Flow'!$B45,'Prelim Budget'!$B$9:$B$33,0))/'Cash Flow'!$E45,IF(SUM('Cash Flow'!$F45:BM45)=-INDEX('Prelim Budget'!$C$9:$C$33,MATCH('Cash Flow'!$B45,'Prelim Budget'!$B$9:$B$33,0)),0,IF('Cash Flow'!BM45&lt;&gt;0,'Cash Flow'!BM45,0))),0)</f>
        <v>0</v>
      </c>
      <c r="BO45" s="50">
        <f ca="1">-(Assumptions!$C$31-'Sales Proceeds &amp; MUD'!BB7)*Assumptions!$C$30*Assumptions!$C$36</f>
        <v>-5625</v>
      </c>
    </row>
    <row r="46" spans="2:67" ht="14.05" customHeight="1" x14ac:dyDescent="0.4">
      <c r="B46" s="120" t="s">
        <v>4</v>
      </c>
      <c r="C46" s="4"/>
      <c r="D46" s="47">
        <f ca="1">SUM(D21:D45)</f>
        <v>-5603499.6249999991</v>
      </c>
      <c r="E46" s="50"/>
      <c r="F46" s="157"/>
      <c r="G46" s="135">
        <f ca="1">SUM(G21:G45)</f>
        <v>0</v>
      </c>
      <c r="H46" s="47">
        <f t="shared" ref="H46:BO46" ca="1" si="12">SUM(H21:H45)</f>
        <v>0</v>
      </c>
      <c r="I46" s="47">
        <f t="shared" ca="1" si="12"/>
        <v>0</v>
      </c>
      <c r="J46" s="47">
        <f t="shared" ca="1" si="12"/>
        <v>0</v>
      </c>
      <c r="K46" s="47">
        <f t="shared" ca="1" si="12"/>
        <v>0</v>
      </c>
      <c r="L46" s="47">
        <f t="shared" ca="1" si="12"/>
        <v>0</v>
      </c>
      <c r="M46" s="47">
        <f t="shared" ca="1" si="12"/>
        <v>-100000</v>
      </c>
      <c r="N46" s="47">
        <f t="shared" ca="1" si="12"/>
        <v>-195397.89583333334</v>
      </c>
      <c r="O46" s="47">
        <f t="shared" ca="1" si="12"/>
        <v>-115892.89583333333</v>
      </c>
      <c r="P46" s="47">
        <f t="shared" ca="1" si="12"/>
        <v>-416039.14583333326</v>
      </c>
      <c r="Q46" s="47">
        <f t="shared" ca="1" si="12"/>
        <v>-416039.14583333326</v>
      </c>
      <c r="R46" s="47">
        <f t="shared" ca="1" si="12"/>
        <v>-736364.14583333326</v>
      </c>
      <c r="S46" s="47">
        <f t="shared" ca="1" si="12"/>
        <v>-751443.52083333326</v>
      </c>
      <c r="T46" s="47">
        <f t="shared" ca="1" si="12"/>
        <v>-736364.14583333326</v>
      </c>
      <c r="U46" s="47">
        <f t="shared" ca="1" si="12"/>
        <v>-736364.14583333326</v>
      </c>
      <c r="V46" s="47">
        <f t="shared" ca="1" si="12"/>
        <v>-354454.58333333331</v>
      </c>
      <c r="W46" s="47">
        <f t="shared" ca="1" si="12"/>
        <v>-423121.25</v>
      </c>
      <c r="X46" s="47">
        <f t="shared" ca="1" si="12"/>
        <v>-102796.25</v>
      </c>
      <c r="Y46" s="47">
        <f t="shared" ca="1" si="12"/>
        <v>-178796.25</v>
      </c>
      <c r="Z46" s="47">
        <f t="shared" ca="1" si="12"/>
        <v>-29546.25</v>
      </c>
      <c r="AA46" s="47">
        <f t="shared" ca="1" si="12"/>
        <v>-29546.25</v>
      </c>
      <c r="AB46" s="47">
        <f t="shared" ca="1" si="12"/>
        <v>-1000</v>
      </c>
      <c r="AC46" s="47">
        <f t="shared" ca="1" si="12"/>
        <v>0</v>
      </c>
      <c r="AD46" s="47">
        <f t="shared" ca="1" si="12"/>
        <v>0</v>
      </c>
      <c r="AE46" s="47">
        <f t="shared" ca="1" si="12"/>
        <v>-31158.75</v>
      </c>
      <c r="AF46" s="47">
        <f t="shared" ca="1" si="12"/>
        <v>0</v>
      </c>
      <c r="AG46" s="47">
        <f t="shared" ca="1" si="12"/>
        <v>0</v>
      </c>
      <c r="AH46" s="47">
        <f t="shared" ca="1" si="12"/>
        <v>-1000</v>
      </c>
      <c r="AI46" s="47">
        <f t="shared" ca="1" si="12"/>
        <v>0</v>
      </c>
      <c r="AJ46" s="47">
        <f t="shared" ca="1" si="12"/>
        <v>0</v>
      </c>
      <c r="AK46" s="47">
        <f t="shared" ca="1" si="12"/>
        <v>-1000</v>
      </c>
      <c r="AL46" s="47">
        <f t="shared" ca="1" si="12"/>
        <v>0</v>
      </c>
      <c r="AM46" s="47">
        <f t="shared" ca="1" si="12"/>
        <v>0</v>
      </c>
      <c r="AN46" s="47">
        <f t="shared" ca="1" si="12"/>
        <v>-1000</v>
      </c>
      <c r="AO46" s="47">
        <f t="shared" ca="1" si="12"/>
        <v>0</v>
      </c>
      <c r="AP46" s="47">
        <f t="shared" ca="1" si="12"/>
        <v>0</v>
      </c>
      <c r="AQ46" s="47">
        <f t="shared" ca="1" si="12"/>
        <v>-156625</v>
      </c>
      <c r="AR46" s="47">
        <f t="shared" ca="1" si="12"/>
        <v>0</v>
      </c>
      <c r="AS46" s="47">
        <f t="shared" ca="1" si="12"/>
        <v>0</v>
      </c>
      <c r="AT46" s="47">
        <f t="shared" ca="1" si="12"/>
        <v>-1000</v>
      </c>
      <c r="AU46" s="47">
        <f t="shared" ca="1" si="12"/>
        <v>0</v>
      </c>
      <c r="AV46" s="47">
        <f t="shared" ca="1" si="12"/>
        <v>0</v>
      </c>
      <c r="AW46" s="47">
        <f t="shared" ca="1" si="12"/>
        <v>-1000</v>
      </c>
      <c r="AX46" s="47">
        <f t="shared" ca="1" si="12"/>
        <v>0</v>
      </c>
      <c r="AY46" s="47">
        <f t="shared" ca="1" si="12"/>
        <v>0</v>
      </c>
      <c r="AZ46" s="47">
        <f t="shared" ca="1" si="12"/>
        <v>-1000</v>
      </c>
      <c r="BA46" s="47">
        <f t="shared" ca="1" si="12"/>
        <v>0</v>
      </c>
      <c r="BB46" s="47">
        <f t="shared" ca="1" si="12"/>
        <v>0</v>
      </c>
      <c r="BC46" s="47">
        <f t="shared" ca="1" si="12"/>
        <v>-80925</v>
      </c>
      <c r="BD46" s="47">
        <f t="shared" ca="1" si="12"/>
        <v>0</v>
      </c>
      <c r="BE46" s="47">
        <f t="shared" ca="1" si="12"/>
        <v>0</v>
      </c>
      <c r="BF46" s="47">
        <f t="shared" ca="1" si="12"/>
        <v>0</v>
      </c>
      <c r="BG46" s="47">
        <f t="shared" ca="1" si="12"/>
        <v>0</v>
      </c>
      <c r="BH46" s="47">
        <f t="shared" ca="1" si="12"/>
        <v>0</v>
      </c>
      <c r="BI46" s="47">
        <f t="shared" ca="1" si="12"/>
        <v>0</v>
      </c>
      <c r="BJ46" s="47">
        <f t="shared" ca="1" si="12"/>
        <v>0</v>
      </c>
      <c r="BK46" s="47">
        <f t="shared" ca="1" si="12"/>
        <v>0</v>
      </c>
      <c r="BL46" s="47">
        <f t="shared" ca="1" si="12"/>
        <v>0</v>
      </c>
      <c r="BM46" s="47">
        <f t="shared" ca="1" si="12"/>
        <v>0</v>
      </c>
      <c r="BN46" s="47">
        <f t="shared" ca="1" si="12"/>
        <v>0</v>
      </c>
      <c r="BO46" s="139">
        <f t="shared" ca="1" si="12"/>
        <v>-5625</v>
      </c>
    </row>
    <row r="47" spans="2:67" ht="14.05" customHeight="1" x14ac:dyDescent="0.4">
      <c r="B47" s="20"/>
      <c r="C47" s="20"/>
      <c r="D47" s="153"/>
      <c r="E47" s="50"/>
      <c r="F47" s="153"/>
      <c r="G47" s="178">
        <f ca="1">IF(G3&lt;='Debt Schedule'!$F$2,'Debt Schedule'!G11,G13)</f>
        <v>0</v>
      </c>
      <c r="H47" s="160">
        <f ca="1">IF(H3&lt;='Debt Schedule'!$F$2,'Debt Schedule'!H11,H13)</f>
        <v>0</v>
      </c>
      <c r="I47" s="160">
        <f ca="1">IF(I3&lt;='Debt Schedule'!$F$2,'Debt Schedule'!I11,I13)</f>
        <v>0</v>
      </c>
      <c r="J47" s="160">
        <f ca="1">IF(J3&lt;='Debt Schedule'!$F$2,'Debt Schedule'!J11,J13)</f>
        <v>0</v>
      </c>
      <c r="K47" s="160">
        <f ca="1">IF(K3&lt;='Debt Schedule'!$F$2,'Debt Schedule'!K11,K13)</f>
        <v>0</v>
      </c>
      <c r="L47" s="160">
        <f ca="1">IF(L3&lt;='Debt Schedule'!$F$2,'Debt Schedule'!L11,L13)</f>
        <v>0</v>
      </c>
      <c r="M47" s="160">
        <f ca="1">IF(M3&lt;='Debt Schedule'!$F$2,'Debt Schedule'!M11,M13)</f>
        <v>0</v>
      </c>
      <c r="N47" s="160">
        <f ca="1">IF(N3&lt;='Debt Schedule'!$F$2,'Debt Schedule'!N11,N13)</f>
        <v>0</v>
      </c>
      <c r="O47" s="160">
        <f ca="1">IF(O3&lt;='Debt Schedule'!$F$2,'Debt Schedule'!O11,O13)</f>
        <v>0</v>
      </c>
      <c r="P47" s="160">
        <f ca="1">IF(P3&lt;='Debt Schedule'!$F$2,'Debt Schedule'!P11,P13)</f>
        <v>0</v>
      </c>
      <c r="Q47" s="160">
        <f ca="1">IF(Q3&lt;='Debt Schedule'!$F$2,'Debt Schedule'!Q11,Q13)</f>
        <v>0</v>
      </c>
      <c r="R47" s="160">
        <f ca="1">IF(R3&lt;='Debt Schedule'!$F$2,'Debt Schedule'!R11,R13)</f>
        <v>0</v>
      </c>
      <c r="S47" s="160">
        <f ca="1">IF(S3&lt;='Debt Schedule'!$F$2,'Debt Schedule'!S11,S13)</f>
        <v>0</v>
      </c>
      <c r="T47" s="160">
        <f ca="1">IF(T3&lt;='Debt Schedule'!$F$2,'Debt Schedule'!T11,T13)</f>
        <v>0</v>
      </c>
      <c r="U47" s="160">
        <f ca="1">IF(U3&lt;='Debt Schedule'!$F$2,'Debt Schedule'!U11,U13)</f>
        <v>0</v>
      </c>
      <c r="V47" s="160">
        <f ca="1">IF(V3&lt;='Debt Schedule'!$F$2,'Debt Schedule'!V11,V13)</f>
        <v>0</v>
      </c>
      <c r="W47" s="160">
        <f ca="1">IF(W3&lt;='Debt Schedule'!$F$2,'Debt Schedule'!W11,W13)</f>
        <v>0</v>
      </c>
      <c r="X47" s="160">
        <f ca="1">IF(X3&lt;='Debt Schedule'!$F$2,'Debt Schedule'!X11,X13)</f>
        <v>0</v>
      </c>
      <c r="Y47" s="160">
        <f ca="1">IF(Y3&lt;='Debt Schedule'!$F$2,'Debt Schedule'!Y11,Y13)</f>
        <v>0</v>
      </c>
      <c r="Z47" s="160">
        <f ca="1">IF(Z3&lt;='Debt Schedule'!$F$2,'Debt Schedule'!Z11,Z13)</f>
        <v>0</v>
      </c>
      <c r="AA47" s="160">
        <f ca="1">IF(AA3&lt;='Debt Schedule'!$F$2,'Debt Schedule'!AA11,AA13)</f>
        <v>0</v>
      </c>
      <c r="AB47" s="160">
        <f ca="1">IF(AB3&lt;='Debt Schedule'!$F$2,'Debt Schedule'!AB11,AB13)</f>
        <v>0</v>
      </c>
      <c r="AC47" s="160">
        <f ca="1">IF(AC3&lt;='Debt Schedule'!$F$2,'Debt Schedule'!AC11,AC13)</f>
        <v>0</v>
      </c>
      <c r="AD47" s="160">
        <f ca="1">IF(AD3&lt;='Debt Schedule'!$F$2,'Debt Schedule'!AD11,AD13)</f>
        <v>0</v>
      </c>
      <c r="AE47" s="160">
        <f ca="1">IF(AE3&lt;='Debt Schedule'!$F$2,'Debt Schedule'!AE11,AE13)</f>
        <v>0</v>
      </c>
      <c r="AF47" s="160">
        <f ca="1">IF(AF3&lt;='Debt Schedule'!$F$2,'Debt Schedule'!AF11,AF13)</f>
        <v>0</v>
      </c>
      <c r="AG47" s="160">
        <f ca="1">IF(AG3&lt;='Debt Schedule'!$F$2,'Debt Schedule'!AG11,AG13)</f>
        <v>0</v>
      </c>
      <c r="AH47" s="160">
        <f ca="1">IF(AH3&lt;='Debt Schedule'!$F$2,'Debt Schedule'!AH11,AH13)</f>
        <v>0</v>
      </c>
      <c r="AI47" s="160">
        <f ca="1">IF(AI3&lt;='Debt Schedule'!$F$2,'Debt Schedule'!AI11,AI13)</f>
        <v>0</v>
      </c>
      <c r="AJ47" s="160">
        <f ca="1">IF(AJ3&lt;='Debt Schedule'!$F$2,'Debt Schedule'!AJ11,AJ13)</f>
        <v>0</v>
      </c>
      <c r="AK47" s="160">
        <f ca="1">IF(AK3&lt;='Debt Schedule'!$F$2,'Debt Schedule'!AK11,AK13+AK46)</f>
        <v>0</v>
      </c>
      <c r="AL47" s="160">
        <f ca="1">IF(AL3&lt;='Debt Schedule'!$F$2,'Debt Schedule'!AL11,AL13)</f>
        <v>0</v>
      </c>
      <c r="AM47" s="160">
        <f ca="1">IF(AM3&lt;='Debt Schedule'!$F$2,'Debt Schedule'!AM11,AM13)</f>
        <v>0</v>
      </c>
      <c r="AN47" s="160">
        <f ca="1">IF(AN3&lt;='Debt Schedule'!$F$2,'Debt Schedule'!AN11,AN13)</f>
        <v>0</v>
      </c>
      <c r="AO47" s="160">
        <f ca="1">IF(AO3&lt;='Debt Schedule'!$F$2,'Debt Schedule'!AO11,AO13)</f>
        <v>0</v>
      </c>
      <c r="AP47" s="160">
        <f ca="1">IF(AP3&lt;='Debt Schedule'!$F$2,'Debt Schedule'!AP11,AP13)</f>
        <v>0</v>
      </c>
      <c r="AQ47" s="160">
        <f ca="1">IF(AQ3&lt;='Debt Schedule'!$F$2,'Debt Schedule'!AQ11,AQ13)</f>
        <v>0</v>
      </c>
      <c r="AR47" s="160">
        <f ca="1">IF(AR3&lt;='Debt Schedule'!$F$2,'Debt Schedule'!AR11,AR13)</f>
        <v>0</v>
      </c>
      <c r="AS47" s="160">
        <f ca="1">IF(AS3&lt;='Debt Schedule'!$F$2,'Debt Schedule'!AS11,AS13)</f>
        <v>0</v>
      </c>
      <c r="AT47" s="160">
        <f ca="1">IF(AT3&lt;='Debt Schedule'!$F$2,'Debt Schedule'!AT11,AT13)</f>
        <v>0</v>
      </c>
      <c r="AU47" s="160">
        <f ca="1">IF(AU3&lt;='Debt Schedule'!$F$2,'Debt Schedule'!AU11,AU13)</f>
        <v>0</v>
      </c>
      <c r="AV47" s="160">
        <f ca="1">IF(AV3&lt;='Debt Schedule'!$F$2,'Debt Schedule'!AV11,AV13)</f>
        <v>0</v>
      </c>
      <c r="AW47" s="160">
        <f ca="1">IF(AW3&lt;='Debt Schedule'!$F$2,'Debt Schedule'!AW11,AW13)</f>
        <v>728823.54760000168</v>
      </c>
      <c r="AX47" s="160">
        <f ca="1">IF(AX3&lt;='Debt Schedule'!$F$2,'Debt Schedule'!AX11,AX13)</f>
        <v>0</v>
      </c>
      <c r="AY47" s="160">
        <f ca="1">IF(AY3&lt;='Debt Schedule'!$F$2,'Debt Schedule'!AY11,AY13)</f>
        <v>0</v>
      </c>
      <c r="AZ47" s="160">
        <f ca="1">IF(AZ3&lt;='Debt Schedule'!$F$2,'Debt Schedule'!AZ11,AZ13)</f>
        <v>885000</v>
      </c>
      <c r="BA47" s="160">
        <f ca="1">IF(BA3&lt;='Debt Schedule'!$F$2,'Debt Schedule'!BA11,BA13)</f>
        <v>0</v>
      </c>
      <c r="BB47" s="160">
        <f ca="1">IF(BB3&lt;='Debt Schedule'!$F$2,'Debt Schedule'!BB11,BB13)</f>
        <v>0</v>
      </c>
      <c r="BC47" s="160">
        <f ca="1">IF(BC3&lt;='Debt Schedule'!$F$2,'Debt Schedule'!BC11,BC13)</f>
        <v>270000</v>
      </c>
      <c r="BD47" s="160">
        <f ca="1">IF(BD3&lt;='Debt Schedule'!$F$2,'Debt Schedule'!BD11,BD13)</f>
        <v>0</v>
      </c>
      <c r="BE47" s="160">
        <f ca="1">IF(BE3&lt;='Debt Schedule'!$F$2,'Debt Schedule'!BE11,BE13)</f>
        <v>0</v>
      </c>
      <c r="BF47" s="160">
        <f ca="1">IF(BF3&lt;='Debt Schedule'!$F$2,'Debt Schedule'!BF11,BF13)</f>
        <v>0</v>
      </c>
      <c r="BG47" s="160">
        <f ca="1">IF(BG3&lt;='Debt Schedule'!$F$2,'Debt Schedule'!BG11,BG13)</f>
        <v>0</v>
      </c>
      <c r="BH47" s="160">
        <f ca="1">IF(BH3&lt;='Debt Schedule'!$F$2,'Debt Schedule'!BH11,BH13)</f>
        <v>0</v>
      </c>
      <c r="BI47" s="160">
        <f ca="1">IF(BI3&lt;='Debt Schedule'!$F$2,'Debt Schedule'!BI11,BI13)</f>
        <v>0</v>
      </c>
      <c r="BJ47" s="160">
        <f ca="1">IF(BJ3&lt;='Debt Schedule'!$F$2,'Debt Schedule'!BJ11,BJ13)</f>
        <v>0</v>
      </c>
      <c r="BK47" s="160">
        <f ca="1">IF(BK3&lt;='Debt Schedule'!$F$2,'Debt Schedule'!BK11,BK13)</f>
        <v>0</v>
      </c>
      <c r="BL47" s="160">
        <f ca="1">IF(BL3&lt;='Debt Schedule'!$F$2,'Debt Schedule'!BL11,BL13)</f>
        <v>0</v>
      </c>
      <c r="BM47" s="160">
        <f ca="1">IF(BM3&lt;='Debt Schedule'!$F$2,'Debt Schedule'!BM11,BM13)</f>
        <v>0</v>
      </c>
      <c r="BN47" s="160">
        <f ca="1">IF(BN3&lt;='Debt Schedule'!$F$2,'Debt Schedule'!BN11,BN13)</f>
        <v>0</v>
      </c>
      <c r="BO47" s="82">
        <f ca="1">IF(BO3&lt;='Debt Schedule'!$F$2,'Debt Schedule'!BO11,BO13)</f>
        <v>2114280.5</v>
      </c>
    </row>
    <row r="48" spans="2:67" ht="14.05" customHeight="1" x14ac:dyDescent="0.4">
      <c r="B48" s="122" t="s">
        <v>46</v>
      </c>
      <c r="C48" s="20"/>
      <c r="D48" s="156">
        <f ca="1">SUM(G48:BO48)</f>
        <v>-2607792.9204108389</v>
      </c>
      <c r="E48" s="50"/>
      <c r="F48" s="153"/>
      <c r="G48" s="134">
        <f ca="1">IF(AND(G50&gt;Assumptions!$K$13,'Cash Flow'!F50&lt;Assumptions!$K$13),-(Assumptions!$K$13-'Cash Flow'!F50),IF('Cash Flow'!G50&lt;Assumptions!$K$13,-'Cash Flow'!G47,0))</f>
        <v>0</v>
      </c>
      <c r="H48" s="153">
        <f ca="1">IF(AND(H50&gt;Assumptions!$K$13,'Cash Flow'!G50&lt;Assumptions!$K$13),-(Assumptions!$K$13-'Cash Flow'!G50),IF('Cash Flow'!H50&lt;Assumptions!$K$13,-'Cash Flow'!H47,0))</f>
        <v>0</v>
      </c>
      <c r="I48" s="153">
        <f ca="1">IF(AND(I50&gt;Assumptions!$K$13,'Cash Flow'!H50&lt;Assumptions!$K$13),-(Assumptions!$K$13-'Cash Flow'!H50),IF('Cash Flow'!I50&lt;Assumptions!$K$13,-'Cash Flow'!I47,0))</f>
        <v>0</v>
      </c>
      <c r="J48" s="153">
        <f ca="1">IF(AND(J50&gt;Assumptions!$K$13,'Cash Flow'!I50&lt;Assumptions!$K$13),-(Assumptions!$K$13-'Cash Flow'!I50),IF('Cash Flow'!J50&lt;Assumptions!$K$13,-'Cash Flow'!J47,0))</f>
        <v>0</v>
      </c>
      <c r="K48" s="153">
        <f ca="1">IF(AND(K50&gt;Assumptions!$K$13,'Cash Flow'!J50&lt;Assumptions!$K$13),-(Assumptions!$K$13-'Cash Flow'!J50),IF('Cash Flow'!K50&lt;Assumptions!$K$13,-'Cash Flow'!K47,0))</f>
        <v>0</v>
      </c>
      <c r="L48" s="153">
        <f ca="1">IF(AND(L50&gt;Assumptions!$K$13,'Cash Flow'!K50&lt;Assumptions!$K$13),-(Assumptions!$K$13-'Cash Flow'!K50),IF('Cash Flow'!L50&lt;Assumptions!$K$13,-'Cash Flow'!L47,0))</f>
        <v>0</v>
      </c>
      <c r="M48" s="153">
        <f ca="1">IF(AND(M50&gt;Assumptions!$K$13,'Cash Flow'!L50&lt;Assumptions!$K$13),-(Assumptions!$K$13-'Cash Flow'!L50),IF('Cash Flow'!M50&lt;Assumptions!$K$13,-'Cash Flow'!M47,0))</f>
        <v>0</v>
      </c>
      <c r="N48" s="153">
        <f ca="1">IF(AND(N50&gt;Assumptions!$K$13,'Cash Flow'!M50&lt;Assumptions!$K$13),-(Assumptions!$K$13-'Cash Flow'!M50),IF('Cash Flow'!N50&lt;Assumptions!$K$13,-'Cash Flow'!N47,0))</f>
        <v>0</v>
      </c>
      <c r="O48" s="153">
        <f ca="1">IF(AND(O50&gt;Assumptions!$K$13,'Cash Flow'!N50&lt;Assumptions!$K$13),-(Assumptions!$K$13-'Cash Flow'!N50),IF('Cash Flow'!O50&lt;Assumptions!$K$13,-'Cash Flow'!O47,0))</f>
        <v>0</v>
      </c>
      <c r="P48" s="153">
        <f ca="1">IF(AND(P50&gt;Assumptions!$K$13,'Cash Flow'!O50&lt;Assumptions!$K$13),-(Assumptions!$K$13-'Cash Flow'!O50),IF('Cash Flow'!P50&lt;Assumptions!$K$13,-'Cash Flow'!P47,0))</f>
        <v>0</v>
      </c>
      <c r="Q48" s="153">
        <f ca="1">IF(AND(Q50&gt;Assumptions!$K$13,'Cash Flow'!P50&lt;Assumptions!$K$13),-(Assumptions!$K$13-'Cash Flow'!P50),IF('Cash Flow'!Q50&lt;Assumptions!$K$13,-'Cash Flow'!Q47,0))</f>
        <v>0</v>
      </c>
      <c r="R48" s="153">
        <f ca="1">IF(AND(R50&gt;Assumptions!$K$13,'Cash Flow'!Q50&lt;Assumptions!$K$13),-(Assumptions!$K$13-'Cash Flow'!Q50),IF('Cash Flow'!R50&lt;Assumptions!$K$13,-'Cash Flow'!R47,0))</f>
        <v>0</v>
      </c>
      <c r="S48" s="153">
        <f ca="1">IF(AND(S50&gt;Assumptions!$K$13,'Cash Flow'!R50&lt;Assumptions!$K$13),-(Assumptions!$K$13-'Cash Flow'!R50),IF('Cash Flow'!S50&lt;Assumptions!$K$13,-'Cash Flow'!S47,0))</f>
        <v>0</v>
      </c>
      <c r="T48" s="153">
        <f ca="1">IF(AND(T50&gt;Assumptions!$K$13,'Cash Flow'!S50&lt;Assumptions!$K$13),-(Assumptions!$K$13-'Cash Flow'!S50),IF('Cash Flow'!T50&lt;Assumptions!$K$13,-'Cash Flow'!T47,0))</f>
        <v>0</v>
      </c>
      <c r="U48" s="153">
        <f ca="1">IF(AND(U50&gt;Assumptions!$K$13,'Cash Flow'!T50&lt;Assumptions!$K$13),-(Assumptions!$K$13-'Cash Flow'!T50),IF('Cash Flow'!U50&lt;Assumptions!$K$13,-'Cash Flow'!U47,0))</f>
        <v>0</v>
      </c>
      <c r="V48" s="153">
        <f ca="1">IF(AND(V50&gt;Assumptions!$K$13,'Cash Flow'!U50&lt;Assumptions!$K$13),-(Assumptions!$K$13-'Cash Flow'!U50),IF('Cash Flow'!V50&lt;Assumptions!$K$13,-'Cash Flow'!V47,0))</f>
        <v>0</v>
      </c>
      <c r="W48" s="153">
        <f ca="1">IF(AND(W50&gt;Assumptions!$K$13,'Cash Flow'!V50&lt;Assumptions!$K$13),-(Assumptions!$K$13-'Cash Flow'!V50),IF('Cash Flow'!W50&lt;Assumptions!$K$13,-'Cash Flow'!W47,0))</f>
        <v>0</v>
      </c>
      <c r="X48" s="153">
        <f ca="1">IF(AND(X50&gt;Assumptions!$K$13,'Cash Flow'!W50&lt;Assumptions!$K$13),-(Assumptions!$K$13-'Cash Flow'!W50),IF('Cash Flow'!X50&lt;Assumptions!$K$13,-'Cash Flow'!X47,0))</f>
        <v>0</v>
      </c>
      <c r="Y48" s="153">
        <f ca="1">IF(AND(Y50&gt;Assumptions!$K$13,'Cash Flow'!X50&lt;Assumptions!$K$13),-(Assumptions!$K$13-'Cash Flow'!X50),IF('Cash Flow'!Y50&lt;Assumptions!$K$13,-'Cash Flow'!Y47,0))</f>
        <v>0</v>
      </c>
      <c r="Z48" s="153">
        <f ca="1">IF(AND(Z50&gt;Assumptions!$K$13,'Cash Flow'!Y50&lt;Assumptions!$K$13),-(Assumptions!$K$13-'Cash Flow'!Y50),IF('Cash Flow'!Z50&lt;Assumptions!$K$13,-'Cash Flow'!Z47,0))</f>
        <v>0</v>
      </c>
      <c r="AA48" s="153">
        <f ca="1">IF(AND(AA50&gt;Assumptions!$K$13,'Cash Flow'!Z50&lt;Assumptions!$K$13),-(Assumptions!$K$13-'Cash Flow'!Z50),IF('Cash Flow'!AA50&lt;Assumptions!$K$13,-'Cash Flow'!AA47,0))</f>
        <v>0</v>
      </c>
      <c r="AB48" s="153">
        <f ca="1">IF(AND(AB50&gt;Assumptions!$K$13,'Cash Flow'!AA50&lt;Assumptions!$K$13),-(Assumptions!$K$13-'Cash Flow'!AA50),IF('Cash Flow'!AB50&lt;Assumptions!$K$13,-'Cash Flow'!AB47,0))</f>
        <v>0</v>
      </c>
      <c r="AC48" s="153">
        <f ca="1">IF(AND(AC50&gt;Assumptions!$K$13,'Cash Flow'!AB50&lt;Assumptions!$K$13),-(Assumptions!$K$13-'Cash Flow'!AB50),IF('Cash Flow'!AC50&lt;Assumptions!$K$13,-'Cash Flow'!AC47,0))</f>
        <v>0</v>
      </c>
      <c r="AD48" s="153">
        <f ca="1">IF(AND(AD50&gt;Assumptions!$K$13,'Cash Flow'!AC50&lt;Assumptions!$K$13),-(Assumptions!$K$13-'Cash Flow'!AC50),IF('Cash Flow'!AD50&lt;Assumptions!$K$13,-'Cash Flow'!AD47,0))</f>
        <v>0</v>
      </c>
      <c r="AE48" s="153">
        <f ca="1">IF(AND(AE50&gt;Assumptions!$K$13,'Cash Flow'!AD50&lt;Assumptions!$K$13),-(Assumptions!$K$13-'Cash Flow'!AD50),IF('Cash Flow'!AE50&lt;Assumptions!$K$13,-'Cash Flow'!AE47,0))</f>
        <v>0</v>
      </c>
      <c r="AF48" s="153">
        <f ca="1">IF(AND(AF50&gt;Assumptions!$K$13,'Cash Flow'!AE50&lt;Assumptions!$K$13),-(Assumptions!$K$13-'Cash Flow'!AE50),IF('Cash Flow'!AF50&lt;Assumptions!$K$13,-'Cash Flow'!AF47,0))</f>
        <v>0</v>
      </c>
      <c r="AG48" s="153">
        <f ca="1">IF(AND(AG50&gt;Assumptions!$K$13,'Cash Flow'!AF50&lt;Assumptions!$K$13),-(Assumptions!$K$13-'Cash Flow'!AF50),IF('Cash Flow'!AG50&lt;Assumptions!$K$13,-'Cash Flow'!AG47,0))</f>
        <v>0</v>
      </c>
      <c r="AH48" s="153">
        <f ca="1">IF(AND(AH50&gt;Assumptions!$K$13,'Cash Flow'!AG50&lt;Assumptions!$K$13),-(Assumptions!$K$13-'Cash Flow'!AG50),IF('Cash Flow'!AH50&lt;Assumptions!$K$13,-'Cash Flow'!AH47,0))</f>
        <v>0</v>
      </c>
      <c r="AI48" s="153">
        <f ca="1">IF(AND(AI50&gt;Assumptions!$K$13,'Cash Flow'!AH50&lt;Assumptions!$K$13),-(Assumptions!$K$13-'Cash Flow'!AH50),IF('Cash Flow'!AI50&lt;Assumptions!$K$13,-'Cash Flow'!AI47,0))</f>
        <v>0</v>
      </c>
      <c r="AJ48" s="153">
        <f ca="1">IF(AND(AJ50&gt;Assumptions!$K$13,'Cash Flow'!AI50&lt;Assumptions!$K$13),-(Assumptions!$K$13-'Cash Flow'!AI50),IF('Cash Flow'!AJ50&lt;Assumptions!$K$13,-'Cash Flow'!AJ47,0))</f>
        <v>0</v>
      </c>
      <c r="AK48" s="153">
        <f ca="1">IF(AND(AK50&gt;Assumptions!$K$13,'Cash Flow'!AJ50&lt;Assumptions!$K$13),-(Assumptions!$K$13-'Cash Flow'!AJ50),IF('Cash Flow'!AK50&lt;Assumptions!$K$13,-'Cash Flow'!AK47,0))</f>
        <v>0</v>
      </c>
      <c r="AL48" s="153">
        <f ca="1">IF(AND(AL50&gt;Assumptions!$K$13,'Cash Flow'!AK50&lt;Assumptions!$K$13),-(Assumptions!$K$13-'Cash Flow'!AK50),IF('Cash Flow'!AL50&lt;Assumptions!$K$13,-'Cash Flow'!AL47,0))</f>
        <v>0</v>
      </c>
      <c r="AM48" s="153">
        <f ca="1">IF(AND(AM50&gt;Assumptions!$K$13,'Cash Flow'!AL50&lt;Assumptions!$K$13),-(Assumptions!$K$13-'Cash Flow'!AL50),IF('Cash Flow'!AM50&lt;Assumptions!$K$13,-'Cash Flow'!AM47,0))</f>
        <v>0</v>
      </c>
      <c r="AN48" s="153">
        <f ca="1">IF(AND(AN50&gt;Assumptions!$K$13,'Cash Flow'!AM50&lt;Assumptions!$K$13),-(Assumptions!$K$13-'Cash Flow'!AM50),IF('Cash Flow'!AN50&lt;Assumptions!$K$13,-'Cash Flow'!AN47,0))</f>
        <v>0</v>
      </c>
      <c r="AO48" s="153">
        <f ca="1">IF(AND(AO50&gt;Assumptions!$K$13,'Cash Flow'!AN50&lt;Assumptions!$K$13),-(Assumptions!$K$13-'Cash Flow'!AN50),IF('Cash Flow'!AO50&lt;Assumptions!$K$13,-'Cash Flow'!AO47,0))</f>
        <v>0</v>
      </c>
      <c r="AP48" s="153">
        <f ca="1">IF(AND(AP50&gt;Assumptions!$K$13,'Cash Flow'!AO50&lt;Assumptions!$K$13),-(Assumptions!$K$13-'Cash Flow'!AO50),IF('Cash Flow'!AP50&lt;Assumptions!$K$13,-'Cash Flow'!AP47,0))</f>
        <v>0</v>
      </c>
      <c r="AQ48" s="153">
        <f ca="1">IF(AND(AQ50&gt;Assumptions!$K$13,'Cash Flow'!AP50&lt;Assumptions!$K$13),-(Assumptions!$K$13-'Cash Flow'!AP50),IF('Cash Flow'!AQ50&lt;Assumptions!$K$13,-'Cash Flow'!AQ47,0))</f>
        <v>0</v>
      </c>
      <c r="AR48" s="153">
        <f ca="1">IF(AND(AR50&gt;Assumptions!$K$13,'Cash Flow'!AQ50&lt;Assumptions!$K$13),-(Assumptions!$K$13-'Cash Flow'!AQ50),IF('Cash Flow'!AR50&lt;Assumptions!$K$13,-'Cash Flow'!AR47,0))</f>
        <v>0</v>
      </c>
      <c r="AS48" s="153">
        <f ca="1">IF(AND(AS50&gt;Assumptions!$K$13,'Cash Flow'!AR50&lt;Assumptions!$K$13),-(Assumptions!$K$13-'Cash Flow'!AR50),IF('Cash Flow'!AS50&lt;Assumptions!$K$13,-'Cash Flow'!AS47,0))</f>
        <v>0</v>
      </c>
      <c r="AT48" s="153">
        <f ca="1">IF(AND(AT50&gt;Assumptions!$K$13,'Cash Flow'!AS50&lt;Assumptions!$K$13),-(Assumptions!$K$13-'Cash Flow'!AS50),IF('Cash Flow'!AT50&lt;Assumptions!$K$13,-'Cash Flow'!AT47,0))</f>
        <v>0</v>
      </c>
      <c r="AU48" s="153">
        <f ca="1">IF(AND(AU50&gt;Assumptions!$K$13,'Cash Flow'!AT50&lt;Assumptions!$K$13),-(Assumptions!$K$13-'Cash Flow'!AT50),IF('Cash Flow'!AU50&lt;Assumptions!$K$13,-'Cash Flow'!AU47,0))</f>
        <v>0</v>
      </c>
      <c r="AV48" s="153">
        <f ca="1">IF(AND(AV50&gt;Assumptions!$K$13,'Cash Flow'!AU50&lt;Assumptions!$K$13),-(Assumptions!$K$13-'Cash Flow'!AU50),IF('Cash Flow'!AV50&lt;Assumptions!$K$13,-'Cash Flow'!AV47,0))</f>
        <v>0</v>
      </c>
      <c r="AW48" s="153">
        <f ca="1">IF(AND(AW50&gt;Assumptions!$K$13,'Cash Flow'!AV50&lt;Assumptions!$K$13),-(Assumptions!$K$13-'Cash Flow'!AV50),IF('Cash Flow'!AW50&lt;Assumptions!$K$13,-'Cash Flow'!AW47,0))</f>
        <v>-728823.54760000168</v>
      </c>
      <c r="AX48" s="153">
        <f ca="1">IF(AND(AX50&gt;Assumptions!$K$13,'Cash Flow'!AW50&lt;Assumptions!$K$13),-(Assumptions!$K$13-'Cash Flow'!AW50),IF('Cash Flow'!AX50&lt;Assumptions!$K$13,-'Cash Flow'!AX47,0))</f>
        <v>0</v>
      </c>
      <c r="AY48" s="153">
        <f ca="1">IF(AND(AY50&gt;Assumptions!$K$13,'Cash Flow'!AX50&lt;Assumptions!$K$13),-(Assumptions!$K$13-'Cash Flow'!AX50),IF('Cash Flow'!AY50&lt;Assumptions!$K$13,-'Cash Flow'!AY47,0))</f>
        <v>0</v>
      </c>
      <c r="AZ48" s="153">
        <f ca="1">IF(AND(AZ50&gt;Assumptions!$K$13,'Cash Flow'!AY50&lt;Assumptions!$K$13),-(Assumptions!$K$13-'Cash Flow'!AY50),IF('Cash Flow'!AZ50&lt;Assumptions!$K$13,-'Cash Flow'!AZ47,0))</f>
        <v>-885000</v>
      </c>
      <c r="BA48" s="153">
        <f ca="1">IF(AND(BA50&gt;Assumptions!$K$13,'Cash Flow'!AZ50&lt;Assumptions!$K$13),-(Assumptions!$K$13-'Cash Flow'!AZ50),IF('Cash Flow'!BA50&lt;Assumptions!$K$13,-'Cash Flow'!BA47,0))</f>
        <v>0</v>
      </c>
      <c r="BB48" s="153">
        <f ca="1">IF(AND(BB50&gt;Assumptions!$K$13,'Cash Flow'!BA50&lt;Assumptions!$K$13),-(Assumptions!$K$13-'Cash Flow'!BA50),IF('Cash Flow'!BB50&lt;Assumptions!$K$13,-'Cash Flow'!BB47,0))</f>
        <v>0</v>
      </c>
      <c r="BC48" s="153">
        <f ca="1">IF(AND(BC50&gt;Assumptions!$K$13,'Cash Flow'!BB50&lt;Assumptions!$K$13),-(Assumptions!$K$13-'Cash Flow'!BB50),IF('Cash Flow'!BC50&lt;Assumptions!$K$13,-'Cash Flow'!BC47,0))</f>
        <v>-270000</v>
      </c>
      <c r="BD48" s="153">
        <f ca="1">IF(AND(BD50&gt;Assumptions!$K$13,'Cash Flow'!BC50&lt;Assumptions!$K$13),-(Assumptions!$K$13-'Cash Flow'!BC50),IF('Cash Flow'!BD50&lt;Assumptions!$K$13,-'Cash Flow'!BD47,0))</f>
        <v>0</v>
      </c>
      <c r="BE48" s="153">
        <f ca="1">IF(AND(BE50&gt;Assumptions!$K$13,'Cash Flow'!BD50&lt;Assumptions!$K$13),-(Assumptions!$K$13-'Cash Flow'!BD50),IF('Cash Flow'!BE50&lt;Assumptions!$K$13,-'Cash Flow'!BE47,0))</f>
        <v>0</v>
      </c>
      <c r="BF48" s="153">
        <f ca="1">IF(AND(BF50&gt;Assumptions!$K$13,'Cash Flow'!BE50&lt;Assumptions!$K$13),-(Assumptions!$K$13-'Cash Flow'!BE50),IF('Cash Flow'!BF50&lt;Assumptions!$K$13,-'Cash Flow'!BF47,0))</f>
        <v>0</v>
      </c>
      <c r="BG48" s="153">
        <f ca="1">IF(AND(BG50&gt;Assumptions!$K$13,'Cash Flow'!BF50&lt;Assumptions!$K$13),-(Assumptions!$K$13-'Cash Flow'!BF50),IF('Cash Flow'!BG50&lt;Assumptions!$K$13,-'Cash Flow'!BG47,0))</f>
        <v>0</v>
      </c>
      <c r="BH48" s="153">
        <f ca="1">IF(AND(BH50&gt;Assumptions!$K$13,'Cash Flow'!BG50&lt;Assumptions!$K$13),-(Assumptions!$K$13-'Cash Flow'!BG50),IF('Cash Flow'!BH50&lt;Assumptions!$K$13,-'Cash Flow'!BH47,0))</f>
        <v>0</v>
      </c>
      <c r="BI48" s="153">
        <f ca="1">IF(AND(BI50&gt;Assumptions!$K$13,'Cash Flow'!BH50&lt;Assumptions!$K$13),-(Assumptions!$K$13-'Cash Flow'!BH50),IF('Cash Flow'!BI50&lt;Assumptions!$K$13,-'Cash Flow'!BI47,0))</f>
        <v>0</v>
      </c>
      <c r="BJ48" s="153">
        <f ca="1">IF(AND(BJ50&gt;Assumptions!$K$13,'Cash Flow'!BI50&lt;Assumptions!$K$13),-(Assumptions!$K$13-'Cash Flow'!BI50),IF('Cash Flow'!BJ50&lt;Assumptions!$K$13,-'Cash Flow'!BJ47,0))</f>
        <v>0</v>
      </c>
      <c r="BK48" s="153">
        <f ca="1">IF(AND(BK50&gt;Assumptions!$K$13,'Cash Flow'!BJ50&lt;Assumptions!$K$13),-(Assumptions!$K$13-'Cash Flow'!BJ50),IF('Cash Flow'!BK50&lt;Assumptions!$K$13,-'Cash Flow'!BK47,0))</f>
        <v>0</v>
      </c>
      <c r="BL48" s="153">
        <f ca="1">IF(AND(BL50&gt;Assumptions!$K$13,'Cash Flow'!BK50&lt;Assumptions!$K$13),-(Assumptions!$K$13-'Cash Flow'!BK50),IF('Cash Flow'!BL50&lt;Assumptions!$K$13,-'Cash Flow'!BL47,0))</f>
        <v>0</v>
      </c>
      <c r="BM48" s="153">
        <f ca="1">IF(AND(BM50&gt;Assumptions!$K$13,'Cash Flow'!BL50&lt;Assumptions!$K$13),-(Assumptions!$K$13-'Cash Flow'!BL50),IF('Cash Flow'!BM50&lt;Assumptions!$K$13,-'Cash Flow'!BM47,0))</f>
        <v>0</v>
      </c>
      <c r="BN48" s="153">
        <f ca="1">IF(AND(BN50&gt;Assumptions!$K$13,'Cash Flow'!BM50&lt;Assumptions!$K$13),-(Assumptions!$K$13-'Cash Flow'!BM50),IF('Cash Flow'!BN50&lt;Assumptions!$K$13,-'Cash Flow'!BN47,0))</f>
        <v>0</v>
      </c>
      <c r="BO48" s="50">
        <f ca="1">IF(AND(BO50&gt;Assumptions!$K$13,'Cash Flow'!BN50&lt;Assumptions!$K$13),-(Assumptions!$K$13-'Cash Flow'!BN50),IF('Cash Flow'!BO50&lt;Assumptions!$K$13,-'Cash Flow'!BO47,0))</f>
        <v>-723969.37281083735</v>
      </c>
    </row>
    <row r="49" spans="2:68" ht="14.05" customHeight="1" x14ac:dyDescent="0.4">
      <c r="B49" s="122" t="s">
        <v>30</v>
      </c>
      <c r="C49" s="20"/>
      <c r="D49" s="156">
        <f ca="1">SUM(G49:BO49)</f>
        <v>-1666980.1271891627</v>
      </c>
      <c r="E49" s="50"/>
      <c r="F49" s="153"/>
      <c r="G49" s="134">
        <f ca="1">IF(G50&gt;Assumptions!$K$13,-SUM('Cash Flow'!G47:G48),0)</f>
        <v>0</v>
      </c>
      <c r="H49" s="153">
        <f ca="1">IF(H50&gt;Assumptions!$K$13,-SUM('Cash Flow'!H47:H48),0)</f>
        <v>0</v>
      </c>
      <c r="I49" s="153">
        <f ca="1">IF(I50&gt;Assumptions!$K$13,-SUM('Cash Flow'!I47:I48),0)</f>
        <v>0</v>
      </c>
      <c r="J49" s="153">
        <f ca="1">IF(J50&gt;Assumptions!$K$13,-SUM('Cash Flow'!J47:J48),0)</f>
        <v>0</v>
      </c>
      <c r="K49" s="153">
        <f ca="1">IF(K50&gt;Assumptions!$K$13,-SUM('Cash Flow'!K47:K48),0)</f>
        <v>0</v>
      </c>
      <c r="L49" s="153">
        <f ca="1">IF(L50&gt;Assumptions!$K$13,-SUM('Cash Flow'!L47:L48),0)</f>
        <v>0</v>
      </c>
      <c r="M49" s="153">
        <f ca="1">IF(M50&gt;Assumptions!$K$13,-SUM('Cash Flow'!M47:M48),0)</f>
        <v>0</v>
      </c>
      <c r="N49" s="153">
        <f ca="1">IF(N50&gt;Assumptions!$K$13,-SUM('Cash Flow'!N47:N48),0)</f>
        <v>0</v>
      </c>
      <c r="O49" s="153">
        <f ca="1">IF(O50&gt;Assumptions!$K$13,-SUM('Cash Flow'!O47:O48),0)</f>
        <v>0</v>
      </c>
      <c r="P49" s="153">
        <f ca="1">IF(P50&gt;Assumptions!$K$13,-SUM('Cash Flow'!P47:P48),0)</f>
        <v>0</v>
      </c>
      <c r="Q49" s="153">
        <f ca="1">IF(Q50&gt;Assumptions!$K$13,-SUM('Cash Flow'!Q47:Q48),0)</f>
        <v>0</v>
      </c>
      <c r="R49" s="153">
        <f ca="1">IF(R50&gt;Assumptions!$K$13,-SUM('Cash Flow'!R47:R48),0)</f>
        <v>0</v>
      </c>
      <c r="S49" s="153">
        <f ca="1">IF(S50&gt;Assumptions!$K$13,-SUM('Cash Flow'!S47:S48),0)</f>
        <v>0</v>
      </c>
      <c r="T49" s="153">
        <f ca="1">IF(T50&gt;Assumptions!$K$13,-SUM('Cash Flow'!T47:T48),0)</f>
        <v>0</v>
      </c>
      <c r="U49" s="153">
        <f ca="1">IF(U50&gt;Assumptions!$K$13,-SUM('Cash Flow'!U47:U48),0)</f>
        <v>0</v>
      </c>
      <c r="V49" s="153">
        <f ca="1">IF(V50&gt;Assumptions!$K$13,-SUM('Cash Flow'!V47:V48),0)</f>
        <v>0</v>
      </c>
      <c r="W49" s="153">
        <f ca="1">IF(W50&gt;Assumptions!$K$13,-SUM('Cash Flow'!W47:W48),0)</f>
        <v>0</v>
      </c>
      <c r="X49" s="153">
        <f ca="1">IF(X50&gt;Assumptions!$K$13,-SUM('Cash Flow'!X47:X48),0)</f>
        <v>0</v>
      </c>
      <c r="Y49" s="153">
        <f ca="1">IF(Y50&gt;Assumptions!$K$13,-SUM('Cash Flow'!Y47:Y48),0)</f>
        <v>0</v>
      </c>
      <c r="Z49" s="153">
        <f ca="1">IF(Z50&gt;Assumptions!$K$13,-SUM('Cash Flow'!Z47:Z48),0)</f>
        <v>0</v>
      </c>
      <c r="AA49" s="153">
        <f ca="1">IF(AA50&gt;Assumptions!$K$13,-SUM('Cash Flow'!AA47:AA48),0)</f>
        <v>0</v>
      </c>
      <c r="AB49" s="153">
        <f ca="1">IF(AB50&gt;Assumptions!$K$13,-SUM('Cash Flow'!AB47:AB48),0)</f>
        <v>0</v>
      </c>
      <c r="AC49" s="153">
        <f ca="1">IF(AC50&gt;Assumptions!$K$13,-SUM('Cash Flow'!AC47:AC48),0)</f>
        <v>0</v>
      </c>
      <c r="AD49" s="153">
        <f ca="1">IF(AD50&gt;Assumptions!$K$13,-SUM('Cash Flow'!AD47:AD48),0)</f>
        <v>0</v>
      </c>
      <c r="AE49" s="153">
        <f ca="1">IF(AE50&gt;Assumptions!$K$13,-SUM('Cash Flow'!AE47:AE48),0)</f>
        <v>0</v>
      </c>
      <c r="AF49" s="153">
        <f ca="1">IF(AF50&gt;Assumptions!$K$13,-SUM('Cash Flow'!AF47:AF48),0)</f>
        <v>0</v>
      </c>
      <c r="AG49" s="153">
        <f ca="1">IF(AG50&gt;Assumptions!$K$13,-SUM('Cash Flow'!AG47:AG48),0)</f>
        <v>0</v>
      </c>
      <c r="AH49" s="153">
        <f ca="1">IF(AH50&gt;Assumptions!$K$13,-SUM('Cash Flow'!AH47:AH48),0)</f>
        <v>0</v>
      </c>
      <c r="AI49" s="153">
        <f ca="1">IF(AI50&gt;Assumptions!$K$13,-SUM('Cash Flow'!AI47:AI48),0)</f>
        <v>0</v>
      </c>
      <c r="AJ49" s="153">
        <f ca="1">IF(AJ50&gt;Assumptions!$K$13,-SUM('Cash Flow'!AJ47:AJ48),0)</f>
        <v>0</v>
      </c>
      <c r="AK49" s="153">
        <f ca="1">IF(AK50&gt;Assumptions!$K$13,-SUM('Cash Flow'!AK47:AK48),0)</f>
        <v>0</v>
      </c>
      <c r="AL49" s="153">
        <f ca="1">IF(AL50&gt;Assumptions!$K$13,-SUM('Cash Flow'!AL47:AL48),0)</f>
        <v>0</v>
      </c>
      <c r="AM49" s="153">
        <f ca="1">IF(AM50&gt;Assumptions!$K$13,-SUM('Cash Flow'!AM47:AM48),0)</f>
        <v>0</v>
      </c>
      <c r="AN49" s="153">
        <f ca="1">IF(AN50&gt;Assumptions!$K$13,-SUM('Cash Flow'!AN47:AN48),0)</f>
        <v>0</v>
      </c>
      <c r="AO49" s="153">
        <f ca="1">IF(AO50&gt;Assumptions!$K$13,-SUM('Cash Flow'!AO47:AO48),0)</f>
        <v>0</v>
      </c>
      <c r="AP49" s="153">
        <f ca="1">IF(AP50&gt;Assumptions!$K$13,-SUM('Cash Flow'!AP47:AP48),0)</f>
        <v>0</v>
      </c>
      <c r="AQ49" s="153">
        <f ca="1">IF(AQ50&gt;Assumptions!$K$13,-SUM('Cash Flow'!AQ47:AQ48),0)</f>
        <v>0</v>
      </c>
      <c r="AR49" s="153">
        <f ca="1">IF(AR50&gt;Assumptions!$K$13,-SUM('Cash Flow'!AR47:AR48),0)</f>
        <v>0</v>
      </c>
      <c r="AS49" s="153">
        <f ca="1">IF(AS50&gt;Assumptions!$K$13,-SUM('Cash Flow'!AS47:AS48),0)</f>
        <v>0</v>
      </c>
      <c r="AT49" s="153">
        <f ca="1">IF(AT50&gt;Assumptions!$K$13,-SUM('Cash Flow'!AT47:AT48),0)</f>
        <v>0</v>
      </c>
      <c r="AU49" s="153">
        <f ca="1">IF(AU50&gt;Assumptions!$K$13,-SUM('Cash Flow'!AU47:AU48),0)</f>
        <v>0</v>
      </c>
      <c r="AV49" s="153">
        <f ca="1">IF(AV50&gt;Assumptions!$K$13,-SUM('Cash Flow'!AV47:AV48),0)</f>
        <v>0</v>
      </c>
      <c r="AW49" s="153">
        <f ca="1">IF(AW50&gt;Assumptions!$K$13,-SUM('Cash Flow'!AW47:AW48),0)</f>
        <v>0</v>
      </c>
      <c r="AX49" s="153">
        <f ca="1">IF(AX50&gt;Assumptions!$K$13,-SUM('Cash Flow'!AX47:AX48),0)</f>
        <v>0</v>
      </c>
      <c r="AY49" s="153">
        <f ca="1">IF(AY50&gt;Assumptions!$K$13,-SUM('Cash Flow'!AY47:AY48),0)</f>
        <v>0</v>
      </c>
      <c r="AZ49" s="153">
        <f ca="1">IF(AZ50&gt;Assumptions!$K$13,-SUM('Cash Flow'!AZ47:AZ48),0)</f>
        <v>0</v>
      </c>
      <c r="BA49" s="153">
        <f ca="1">IF(BA50&gt;Assumptions!$K$13,-SUM('Cash Flow'!BA47:BA48),0)</f>
        <v>0</v>
      </c>
      <c r="BB49" s="153">
        <f ca="1">IF(BB50&gt;Assumptions!$K$13,-SUM('Cash Flow'!BB47:BB48),0)</f>
        <v>0</v>
      </c>
      <c r="BC49" s="153">
        <f ca="1">IF(BC50&gt;Assumptions!$K$13,-SUM('Cash Flow'!BC47:BC48),0)</f>
        <v>0</v>
      </c>
      <c r="BD49" s="153">
        <f ca="1">IF(BD50&gt;Assumptions!$K$13,-SUM('Cash Flow'!BD47:BD48),0)</f>
        <v>0</v>
      </c>
      <c r="BE49" s="153">
        <f ca="1">IF(BE50&gt;Assumptions!$K$13,-SUM('Cash Flow'!BE47:BE48),0)</f>
        <v>0</v>
      </c>
      <c r="BF49" s="153">
        <f ca="1">IF(BF50&gt;Assumptions!$K$13,-SUM('Cash Flow'!BF47:BF48),0)</f>
        <v>0</v>
      </c>
      <c r="BG49" s="153">
        <f ca="1">IF(BG50&gt;Assumptions!$K$13,-SUM('Cash Flow'!BG47:BG48),0)</f>
        <v>0</v>
      </c>
      <c r="BH49" s="153">
        <f ca="1">IF(BH50&gt;Assumptions!$K$13,-SUM('Cash Flow'!BH47:BH48),0)</f>
        <v>0</v>
      </c>
      <c r="BI49" s="153">
        <f ca="1">IF(BI50&gt;Assumptions!$K$13,-SUM('Cash Flow'!BI47:BI48),0)</f>
        <v>0</v>
      </c>
      <c r="BJ49" s="153">
        <f ca="1">IF(BJ50&gt;Assumptions!$K$13,-SUM('Cash Flow'!BJ47:BJ48),0)</f>
        <v>0</v>
      </c>
      <c r="BK49" s="153">
        <f ca="1">IF(BK50&gt;Assumptions!$K$13,-SUM('Cash Flow'!BK47:BK48),0)</f>
        <v>0</v>
      </c>
      <c r="BL49" s="153">
        <f ca="1">IF(BL50&gt;Assumptions!$K$13,-SUM('Cash Flow'!BL47:BL48),0)</f>
        <v>0</v>
      </c>
      <c r="BM49" s="153">
        <f ca="1">IF(BM50&gt;Assumptions!$K$13,-SUM('Cash Flow'!BM47:BM48),0)</f>
        <v>0</v>
      </c>
      <c r="BN49" s="153">
        <f ca="1">IF(BN50&gt;Assumptions!$K$13,-SUM('Cash Flow'!BN47:BN48),0)</f>
        <v>0</v>
      </c>
      <c r="BO49" s="161">
        <f ca="1">IF(BO50&gt;Assumptions!$K$13,-SUM('Cash Flow'!BO47:BO48),0)-276669</f>
        <v>-1666980.1271891627</v>
      </c>
      <c r="BP49" s="101"/>
    </row>
    <row r="50" spans="2:68" ht="14.05" customHeight="1" x14ac:dyDescent="0.4">
      <c r="B50" s="20"/>
      <c r="C50" s="20"/>
      <c r="D50" s="153"/>
      <c r="E50" s="50"/>
      <c r="F50" s="153"/>
      <c r="G50" s="178">
        <f ca="1">F50+G47</f>
        <v>0</v>
      </c>
      <c r="H50" s="160">
        <f t="shared" ref="H50:AW50" ca="1" si="13">G50+H47</f>
        <v>0</v>
      </c>
      <c r="I50" s="160">
        <f t="shared" ca="1" si="13"/>
        <v>0</v>
      </c>
      <c r="J50" s="160">
        <f t="shared" ca="1" si="13"/>
        <v>0</v>
      </c>
      <c r="K50" s="160">
        <f t="shared" ca="1" si="13"/>
        <v>0</v>
      </c>
      <c r="L50" s="160">
        <f t="shared" ca="1" si="13"/>
        <v>0</v>
      </c>
      <c r="M50" s="160">
        <f t="shared" ca="1" si="13"/>
        <v>0</v>
      </c>
      <c r="N50" s="160">
        <f t="shared" ca="1" si="13"/>
        <v>0</v>
      </c>
      <c r="O50" s="160">
        <f t="shared" ca="1" si="13"/>
        <v>0</v>
      </c>
      <c r="P50" s="160">
        <f t="shared" ca="1" si="13"/>
        <v>0</v>
      </c>
      <c r="Q50" s="160">
        <f t="shared" ca="1" si="13"/>
        <v>0</v>
      </c>
      <c r="R50" s="160">
        <f t="shared" ca="1" si="13"/>
        <v>0</v>
      </c>
      <c r="S50" s="160">
        <f t="shared" ca="1" si="13"/>
        <v>0</v>
      </c>
      <c r="T50" s="160">
        <f t="shared" ca="1" si="13"/>
        <v>0</v>
      </c>
      <c r="U50" s="160">
        <f t="shared" ca="1" si="13"/>
        <v>0</v>
      </c>
      <c r="V50" s="160">
        <f t="shared" ca="1" si="13"/>
        <v>0</v>
      </c>
      <c r="W50" s="160">
        <f t="shared" ca="1" si="13"/>
        <v>0</v>
      </c>
      <c r="X50" s="160">
        <f t="shared" ca="1" si="13"/>
        <v>0</v>
      </c>
      <c r="Y50" s="160">
        <f t="shared" ca="1" si="13"/>
        <v>0</v>
      </c>
      <c r="Z50" s="160">
        <f t="shared" ca="1" si="13"/>
        <v>0</v>
      </c>
      <c r="AA50" s="160">
        <f t="shared" ca="1" si="13"/>
        <v>0</v>
      </c>
      <c r="AB50" s="160">
        <f t="shared" ca="1" si="13"/>
        <v>0</v>
      </c>
      <c r="AC50" s="160">
        <f t="shared" ca="1" si="13"/>
        <v>0</v>
      </c>
      <c r="AD50" s="160">
        <f t="shared" ca="1" si="13"/>
        <v>0</v>
      </c>
      <c r="AE50" s="160">
        <f t="shared" ca="1" si="13"/>
        <v>0</v>
      </c>
      <c r="AF50" s="160">
        <f t="shared" ca="1" si="13"/>
        <v>0</v>
      </c>
      <c r="AG50" s="160">
        <f t="shared" ca="1" si="13"/>
        <v>0</v>
      </c>
      <c r="AH50" s="160">
        <f t="shared" ca="1" si="13"/>
        <v>0</v>
      </c>
      <c r="AI50" s="160">
        <f t="shared" ca="1" si="13"/>
        <v>0</v>
      </c>
      <c r="AJ50" s="160">
        <f t="shared" ca="1" si="13"/>
        <v>0</v>
      </c>
      <c r="AK50" s="160">
        <f t="shared" ca="1" si="13"/>
        <v>0</v>
      </c>
      <c r="AL50" s="160">
        <f t="shared" ca="1" si="13"/>
        <v>0</v>
      </c>
      <c r="AM50" s="160">
        <f t="shared" ca="1" si="13"/>
        <v>0</v>
      </c>
      <c r="AN50" s="160">
        <f t="shared" ca="1" si="13"/>
        <v>0</v>
      </c>
      <c r="AO50" s="160">
        <f t="shared" ca="1" si="13"/>
        <v>0</v>
      </c>
      <c r="AP50" s="160">
        <f t="shared" ca="1" si="13"/>
        <v>0</v>
      </c>
      <c r="AQ50" s="160">
        <f t="shared" ca="1" si="13"/>
        <v>0</v>
      </c>
      <c r="AR50" s="160">
        <f t="shared" ca="1" si="13"/>
        <v>0</v>
      </c>
      <c r="AS50" s="160">
        <f t="shared" ca="1" si="13"/>
        <v>0</v>
      </c>
      <c r="AT50" s="160">
        <f t="shared" ca="1" si="13"/>
        <v>0</v>
      </c>
      <c r="AU50" s="160">
        <f t="shared" ca="1" si="13"/>
        <v>0</v>
      </c>
      <c r="AV50" s="160">
        <f t="shared" ca="1" si="13"/>
        <v>0</v>
      </c>
      <c r="AW50" s="160">
        <f t="shared" ca="1" si="13"/>
        <v>728823.54760000168</v>
      </c>
      <c r="AX50" s="160">
        <f t="shared" ref="AX50" ca="1" si="14">AW50+AX47</f>
        <v>728823.54760000168</v>
      </c>
      <c r="AY50" s="160">
        <f t="shared" ref="AY50" ca="1" si="15">AX50+AY47</f>
        <v>728823.54760000168</v>
      </c>
      <c r="AZ50" s="160">
        <f t="shared" ref="AZ50" ca="1" si="16">AY50+AZ47</f>
        <v>1613823.5476000016</v>
      </c>
      <c r="BA50" s="160">
        <f t="shared" ref="BA50" ca="1" si="17">AZ50+BA47</f>
        <v>1613823.5476000016</v>
      </c>
      <c r="BB50" s="160">
        <f t="shared" ref="BB50" ca="1" si="18">BA50+BB47</f>
        <v>1613823.5476000016</v>
      </c>
      <c r="BC50" s="160">
        <f t="shared" ref="BC50" ca="1" si="19">BB50+BC47</f>
        <v>1883823.5476000016</v>
      </c>
      <c r="BD50" s="160">
        <f t="shared" ref="BD50" ca="1" si="20">BC50+BD47</f>
        <v>1883823.5476000016</v>
      </c>
      <c r="BE50" s="160">
        <f t="shared" ref="BE50" ca="1" si="21">BD50+BE47</f>
        <v>1883823.5476000016</v>
      </c>
      <c r="BF50" s="160">
        <f t="shared" ref="BF50" ca="1" si="22">BE50+BF47</f>
        <v>1883823.5476000016</v>
      </c>
      <c r="BG50" s="160">
        <f t="shared" ref="BG50" ca="1" si="23">BF50+BG47</f>
        <v>1883823.5476000016</v>
      </c>
      <c r="BH50" s="160">
        <f t="shared" ref="BH50" ca="1" si="24">BG50+BH47</f>
        <v>1883823.5476000016</v>
      </c>
      <c r="BI50" s="160">
        <f t="shared" ref="BI50" ca="1" si="25">BH50+BI47</f>
        <v>1883823.5476000016</v>
      </c>
      <c r="BJ50" s="160">
        <f t="shared" ref="BJ50" ca="1" si="26">BI50+BJ47</f>
        <v>1883823.5476000016</v>
      </c>
      <c r="BK50" s="160">
        <f t="shared" ref="BK50" ca="1" si="27">BJ50+BK47</f>
        <v>1883823.5476000016</v>
      </c>
      <c r="BL50" s="160">
        <f t="shared" ref="BL50" ca="1" si="28">BK50+BL47</f>
        <v>1883823.5476000016</v>
      </c>
      <c r="BM50" s="160">
        <f t="shared" ref="BM50" ca="1" si="29">BL50+BM47</f>
        <v>1883823.5476000016</v>
      </c>
      <c r="BN50" s="160">
        <f t="shared" ref="BN50" ca="1" si="30">BM50+BN47</f>
        <v>1883823.5476000016</v>
      </c>
      <c r="BO50" s="82">
        <f t="shared" ref="BO50" ca="1" si="31">BN50+BO47</f>
        <v>3998104.0476000016</v>
      </c>
    </row>
    <row r="51" spans="2:68" ht="14.05" customHeight="1" x14ac:dyDescent="0.4">
      <c r="B51" s="120" t="s">
        <v>13</v>
      </c>
      <c r="C51" s="4"/>
      <c r="D51" s="156"/>
      <c r="E51" s="50"/>
      <c r="F51" s="157"/>
      <c r="G51" s="133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38"/>
    </row>
    <row r="52" spans="2:68" ht="14.05" customHeight="1" x14ac:dyDescent="0.4">
      <c r="B52" s="114" t="s">
        <v>49</v>
      </c>
      <c r="C52" s="4"/>
      <c r="D52" s="153">
        <f t="shared" ref="D52:D54" ca="1" si="32">SUM(G52:BO52)</f>
        <v>-6920156.25</v>
      </c>
      <c r="E52" s="50"/>
      <c r="F52" s="157"/>
      <c r="G52" s="134">
        <f>'Debt Schedule'!G10</f>
        <v>0</v>
      </c>
      <c r="H52" s="153">
        <f ca="1">'Debt Schedule'!H10</f>
        <v>0</v>
      </c>
      <c r="I52" s="153">
        <f ca="1">'Debt Schedule'!I10</f>
        <v>0</v>
      </c>
      <c r="J52" s="153">
        <f ca="1">'Debt Schedule'!J10</f>
        <v>0</v>
      </c>
      <c r="K52" s="153">
        <f ca="1">'Debt Schedule'!K10</f>
        <v>0</v>
      </c>
      <c r="L52" s="153">
        <f ca="1">'Debt Schedule'!L10</f>
        <v>0</v>
      </c>
      <c r="M52" s="153">
        <f ca="1">'Debt Schedule'!M10</f>
        <v>0</v>
      </c>
      <c r="N52" s="153">
        <f ca="1">'Debt Schedule'!N10</f>
        <v>0</v>
      </c>
      <c r="O52" s="153">
        <f ca="1">'Debt Schedule'!O10</f>
        <v>0</v>
      </c>
      <c r="P52" s="153">
        <f ca="1">'Debt Schedule'!P10</f>
        <v>0</v>
      </c>
      <c r="Q52" s="153">
        <f ca="1">'Debt Schedule'!Q10</f>
        <v>0</v>
      </c>
      <c r="R52" s="153">
        <f ca="1">'Debt Schedule'!R10</f>
        <v>0</v>
      </c>
      <c r="S52" s="153">
        <f ca="1">'Debt Schedule'!S10</f>
        <v>0</v>
      </c>
      <c r="T52" s="153">
        <f ca="1">'Debt Schedule'!T10</f>
        <v>0</v>
      </c>
      <c r="U52" s="153">
        <f ca="1">'Debt Schedule'!U10</f>
        <v>0</v>
      </c>
      <c r="V52" s="153">
        <f ca="1">'Debt Schedule'!V10</f>
        <v>0</v>
      </c>
      <c r="W52" s="153">
        <f ca="1">'Debt Schedule'!W10</f>
        <v>0</v>
      </c>
      <c r="X52" s="153">
        <f ca="1">'Debt Schedule'!X10</f>
        <v>0</v>
      </c>
      <c r="Y52" s="153">
        <f ca="1">'Debt Schedule'!Y10</f>
        <v>-712500</v>
      </c>
      <c r="Z52" s="153">
        <f ca="1">'Debt Schedule'!Z10</f>
        <v>0</v>
      </c>
      <c r="AA52" s="153">
        <f ca="1">'Debt Schedule'!AA10</f>
        <v>0</v>
      </c>
      <c r="AB52" s="153">
        <f ca="1">'Debt Schedule'!AB10</f>
        <v>-725859.375</v>
      </c>
      <c r="AC52" s="153">
        <f ca="1">'Debt Schedule'!AC10</f>
        <v>0</v>
      </c>
      <c r="AD52" s="153">
        <f ca="1">'Debt Schedule'!AD10</f>
        <v>0</v>
      </c>
      <c r="AE52" s="153">
        <f ca="1">'Debt Schedule'!AE10</f>
        <v>-739218.75</v>
      </c>
      <c r="AF52" s="153">
        <f ca="1">'Debt Schedule'!AF10</f>
        <v>0</v>
      </c>
      <c r="AG52" s="153">
        <f ca="1">'Debt Schedule'!AG10</f>
        <v>0</v>
      </c>
      <c r="AH52" s="153">
        <f ca="1">'Debt Schedule'!AH10</f>
        <v>-752578.125</v>
      </c>
      <c r="AI52" s="153">
        <f ca="1">'Debt Schedule'!AI10</f>
        <v>0</v>
      </c>
      <c r="AJ52" s="153">
        <f ca="1">'Debt Schedule'!AJ10</f>
        <v>0</v>
      </c>
      <c r="AK52" s="153">
        <f ca="1">'Debt Schedule'!AK10</f>
        <v>-769500</v>
      </c>
      <c r="AL52" s="153">
        <f ca="1">'Debt Schedule'!AL10</f>
        <v>0</v>
      </c>
      <c r="AM52" s="153">
        <f ca="1">'Debt Schedule'!AM10</f>
        <v>0</v>
      </c>
      <c r="AN52" s="153">
        <f ca="1">'Debt Schedule'!AN10</f>
        <v>-783750</v>
      </c>
      <c r="AO52" s="153">
        <f ca="1">'Debt Schedule'!AO10</f>
        <v>0</v>
      </c>
      <c r="AP52" s="153">
        <f ca="1">'Debt Schedule'!AP10</f>
        <v>0</v>
      </c>
      <c r="AQ52" s="153">
        <f ca="1">'Debt Schedule'!AQ10</f>
        <v>-798000</v>
      </c>
      <c r="AR52" s="153">
        <f ca="1">'Debt Schedule'!AR10</f>
        <v>0</v>
      </c>
      <c r="AS52" s="153">
        <f ca="1">'Debt Schedule'!AS10</f>
        <v>0</v>
      </c>
      <c r="AT52" s="153">
        <f ca="1">'Debt Schedule'!AT10</f>
        <v>-812250</v>
      </c>
      <c r="AU52" s="153">
        <f ca="1">'Debt Schedule'!AU10</f>
        <v>0</v>
      </c>
      <c r="AV52" s="153">
        <f ca="1">'Debt Schedule'!AV10</f>
        <v>0</v>
      </c>
      <c r="AW52" s="153">
        <f ca="1">'Debt Schedule'!AW10</f>
        <v>-826500</v>
      </c>
      <c r="AX52" s="153">
        <f ca="1">'Debt Schedule'!AX10</f>
        <v>0</v>
      </c>
      <c r="AY52" s="153">
        <f ca="1">'Debt Schedule'!AY10</f>
        <v>0</v>
      </c>
      <c r="AZ52" s="153">
        <f ca="1">'Debt Schedule'!AZ10</f>
        <v>0</v>
      </c>
      <c r="BA52" s="153">
        <f ca="1">'Debt Schedule'!BA10</f>
        <v>0</v>
      </c>
      <c r="BB52" s="153">
        <f ca="1">'Debt Schedule'!BB10</f>
        <v>0</v>
      </c>
      <c r="BC52" s="153">
        <f ca="1">'Debt Schedule'!BC10</f>
        <v>0</v>
      </c>
      <c r="BD52" s="153">
        <f ca="1">'Debt Schedule'!BD10</f>
        <v>0</v>
      </c>
      <c r="BE52" s="153">
        <f ca="1">'Debt Schedule'!BE10</f>
        <v>0</v>
      </c>
      <c r="BF52" s="153">
        <f ca="1">'Debt Schedule'!BF10</f>
        <v>0</v>
      </c>
      <c r="BG52" s="153">
        <f ca="1">'Debt Schedule'!BG10</f>
        <v>0</v>
      </c>
      <c r="BH52" s="153">
        <f ca="1">'Debt Schedule'!BH10</f>
        <v>0</v>
      </c>
      <c r="BI52" s="153">
        <f ca="1">'Debt Schedule'!BI10</f>
        <v>0</v>
      </c>
      <c r="BJ52" s="153">
        <f ca="1">'Debt Schedule'!BJ10</f>
        <v>0</v>
      </c>
      <c r="BK52" s="153">
        <f ca="1">'Debt Schedule'!BK10</f>
        <v>0</v>
      </c>
      <c r="BL52" s="153">
        <f ca="1">'Debt Schedule'!BL10</f>
        <v>0</v>
      </c>
      <c r="BM52" s="153">
        <f ca="1">'Debt Schedule'!BM10</f>
        <v>0</v>
      </c>
      <c r="BN52" s="153">
        <f ca="1">'Debt Schedule'!BN10</f>
        <v>0</v>
      </c>
      <c r="BO52" s="50">
        <f ca="1">'Debt Schedule'!BO10</f>
        <v>0</v>
      </c>
    </row>
    <row r="53" spans="2:68" ht="14.05" customHeight="1" x14ac:dyDescent="0.4">
      <c r="B53" s="114" t="s">
        <v>50</v>
      </c>
      <c r="C53" s="12"/>
      <c r="D53" s="153">
        <f t="shared" ca="1" si="32"/>
        <v>728823.54760000168</v>
      </c>
      <c r="E53" s="50"/>
      <c r="F53" s="153"/>
      <c r="G53" s="134">
        <f>'Debt Schedule'!G11</f>
        <v>0</v>
      </c>
      <c r="H53" s="153">
        <f ca="1">'Debt Schedule'!H11</f>
        <v>0</v>
      </c>
      <c r="I53" s="153">
        <f ca="1">'Debt Schedule'!I11</f>
        <v>0</v>
      </c>
      <c r="J53" s="153">
        <f ca="1">'Debt Schedule'!J11</f>
        <v>0</v>
      </c>
      <c r="K53" s="153">
        <f ca="1">'Debt Schedule'!K11</f>
        <v>0</v>
      </c>
      <c r="L53" s="153">
        <f ca="1">'Debt Schedule'!L11</f>
        <v>0</v>
      </c>
      <c r="M53" s="153">
        <f ca="1">'Debt Schedule'!M11</f>
        <v>0</v>
      </c>
      <c r="N53" s="153">
        <f ca="1">'Debt Schedule'!N11</f>
        <v>0</v>
      </c>
      <c r="O53" s="153">
        <f ca="1">'Debt Schedule'!O11</f>
        <v>0</v>
      </c>
      <c r="P53" s="153">
        <f ca="1">'Debt Schedule'!P11</f>
        <v>0</v>
      </c>
      <c r="Q53" s="153">
        <f ca="1">'Debt Schedule'!Q11</f>
        <v>0</v>
      </c>
      <c r="R53" s="153">
        <f ca="1">'Debt Schedule'!R11</f>
        <v>0</v>
      </c>
      <c r="S53" s="153">
        <f ca="1">'Debt Schedule'!S11</f>
        <v>0</v>
      </c>
      <c r="T53" s="153">
        <f ca="1">'Debt Schedule'!T11</f>
        <v>0</v>
      </c>
      <c r="U53" s="153">
        <f ca="1">'Debt Schedule'!U11</f>
        <v>0</v>
      </c>
      <c r="V53" s="153">
        <f ca="1">'Debt Schedule'!V11</f>
        <v>0</v>
      </c>
      <c r="W53" s="153">
        <f ca="1">'Debt Schedule'!W11</f>
        <v>0</v>
      </c>
      <c r="X53" s="153">
        <f ca="1">'Debt Schedule'!X11</f>
        <v>0</v>
      </c>
      <c r="Y53" s="153">
        <f ca="1">'Debt Schedule'!Y11</f>
        <v>0</v>
      </c>
      <c r="Z53" s="153">
        <f ca="1">'Debt Schedule'!Z11</f>
        <v>0</v>
      </c>
      <c r="AA53" s="153">
        <f ca="1">'Debt Schedule'!AA11</f>
        <v>0</v>
      </c>
      <c r="AB53" s="153">
        <f ca="1">'Debt Schedule'!AB11</f>
        <v>0</v>
      </c>
      <c r="AC53" s="153">
        <f ca="1">'Debt Schedule'!AC11</f>
        <v>0</v>
      </c>
      <c r="AD53" s="153">
        <f ca="1">'Debt Schedule'!AD11</f>
        <v>0</v>
      </c>
      <c r="AE53" s="153">
        <f ca="1">'Debt Schedule'!AE11</f>
        <v>0</v>
      </c>
      <c r="AF53" s="153">
        <f ca="1">'Debt Schedule'!AF11</f>
        <v>0</v>
      </c>
      <c r="AG53" s="153">
        <f ca="1">'Debt Schedule'!AG11</f>
        <v>0</v>
      </c>
      <c r="AH53" s="153">
        <f ca="1">'Debt Schedule'!AH11</f>
        <v>0</v>
      </c>
      <c r="AI53" s="153">
        <f ca="1">'Debt Schedule'!AI11</f>
        <v>0</v>
      </c>
      <c r="AJ53" s="153">
        <f ca="1">'Debt Schedule'!AJ11</f>
        <v>0</v>
      </c>
      <c r="AK53" s="153">
        <f ca="1">'Debt Schedule'!AK11</f>
        <v>0</v>
      </c>
      <c r="AL53" s="153">
        <f ca="1">'Debt Schedule'!AL11</f>
        <v>0</v>
      </c>
      <c r="AM53" s="153">
        <f ca="1">'Debt Schedule'!AM11</f>
        <v>0</v>
      </c>
      <c r="AN53" s="153">
        <f ca="1">'Debt Schedule'!AN11</f>
        <v>0</v>
      </c>
      <c r="AO53" s="153">
        <f ca="1">'Debt Schedule'!AO11</f>
        <v>0</v>
      </c>
      <c r="AP53" s="153">
        <f ca="1">'Debt Schedule'!AP11</f>
        <v>0</v>
      </c>
      <c r="AQ53" s="153">
        <f ca="1">'Debt Schedule'!AQ11</f>
        <v>0</v>
      </c>
      <c r="AR53" s="153">
        <f ca="1">'Debt Schedule'!AR11</f>
        <v>0</v>
      </c>
      <c r="AS53" s="153">
        <f ca="1">'Debt Schedule'!AS11</f>
        <v>0</v>
      </c>
      <c r="AT53" s="153">
        <f ca="1">'Debt Schedule'!AT11</f>
        <v>0</v>
      </c>
      <c r="AU53" s="153">
        <f ca="1">'Debt Schedule'!AU11</f>
        <v>0</v>
      </c>
      <c r="AV53" s="153">
        <f ca="1">'Debt Schedule'!AV11</f>
        <v>0</v>
      </c>
      <c r="AW53" s="153">
        <f ca="1">'Debt Schedule'!AW11</f>
        <v>728823.54760000168</v>
      </c>
      <c r="AX53" s="153">
        <f ca="1">'Debt Schedule'!AX11</f>
        <v>0</v>
      </c>
      <c r="AY53" s="153">
        <f ca="1">'Debt Schedule'!AY11</f>
        <v>0</v>
      </c>
      <c r="AZ53" s="153">
        <f ca="1">'Debt Schedule'!AZ11</f>
        <v>0</v>
      </c>
      <c r="BA53" s="153">
        <f ca="1">'Debt Schedule'!BA11</f>
        <v>0</v>
      </c>
      <c r="BB53" s="153">
        <f ca="1">'Debt Schedule'!BB11</f>
        <v>0</v>
      </c>
      <c r="BC53" s="153">
        <f ca="1">'Debt Schedule'!BC11</f>
        <v>0</v>
      </c>
      <c r="BD53" s="153">
        <f ca="1">'Debt Schedule'!BD11</f>
        <v>0</v>
      </c>
      <c r="BE53" s="153">
        <f ca="1">'Debt Schedule'!BE11</f>
        <v>0</v>
      </c>
      <c r="BF53" s="153">
        <f ca="1">'Debt Schedule'!BF11</f>
        <v>0</v>
      </c>
      <c r="BG53" s="153">
        <f ca="1">'Debt Schedule'!BG11</f>
        <v>0</v>
      </c>
      <c r="BH53" s="153">
        <f ca="1">'Debt Schedule'!BH11</f>
        <v>0</v>
      </c>
      <c r="BI53" s="153">
        <f ca="1">'Debt Schedule'!BI11</f>
        <v>0</v>
      </c>
      <c r="BJ53" s="153">
        <f ca="1">'Debt Schedule'!BJ11</f>
        <v>0</v>
      </c>
      <c r="BK53" s="153">
        <f ca="1">'Debt Schedule'!BK11</f>
        <v>0</v>
      </c>
      <c r="BL53" s="153">
        <f ca="1">'Debt Schedule'!BL11</f>
        <v>0</v>
      </c>
      <c r="BM53" s="153">
        <f ca="1">'Debt Schedule'!BM11</f>
        <v>0</v>
      </c>
      <c r="BN53" s="153">
        <f ca="1">'Debt Schedule'!BN11</f>
        <v>0</v>
      </c>
      <c r="BO53" s="50">
        <f ca="1">'Debt Schedule'!BO11</f>
        <v>0</v>
      </c>
    </row>
    <row r="54" spans="2:68" ht="14.05" customHeight="1" x14ac:dyDescent="0.4">
      <c r="B54" s="114" t="s">
        <v>51</v>
      </c>
      <c r="C54" s="4"/>
      <c r="D54" s="153">
        <f t="shared" ca="1" si="32"/>
        <v>-655745.69781084068</v>
      </c>
      <c r="E54" s="50"/>
      <c r="F54" s="157"/>
      <c r="G54" s="134">
        <f>-'Debt Schedule'!G$15</f>
        <v>0</v>
      </c>
      <c r="H54" s="153">
        <f ca="1">-'Debt Schedule'!H$15</f>
        <v>0</v>
      </c>
      <c r="I54" s="153">
        <f ca="1">-'Debt Schedule'!I$15</f>
        <v>0</v>
      </c>
      <c r="J54" s="153">
        <f ca="1">-'Debt Schedule'!J$15</f>
        <v>0</v>
      </c>
      <c r="K54" s="153">
        <f ca="1">-'Debt Schedule'!K$15</f>
        <v>0</v>
      </c>
      <c r="L54" s="153">
        <f ca="1">-'Debt Schedule'!L$15</f>
        <v>0</v>
      </c>
      <c r="M54" s="153">
        <f ca="1">-'Debt Schedule'!M$15</f>
        <v>0</v>
      </c>
      <c r="N54" s="153">
        <f ca="1">-'Debt Schedule'!N$15</f>
        <v>-847.43143875655642</v>
      </c>
      <c r="O54" s="153">
        <f ca="1">-'Debt Schedule'!O$15</f>
        <v>-2237.5025069338603</v>
      </c>
      <c r="P54" s="153">
        <f ca="1">-'Debt Schedule'!P$15</f>
        <v>-3074.2594951774195</v>
      </c>
      <c r="Q54" s="153">
        <f ca="1">-'Debt Schedule'!Q$15</f>
        <v>-6042.979449587704</v>
      </c>
      <c r="R54" s="153">
        <f ca="1">-'Debt Schedule'!R$15</f>
        <v>-9032.7278370083932</v>
      </c>
      <c r="S54" s="153">
        <f ca="1">-'Debt Schedule'!S$15</f>
        <v>-14312.622358839981</v>
      </c>
      <c r="T54" s="153">
        <f ca="1">-'Debt Schedule'!T$15</f>
        <v>-19736.728373117876</v>
      </c>
      <c r="U54" s="153">
        <f ca="1">-'Debt Schedule'!U$15</f>
        <v>-25092.442898746904</v>
      </c>
      <c r="V54" s="153">
        <f ca="1">-'Debt Schedule'!V$15</f>
        <v>-30486.093735599134</v>
      </c>
      <c r="W54" s="153">
        <f ca="1">-'Debt Schedule'!W$15</f>
        <v>-33212.756864837407</v>
      </c>
      <c r="X54" s="153">
        <f ca="1">-'Debt Schedule'!X$15</f>
        <v>-36445.122746796667</v>
      </c>
      <c r="Y54" s="153">
        <f ca="1">-'Debt Schedule'!Y$15</f>
        <v>-37431.415803753138</v>
      </c>
      <c r="Z54" s="153">
        <f ca="1">-'Debt Schedule'!Z$15</f>
        <v>-33916.153436529727</v>
      </c>
      <c r="AA54" s="153">
        <f ca="1">-'Debt Schedule'!AA$15</f>
        <v>-34365.678794205138</v>
      </c>
      <c r="AB54" s="153">
        <f ca="1">-'Debt Schedule'!AB$15</f>
        <v>-34818.388289830757</v>
      </c>
      <c r="AC54" s="153">
        <f ca="1">-'Debt Schedule'!AC$15</f>
        <v>-29930.597967300393</v>
      </c>
      <c r="AD54" s="153">
        <f ca="1">-'Debt Schedule'!AD$15</f>
        <v>-30142.606369568774</v>
      </c>
      <c r="AE54" s="153">
        <f ca="1">-'Debt Schedule'!AE$15</f>
        <v>-30356.116498019885</v>
      </c>
      <c r="AF54" s="153">
        <f ca="1">-'Debt Schedule'!AF$15</f>
        <v>-25555.713989880856</v>
      </c>
      <c r="AG54" s="153">
        <f ca="1">-'Debt Schedule'!AG$15</f>
        <v>-25736.733630642513</v>
      </c>
      <c r="AH54" s="153">
        <f ca="1">-'Debt Schedule'!AH$15</f>
        <v>-25919.035493859566</v>
      </c>
      <c r="AI54" s="153">
        <f ca="1">-'Debt Schedule'!AI$15</f>
        <v>-20778.950276524403</v>
      </c>
      <c r="AJ54" s="153">
        <f ca="1">-'Debt Schedule'!AJ$15</f>
        <v>-20926.134507649782</v>
      </c>
      <c r="AK54" s="153">
        <f ca="1">-'Debt Schedule'!AK$15</f>
        <v>-21694.195449444036</v>
      </c>
      <c r="AL54" s="153">
        <f ca="1">-'Debt Schedule'!AL$15</f>
        <v>-16248.736457929563</v>
      </c>
      <c r="AM54" s="153">
        <f ca="1">-'Debt Schedule'!AM$15</f>
        <v>-16367.216827935299</v>
      </c>
      <c r="AN54" s="153">
        <f ca="1">-'Debt Schedule'!AN$15</f>
        <v>-16486.56111730566</v>
      </c>
      <c r="AO54" s="153">
        <f ca="1">-'Debt Schedule'!AO$15</f>
        <v>-10899.223542119349</v>
      </c>
      <c r="AP54" s="153">
        <f ca="1">-'Debt Schedule'!AP$15</f>
        <v>-10978.69704711397</v>
      </c>
      <c r="AQ54" s="153">
        <f ca="1">-'Debt Schedule'!AQ$15</f>
        <v>-11058.750046415842</v>
      </c>
      <c r="AR54" s="153">
        <f ca="1">-'Debt Schedule'!AR$15</f>
        <v>-6462.6940571709565</v>
      </c>
      <c r="AS54" s="153">
        <f ca="1">-'Debt Schedule'!AS$15</f>
        <v>-6509.8178680044957</v>
      </c>
      <c r="AT54" s="153">
        <f ca="1">-'Debt Schedule'!AT$15</f>
        <v>-6557.2852899586951</v>
      </c>
      <c r="AU54" s="153">
        <f ca="1">-'Debt Schedule'!AU$15</f>
        <v>-689.73424519797697</v>
      </c>
      <c r="AV54" s="153">
        <f ca="1">-'Debt Schedule'!AV$15</f>
        <v>-694.76355740254564</v>
      </c>
      <c r="AW54" s="153">
        <f ca="1">-'Debt Schedule'!AW$15</f>
        <v>-699.82954167527248</v>
      </c>
      <c r="AX54" s="153">
        <f ca="1">-'Debt Schedule'!AX$15</f>
        <v>0</v>
      </c>
      <c r="AY54" s="153">
        <f ca="1">-'Debt Schedule'!AY$15</f>
        <v>0</v>
      </c>
      <c r="AZ54" s="153">
        <f ca="1">-'Debt Schedule'!AZ$15</f>
        <v>0</v>
      </c>
      <c r="BA54" s="153">
        <f ca="1">-'Debt Schedule'!BA$15</f>
        <v>0</v>
      </c>
      <c r="BB54" s="153">
        <f ca="1">-'Debt Schedule'!BB$15</f>
        <v>0</v>
      </c>
      <c r="BC54" s="153">
        <f ca="1">-'Debt Schedule'!BC$15</f>
        <v>0</v>
      </c>
      <c r="BD54" s="153">
        <f ca="1">-'Debt Schedule'!BD$15</f>
        <v>0</v>
      </c>
      <c r="BE54" s="153">
        <f ca="1">-'Debt Schedule'!BE$15</f>
        <v>0</v>
      </c>
      <c r="BF54" s="153">
        <f ca="1">-'Debt Schedule'!BF$15</f>
        <v>0</v>
      </c>
      <c r="BG54" s="153">
        <f ca="1">-'Debt Schedule'!BG$15</f>
        <v>0</v>
      </c>
      <c r="BH54" s="153">
        <f ca="1">-'Debt Schedule'!BH$15</f>
        <v>0</v>
      </c>
      <c r="BI54" s="153">
        <f ca="1">-'Debt Schedule'!BI$15</f>
        <v>0</v>
      </c>
      <c r="BJ54" s="153">
        <f ca="1">-'Debt Schedule'!BJ$15</f>
        <v>0</v>
      </c>
      <c r="BK54" s="153">
        <f ca="1">-'Debt Schedule'!BK$15</f>
        <v>0</v>
      </c>
      <c r="BL54" s="153">
        <f ca="1">-'Debt Schedule'!BL$15</f>
        <v>0</v>
      </c>
      <c r="BM54" s="153">
        <f ca="1">-'Debt Schedule'!BM$15</f>
        <v>0</v>
      </c>
      <c r="BN54" s="153">
        <f ca="1">-'Debt Schedule'!BN$15</f>
        <v>0</v>
      </c>
      <c r="BO54" s="50">
        <f ca="1">-'Debt Schedule'!BO$15</f>
        <v>0</v>
      </c>
    </row>
    <row r="55" spans="2:68" ht="14.05" customHeight="1" x14ac:dyDescent="0.4">
      <c r="B55" s="120" t="s">
        <v>4</v>
      </c>
      <c r="C55" s="4"/>
      <c r="D55" s="47">
        <f ca="1">SUM(D52:D54)</f>
        <v>-6847078.4002108388</v>
      </c>
      <c r="E55" s="50"/>
      <c r="F55" s="157"/>
      <c r="G55" s="135">
        <f>SUM(G52:G54)</f>
        <v>0</v>
      </c>
      <c r="H55" s="47">
        <f t="shared" ref="H55:AV55" ca="1" si="33">SUM(H52:H54)</f>
        <v>0</v>
      </c>
      <c r="I55" s="47">
        <f t="shared" ca="1" si="33"/>
        <v>0</v>
      </c>
      <c r="J55" s="47">
        <f t="shared" ca="1" si="33"/>
        <v>0</v>
      </c>
      <c r="K55" s="47">
        <f t="shared" ca="1" si="33"/>
        <v>0</v>
      </c>
      <c r="L55" s="47">
        <f t="shared" ca="1" si="33"/>
        <v>0</v>
      </c>
      <c r="M55" s="47">
        <f t="shared" ca="1" si="33"/>
        <v>0</v>
      </c>
      <c r="N55" s="47">
        <f t="shared" ca="1" si="33"/>
        <v>-847.43143875655642</v>
      </c>
      <c r="O55" s="47">
        <f t="shared" ca="1" si="33"/>
        <v>-2237.5025069338603</v>
      </c>
      <c r="P55" s="47">
        <f t="shared" ca="1" si="33"/>
        <v>-3074.2594951774195</v>
      </c>
      <c r="Q55" s="47">
        <f t="shared" ca="1" si="33"/>
        <v>-6042.979449587704</v>
      </c>
      <c r="R55" s="47">
        <f t="shared" ca="1" si="33"/>
        <v>-9032.7278370083932</v>
      </c>
      <c r="S55" s="47">
        <f t="shared" ca="1" si="33"/>
        <v>-14312.622358839981</v>
      </c>
      <c r="T55" s="47">
        <f t="shared" ca="1" si="33"/>
        <v>-19736.728373117876</v>
      </c>
      <c r="U55" s="47">
        <f t="shared" ca="1" si="33"/>
        <v>-25092.442898746904</v>
      </c>
      <c r="V55" s="47">
        <f t="shared" ca="1" si="33"/>
        <v>-30486.093735599134</v>
      </c>
      <c r="W55" s="47">
        <f t="shared" ca="1" si="33"/>
        <v>-33212.756864837407</v>
      </c>
      <c r="X55" s="47">
        <f t="shared" ca="1" si="33"/>
        <v>-36445.122746796667</v>
      </c>
      <c r="Y55" s="47">
        <f t="shared" ca="1" si="33"/>
        <v>-749931.41580375319</v>
      </c>
      <c r="Z55" s="47">
        <f t="shared" ca="1" si="33"/>
        <v>-33916.153436529727</v>
      </c>
      <c r="AA55" s="47">
        <f t="shared" ca="1" si="33"/>
        <v>-34365.678794205138</v>
      </c>
      <c r="AB55" s="47">
        <f t="shared" ca="1" si="33"/>
        <v>-760677.76328983076</v>
      </c>
      <c r="AC55" s="47">
        <f t="shared" ca="1" si="33"/>
        <v>-29930.597967300393</v>
      </c>
      <c r="AD55" s="47">
        <f t="shared" ca="1" si="33"/>
        <v>-30142.606369568774</v>
      </c>
      <c r="AE55" s="47">
        <f t="shared" ca="1" si="33"/>
        <v>-769574.8664980199</v>
      </c>
      <c r="AF55" s="47">
        <f t="shared" ca="1" si="33"/>
        <v>-25555.713989880856</v>
      </c>
      <c r="AG55" s="47">
        <f t="shared" ca="1" si="33"/>
        <v>-25736.733630642513</v>
      </c>
      <c r="AH55" s="47">
        <f t="shared" ca="1" si="33"/>
        <v>-778497.16049385956</v>
      </c>
      <c r="AI55" s="47">
        <f t="shared" ca="1" si="33"/>
        <v>-20778.950276524403</v>
      </c>
      <c r="AJ55" s="47">
        <f t="shared" ca="1" si="33"/>
        <v>-20926.134507649782</v>
      </c>
      <c r="AK55" s="47">
        <f t="shared" ca="1" si="33"/>
        <v>-791194.195449444</v>
      </c>
      <c r="AL55" s="47">
        <f t="shared" ca="1" si="33"/>
        <v>-16248.736457929563</v>
      </c>
      <c r="AM55" s="47">
        <f t="shared" ca="1" si="33"/>
        <v>-16367.216827935299</v>
      </c>
      <c r="AN55" s="47">
        <f t="shared" ca="1" si="33"/>
        <v>-800236.56111730565</v>
      </c>
      <c r="AO55" s="47">
        <f t="shared" ca="1" si="33"/>
        <v>-10899.223542119349</v>
      </c>
      <c r="AP55" s="47">
        <f t="shared" ca="1" si="33"/>
        <v>-10978.69704711397</v>
      </c>
      <c r="AQ55" s="47">
        <f t="shared" ca="1" si="33"/>
        <v>-809058.75004641584</v>
      </c>
      <c r="AR55" s="47">
        <f t="shared" ca="1" si="33"/>
        <v>-6462.6940571709565</v>
      </c>
      <c r="AS55" s="47">
        <f t="shared" ca="1" si="33"/>
        <v>-6509.8178680044957</v>
      </c>
      <c r="AT55" s="47">
        <f t="shared" ca="1" si="33"/>
        <v>-818807.2852899587</v>
      </c>
      <c r="AU55" s="47">
        <f t="shared" ca="1" si="33"/>
        <v>-689.73424519797697</v>
      </c>
      <c r="AV55" s="47">
        <f t="shared" ca="1" si="33"/>
        <v>-694.76355740254564</v>
      </c>
      <c r="AW55" s="47">
        <f t="shared" ref="AW55:BO55" ca="1" si="34">SUM(AW52:AW54)</f>
        <v>-98376.281941673587</v>
      </c>
      <c r="AX55" s="47">
        <f t="shared" ca="1" si="34"/>
        <v>0</v>
      </c>
      <c r="AY55" s="47">
        <f t="shared" ca="1" si="34"/>
        <v>0</v>
      </c>
      <c r="AZ55" s="47">
        <f t="shared" ca="1" si="34"/>
        <v>0</v>
      </c>
      <c r="BA55" s="47">
        <f t="shared" ca="1" si="34"/>
        <v>0</v>
      </c>
      <c r="BB55" s="47">
        <f t="shared" ca="1" si="34"/>
        <v>0</v>
      </c>
      <c r="BC55" s="47">
        <f t="shared" ca="1" si="34"/>
        <v>0</v>
      </c>
      <c r="BD55" s="47">
        <f t="shared" ca="1" si="34"/>
        <v>0</v>
      </c>
      <c r="BE55" s="47">
        <f t="shared" ca="1" si="34"/>
        <v>0</v>
      </c>
      <c r="BF55" s="47">
        <f t="shared" ca="1" si="34"/>
        <v>0</v>
      </c>
      <c r="BG55" s="47">
        <f t="shared" ca="1" si="34"/>
        <v>0</v>
      </c>
      <c r="BH55" s="47">
        <f t="shared" ca="1" si="34"/>
        <v>0</v>
      </c>
      <c r="BI55" s="47">
        <f t="shared" ca="1" si="34"/>
        <v>0</v>
      </c>
      <c r="BJ55" s="47">
        <f t="shared" ca="1" si="34"/>
        <v>0</v>
      </c>
      <c r="BK55" s="47">
        <f t="shared" ca="1" si="34"/>
        <v>0</v>
      </c>
      <c r="BL55" s="47">
        <f t="shared" ca="1" si="34"/>
        <v>0</v>
      </c>
      <c r="BM55" s="47">
        <f t="shared" ca="1" si="34"/>
        <v>0</v>
      </c>
      <c r="BN55" s="47">
        <f t="shared" ca="1" si="34"/>
        <v>0</v>
      </c>
      <c r="BO55" s="139">
        <f t="shared" ca="1" si="34"/>
        <v>0</v>
      </c>
    </row>
    <row r="56" spans="2:68" ht="14.05" customHeight="1" x14ac:dyDescent="0.4">
      <c r="B56" s="12"/>
      <c r="C56" s="12"/>
      <c r="D56" s="153"/>
      <c r="E56" s="50"/>
      <c r="F56" s="153"/>
      <c r="G56" s="134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50"/>
    </row>
    <row r="57" spans="2:68" ht="14.05" customHeight="1" x14ac:dyDescent="0.4">
      <c r="B57" s="120" t="s">
        <v>15</v>
      </c>
      <c r="C57" s="12"/>
      <c r="D57" s="156">
        <f ca="1">D55+D49+D48+D46+D18</f>
        <v>-19352781.372810841</v>
      </c>
      <c r="E57" s="50"/>
      <c r="F57" s="153"/>
      <c r="G57" s="48">
        <f ca="1">G18+G46+G48+G49+G55</f>
        <v>0</v>
      </c>
      <c r="H57" s="49">
        <f t="shared" ref="H57:BN57" ca="1" si="35">H18+H46+H48+H49+H55</f>
        <v>0</v>
      </c>
      <c r="I57" s="49">
        <f t="shared" ca="1" si="35"/>
        <v>-25000</v>
      </c>
      <c r="J57" s="49">
        <f t="shared" ca="1" si="35"/>
        <v>0</v>
      </c>
      <c r="K57" s="49">
        <f t="shared" ca="1" si="35"/>
        <v>0</v>
      </c>
      <c r="L57" s="49">
        <f t="shared" ca="1" si="35"/>
        <v>-50000</v>
      </c>
      <c r="M57" s="49">
        <f t="shared" ca="1" si="35"/>
        <v>-2652430.2999999998</v>
      </c>
      <c r="N57" s="49">
        <f t="shared" ca="1" si="35"/>
        <v>-196245.3272720899</v>
      </c>
      <c r="O57" s="49">
        <f t="shared" ca="1" si="35"/>
        <v>-118130.39834026719</v>
      </c>
      <c r="P57" s="49">
        <f t="shared" ca="1" si="35"/>
        <v>-419113.40532851068</v>
      </c>
      <c r="Q57" s="49">
        <f t="shared" ca="1" si="35"/>
        <v>-422082.12528292096</v>
      </c>
      <c r="R57" s="49">
        <f t="shared" ca="1" si="35"/>
        <v>-745396.87367034168</v>
      </c>
      <c r="S57" s="49">
        <f t="shared" ca="1" si="35"/>
        <v>-765756.14319217321</v>
      </c>
      <c r="T57" s="49">
        <f t="shared" ca="1" si="35"/>
        <v>-756100.87420645112</v>
      </c>
      <c r="U57" s="49">
        <f t="shared" ca="1" si="35"/>
        <v>-761456.58873208018</v>
      </c>
      <c r="V57" s="49">
        <f t="shared" ca="1" si="35"/>
        <v>-384940.67706893245</v>
      </c>
      <c r="W57" s="49">
        <f t="shared" ca="1" si="35"/>
        <v>-456334.00686483743</v>
      </c>
      <c r="X57" s="49">
        <f t="shared" ca="1" si="35"/>
        <v>-139241.37274679667</v>
      </c>
      <c r="Y57" s="49">
        <f t="shared" ca="1" si="35"/>
        <v>-928727.66580375319</v>
      </c>
      <c r="Z57" s="49">
        <f t="shared" ca="1" si="35"/>
        <v>-63462.403436529727</v>
      </c>
      <c r="AA57" s="49">
        <f t="shared" ca="1" si="35"/>
        <v>-63911.928794205138</v>
      </c>
      <c r="AB57" s="49">
        <f t="shared" ca="1" si="35"/>
        <v>-761677.76328983076</v>
      </c>
      <c r="AC57" s="49">
        <f t="shared" ca="1" si="35"/>
        <v>-29930.597967300393</v>
      </c>
      <c r="AD57" s="49">
        <f t="shared" ca="1" si="35"/>
        <v>-30142.606369568774</v>
      </c>
      <c r="AE57" s="49">
        <f t="shared" ca="1" si="35"/>
        <v>-800733.6164980199</v>
      </c>
      <c r="AF57" s="49">
        <f t="shared" ca="1" si="35"/>
        <v>-25555.713989880856</v>
      </c>
      <c r="AG57" s="49">
        <f t="shared" ca="1" si="35"/>
        <v>-25736.733630642513</v>
      </c>
      <c r="AH57" s="49">
        <f t="shared" ca="1" si="35"/>
        <v>-779497.16049385956</v>
      </c>
      <c r="AI57" s="49">
        <f t="shared" ca="1" si="35"/>
        <v>-20778.950276524403</v>
      </c>
      <c r="AJ57" s="49">
        <f t="shared" ca="1" si="35"/>
        <v>-20926.134507649782</v>
      </c>
      <c r="AK57" s="49">
        <f t="shared" ca="1" si="35"/>
        <v>-792194.195449444</v>
      </c>
      <c r="AL57" s="49">
        <f t="shared" ca="1" si="35"/>
        <v>-16248.736457929563</v>
      </c>
      <c r="AM57" s="49">
        <f t="shared" ca="1" si="35"/>
        <v>-16367.216827935299</v>
      </c>
      <c r="AN57" s="49">
        <f t="shared" ca="1" si="35"/>
        <v>-801236.56111730565</v>
      </c>
      <c r="AO57" s="49">
        <f t="shared" ca="1" si="35"/>
        <v>-10899.223542119349</v>
      </c>
      <c r="AP57" s="49">
        <f t="shared" ca="1" si="35"/>
        <v>-10978.69704711397</v>
      </c>
      <c r="AQ57" s="49">
        <f t="shared" ca="1" si="35"/>
        <v>-965683.75004641584</v>
      </c>
      <c r="AR57" s="49">
        <f t="shared" ca="1" si="35"/>
        <v>-6462.6940571709565</v>
      </c>
      <c r="AS57" s="49">
        <f t="shared" ca="1" si="35"/>
        <v>-6509.8178680044957</v>
      </c>
      <c r="AT57" s="49">
        <f t="shared" ca="1" si="35"/>
        <v>-819807.2852899587</v>
      </c>
      <c r="AU57" s="49">
        <f t="shared" ca="1" si="35"/>
        <v>-689.73424519797697</v>
      </c>
      <c r="AV57" s="49">
        <f t="shared" ca="1" si="35"/>
        <v>-694.76355740254564</v>
      </c>
      <c r="AW57" s="49">
        <f t="shared" ca="1" si="35"/>
        <v>-828199.82954167528</v>
      </c>
      <c r="AX57" s="49">
        <f t="shared" ca="1" si="35"/>
        <v>0</v>
      </c>
      <c r="AY57" s="49">
        <f t="shared" ca="1" si="35"/>
        <v>0</v>
      </c>
      <c r="AZ57" s="49">
        <f t="shared" ca="1" si="35"/>
        <v>-886000</v>
      </c>
      <c r="BA57" s="49">
        <f t="shared" ca="1" si="35"/>
        <v>0</v>
      </c>
      <c r="BB57" s="49">
        <f t="shared" ca="1" si="35"/>
        <v>0</v>
      </c>
      <c r="BC57" s="49"/>
      <c r="BD57" s="49">
        <f t="shared" ca="1" si="35"/>
        <v>0</v>
      </c>
      <c r="BE57" s="49">
        <f t="shared" ca="1" si="35"/>
        <v>0</v>
      </c>
      <c r="BF57" s="49">
        <f t="shared" ca="1" si="35"/>
        <v>0</v>
      </c>
      <c r="BG57" s="49">
        <f t="shared" ca="1" si="35"/>
        <v>0</v>
      </c>
      <c r="BH57" s="49">
        <f t="shared" ca="1" si="35"/>
        <v>0</v>
      </c>
      <c r="BI57" s="49">
        <f t="shared" ca="1" si="35"/>
        <v>0</v>
      </c>
      <c r="BJ57" s="49">
        <f t="shared" ca="1" si="35"/>
        <v>0</v>
      </c>
      <c r="BK57" s="49">
        <f t="shared" ca="1" si="35"/>
        <v>0</v>
      </c>
      <c r="BL57" s="49">
        <f t="shared" ca="1" si="35"/>
        <v>0</v>
      </c>
      <c r="BM57" s="49">
        <f t="shared" ca="1" si="35"/>
        <v>0</v>
      </c>
      <c r="BN57" s="49">
        <f t="shared" ca="1" si="35"/>
        <v>0</v>
      </c>
      <c r="BO57" s="158"/>
    </row>
    <row r="58" spans="2:68" ht="14.05" customHeight="1" x14ac:dyDescent="0.4">
      <c r="B58" s="12"/>
      <c r="C58" s="12"/>
      <c r="D58" s="153"/>
      <c r="E58" s="51"/>
      <c r="F58" s="153"/>
      <c r="G58" s="134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50"/>
    </row>
    <row r="59" spans="2:68" ht="14.05" customHeight="1" x14ac:dyDescent="0.4">
      <c r="B59" s="21" t="s">
        <v>16</v>
      </c>
      <c r="C59" s="21"/>
      <c r="D59" s="47">
        <f t="shared" ref="D59" ca="1" si="36">SUM(G59:BO59)</f>
        <v>2747499.25</v>
      </c>
      <c r="E59" s="53"/>
      <c r="F59" s="52"/>
      <c r="G59" s="135">
        <f ca="1">G13+G57</f>
        <v>0</v>
      </c>
      <c r="H59" s="47">
        <f t="shared" ref="H59:AV59" ca="1" si="37">H13+H57</f>
        <v>0</v>
      </c>
      <c r="I59" s="47">
        <f t="shared" ca="1" si="37"/>
        <v>0</v>
      </c>
      <c r="J59" s="47">
        <f t="shared" ca="1" si="37"/>
        <v>0</v>
      </c>
      <c r="K59" s="47">
        <f t="shared" ca="1" si="37"/>
        <v>0</v>
      </c>
      <c r="L59" s="47">
        <f t="shared" ca="1" si="37"/>
        <v>0</v>
      </c>
      <c r="M59" s="47">
        <f t="shared" ca="1" si="37"/>
        <v>0</v>
      </c>
      <c r="N59" s="47">
        <f ca="1">N13+N57</f>
        <v>0</v>
      </c>
      <c r="O59" s="47">
        <f t="shared" ca="1" si="37"/>
        <v>0</v>
      </c>
      <c r="P59" s="47">
        <f t="shared" ca="1" si="37"/>
        <v>0</v>
      </c>
      <c r="Q59" s="47">
        <f t="shared" ca="1" si="37"/>
        <v>0</v>
      </c>
      <c r="R59" s="47">
        <f t="shared" ca="1" si="37"/>
        <v>0</v>
      </c>
      <c r="S59" s="47">
        <f t="shared" ca="1" si="37"/>
        <v>0</v>
      </c>
      <c r="T59" s="47">
        <f t="shared" ca="1" si="37"/>
        <v>0</v>
      </c>
      <c r="U59" s="47">
        <f t="shared" ca="1" si="37"/>
        <v>0</v>
      </c>
      <c r="V59" s="47">
        <f t="shared" ca="1" si="37"/>
        <v>0</v>
      </c>
      <c r="W59" s="47">
        <f t="shared" ca="1" si="37"/>
        <v>0</v>
      </c>
      <c r="X59" s="47">
        <f t="shared" ca="1" si="37"/>
        <v>0</v>
      </c>
      <c r="Y59" s="47">
        <f t="shared" ca="1" si="37"/>
        <v>37499.999999999884</v>
      </c>
      <c r="Z59" s="47">
        <f t="shared" ca="1" si="37"/>
        <v>0</v>
      </c>
      <c r="AA59" s="47">
        <f t="shared" ca="1" si="37"/>
        <v>0</v>
      </c>
      <c r="AB59" s="47">
        <f t="shared" ca="1" si="37"/>
        <v>38203.125</v>
      </c>
      <c r="AC59" s="47">
        <f t="shared" ca="1" si="37"/>
        <v>0</v>
      </c>
      <c r="AD59" s="47">
        <f t="shared" ca="1" si="37"/>
        <v>0</v>
      </c>
      <c r="AE59" s="47">
        <f t="shared" ca="1" si="37"/>
        <v>38906.25</v>
      </c>
      <c r="AF59" s="47">
        <f t="shared" ca="1" si="37"/>
        <v>0</v>
      </c>
      <c r="AG59" s="47">
        <f t="shared" ca="1" si="37"/>
        <v>0</v>
      </c>
      <c r="AH59" s="47">
        <f t="shared" ca="1" si="37"/>
        <v>39609.375</v>
      </c>
      <c r="AI59" s="47">
        <f t="shared" ca="1" si="37"/>
        <v>0</v>
      </c>
      <c r="AJ59" s="47">
        <f t="shared" ca="1" si="37"/>
        <v>0</v>
      </c>
      <c r="AK59" s="47">
        <f ca="1">AK13+AK57</f>
        <v>40500</v>
      </c>
      <c r="AL59" s="47">
        <f t="shared" ca="1" si="37"/>
        <v>0</v>
      </c>
      <c r="AM59" s="47">
        <f t="shared" ca="1" si="37"/>
        <v>0</v>
      </c>
      <c r="AN59" s="47">
        <f t="shared" ca="1" si="37"/>
        <v>41250</v>
      </c>
      <c r="AO59" s="47">
        <f t="shared" ca="1" si="37"/>
        <v>0</v>
      </c>
      <c r="AP59" s="47">
        <f t="shared" ca="1" si="37"/>
        <v>0</v>
      </c>
      <c r="AQ59" s="47">
        <f t="shared" ca="1" si="37"/>
        <v>42000</v>
      </c>
      <c r="AR59" s="47">
        <f t="shared" ca="1" si="37"/>
        <v>0</v>
      </c>
      <c r="AS59" s="47">
        <f t="shared" ca="1" si="37"/>
        <v>0</v>
      </c>
      <c r="AT59" s="47">
        <f t="shared" ca="1" si="37"/>
        <v>42750</v>
      </c>
      <c r="AU59" s="47">
        <f t="shared" ca="1" si="37"/>
        <v>0</v>
      </c>
      <c r="AV59" s="47">
        <f t="shared" ca="1" si="37"/>
        <v>0</v>
      </c>
      <c r="AW59" s="47">
        <f t="shared" ref="AW59:BO59" ca="1" si="38">AW13+AW57</f>
        <v>43500</v>
      </c>
      <c r="AX59" s="47">
        <f t="shared" ca="1" si="38"/>
        <v>0</v>
      </c>
      <c r="AY59" s="47">
        <f t="shared" ca="1" si="38"/>
        <v>0</v>
      </c>
      <c r="AZ59" s="47">
        <f t="shared" ca="1" si="38"/>
        <v>-1000</v>
      </c>
      <c r="BA59" s="47">
        <f t="shared" ca="1" si="38"/>
        <v>0</v>
      </c>
      <c r="BB59" s="47">
        <f t="shared" ca="1" si="38"/>
        <v>0</v>
      </c>
      <c r="BC59" s="47">
        <f t="shared" ca="1" si="38"/>
        <v>270000</v>
      </c>
      <c r="BD59" s="47">
        <f t="shared" ca="1" si="38"/>
        <v>0</v>
      </c>
      <c r="BE59" s="47">
        <f t="shared" ca="1" si="38"/>
        <v>0</v>
      </c>
      <c r="BF59" s="47">
        <f t="shared" ca="1" si="38"/>
        <v>0</v>
      </c>
      <c r="BG59" s="47">
        <f t="shared" ca="1" si="38"/>
        <v>0</v>
      </c>
      <c r="BH59" s="47">
        <f t="shared" ca="1" si="38"/>
        <v>0</v>
      </c>
      <c r="BI59" s="47">
        <f t="shared" ca="1" si="38"/>
        <v>0</v>
      </c>
      <c r="BJ59" s="47">
        <f t="shared" ca="1" si="38"/>
        <v>0</v>
      </c>
      <c r="BK59" s="47">
        <f t="shared" ca="1" si="38"/>
        <v>0</v>
      </c>
      <c r="BL59" s="47">
        <f t="shared" ca="1" si="38"/>
        <v>0</v>
      </c>
      <c r="BM59" s="47">
        <f t="shared" ca="1" si="38"/>
        <v>0</v>
      </c>
      <c r="BN59" s="47">
        <f t="shared" ca="1" si="38"/>
        <v>0</v>
      </c>
      <c r="BO59" s="139">
        <f t="shared" ca="1" si="38"/>
        <v>2114280.5</v>
      </c>
    </row>
    <row r="60" spans="2:68" ht="14.05" customHeight="1" x14ac:dyDescent="0.45">
      <c r="B60" s="124"/>
      <c r="C60" s="22"/>
      <c r="D60" s="162"/>
      <c r="E60" s="50"/>
      <c r="F60" s="153"/>
      <c r="G60" s="134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50"/>
    </row>
    <row r="61" spans="2:68" ht="14.05" customHeight="1" x14ac:dyDescent="0.4">
      <c r="B61" s="24" t="s">
        <v>17</v>
      </c>
      <c r="C61" s="24"/>
      <c r="D61" s="54"/>
      <c r="E61" s="51"/>
      <c r="F61" s="54"/>
      <c r="G61" s="179">
        <v>0</v>
      </c>
      <c r="H61" s="55">
        <f ca="1">G61+H59</f>
        <v>0</v>
      </c>
      <c r="I61" s="55">
        <f ca="1">H61+I59</f>
        <v>0</v>
      </c>
      <c r="J61" s="55">
        <f t="shared" ref="J61:AW61" ca="1" si="39">I61+J59</f>
        <v>0</v>
      </c>
      <c r="K61" s="55">
        <f t="shared" ca="1" si="39"/>
        <v>0</v>
      </c>
      <c r="L61" s="55">
        <f t="shared" ca="1" si="39"/>
        <v>0</v>
      </c>
      <c r="M61" s="55">
        <f t="shared" ca="1" si="39"/>
        <v>0</v>
      </c>
      <c r="N61" s="55">
        <f t="shared" ca="1" si="39"/>
        <v>0</v>
      </c>
      <c r="O61" s="55">
        <f t="shared" ca="1" si="39"/>
        <v>0</v>
      </c>
      <c r="P61" s="55">
        <f t="shared" ca="1" si="39"/>
        <v>0</v>
      </c>
      <c r="Q61" s="55">
        <f t="shared" ca="1" si="39"/>
        <v>0</v>
      </c>
      <c r="R61" s="55">
        <f t="shared" ca="1" si="39"/>
        <v>0</v>
      </c>
      <c r="S61" s="55">
        <f t="shared" ca="1" si="39"/>
        <v>0</v>
      </c>
      <c r="T61" s="55">
        <f t="shared" ca="1" si="39"/>
        <v>0</v>
      </c>
      <c r="U61" s="55">
        <f t="shared" ca="1" si="39"/>
        <v>0</v>
      </c>
      <c r="V61" s="55">
        <f t="shared" ca="1" si="39"/>
        <v>0</v>
      </c>
      <c r="W61" s="55">
        <f t="shared" ca="1" si="39"/>
        <v>0</v>
      </c>
      <c r="X61" s="55">
        <f t="shared" ca="1" si="39"/>
        <v>0</v>
      </c>
      <c r="Y61" s="55">
        <f t="shared" ca="1" si="39"/>
        <v>37499.999999999884</v>
      </c>
      <c r="Z61" s="55">
        <f t="shared" ca="1" si="39"/>
        <v>37499.999999999884</v>
      </c>
      <c r="AA61" s="55">
        <f t="shared" ca="1" si="39"/>
        <v>37499.999999999884</v>
      </c>
      <c r="AB61" s="55">
        <f t="shared" ca="1" si="39"/>
        <v>75703.124999999884</v>
      </c>
      <c r="AC61" s="55">
        <f t="shared" ca="1" si="39"/>
        <v>75703.124999999884</v>
      </c>
      <c r="AD61" s="55">
        <f t="shared" ca="1" si="39"/>
        <v>75703.124999999884</v>
      </c>
      <c r="AE61" s="55">
        <f t="shared" ca="1" si="39"/>
        <v>114609.37499999988</v>
      </c>
      <c r="AF61" s="55">
        <f t="shared" ca="1" si="39"/>
        <v>114609.37499999988</v>
      </c>
      <c r="AG61" s="55">
        <f t="shared" ca="1" si="39"/>
        <v>114609.37499999988</v>
      </c>
      <c r="AH61" s="55">
        <f t="shared" ca="1" si="39"/>
        <v>154218.74999999988</v>
      </c>
      <c r="AI61" s="55">
        <f t="shared" ca="1" si="39"/>
        <v>154218.74999999988</v>
      </c>
      <c r="AJ61" s="55">
        <f t="shared" ca="1" si="39"/>
        <v>154218.74999999988</v>
      </c>
      <c r="AK61" s="55">
        <f t="shared" ca="1" si="39"/>
        <v>194718.74999999988</v>
      </c>
      <c r="AL61" s="55">
        <f t="shared" ca="1" si="39"/>
        <v>194718.74999999988</v>
      </c>
      <c r="AM61" s="55">
        <f t="shared" ca="1" si="39"/>
        <v>194718.74999999988</v>
      </c>
      <c r="AN61" s="55">
        <f t="shared" ca="1" si="39"/>
        <v>235968.74999999988</v>
      </c>
      <c r="AO61" s="55">
        <f t="shared" ca="1" si="39"/>
        <v>235968.74999999988</v>
      </c>
      <c r="AP61" s="55">
        <f t="shared" ca="1" si="39"/>
        <v>235968.74999999988</v>
      </c>
      <c r="AQ61" s="55">
        <f t="shared" ca="1" si="39"/>
        <v>277968.74999999988</v>
      </c>
      <c r="AR61" s="55">
        <f t="shared" ca="1" si="39"/>
        <v>277968.74999999988</v>
      </c>
      <c r="AS61" s="55">
        <f t="shared" ca="1" si="39"/>
        <v>277968.74999999988</v>
      </c>
      <c r="AT61" s="55">
        <f t="shared" ca="1" si="39"/>
        <v>320718.74999999988</v>
      </c>
      <c r="AU61" s="55">
        <f t="shared" ca="1" si="39"/>
        <v>320718.74999999988</v>
      </c>
      <c r="AV61" s="55">
        <f t="shared" ca="1" si="39"/>
        <v>320718.74999999988</v>
      </c>
      <c r="AW61" s="55">
        <f t="shared" ca="1" si="39"/>
        <v>364218.74999999988</v>
      </c>
      <c r="AX61" s="55">
        <f t="shared" ref="AX61" ca="1" si="40">AW61+AX59</f>
        <v>364218.74999999988</v>
      </c>
      <c r="AY61" s="55">
        <f t="shared" ref="AY61" ca="1" si="41">AX61+AY59</f>
        <v>364218.74999999988</v>
      </c>
      <c r="AZ61" s="55">
        <f t="shared" ref="AZ61" ca="1" si="42">AY61+AZ59</f>
        <v>363218.74999999988</v>
      </c>
      <c r="BA61" s="55">
        <f t="shared" ref="BA61" ca="1" si="43">AZ61+BA59</f>
        <v>363218.74999999988</v>
      </c>
      <c r="BB61" s="55">
        <f t="shared" ref="BB61" ca="1" si="44">BA61+BB59</f>
        <v>363218.74999999988</v>
      </c>
      <c r="BC61" s="55">
        <f t="shared" ref="BC61" ca="1" si="45">BB61+BC59</f>
        <v>633218.74999999988</v>
      </c>
      <c r="BD61" s="55">
        <f t="shared" ref="BD61" ca="1" si="46">BC61+BD59</f>
        <v>633218.74999999988</v>
      </c>
      <c r="BE61" s="55">
        <f t="shared" ref="BE61" ca="1" si="47">BD61+BE59</f>
        <v>633218.74999999988</v>
      </c>
      <c r="BF61" s="55">
        <f t="shared" ref="BF61" ca="1" si="48">BE61+BF59</f>
        <v>633218.74999999988</v>
      </c>
      <c r="BG61" s="55">
        <f t="shared" ref="BG61" ca="1" si="49">BF61+BG59</f>
        <v>633218.74999999988</v>
      </c>
      <c r="BH61" s="55">
        <f t="shared" ref="BH61" ca="1" si="50">BG61+BH59</f>
        <v>633218.74999999988</v>
      </c>
      <c r="BI61" s="55"/>
      <c r="BJ61" s="55">
        <f t="shared" ref="BJ61" ca="1" si="51">BI61+BJ59</f>
        <v>0</v>
      </c>
      <c r="BK61" s="55">
        <f t="shared" ref="BK61" ca="1" si="52">BJ61+BK59</f>
        <v>0</v>
      </c>
      <c r="BL61" s="55">
        <f t="shared" ref="BL61" ca="1" si="53">BK61+BL59</f>
        <v>0</v>
      </c>
      <c r="BM61" s="55">
        <f t="shared" ref="BM61" ca="1" si="54">BL61+BM59</f>
        <v>0</v>
      </c>
      <c r="BN61" s="55">
        <f t="shared" ref="BN61" ca="1" si="55">BM61+BN59</f>
        <v>0</v>
      </c>
      <c r="BO61" s="163">
        <f t="shared" ref="BO61" ca="1" si="56">BN61+BO59</f>
        <v>2114280.5</v>
      </c>
    </row>
    <row r="62" spans="2:68" ht="14.05" customHeight="1" x14ac:dyDescent="0.4">
      <c r="B62" s="12"/>
      <c r="C62" s="9"/>
      <c r="D62" s="141"/>
      <c r="E62" s="144"/>
      <c r="F62" s="142"/>
      <c r="G62" s="180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4"/>
      <c r="AY62" s="164"/>
      <c r="AZ62" s="164"/>
      <c r="BA62" s="164"/>
      <c r="BB62" s="164"/>
      <c r="BC62" s="164"/>
      <c r="BD62" s="164"/>
      <c r="BE62" s="164"/>
      <c r="BF62" s="164"/>
      <c r="BG62" s="164"/>
      <c r="BH62" s="164"/>
      <c r="BI62" s="164"/>
      <c r="BJ62" s="164"/>
      <c r="BK62" s="164"/>
      <c r="BL62" s="164"/>
      <c r="BM62" s="164"/>
      <c r="BN62" s="164"/>
      <c r="BO62" s="136"/>
    </row>
    <row r="63" spans="2:68" ht="14.05" customHeight="1" x14ac:dyDescent="0.4">
      <c r="B63" s="4"/>
      <c r="C63" s="12"/>
      <c r="D63" s="142"/>
      <c r="E63" s="145"/>
      <c r="F63" s="142"/>
      <c r="G63" s="134"/>
      <c r="H63" s="165"/>
      <c r="I63" s="142"/>
      <c r="J63" s="142"/>
      <c r="K63" s="142"/>
      <c r="L63" s="142"/>
      <c r="M63" s="142"/>
      <c r="N63" s="153"/>
      <c r="O63" s="153"/>
      <c r="P63" s="153"/>
      <c r="Q63" s="153"/>
      <c r="R63" s="153"/>
      <c r="S63" s="153"/>
      <c r="T63" s="153"/>
      <c r="U63" s="153"/>
      <c r="V63" s="153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  <c r="BJ63" s="164"/>
      <c r="BK63" s="164"/>
      <c r="BL63" s="164"/>
      <c r="BM63" s="164"/>
      <c r="BN63" s="164"/>
      <c r="BO63" s="136"/>
    </row>
    <row r="64" spans="2:68" ht="14.05" customHeight="1" x14ac:dyDescent="0.4">
      <c r="B64" s="4" t="s">
        <v>31</v>
      </c>
      <c r="C64" s="12"/>
      <c r="D64" s="142"/>
      <c r="E64" s="145"/>
      <c r="F64" s="142"/>
      <c r="G64" s="181"/>
      <c r="H64" s="165"/>
      <c r="I64" s="142"/>
      <c r="J64" s="142"/>
      <c r="K64" s="142"/>
      <c r="L64" s="142"/>
      <c r="M64" s="142"/>
      <c r="N64" s="153"/>
      <c r="O64" s="153"/>
      <c r="P64" s="153"/>
      <c r="Q64" s="153"/>
      <c r="R64" s="153"/>
      <c r="S64" s="153"/>
      <c r="T64" s="153"/>
      <c r="U64" s="153"/>
      <c r="V64" s="153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4"/>
      <c r="AY64" s="164"/>
      <c r="AZ64" s="164"/>
      <c r="BA64" s="164"/>
      <c r="BB64" s="164"/>
      <c r="BC64" s="164"/>
      <c r="BD64" s="164"/>
      <c r="BE64" s="164"/>
      <c r="BF64" s="164"/>
      <c r="BG64" s="164"/>
      <c r="BH64" s="164"/>
      <c r="BI64" s="164"/>
      <c r="BJ64" s="164"/>
      <c r="BK64" s="164"/>
      <c r="BL64" s="164"/>
      <c r="BM64" s="164"/>
      <c r="BN64" s="164"/>
      <c r="BO64" s="136"/>
    </row>
    <row r="65" spans="2:67" ht="14.05" customHeight="1" x14ac:dyDescent="0.4">
      <c r="B65" s="114" t="s">
        <v>18</v>
      </c>
      <c r="C65" s="12"/>
      <c r="D65" s="142"/>
      <c r="E65" s="145"/>
      <c r="F65" s="142"/>
      <c r="G65" s="181">
        <f>F67</f>
        <v>0</v>
      </c>
      <c r="H65" s="166">
        <f t="shared" ref="H65:AW65" ca="1" si="57">G67</f>
        <v>0</v>
      </c>
      <c r="I65" s="166">
        <f t="shared" ca="1" si="57"/>
        <v>0</v>
      </c>
      <c r="J65" s="166">
        <f t="shared" ca="1" si="57"/>
        <v>0</v>
      </c>
      <c r="K65" s="166">
        <f t="shared" ca="1" si="57"/>
        <v>0</v>
      </c>
      <c r="L65" s="166">
        <f t="shared" ca="1" si="57"/>
        <v>0</v>
      </c>
      <c r="M65" s="166">
        <f t="shared" ca="1" si="57"/>
        <v>0</v>
      </c>
      <c r="N65" s="166">
        <f t="shared" ca="1" si="57"/>
        <v>0</v>
      </c>
      <c r="O65" s="166">
        <f t="shared" ca="1" si="57"/>
        <v>0</v>
      </c>
      <c r="P65" s="166">
        <f t="shared" ca="1" si="57"/>
        <v>0</v>
      </c>
      <c r="Q65" s="166">
        <f t="shared" ca="1" si="57"/>
        <v>0</v>
      </c>
      <c r="R65" s="166">
        <f t="shared" ca="1" si="57"/>
        <v>0</v>
      </c>
      <c r="S65" s="166">
        <f t="shared" ca="1" si="57"/>
        <v>0</v>
      </c>
      <c r="T65" s="166">
        <f t="shared" ca="1" si="57"/>
        <v>0</v>
      </c>
      <c r="U65" s="166">
        <f t="shared" ca="1" si="57"/>
        <v>0</v>
      </c>
      <c r="V65" s="166">
        <f t="shared" ca="1" si="57"/>
        <v>0</v>
      </c>
      <c r="W65" s="166">
        <f t="shared" ca="1" si="57"/>
        <v>0</v>
      </c>
      <c r="X65" s="166">
        <f t="shared" ca="1" si="57"/>
        <v>0</v>
      </c>
      <c r="Y65" s="166">
        <f t="shared" ca="1" si="57"/>
        <v>0</v>
      </c>
      <c r="Z65" s="166">
        <f t="shared" ca="1" si="57"/>
        <v>37499.999999999884</v>
      </c>
      <c r="AA65" s="166">
        <f t="shared" ca="1" si="57"/>
        <v>37499.999999999884</v>
      </c>
      <c r="AB65" s="166">
        <f t="shared" ca="1" si="57"/>
        <v>37499.999999999884</v>
      </c>
      <c r="AC65" s="166">
        <f t="shared" ca="1" si="57"/>
        <v>75703.124999999884</v>
      </c>
      <c r="AD65" s="166">
        <f t="shared" ca="1" si="57"/>
        <v>75703.124999999884</v>
      </c>
      <c r="AE65" s="166">
        <f t="shared" ca="1" si="57"/>
        <v>75703.124999999884</v>
      </c>
      <c r="AF65" s="166">
        <f t="shared" ca="1" si="57"/>
        <v>114609.37499999988</v>
      </c>
      <c r="AG65" s="166">
        <f t="shared" ca="1" si="57"/>
        <v>114609.37499999988</v>
      </c>
      <c r="AH65" s="166">
        <f t="shared" ca="1" si="57"/>
        <v>114609.37499999988</v>
      </c>
      <c r="AI65" s="166">
        <f t="shared" ca="1" si="57"/>
        <v>154218.74999999988</v>
      </c>
      <c r="AJ65" s="166">
        <f t="shared" ca="1" si="57"/>
        <v>154218.74999999988</v>
      </c>
      <c r="AK65" s="166">
        <f t="shared" ca="1" si="57"/>
        <v>154218.74999999988</v>
      </c>
      <c r="AL65" s="166">
        <f t="shared" ca="1" si="57"/>
        <v>194718.74999999988</v>
      </c>
      <c r="AM65" s="166">
        <f t="shared" ca="1" si="57"/>
        <v>194718.74999999988</v>
      </c>
      <c r="AN65" s="166">
        <f t="shared" ca="1" si="57"/>
        <v>194718.74999999988</v>
      </c>
      <c r="AO65" s="166">
        <f t="shared" ca="1" si="57"/>
        <v>235968.74999999988</v>
      </c>
      <c r="AP65" s="166">
        <f t="shared" ca="1" si="57"/>
        <v>235968.74999999988</v>
      </c>
      <c r="AQ65" s="166">
        <f t="shared" ca="1" si="57"/>
        <v>235968.74999999988</v>
      </c>
      <c r="AR65" s="166">
        <f t="shared" ca="1" si="57"/>
        <v>277968.74999999988</v>
      </c>
      <c r="AS65" s="166">
        <f t="shared" ca="1" si="57"/>
        <v>277968.74999999988</v>
      </c>
      <c r="AT65" s="166">
        <f t="shared" ca="1" si="57"/>
        <v>277968.74999999988</v>
      </c>
      <c r="AU65" s="166">
        <f t="shared" ca="1" si="57"/>
        <v>320718.74999999988</v>
      </c>
      <c r="AV65" s="166">
        <f t="shared" ca="1" si="57"/>
        <v>320718.74999999988</v>
      </c>
      <c r="AW65" s="166">
        <f t="shared" ca="1" si="57"/>
        <v>320718.74999999988</v>
      </c>
      <c r="AX65" s="166">
        <f t="shared" ref="AX65" ca="1" si="58">AW67</f>
        <v>364218.74999999988</v>
      </c>
      <c r="AY65" s="166">
        <f t="shared" ref="AY65" ca="1" si="59">AX67</f>
        <v>364218.74999999988</v>
      </c>
      <c r="AZ65" s="166">
        <f t="shared" ref="AZ65" ca="1" si="60">AY67</f>
        <v>364218.74999999988</v>
      </c>
      <c r="BA65" s="166">
        <f t="shared" ref="BA65" ca="1" si="61">AZ67</f>
        <v>363218.74999999988</v>
      </c>
      <c r="BB65" s="166">
        <f t="shared" ref="BB65" ca="1" si="62">BA67</f>
        <v>363218.74999999988</v>
      </c>
      <c r="BC65" s="166">
        <f t="shared" ref="BC65" ca="1" si="63">BB67</f>
        <v>363218.74999999988</v>
      </c>
      <c r="BD65" s="166">
        <f t="shared" ref="BD65" ca="1" si="64">BC67</f>
        <v>633218.74999999988</v>
      </c>
      <c r="BE65" s="166">
        <f t="shared" ref="BE65" ca="1" si="65">BD67</f>
        <v>633218.74999999988</v>
      </c>
      <c r="BF65" s="166">
        <f t="shared" ref="BF65" ca="1" si="66">BE67</f>
        <v>633218.74999999988</v>
      </c>
      <c r="BG65" s="166">
        <f t="shared" ref="BG65" ca="1" si="67">BF67</f>
        <v>633218.74999999988</v>
      </c>
      <c r="BH65" s="166">
        <f t="shared" ref="BH65" ca="1" si="68">BG67</f>
        <v>633218.74999999988</v>
      </c>
      <c r="BI65" s="166">
        <f t="shared" ref="BI65" ca="1" si="69">BH67</f>
        <v>633218.74999999988</v>
      </c>
      <c r="BJ65" s="166">
        <f t="shared" ref="BJ65" ca="1" si="70">BI67</f>
        <v>633218.74999999988</v>
      </c>
      <c r="BK65" s="166">
        <f t="shared" ref="BK65" ca="1" si="71">BJ67</f>
        <v>633218.74999999988</v>
      </c>
      <c r="BL65" s="166">
        <f t="shared" ref="BL65" ca="1" si="72">BK67</f>
        <v>633218.74999999988</v>
      </c>
      <c r="BM65" s="166">
        <f t="shared" ref="BM65" ca="1" si="73">BL67</f>
        <v>633218.74999999988</v>
      </c>
      <c r="BN65" s="166">
        <f t="shared" ref="BN65" ca="1" si="74">BM67</f>
        <v>633218.74999999988</v>
      </c>
      <c r="BO65" s="167">
        <f t="shared" ref="BO65" ca="1" si="75">BN67</f>
        <v>633218.74999999988</v>
      </c>
    </row>
    <row r="66" spans="2:67" ht="14.05" customHeight="1" x14ac:dyDescent="0.4">
      <c r="B66" s="121" t="s">
        <v>109</v>
      </c>
      <c r="C66" s="12"/>
      <c r="D66" s="142"/>
      <c r="E66" s="145"/>
      <c r="F66" s="142"/>
      <c r="G66" s="181">
        <f ca="1">G59</f>
        <v>0</v>
      </c>
      <c r="H66" s="166">
        <f t="shared" ref="H66:AV66" ca="1" si="76">H59</f>
        <v>0</v>
      </c>
      <c r="I66" s="166">
        <f t="shared" ca="1" si="76"/>
        <v>0</v>
      </c>
      <c r="J66" s="166">
        <f t="shared" ca="1" si="76"/>
        <v>0</v>
      </c>
      <c r="K66" s="166">
        <f t="shared" ca="1" si="76"/>
        <v>0</v>
      </c>
      <c r="L66" s="166">
        <f t="shared" ca="1" si="76"/>
        <v>0</v>
      </c>
      <c r="M66" s="166">
        <f t="shared" ca="1" si="76"/>
        <v>0</v>
      </c>
      <c r="N66" s="166">
        <f t="shared" ca="1" si="76"/>
        <v>0</v>
      </c>
      <c r="O66" s="166">
        <f t="shared" ca="1" si="76"/>
        <v>0</v>
      </c>
      <c r="P66" s="166">
        <f t="shared" ca="1" si="76"/>
        <v>0</v>
      </c>
      <c r="Q66" s="166">
        <f t="shared" ca="1" si="76"/>
        <v>0</v>
      </c>
      <c r="R66" s="166">
        <f t="shared" ca="1" si="76"/>
        <v>0</v>
      </c>
      <c r="S66" s="166">
        <f t="shared" ca="1" si="76"/>
        <v>0</v>
      </c>
      <c r="T66" s="166">
        <f t="shared" ca="1" si="76"/>
        <v>0</v>
      </c>
      <c r="U66" s="166">
        <f t="shared" ca="1" si="76"/>
        <v>0</v>
      </c>
      <c r="V66" s="166">
        <f t="shared" ca="1" si="76"/>
        <v>0</v>
      </c>
      <c r="W66" s="166">
        <f t="shared" ca="1" si="76"/>
        <v>0</v>
      </c>
      <c r="X66" s="166">
        <f t="shared" ca="1" si="76"/>
        <v>0</v>
      </c>
      <c r="Y66" s="166">
        <f t="shared" ca="1" si="76"/>
        <v>37499.999999999884</v>
      </c>
      <c r="Z66" s="166">
        <f t="shared" ca="1" si="76"/>
        <v>0</v>
      </c>
      <c r="AA66" s="166">
        <f t="shared" ca="1" si="76"/>
        <v>0</v>
      </c>
      <c r="AB66" s="166">
        <f t="shared" ca="1" si="76"/>
        <v>38203.125</v>
      </c>
      <c r="AC66" s="166">
        <f t="shared" ca="1" si="76"/>
        <v>0</v>
      </c>
      <c r="AD66" s="166">
        <f t="shared" ca="1" si="76"/>
        <v>0</v>
      </c>
      <c r="AE66" s="166">
        <f t="shared" ca="1" si="76"/>
        <v>38906.25</v>
      </c>
      <c r="AF66" s="166">
        <f t="shared" ca="1" si="76"/>
        <v>0</v>
      </c>
      <c r="AG66" s="166">
        <f t="shared" ca="1" si="76"/>
        <v>0</v>
      </c>
      <c r="AH66" s="166">
        <f t="shared" ca="1" si="76"/>
        <v>39609.375</v>
      </c>
      <c r="AI66" s="166">
        <f t="shared" ca="1" si="76"/>
        <v>0</v>
      </c>
      <c r="AJ66" s="166">
        <f t="shared" ca="1" si="76"/>
        <v>0</v>
      </c>
      <c r="AK66" s="166">
        <f t="shared" ca="1" si="76"/>
        <v>40500</v>
      </c>
      <c r="AL66" s="166">
        <f t="shared" ca="1" si="76"/>
        <v>0</v>
      </c>
      <c r="AM66" s="166">
        <f t="shared" ca="1" si="76"/>
        <v>0</v>
      </c>
      <c r="AN66" s="166">
        <f t="shared" ca="1" si="76"/>
        <v>41250</v>
      </c>
      <c r="AO66" s="166">
        <f t="shared" ca="1" si="76"/>
        <v>0</v>
      </c>
      <c r="AP66" s="166">
        <f t="shared" ca="1" si="76"/>
        <v>0</v>
      </c>
      <c r="AQ66" s="166">
        <f t="shared" ca="1" si="76"/>
        <v>42000</v>
      </c>
      <c r="AR66" s="166">
        <f t="shared" ca="1" si="76"/>
        <v>0</v>
      </c>
      <c r="AS66" s="166">
        <f t="shared" ca="1" si="76"/>
        <v>0</v>
      </c>
      <c r="AT66" s="166">
        <f t="shared" ca="1" si="76"/>
        <v>42750</v>
      </c>
      <c r="AU66" s="166">
        <f t="shared" ca="1" si="76"/>
        <v>0</v>
      </c>
      <c r="AV66" s="166">
        <f t="shared" ca="1" si="76"/>
        <v>0</v>
      </c>
      <c r="AW66" s="166">
        <f ca="1">AW59</f>
        <v>43500</v>
      </c>
      <c r="AX66" s="166">
        <f t="shared" ref="AX66:BO66" ca="1" si="77">AX59</f>
        <v>0</v>
      </c>
      <c r="AY66" s="166">
        <f t="shared" ca="1" si="77"/>
        <v>0</v>
      </c>
      <c r="AZ66" s="166">
        <f t="shared" ca="1" si="77"/>
        <v>-1000</v>
      </c>
      <c r="BA66" s="166">
        <f t="shared" ca="1" si="77"/>
        <v>0</v>
      </c>
      <c r="BB66" s="166">
        <f t="shared" ca="1" si="77"/>
        <v>0</v>
      </c>
      <c r="BC66" s="166">
        <f t="shared" ca="1" si="77"/>
        <v>270000</v>
      </c>
      <c r="BD66" s="166">
        <f t="shared" ca="1" si="77"/>
        <v>0</v>
      </c>
      <c r="BE66" s="166">
        <f t="shared" ca="1" si="77"/>
        <v>0</v>
      </c>
      <c r="BF66" s="166">
        <f t="shared" ca="1" si="77"/>
        <v>0</v>
      </c>
      <c r="BG66" s="166">
        <f t="shared" ca="1" si="77"/>
        <v>0</v>
      </c>
      <c r="BH66" s="166">
        <f t="shared" ca="1" si="77"/>
        <v>0</v>
      </c>
      <c r="BI66" s="166">
        <f t="shared" ca="1" si="77"/>
        <v>0</v>
      </c>
      <c r="BJ66" s="166">
        <f t="shared" ca="1" si="77"/>
        <v>0</v>
      </c>
      <c r="BK66" s="166">
        <f t="shared" ca="1" si="77"/>
        <v>0</v>
      </c>
      <c r="BL66" s="166">
        <f t="shared" ca="1" si="77"/>
        <v>0</v>
      </c>
      <c r="BM66" s="166">
        <f t="shared" ca="1" si="77"/>
        <v>0</v>
      </c>
      <c r="BN66" s="166">
        <f t="shared" ca="1" si="77"/>
        <v>0</v>
      </c>
      <c r="BO66" s="167">
        <f t="shared" ca="1" si="77"/>
        <v>2114280.5</v>
      </c>
    </row>
    <row r="67" spans="2:67" ht="14.05" customHeight="1" x14ac:dyDescent="0.4">
      <c r="B67" s="114" t="s">
        <v>19</v>
      </c>
      <c r="C67" s="12"/>
      <c r="D67" s="142"/>
      <c r="E67" s="145"/>
      <c r="F67" s="142"/>
      <c r="G67" s="182">
        <f ca="1">SUM(G66)</f>
        <v>0</v>
      </c>
      <c r="H67" s="52">
        <f ca="1">SUM(H65:H66)</f>
        <v>0</v>
      </c>
      <c r="I67" s="52">
        <f ca="1">SUM(I65:I66)</f>
        <v>0</v>
      </c>
      <c r="J67" s="52">
        <f t="shared" ref="J67:X67" ca="1" si="78">SUM(J65:J66)</f>
        <v>0</v>
      </c>
      <c r="K67" s="52">
        <f t="shared" ca="1" si="78"/>
        <v>0</v>
      </c>
      <c r="L67" s="52">
        <f t="shared" ca="1" si="78"/>
        <v>0</v>
      </c>
      <c r="M67" s="52">
        <f t="shared" ca="1" si="78"/>
        <v>0</v>
      </c>
      <c r="N67" s="52">
        <f ca="1">SUM(N65:N66)</f>
        <v>0</v>
      </c>
      <c r="O67" s="52">
        <f ca="1">SUM(O65:O66)</f>
        <v>0</v>
      </c>
      <c r="P67" s="52">
        <f t="shared" ca="1" si="78"/>
        <v>0</v>
      </c>
      <c r="Q67" s="52">
        <f t="shared" ca="1" si="78"/>
        <v>0</v>
      </c>
      <c r="R67" s="52">
        <f t="shared" ca="1" si="78"/>
        <v>0</v>
      </c>
      <c r="S67" s="52">
        <f t="shared" ca="1" si="78"/>
        <v>0</v>
      </c>
      <c r="T67" s="52">
        <f t="shared" ca="1" si="78"/>
        <v>0</v>
      </c>
      <c r="U67" s="52">
        <f t="shared" ca="1" si="78"/>
        <v>0</v>
      </c>
      <c r="V67" s="52">
        <f t="shared" ca="1" si="78"/>
        <v>0</v>
      </c>
      <c r="W67" s="52">
        <f t="shared" ca="1" si="78"/>
        <v>0</v>
      </c>
      <c r="X67" s="52">
        <f t="shared" ca="1" si="78"/>
        <v>0</v>
      </c>
      <c r="Y67" s="52">
        <f ca="1">SUM(Y65:Y66)</f>
        <v>37499.999999999884</v>
      </c>
      <c r="Z67" s="52">
        <f ca="1">SUM(Z65:Z66)</f>
        <v>37499.999999999884</v>
      </c>
      <c r="AA67" s="52">
        <f ca="1">SUM(AA65:AA66)</f>
        <v>37499.999999999884</v>
      </c>
      <c r="AB67" s="52">
        <f t="shared" ref="AB67:AW67" ca="1" si="79">SUM(AB65:AB66)</f>
        <v>75703.124999999884</v>
      </c>
      <c r="AC67" s="52">
        <f t="shared" ca="1" si="79"/>
        <v>75703.124999999884</v>
      </c>
      <c r="AD67" s="52">
        <f t="shared" ca="1" si="79"/>
        <v>75703.124999999884</v>
      </c>
      <c r="AE67" s="52">
        <f t="shared" ca="1" si="79"/>
        <v>114609.37499999988</v>
      </c>
      <c r="AF67" s="52">
        <f t="shared" ca="1" si="79"/>
        <v>114609.37499999988</v>
      </c>
      <c r="AG67" s="52">
        <f t="shared" ca="1" si="79"/>
        <v>114609.37499999988</v>
      </c>
      <c r="AH67" s="52">
        <f t="shared" ca="1" si="79"/>
        <v>154218.74999999988</v>
      </c>
      <c r="AI67" s="52">
        <f t="shared" ca="1" si="79"/>
        <v>154218.74999999988</v>
      </c>
      <c r="AJ67" s="52">
        <f t="shared" ca="1" si="79"/>
        <v>154218.74999999988</v>
      </c>
      <c r="AK67" s="52">
        <f t="shared" ca="1" si="79"/>
        <v>194718.74999999988</v>
      </c>
      <c r="AL67" s="52">
        <f t="shared" ca="1" si="79"/>
        <v>194718.74999999988</v>
      </c>
      <c r="AM67" s="52">
        <f t="shared" ca="1" si="79"/>
        <v>194718.74999999988</v>
      </c>
      <c r="AN67" s="52">
        <f t="shared" ca="1" si="79"/>
        <v>235968.74999999988</v>
      </c>
      <c r="AO67" s="52">
        <f t="shared" ca="1" si="79"/>
        <v>235968.74999999988</v>
      </c>
      <c r="AP67" s="52">
        <f t="shared" ca="1" si="79"/>
        <v>235968.74999999988</v>
      </c>
      <c r="AQ67" s="52">
        <f t="shared" ca="1" si="79"/>
        <v>277968.74999999988</v>
      </c>
      <c r="AR67" s="52">
        <f t="shared" ca="1" si="79"/>
        <v>277968.74999999988</v>
      </c>
      <c r="AS67" s="52">
        <f t="shared" ca="1" si="79"/>
        <v>277968.74999999988</v>
      </c>
      <c r="AT67" s="52">
        <f t="shared" ca="1" si="79"/>
        <v>320718.74999999988</v>
      </c>
      <c r="AU67" s="52">
        <f t="shared" ca="1" si="79"/>
        <v>320718.74999999988</v>
      </c>
      <c r="AV67" s="52">
        <f t="shared" ca="1" si="79"/>
        <v>320718.74999999988</v>
      </c>
      <c r="AW67" s="52">
        <f t="shared" ca="1" si="79"/>
        <v>364218.74999999988</v>
      </c>
      <c r="AX67" s="52">
        <f t="shared" ref="AX67:BO67" ca="1" si="80">SUM(AX65:AX66)</f>
        <v>364218.74999999988</v>
      </c>
      <c r="AY67" s="52">
        <f t="shared" ca="1" si="80"/>
        <v>364218.74999999988</v>
      </c>
      <c r="AZ67" s="52">
        <f t="shared" ca="1" si="80"/>
        <v>363218.74999999988</v>
      </c>
      <c r="BA67" s="52">
        <f t="shared" ca="1" si="80"/>
        <v>363218.74999999988</v>
      </c>
      <c r="BB67" s="52">
        <f t="shared" ca="1" si="80"/>
        <v>363218.74999999988</v>
      </c>
      <c r="BC67" s="52">
        <f t="shared" ca="1" si="80"/>
        <v>633218.74999999988</v>
      </c>
      <c r="BD67" s="52">
        <f t="shared" ca="1" si="80"/>
        <v>633218.74999999988</v>
      </c>
      <c r="BE67" s="52">
        <f t="shared" ca="1" si="80"/>
        <v>633218.74999999988</v>
      </c>
      <c r="BF67" s="52">
        <f t="shared" ca="1" si="80"/>
        <v>633218.74999999988</v>
      </c>
      <c r="BG67" s="52">
        <f t="shared" ca="1" si="80"/>
        <v>633218.74999999988</v>
      </c>
      <c r="BH67" s="52">
        <f t="shared" ca="1" si="80"/>
        <v>633218.74999999988</v>
      </c>
      <c r="BI67" s="52">
        <f t="shared" ca="1" si="80"/>
        <v>633218.74999999988</v>
      </c>
      <c r="BJ67" s="52">
        <f t="shared" ca="1" si="80"/>
        <v>633218.74999999988</v>
      </c>
      <c r="BK67" s="52">
        <f t="shared" ca="1" si="80"/>
        <v>633218.74999999988</v>
      </c>
      <c r="BL67" s="52">
        <f t="shared" ca="1" si="80"/>
        <v>633218.74999999988</v>
      </c>
      <c r="BM67" s="52">
        <f t="shared" ca="1" si="80"/>
        <v>633218.74999999988</v>
      </c>
      <c r="BN67" s="52">
        <f t="shared" ca="1" si="80"/>
        <v>633218.74999999988</v>
      </c>
      <c r="BO67" s="53">
        <f t="shared" ca="1" si="80"/>
        <v>2747499.25</v>
      </c>
    </row>
    <row r="68" spans="2:67" ht="14.05" customHeight="1" x14ac:dyDescent="0.4">
      <c r="B68" s="4"/>
      <c r="C68" s="12"/>
      <c r="D68" s="142"/>
      <c r="E68" s="145"/>
      <c r="F68" s="142"/>
      <c r="G68" s="134"/>
      <c r="H68" s="165"/>
      <c r="I68" s="142"/>
      <c r="J68" s="142"/>
      <c r="K68" s="142"/>
      <c r="L68" s="142"/>
      <c r="M68" s="142"/>
      <c r="N68" s="153"/>
      <c r="O68" s="153"/>
      <c r="P68" s="153"/>
      <c r="Q68" s="153"/>
      <c r="R68" s="153"/>
      <c r="S68" s="153"/>
      <c r="T68" s="153"/>
      <c r="U68" s="153"/>
      <c r="V68" s="153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  <c r="BE68" s="164"/>
      <c r="BF68" s="164"/>
      <c r="BG68" s="164"/>
      <c r="BH68" s="164"/>
      <c r="BI68" s="164"/>
      <c r="BJ68" s="164"/>
      <c r="BK68" s="164"/>
      <c r="BL68" s="164"/>
      <c r="BM68" s="164"/>
      <c r="BN68" s="164"/>
      <c r="BO68" s="136"/>
    </row>
    <row r="69" spans="2:67" ht="14.05" customHeight="1" x14ac:dyDescent="0.4">
      <c r="B69" s="4" t="s">
        <v>47</v>
      </c>
      <c r="C69" s="12"/>
      <c r="D69" s="142"/>
      <c r="E69" s="145"/>
      <c r="F69" s="142"/>
      <c r="G69" s="134"/>
      <c r="H69" s="165"/>
      <c r="I69" s="142"/>
      <c r="J69" s="142"/>
      <c r="K69" s="142"/>
      <c r="L69" s="142"/>
      <c r="M69" s="142"/>
      <c r="N69" s="153"/>
      <c r="O69" s="153"/>
      <c r="P69" s="153"/>
      <c r="Q69" s="153"/>
      <c r="R69" s="153"/>
      <c r="S69" s="153"/>
      <c r="T69" s="153"/>
      <c r="U69" s="153"/>
      <c r="V69" s="153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  <c r="BF69" s="164"/>
      <c r="BG69" s="164"/>
      <c r="BH69" s="164"/>
      <c r="BI69" s="164"/>
      <c r="BJ69" s="164"/>
      <c r="BK69" s="164"/>
      <c r="BL69" s="164"/>
      <c r="BM69" s="164"/>
      <c r="BN69" s="164"/>
      <c r="BO69" s="136"/>
    </row>
    <row r="70" spans="2:67" ht="14.05" customHeight="1" x14ac:dyDescent="0.4">
      <c r="B70" s="114" t="s">
        <v>18</v>
      </c>
      <c r="C70" s="12"/>
      <c r="D70" s="142"/>
      <c r="E70" s="145"/>
      <c r="F70" s="142"/>
      <c r="G70" s="181">
        <f>F73</f>
        <v>0</v>
      </c>
      <c r="H70" s="166">
        <f t="shared" ref="H70:AW70" ca="1" si="81">G73</f>
        <v>0</v>
      </c>
      <c r="I70" s="166">
        <f t="shared" ca="1" si="81"/>
        <v>0</v>
      </c>
      <c r="J70" s="166">
        <f t="shared" ca="1" si="81"/>
        <v>-25000</v>
      </c>
      <c r="K70" s="166">
        <f t="shared" ca="1" si="81"/>
        <v>-25000</v>
      </c>
      <c r="L70" s="166">
        <f t="shared" ca="1" si="81"/>
        <v>-25000</v>
      </c>
      <c r="M70" s="166">
        <f t="shared" ca="1" si="81"/>
        <v>-75000</v>
      </c>
      <c r="N70" s="166">
        <f t="shared" ca="1" si="81"/>
        <v>-2607792.9204108389</v>
      </c>
      <c r="O70" s="166">
        <f t="shared" ca="1" si="81"/>
        <v>-2607792.9204108389</v>
      </c>
      <c r="P70" s="166">
        <f t="shared" ca="1" si="81"/>
        <v>-2607792.9204108389</v>
      </c>
      <c r="Q70" s="166">
        <f t="shared" ca="1" si="81"/>
        <v>-2607792.9204108389</v>
      </c>
      <c r="R70" s="166">
        <f t="shared" ca="1" si="81"/>
        <v>-2607792.9204108389</v>
      </c>
      <c r="S70" s="166">
        <f t="shared" ca="1" si="81"/>
        <v>-2607792.9204108389</v>
      </c>
      <c r="T70" s="166">
        <f t="shared" ca="1" si="81"/>
        <v>-2607792.9204108389</v>
      </c>
      <c r="U70" s="166">
        <f t="shared" ca="1" si="81"/>
        <v>-2607792.9204108389</v>
      </c>
      <c r="V70" s="166">
        <f t="shared" ca="1" si="81"/>
        <v>-2607792.9204108389</v>
      </c>
      <c r="W70" s="166">
        <f t="shared" ca="1" si="81"/>
        <v>-2607792.9204108389</v>
      </c>
      <c r="X70" s="166">
        <f t="shared" ca="1" si="81"/>
        <v>-2607792.9204108389</v>
      </c>
      <c r="Y70" s="166">
        <f t="shared" ca="1" si="81"/>
        <v>-2607792.9204108389</v>
      </c>
      <c r="Z70" s="166">
        <f t="shared" ca="1" si="81"/>
        <v>-2607792.9204108389</v>
      </c>
      <c r="AA70" s="166">
        <f t="shared" ca="1" si="81"/>
        <v>-2607792.9204108389</v>
      </c>
      <c r="AB70" s="166">
        <f t="shared" ca="1" si="81"/>
        <v>-2607792.9204108389</v>
      </c>
      <c r="AC70" s="166">
        <f t="shared" ca="1" si="81"/>
        <v>-2607792.9204108389</v>
      </c>
      <c r="AD70" s="166">
        <f t="shared" ca="1" si="81"/>
        <v>-2607792.9204108389</v>
      </c>
      <c r="AE70" s="166">
        <f t="shared" ca="1" si="81"/>
        <v>-2607792.9204108389</v>
      </c>
      <c r="AF70" s="166">
        <f t="shared" ca="1" si="81"/>
        <v>-2607792.9204108389</v>
      </c>
      <c r="AG70" s="166">
        <f t="shared" ca="1" si="81"/>
        <v>-2607792.9204108389</v>
      </c>
      <c r="AH70" s="166">
        <f t="shared" ca="1" si="81"/>
        <v>-2607792.9204108389</v>
      </c>
      <c r="AI70" s="166">
        <f t="shared" ca="1" si="81"/>
        <v>-2607792.9204108389</v>
      </c>
      <c r="AJ70" s="166">
        <f t="shared" ca="1" si="81"/>
        <v>-2607792.9204108389</v>
      </c>
      <c r="AK70" s="166">
        <f t="shared" ca="1" si="81"/>
        <v>-2607792.9204108389</v>
      </c>
      <c r="AL70" s="166">
        <f t="shared" ca="1" si="81"/>
        <v>-2607792.9204108389</v>
      </c>
      <c r="AM70" s="166">
        <f t="shared" ca="1" si="81"/>
        <v>-2607792.9204108389</v>
      </c>
      <c r="AN70" s="166">
        <f t="shared" ca="1" si="81"/>
        <v>-2607792.9204108389</v>
      </c>
      <c r="AO70" s="166">
        <f t="shared" ca="1" si="81"/>
        <v>-2607792.9204108389</v>
      </c>
      <c r="AP70" s="166">
        <f t="shared" ca="1" si="81"/>
        <v>-2607792.9204108389</v>
      </c>
      <c r="AQ70" s="166">
        <f t="shared" ca="1" si="81"/>
        <v>-2607792.9204108389</v>
      </c>
      <c r="AR70" s="166">
        <f t="shared" ca="1" si="81"/>
        <v>-2607792.9204108389</v>
      </c>
      <c r="AS70" s="166">
        <f t="shared" ca="1" si="81"/>
        <v>-2607792.9204108389</v>
      </c>
      <c r="AT70" s="166">
        <f t="shared" ca="1" si="81"/>
        <v>-2607792.9204108389</v>
      </c>
      <c r="AU70" s="166">
        <f t="shared" ca="1" si="81"/>
        <v>-2607792.9204108389</v>
      </c>
      <c r="AV70" s="166">
        <f t="shared" ca="1" si="81"/>
        <v>-2607792.9204108389</v>
      </c>
      <c r="AW70" s="166">
        <f t="shared" ca="1" si="81"/>
        <v>-2607792.9204108389</v>
      </c>
      <c r="AX70" s="166">
        <f t="shared" ref="AX70" ca="1" si="82">AW73</f>
        <v>-1878969.3728108373</v>
      </c>
      <c r="AY70" s="166">
        <f t="shared" ref="AY70" ca="1" si="83">AX73</f>
        <v>-1878969.3728108373</v>
      </c>
      <c r="AZ70" s="166">
        <f t="shared" ref="AZ70" ca="1" si="84">AY73</f>
        <v>-1878969.3728108373</v>
      </c>
      <c r="BA70" s="166">
        <f t="shared" ref="BA70" ca="1" si="85">AZ73</f>
        <v>-993969.37281083735</v>
      </c>
      <c r="BB70" s="166">
        <f t="shared" ref="BB70" ca="1" si="86">BA73</f>
        <v>-993969.37281083735</v>
      </c>
      <c r="BC70" s="166">
        <f t="shared" ref="BC70" ca="1" si="87">BB73</f>
        <v>-993969.37281083735</v>
      </c>
      <c r="BD70" s="166">
        <f t="shared" ref="BD70" ca="1" si="88">BC73</f>
        <v>-723969.37281083735</v>
      </c>
      <c r="BE70" s="166">
        <f t="shared" ref="BE70" ca="1" si="89">BD73</f>
        <v>-723969.37281083735</v>
      </c>
      <c r="BF70" s="166">
        <f t="shared" ref="BF70" ca="1" si="90">BE73</f>
        <v>-723969.37281083735</v>
      </c>
      <c r="BG70" s="166">
        <f t="shared" ref="BG70" ca="1" si="91">BF73</f>
        <v>-723969.37281083735</v>
      </c>
      <c r="BH70" s="166">
        <f t="shared" ref="BH70" ca="1" si="92">BG73</f>
        <v>-723969.37281083735</v>
      </c>
      <c r="BI70" s="166">
        <f t="shared" ref="BI70" ca="1" si="93">BH73</f>
        <v>-723969.37281083735</v>
      </c>
      <c r="BJ70" s="166">
        <f t="shared" ref="BJ70" ca="1" si="94">BI73</f>
        <v>-723969.37281083735</v>
      </c>
      <c r="BK70" s="166">
        <f t="shared" ref="BK70" ca="1" si="95">BJ73</f>
        <v>-723969.37281083735</v>
      </c>
      <c r="BL70" s="166">
        <f t="shared" ref="BL70" ca="1" si="96">BK73</f>
        <v>-723969.37281083735</v>
      </c>
      <c r="BM70" s="166">
        <f t="shared" ref="BM70" ca="1" si="97">BL73</f>
        <v>-723969.37281083735</v>
      </c>
      <c r="BN70" s="166">
        <f t="shared" ref="BN70" ca="1" si="98">BM73</f>
        <v>-723969.37281083735</v>
      </c>
      <c r="BO70" s="167">
        <f t="shared" ref="BO70" ca="1" si="99">BN73</f>
        <v>-723969.37281083735</v>
      </c>
    </row>
    <row r="71" spans="2:67" ht="14.05" customHeight="1" x14ac:dyDescent="0.4">
      <c r="B71" s="114" t="s">
        <v>32</v>
      </c>
      <c r="C71" s="12"/>
      <c r="D71" s="142"/>
      <c r="E71" s="145"/>
      <c r="F71" s="142"/>
      <c r="G71" s="181">
        <f ca="1">-G6+-G8</f>
        <v>0</v>
      </c>
      <c r="H71" s="166">
        <f t="shared" ref="H71:BN71" ca="1" si="100">-H6+-H8</f>
        <v>0</v>
      </c>
      <c r="I71" s="166">
        <f t="shared" si="100"/>
        <v>-25000</v>
      </c>
      <c r="J71" s="166">
        <f t="shared" ca="1" si="100"/>
        <v>0</v>
      </c>
      <c r="K71" s="166">
        <f t="shared" si="100"/>
        <v>0</v>
      </c>
      <c r="L71" s="166">
        <f t="shared" si="100"/>
        <v>-50000</v>
      </c>
      <c r="M71" s="166">
        <f t="shared" ca="1" si="100"/>
        <v>-2532792.9204108389</v>
      </c>
      <c r="N71" s="166">
        <f t="shared" ca="1" si="100"/>
        <v>0</v>
      </c>
      <c r="O71" s="166">
        <f t="shared" ca="1" si="100"/>
        <v>0</v>
      </c>
      <c r="P71" s="166">
        <f t="shared" ca="1" si="100"/>
        <v>0</v>
      </c>
      <c r="Q71" s="166">
        <f t="shared" ca="1" si="100"/>
        <v>0</v>
      </c>
      <c r="R71" s="166">
        <f t="shared" ca="1" si="100"/>
        <v>0</v>
      </c>
      <c r="S71" s="166">
        <f t="shared" ca="1" si="100"/>
        <v>0</v>
      </c>
      <c r="T71" s="166">
        <f t="shared" ca="1" si="100"/>
        <v>0</v>
      </c>
      <c r="U71" s="166">
        <f t="shared" ca="1" si="100"/>
        <v>0</v>
      </c>
      <c r="V71" s="166">
        <f t="shared" ca="1" si="100"/>
        <v>0</v>
      </c>
      <c r="W71" s="166">
        <f t="shared" ca="1" si="100"/>
        <v>0</v>
      </c>
      <c r="X71" s="166">
        <f t="shared" ca="1" si="100"/>
        <v>0</v>
      </c>
      <c r="Y71" s="166">
        <f t="shared" ca="1" si="100"/>
        <v>0</v>
      </c>
      <c r="Z71" s="166">
        <f t="shared" ca="1" si="100"/>
        <v>0</v>
      </c>
      <c r="AA71" s="166">
        <f t="shared" ca="1" si="100"/>
        <v>0</v>
      </c>
      <c r="AB71" s="166">
        <f t="shared" ca="1" si="100"/>
        <v>0</v>
      </c>
      <c r="AC71" s="166">
        <f t="shared" ca="1" si="100"/>
        <v>0</v>
      </c>
      <c r="AD71" s="166">
        <f t="shared" ca="1" si="100"/>
        <v>0</v>
      </c>
      <c r="AE71" s="166">
        <f t="shared" ca="1" si="100"/>
        <v>0</v>
      </c>
      <c r="AF71" s="166">
        <f t="shared" ca="1" si="100"/>
        <v>0</v>
      </c>
      <c r="AG71" s="166">
        <f t="shared" ca="1" si="100"/>
        <v>0</v>
      </c>
      <c r="AH71" s="166">
        <f t="shared" ca="1" si="100"/>
        <v>0</v>
      </c>
      <c r="AI71" s="166">
        <f t="shared" ca="1" si="100"/>
        <v>0</v>
      </c>
      <c r="AJ71" s="166">
        <f t="shared" ca="1" si="100"/>
        <v>0</v>
      </c>
      <c r="AK71" s="166">
        <f t="shared" ca="1" si="100"/>
        <v>0</v>
      </c>
      <c r="AL71" s="166">
        <f t="shared" ca="1" si="100"/>
        <v>0</v>
      </c>
      <c r="AM71" s="166">
        <f t="shared" ca="1" si="100"/>
        <v>0</v>
      </c>
      <c r="AN71" s="166">
        <f t="shared" ca="1" si="100"/>
        <v>0</v>
      </c>
      <c r="AO71" s="166">
        <f t="shared" ca="1" si="100"/>
        <v>0</v>
      </c>
      <c r="AP71" s="166">
        <f t="shared" ca="1" si="100"/>
        <v>0</v>
      </c>
      <c r="AQ71" s="166">
        <f t="shared" ca="1" si="100"/>
        <v>0</v>
      </c>
      <c r="AR71" s="166">
        <f t="shared" ca="1" si="100"/>
        <v>0</v>
      </c>
      <c r="AS71" s="166">
        <f t="shared" ca="1" si="100"/>
        <v>0</v>
      </c>
      <c r="AT71" s="166">
        <f t="shared" ca="1" si="100"/>
        <v>0</v>
      </c>
      <c r="AU71" s="166">
        <f t="shared" ca="1" si="100"/>
        <v>0</v>
      </c>
      <c r="AV71" s="166">
        <f t="shared" ca="1" si="100"/>
        <v>0</v>
      </c>
      <c r="AW71" s="166">
        <f t="shared" ca="1" si="100"/>
        <v>0</v>
      </c>
      <c r="AX71" s="166">
        <f t="shared" ca="1" si="100"/>
        <v>0</v>
      </c>
      <c r="AY71" s="166">
        <f t="shared" ca="1" si="100"/>
        <v>0</v>
      </c>
      <c r="AZ71" s="166">
        <f t="shared" ca="1" si="100"/>
        <v>0</v>
      </c>
      <c r="BA71" s="166">
        <f t="shared" ca="1" si="100"/>
        <v>0</v>
      </c>
      <c r="BB71" s="166">
        <f t="shared" ca="1" si="100"/>
        <v>0</v>
      </c>
      <c r="BC71" s="166">
        <f t="shared" ca="1" si="100"/>
        <v>0</v>
      </c>
      <c r="BD71" s="166">
        <f t="shared" ca="1" si="100"/>
        <v>0</v>
      </c>
      <c r="BE71" s="166">
        <f t="shared" ca="1" si="100"/>
        <v>0</v>
      </c>
      <c r="BF71" s="166">
        <f t="shared" ca="1" si="100"/>
        <v>0</v>
      </c>
      <c r="BG71" s="166">
        <f t="shared" ca="1" si="100"/>
        <v>0</v>
      </c>
      <c r="BH71" s="166">
        <f t="shared" ca="1" si="100"/>
        <v>0</v>
      </c>
      <c r="BI71" s="166">
        <f t="shared" ca="1" si="100"/>
        <v>0</v>
      </c>
      <c r="BJ71" s="166">
        <f t="shared" ca="1" si="100"/>
        <v>0</v>
      </c>
      <c r="BK71" s="166">
        <f t="shared" ca="1" si="100"/>
        <v>0</v>
      </c>
      <c r="BL71" s="166">
        <f t="shared" ca="1" si="100"/>
        <v>0</v>
      </c>
      <c r="BM71" s="166">
        <f t="shared" ca="1" si="100"/>
        <v>0</v>
      </c>
      <c r="BN71" s="166">
        <f t="shared" ca="1" si="100"/>
        <v>0</v>
      </c>
      <c r="BO71" s="167">
        <f ca="1">-BO6+-BO8</f>
        <v>0</v>
      </c>
    </row>
    <row r="72" spans="2:67" ht="14.05" customHeight="1" x14ac:dyDescent="0.4">
      <c r="B72" s="114" t="s">
        <v>29</v>
      </c>
      <c r="C72" s="12"/>
      <c r="D72" s="142"/>
      <c r="E72" s="145"/>
      <c r="F72" s="142"/>
      <c r="G72" s="181">
        <f ca="1">-G48</f>
        <v>0</v>
      </c>
      <c r="H72" s="166">
        <f t="shared" ref="H72:AW72" ca="1" si="101">-H48</f>
        <v>0</v>
      </c>
      <c r="I72" s="166">
        <f t="shared" ca="1" si="101"/>
        <v>0</v>
      </c>
      <c r="J72" s="166">
        <f t="shared" ca="1" si="101"/>
        <v>0</v>
      </c>
      <c r="K72" s="166">
        <f t="shared" ca="1" si="101"/>
        <v>0</v>
      </c>
      <c r="L72" s="166">
        <f t="shared" ca="1" si="101"/>
        <v>0</v>
      </c>
      <c r="M72" s="166">
        <f t="shared" ca="1" si="101"/>
        <v>0</v>
      </c>
      <c r="N72" s="166">
        <f t="shared" ca="1" si="101"/>
        <v>0</v>
      </c>
      <c r="O72" s="166">
        <f t="shared" ca="1" si="101"/>
        <v>0</v>
      </c>
      <c r="P72" s="166">
        <f t="shared" ca="1" si="101"/>
        <v>0</v>
      </c>
      <c r="Q72" s="166">
        <f t="shared" ca="1" si="101"/>
        <v>0</v>
      </c>
      <c r="R72" s="166">
        <f t="shared" ca="1" si="101"/>
        <v>0</v>
      </c>
      <c r="S72" s="166">
        <f t="shared" ca="1" si="101"/>
        <v>0</v>
      </c>
      <c r="T72" s="166">
        <f t="shared" ca="1" si="101"/>
        <v>0</v>
      </c>
      <c r="U72" s="166">
        <f t="shared" ca="1" si="101"/>
        <v>0</v>
      </c>
      <c r="V72" s="166">
        <f t="shared" ca="1" si="101"/>
        <v>0</v>
      </c>
      <c r="W72" s="166">
        <f t="shared" ca="1" si="101"/>
        <v>0</v>
      </c>
      <c r="X72" s="166">
        <f t="shared" ca="1" si="101"/>
        <v>0</v>
      </c>
      <c r="Y72" s="166">
        <f t="shared" ca="1" si="101"/>
        <v>0</v>
      </c>
      <c r="Z72" s="166">
        <f t="shared" ca="1" si="101"/>
        <v>0</v>
      </c>
      <c r="AA72" s="166">
        <f t="shared" ca="1" si="101"/>
        <v>0</v>
      </c>
      <c r="AB72" s="166">
        <f t="shared" ca="1" si="101"/>
        <v>0</v>
      </c>
      <c r="AC72" s="166">
        <f t="shared" ca="1" si="101"/>
        <v>0</v>
      </c>
      <c r="AD72" s="166">
        <f t="shared" ca="1" si="101"/>
        <v>0</v>
      </c>
      <c r="AE72" s="166">
        <f t="shared" ca="1" si="101"/>
        <v>0</v>
      </c>
      <c r="AF72" s="166">
        <f t="shared" ca="1" si="101"/>
        <v>0</v>
      </c>
      <c r="AG72" s="166">
        <f t="shared" ca="1" si="101"/>
        <v>0</v>
      </c>
      <c r="AH72" s="166">
        <f t="shared" ca="1" si="101"/>
        <v>0</v>
      </c>
      <c r="AI72" s="166">
        <f t="shared" ca="1" si="101"/>
        <v>0</v>
      </c>
      <c r="AJ72" s="166">
        <f t="shared" ca="1" si="101"/>
        <v>0</v>
      </c>
      <c r="AK72" s="166">
        <f t="shared" ca="1" si="101"/>
        <v>0</v>
      </c>
      <c r="AL72" s="166">
        <f t="shared" ca="1" si="101"/>
        <v>0</v>
      </c>
      <c r="AM72" s="166">
        <f t="shared" ca="1" si="101"/>
        <v>0</v>
      </c>
      <c r="AN72" s="166">
        <f t="shared" ca="1" si="101"/>
        <v>0</v>
      </c>
      <c r="AO72" s="166">
        <f t="shared" ca="1" si="101"/>
        <v>0</v>
      </c>
      <c r="AP72" s="166">
        <f t="shared" ca="1" si="101"/>
        <v>0</v>
      </c>
      <c r="AQ72" s="166">
        <f t="shared" ca="1" si="101"/>
        <v>0</v>
      </c>
      <c r="AR72" s="166">
        <f t="shared" ca="1" si="101"/>
        <v>0</v>
      </c>
      <c r="AS72" s="166">
        <f t="shared" ca="1" si="101"/>
        <v>0</v>
      </c>
      <c r="AT72" s="166">
        <f t="shared" ca="1" si="101"/>
        <v>0</v>
      </c>
      <c r="AU72" s="166">
        <f t="shared" ca="1" si="101"/>
        <v>0</v>
      </c>
      <c r="AV72" s="166">
        <f t="shared" ca="1" si="101"/>
        <v>0</v>
      </c>
      <c r="AW72" s="166">
        <f t="shared" ca="1" si="101"/>
        <v>728823.54760000168</v>
      </c>
      <c r="AX72" s="166">
        <f t="shared" ref="AX72:BO72" ca="1" si="102">-AX48</f>
        <v>0</v>
      </c>
      <c r="AY72" s="166">
        <f t="shared" ca="1" si="102"/>
        <v>0</v>
      </c>
      <c r="AZ72" s="166">
        <f t="shared" ca="1" si="102"/>
        <v>885000</v>
      </c>
      <c r="BA72" s="166">
        <f t="shared" ca="1" si="102"/>
        <v>0</v>
      </c>
      <c r="BB72" s="166">
        <f t="shared" ca="1" si="102"/>
        <v>0</v>
      </c>
      <c r="BC72" s="166">
        <f t="shared" ca="1" si="102"/>
        <v>270000</v>
      </c>
      <c r="BD72" s="166">
        <f t="shared" ca="1" si="102"/>
        <v>0</v>
      </c>
      <c r="BE72" s="166">
        <f t="shared" ca="1" si="102"/>
        <v>0</v>
      </c>
      <c r="BF72" s="166">
        <f t="shared" ca="1" si="102"/>
        <v>0</v>
      </c>
      <c r="BG72" s="166">
        <f t="shared" ca="1" si="102"/>
        <v>0</v>
      </c>
      <c r="BH72" s="166">
        <f t="shared" ca="1" si="102"/>
        <v>0</v>
      </c>
      <c r="BI72" s="166">
        <f t="shared" ca="1" si="102"/>
        <v>0</v>
      </c>
      <c r="BJ72" s="166">
        <f t="shared" ca="1" si="102"/>
        <v>0</v>
      </c>
      <c r="BK72" s="166">
        <f t="shared" ca="1" si="102"/>
        <v>0</v>
      </c>
      <c r="BL72" s="166">
        <f t="shared" ca="1" si="102"/>
        <v>0</v>
      </c>
      <c r="BM72" s="166">
        <f t="shared" ca="1" si="102"/>
        <v>0</v>
      </c>
      <c r="BN72" s="166">
        <f t="shared" ca="1" si="102"/>
        <v>0</v>
      </c>
      <c r="BO72" s="167">
        <f t="shared" ca="1" si="102"/>
        <v>723969.37281083735</v>
      </c>
    </row>
    <row r="73" spans="2:67" ht="14.05" customHeight="1" x14ac:dyDescent="0.4">
      <c r="B73" s="114" t="s">
        <v>19</v>
      </c>
      <c r="C73" s="12"/>
      <c r="D73" s="142"/>
      <c r="E73" s="145"/>
      <c r="F73" s="142"/>
      <c r="G73" s="182">
        <f ca="1">SUM(G71:G72)</f>
        <v>0</v>
      </c>
      <c r="H73" s="52">
        <f t="shared" ref="H73:X73" ca="1" si="103">SUM(H70:H72)</f>
        <v>0</v>
      </c>
      <c r="I73" s="52">
        <f t="shared" ca="1" si="103"/>
        <v>-25000</v>
      </c>
      <c r="J73" s="52">
        <f t="shared" ca="1" si="103"/>
        <v>-25000</v>
      </c>
      <c r="K73" s="52">
        <f t="shared" ca="1" si="103"/>
        <v>-25000</v>
      </c>
      <c r="L73" s="52">
        <f t="shared" ca="1" si="103"/>
        <v>-75000</v>
      </c>
      <c r="M73" s="52">
        <f t="shared" ca="1" si="103"/>
        <v>-2607792.9204108389</v>
      </c>
      <c r="N73" s="52">
        <f t="shared" ca="1" si="103"/>
        <v>-2607792.9204108389</v>
      </c>
      <c r="O73" s="52">
        <f t="shared" ca="1" si="103"/>
        <v>-2607792.9204108389</v>
      </c>
      <c r="P73" s="52">
        <f t="shared" ca="1" si="103"/>
        <v>-2607792.9204108389</v>
      </c>
      <c r="Q73" s="52">
        <f t="shared" ca="1" si="103"/>
        <v>-2607792.9204108389</v>
      </c>
      <c r="R73" s="52">
        <f t="shared" ca="1" si="103"/>
        <v>-2607792.9204108389</v>
      </c>
      <c r="S73" s="52">
        <f t="shared" ca="1" si="103"/>
        <v>-2607792.9204108389</v>
      </c>
      <c r="T73" s="52">
        <f t="shared" ca="1" si="103"/>
        <v>-2607792.9204108389</v>
      </c>
      <c r="U73" s="52">
        <f t="shared" ca="1" si="103"/>
        <v>-2607792.9204108389</v>
      </c>
      <c r="V73" s="52">
        <f t="shared" ca="1" si="103"/>
        <v>-2607792.9204108389</v>
      </c>
      <c r="W73" s="52">
        <f t="shared" ca="1" si="103"/>
        <v>-2607792.9204108389</v>
      </c>
      <c r="X73" s="52">
        <f t="shared" ca="1" si="103"/>
        <v>-2607792.9204108389</v>
      </c>
      <c r="Y73" s="52">
        <f ca="1">SUM(Y70:Y72)</f>
        <v>-2607792.9204108389</v>
      </c>
      <c r="Z73" s="52">
        <f ca="1">SUM(Z70:Z72)</f>
        <v>-2607792.9204108389</v>
      </c>
      <c r="AA73" s="52">
        <f ca="1">SUM(AA70:AA72)</f>
        <v>-2607792.9204108389</v>
      </c>
      <c r="AB73" s="52">
        <f t="shared" ref="AB73:AW73" ca="1" si="104">SUM(AB70:AB72)</f>
        <v>-2607792.9204108389</v>
      </c>
      <c r="AC73" s="52">
        <f t="shared" ca="1" si="104"/>
        <v>-2607792.9204108389</v>
      </c>
      <c r="AD73" s="52">
        <f t="shared" ca="1" si="104"/>
        <v>-2607792.9204108389</v>
      </c>
      <c r="AE73" s="52">
        <f t="shared" ca="1" si="104"/>
        <v>-2607792.9204108389</v>
      </c>
      <c r="AF73" s="52">
        <f t="shared" ca="1" si="104"/>
        <v>-2607792.9204108389</v>
      </c>
      <c r="AG73" s="52">
        <f t="shared" ca="1" si="104"/>
        <v>-2607792.9204108389</v>
      </c>
      <c r="AH73" s="52">
        <f t="shared" ca="1" si="104"/>
        <v>-2607792.9204108389</v>
      </c>
      <c r="AI73" s="52">
        <f t="shared" ca="1" si="104"/>
        <v>-2607792.9204108389</v>
      </c>
      <c r="AJ73" s="52">
        <f t="shared" ca="1" si="104"/>
        <v>-2607792.9204108389</v>
      </c>
      <c r="AK73" s="52">
        <f t="shared" ca="1" si="104"/>
        <v>-2607792.9204108389</v>
      </c>
      <c r="AL73" s="52">
        <f t="shared" ca="1" si="104"/>
        <v>-2607792.9204108389</v>
      </c>
      <c r="AM73" s="52">
        <f t="shared" ca="1" si="104"/>
        <v>-2607792.9204108389</v>
      </c>
      <c r="AN73" s="52">
        <f t="shared" ca="1" si="104"/>
        <v>-2607792.9204108389</v>
      </c>
      <c r="AO73" s="52">
        <f t="shared" ca="1" si="104"/>
        <v>-2607792.9204108389</v>
      </c>
      <c r="AP73" s="52">
        <f t="shared" ca="1" si="104"/>
        <v>-2607792.9204108389</v>
      </c>
      <c r="AQ73" s="52">
        <f t="shared" ca="1" si="104"/>
        <v>-2607792.9204108389</v>
      </c>
      <c r="AR73" s="52">
        <f t="shared" ca="1" si="104"/>
        <v>-2607792.9204108389</v>
      </c>
      <c r="AS73" s="52">
        <f t="shared" ca="1" si="104"/>
        <v>-2607792.9204108389</v>
      </c>
      <c r="AT73" s="52">
        <f t="shared" ca="1" si="104"/>
        <v>-2607792.9204108389</v>
      </c>
      <c r="AU73" s="52">
        <f t="shared" ca="1" si="104"/>
        <v>-2607792.9204108389</v>
      </c>
      <c r="AV73" s="52">
        <f t="shared" ca="1" si="104"/>
        <v>-2607792.9204108389</v>
      </c>
      <c r="AW73" s="52">
        <f t="shared" ca="1" si="104"/>
        <v>-1878969.3728108373</v>
      </c>
      <c r="AX73" s="52">
        <f t="shared" ref="AX73:BO73" ca="1" si="105">SUM(AX70:AX72)</f>
        <v>-1878969.3728108373</v>
      </c>
      <c r="AY73" s="52">
        <f t="shared" ca="1" si="105"/>
        <v>-1878969.3728108373</v>
      </c>
      <c r="AZ73" s="52">
        <f t="shared" ca="1" si="105"/>
        <v>-993969.37281083735</v>
      </c>
      <c r="BA73" s="52">
        <f t="shared" ca="1" si="105"/>
        <v>-993969.37281083735</v>
      </c>
      <c r="BB73" s="52">
        <f t="shared" ca="1" si="105"/>
        <v>-993969.37281083735</v>
      </c>
      <c r="BC73" s="52">
        <f t="shared" ca="1" si="105"/>
        <v>-723969.37281083735</v>
      </c>
      <c r="BD73" s="52">
        <f t="shared" ca="1" si="105"/>
        <v>-723969.37281083735</v>
      </c>
      <c r="BE73" s="52">
        <f t="shared" ca="1" si="105"/>
        <v>-723969.37281083735</v>
      </c>
      <c r="BF73" s="52">
        <f t="shared" ca="1" si="105"/>
        <v>-723969.37281083735</v>
      </c>
      <c r="BG73" s="52">
        <f t="shared" ca="1" si="105"/>
        <v>-723969.37281083735</v>
      </c>
      <c r="BH73" s="52">
        <f t="shared" ca="1" si="105"/>
        <v>-723969.37281083735</v>
      </c>
      <c r="BI73" s="52">
        <f t="shared" ca="1" si="105"/>
        <v>-723969.37281083735</v>
      </c>
      <c r="BJ73" s="52">
        <f t="shared" ca="1" si="105"/>
        <v>-723969.37281083735</v>
      </c>
      <c r="BK73" s="52">
        <f t="shared" ca="1" si="105"/>
        <v>-723969.37281083735</v>
      </c>
      <c r="BL73" s="52">
        <f t="shared" ca="1" si="105"/>
        <v>-723969.37281083735</v>
      </c>
      <c r="BM73" s="52">
        <f t="shared" ca="1" si="105"/>
        <v>-723969.37281083735</v>
      </c>
      <c r="BN73" s="52">
        <f t="shared" ca="1" si="105"/>
        <v>-723969.37281083735</v>
      </c>
      <c r="BO73" s="53">
        <f t="shared" ca="1" si="105"/>
        <v>0</v>
      </c>
    </row>
    <row r="74" spans="2:67" ht="14.05" customHeight="1" x14ac:dyDescent="0.4">
      <c r="B74" s="4"/>
      <c r="C74" s="12"/>
      <c r="D74" s="142"/>
      <c r="E74" s="145"/>
      <c r="F74" s="142"/>
      <c r="G74" s="134"/>
      <c r="H74" s="165"/>
      <c r="I74" s="142"/>
      <c r="J74" s="142"/>
      <c r="K74" s="142"/>
      <c r="L74" s="142"/>
      <c r="M74" s="142"/>
      <c r="N74" s="153"/>
      <c r="O74" s="153"/>
      <c r="P74" s="153"/>
      <c r="Q74" s="153"/>
      <c r="R74" s="153"/>
      <c r="S74" s="153"/>
      <c r="T74" s="153"/>
      <c r="U74" s="153"/>
      <c r="V74" s="153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4"/>
      <c r="BI74" s="164"/>
      <c r="BJ74" s="164"/>
      <c r="BK74" s="164"/>
      <c r="BL74" s="164"/>
      <c r="BM74" s="164"/>
      <c r="BN74" s="164"/>
      <c r="BO74" s="136"/>
    </row>
    <row r="75" spans="2:67" ht="14.05" customHeight="1" thickBot="1" x14ac:dyDescent="0.45">
      <c r="B75" s="4" t="s">
        <v>108</v>
      </c>
      <c r="C75" s="12"/>
      <c r="D75" s="142"/>
      <c r="E75" s="145"/>
      <c r="F75" s="142"/>
      <c r="G75" s="183">
        <f ca="1">G71-(SUM(G48:G49))</f>
        <v>0</v>
      </c>
      <c r="H75" s="56">
        <f t="shared" ref="H75:AW75" ca="1" si="106">H71-(SUM(H48:H49))</f>
        <v>0</v>
      </c>
      <c r="I75" s="56">
        <f t="shared" ca="1" si="106"/>
        <v>-25000</v>
      </c>
      <c r="J75" s="56">
        <f t="shared" ca="1" si="106"/>
        <v>0</v>
      </c>
      <c r="K75" s="56">
        <f t="shared" ca="1" si="106"/>
        <v>0</v>
      </c>
      <c r="L75" s="56">
        <f t="shared" ca="1" si="106"/>
        <v>-50000</v>
      </c>
      <c r="M75" s="56">
        <f t="shared" ca="1" si="106"/>
        <v>-2532792.9204108389</v>
      </c>
      <c r="N75" s="56">
        <f t="shared" ca="1" si="106"/>
        <v>0</v>
      </c>
      <c r="O75" s="56">
        <f t="shared" ca="1" si="106"/>
        <v>0</v>
      </c>
      <c r="P75" s="56">
        <f t="shared" ca="1" si="106"/>
        <v>0</v>
      </c>
      <c r="Q75" s="56">
        <f t="shared" ca="1" si="106"/>
        <v>0</v>
      </c>
      <c r="R75" s="56">
        <f t="shared" ca="1" si="106"/>
        <v>0</v>
      </c>
      <c r="S75" s="56">
        <f t="shared" ca="1" si="106"/>
        <v>0</v>
      </c>
      <c r="T75" s="56">
        <f t="shared" ca="1" si="106"/>
        <v>0</v>
      </c>
      <c r="U75" s="56">
        <f t="shared" ca="1" si="106"/>
        <v>0</v>
      </c>
      <c r="V75" s="56">
        <f t="shared" ca="1" si="106"/>
        <v>0</v>
      </c>
      <c r="W75" s="56">
        <f t="shared" ca="1" si="106"/>
        <v>0</v>
      </c>
      <c r="X75" s="56">
        <f t="shared" ca="1" si="106"/>
        <v>0</v>
      </c>
      <c r="Y75" s="56">
        <f t="shared" ca="1" si="106"/>
        <v>0</v>
      </c>
      <c r="Z75" s="56">
        <f t="shared" ca="1" si="106"/>
        <v>0</v>
      </c>
      <c r="AA75" s="56">
        <f t="shared" ca="1" si="106"/>
        <v>0</v>
      </c>
      <c r="AB75" s="56">
        <f t="shared" ca="1" si="106"/>
        <v>0</v>
      </c>
      <c r="AC75" s="56">
        <f t="shared" ca="1" si="106"/>
        <v>0</v>
      </c>
      <c r="AD75" s="56">
        <f t="shared" ca="1" si="106"/>
        <v>0</v>
      </c>
      <c r="AE75" s="56">
        <f t="shared" ca="1" si="106"/>
        <v>0</v>
      </c>
      <c r="AF75" s="56">
        <f t="shared" ca="1" si="106"/>
        <v>0</v>
      </c>
      <c r="AG75" s="56">
        <f t="shared" ca="1" si="106"/>
        <v>0</v>
      </c>
      <c r="AH75" s="56">
        <f t="shared" ca="1" si="106"/>
        <v>0</v>
      </c>
      <c r="AI75" s="56">
        <f t="shared" ca="1" si="106"/>
        <v>0</v>
      </c>
      <c r="AJ75" s="56">
        <f t="shared" ca="1" si="106"/>
        <v>0</v>
      </c>
      <c r="AK75" s="56">
        <f t="shared" ca="1" si="106"/>
        <v>0</v>
      </c>
      <c r="AL75" s="56">
        <f t="shared" ca="1" si="106"/>
        <v>0</v>
      </c>
      <c r="AM75" s="56">
        <f t="shared" ca="1" si="106"/>
        <v>0</v>
      </c>
      <c r="AN75" s="56">
        <f t="shared" ca="1" si="106"/>
        <v>0</v>
      </c>
      <c r="AO75" s="56">
        <f t="shared" ca="1" si="106"/>
        <v>0</v>
      </c>
      <c r="AP75" s="56">
        <f t="shared" ca="1" si="106"/>
        <v>0</v>
      </c>
      <c r="AQ75" s="56">
        <f t="shared" ca="1" si="106"/>
        <v>0</v>
      </c>
      <c r="AR75" s="56">
        <f t="shared" ca="1" si="106"/>
        <v>0</v>
      </c>
      <c r="AS75" s="56">
        <f t="shared" ca="1" si="106"/>
        <v>0</v>
      </c>
      <c r="AT75" s="56">
        <f t="shared" ca="1" si="106"/>
        <v>0</v>
      </c>
      <c r="AU75" s="56">
        <f t="shared" ca="1" si="106"/>
        <v>0</v>
      </c>
      <c r="AV75" s="56">
        <f t="shared" ca="1" si="106"/>
        <v>0</v>
      </c>
      <c r="AW75" s="56">
        <f t="shared" ca="1" si="106"/>
        <v>728823.54760000168</v>
      </c>
      <c r="AX75" s="56">
        <f t="shared" ref="AX75:BO75" ca="1" si="107">AX71-(SUM(AX48:AX49))</f>
        <v>0</v>
      </c>
      <c r="AY75" s="56">
        <f t="shared" ca="1" si="107"/>
        <v>0</v>
      </c>
      <c r="AZ75" s="56">
        <f t="shared" ca="1" si="107"/>
        <v>885000</v>
      </c>
      <c r="BA75" s="56">
        <f t="shared" ca="1" si="107"/>
        <v>0</v>
      </c>
      <c r="BB75" s="56">
        <f t="shared" ca="1" si="107"/>
        <v>0</v>
      </c>
      <c r="BC75" s="56">
        <f t="shared" ca="1" si="107"/>
        <v>270000</v>
      </c>
      <c r="BD75" s="56">
        <f t="shared" ca="1" si="107"/>
        <v>0</v>
      </c>
      <c r="BE75" s="56">
        <f t="shared" ca="1" si="107"/>
        <v>0</v>
      </c>
      <c r="BF75" s="56">
        <f t="shared" ca="1" si="107"/>
        <v>0</v>
      </c>
      <c r="BG75" s="56">
        <f t="shared" ca="1" si="107"/>
        <v>0</v>
      </c>
      <c r="BH75" s="56">
        <f t="shared" ca="1" si="107"/>
        <v>0</v>
      </c>
      <c r="BI75" s="56">
        <f t="shared" ca="1" si="107"/>
        <v>0</v>
      </c>
      <c r="BJ75" s="56">
        <f t="shared" ca="1" si="107"/>
        <v>0</v>
      </c>
      <c r="BK75" s="56">
        <f t="shared" ca="1" si="107"/>
        <v>0</v>
      </c>
      <c r="BL75" s="56">
        <f t="shared" ca="1" si="107"/>
        <v>0</v>
      </c>
      <c r="BM75" s="56">
        <f t="shared" ca="1" si="107"/>
        <v>0</v>
      </c>
      <c r="BN75" s="56">
        <f t="shared" ca="1" si="107"/>
        <v>0</v>
      </c>
      <c r="BO75" s="168">
        <f t="shared" ca="1" si="107"/>
        <v>2390949.5</v>
      </c>
    </row>
    <row r="76" spans="2:67" ht="14.05" customHeight="1" thickTop="1" x14ac:dyDescent="0.4">
      <c r="B76" s="4"/>
      <c r="C76" s="12"/>
      <c r="D76" s="143"/>
      <c r="E76" s="13"/>
      <c r="F76" s="143"/>
      <c r="G76" s="169"/>
      <c r="H76" s="170"/>
      <c r="I76" s="143"/>
      <c r="J76" s="143"/>
      <c r="K76" s="143"/>
      <c r="L76" s="143"/>
      <c r="M76" s="143"/>
      <c r="N76" s="169"/>
      <c r="O76" s="169"/>
      <c r="P76" s="169"/>
      <c r="Q76" s="169"/>
      <c r="R76" s="169"/>
      <c r="S76" s="169"/>
      <c r="T76" s="169"/>
      <c r="U76" s="169"/>
      <c r="V76" s="169"/>
      <c r="BO76" s="2"/>
    </row>
    <row r="77" spans="2:67" ht="14.05" customHeight="1" x14ac:dyDescent="0.4">
      <c r="B77" s="116"/>
      <c r="C77" s="12"/>
      <c r="D77" s="143"/>
      <c r="E77" s="13"/>
      <c r="F77" s="143"/>
      <c r="G77" s="59" t="s">
        <v>22</v>
      </c>
      <c r="H77" s="60">
        <f ca="1">IRR(G75:BO75,5)*12</f>
        <v>0.12741946408966065</v>
      </c>
      <c r="I77" s="171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BO77" s="2"/>
    </row>
    <row r="78" spans="2:67" ht="14.05" customHeight="1" x14ac:dyDescent="0.4">
      <c r="B78" s="172"/>
      <c r="C78" s="173"/>
      <c r="D78" s="174"/>
      <c r="E78" s="175"/>
      <c r="F78" s="174"/>
      <c r="G78" s="28" t="s">
        <v>110</v>
      </c>
      <c r="H78" s="29">
        <f ca="1">XIRR(I75:BO75,I3:BO3)</f>
        <v>0.13492122292518618</v>
      </c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8"/>
    </row>
    <row r="79" spans="2:67" x14ac:dyDescent="0.4">
      <c r="U79" s="40"/>
    </row>
    <row r="80" spans="2:67" x14ac:dyDescent="0.4">
      <c r="U80" s="40"/>
    </row>
    <row r="81" spans="21:21" x14ac:dyDescent="0.4">
      <c r="U81" s="40"/>
    </row>
  </sheetData>
  <phoneticPr fontId="23" type="noConversion"/>
  <pageMargins left="0.75" right="0.75" top="1" bottom="1" header="0.5" footer="0.5"/>
  <pageSetup scale="13" fitToWidth="2" orientation="landscape" r:id="rId1"/>
  <headerFooter alignWithMargins="0">
    <oddFooter>&amp;L&amp;F&amp;CPage &amp;P of &amp;N&amp;R&amp;A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O19"/>
  <sheetViews>
    <sheetView zoomScale="130" zoomScaleNormal="130" zoomScaleSheetLayoutView="115" workbookViewId="0">
      <pane xSplit="5" ySplit="5" topLeftCell="F11" activePane="bottomRight" state="frozen"/>
      <selection activeCell="L1" sqref="L1"/>
      <selection pane="topRight" activeCell="L1" sqref="L1"/>
      <selection pane="bottomLeft" activeCell="L1" sqref="L1"/>
      <selection pane="bottomRight" activeCell="L1" sqref="L1"/>
    </sheetView>
  </sheetViews>
  <sheetFormatPr defaultColWidth="10.33203125" defaultRowHeight="12.3" x14ac:dyDescent="0.4"/>
  <cols>
    <col min="1" max="1" width="3.609375" customWidth="1"/>
    <col min="2" max="2" width="44.83203125" style="27" customWidth="1"/>
    <col min="3" max="3" width="1.5" style="27" customWidth="1"/>
    <col min="4" max="4" width="12" style="27" customWidth="1"/>
    <col min="5" max="5" width="1.5" style="27" customWidth="1"/>
    <col min="6" max="10" width="10.33203125" style="27" customWidth="1"/>
    <col min="11" max="11" width="11.88671875" style="27" bestFit="1" customWidth="1"/>
    <col min="12" max="16" width="10.33203125" style="27" customWidth="1"/>
    <col min="17" max="17" width="11" style="27" bestFit="1" customWidth="1"/>
    <col min="18" max="18" width="10.33203125" style="27" customWidth="1"/>
    <col min="19" max="19" width="11" style="27" bestFit="1" customWidth="1"/>
    <col min="20" max="20" width="11.1640625" bestFit="1" customWidth="1"/>
    <col min="21" max="21" width="11" bestFit="1" customWidth="1"/>
    <col min="22" max="22" width="10.33203125" customWidth="1"/>
    <col min="23" max="23" width="11" bestFit="1" customWidth="1"/>
    <col min="24" max="25" width="10.33203125" customWidth="1"/>
    <col min="26" max="26" width="11.1640625" bestFit="1" customWidth="1"/>
    <col min="47" max="47" width="11.88671875" bestFit="1" customWidth="1"/>
  </cols>
  <sheetData>
    <row r="1" spans="2:67" ht="14.05" customHeight="1" x14ac:dyDescent="0.4">
      <c r="B1" s="117" t="s">
        <v>20</v>
      </c>
      <c r="C1" s="25"/>
      <c r="D1" s="26"/>
      <c r="E1" s="191"/>
      <c r="F1" s="223"/>
      <c r="G1" s="224">
        <f>IF(AND(G10&lt;&gt;0,-G10&gt;F12),1,0)</f>
        <v>0</v>
      </c>
      <c r="H1" s="224">
        <f t="shared" ref="H1:AW1" ca="1" si="0">IF(AND(H10&lt;&gt;0,-H10&gt;G12),1,0)</f>
        <v>0</v>
      </c>
      <c r="I1" s="224">
        <f t="shared" ca="1" si="0"/>
        <v>0</v>
      </c>
      <c r="J1" s="224">
        <f t="shared" ca="1" si="0"/>
        <v>0</v>
      </c>
      <c r="K1" s="224">
        <f t="shared" ca="1" si="0"/>
        <v>0</v>
      </c>
      <c r="L1" s="224">
        <f t="shared" ca="1" si="0"/>
        <v>0</v>
      </c>
      <c r="M1" s="224">
        <f t="shared" ca="1" si="0"/>
        <v>0</v>
      </c>
      <c r="N1" s="224">
        <f t="shared" ca="1" si="0"/>
        <v>0</v>
      </c>
      <c r="O1" s="224">
        <f t="shared" ca="1" si="0"/>
        <v>0</v>
      </c>
      <c r="P1" s="224">
        <f t="shared" ca="1" si="0"/>
        <v>0</v>
      </c>
      <c r="Q1" s="224">
        <f t="shared" ca="1" si="0"/>
        <v>0</v>
      </c>
      <c r="R1" s="224">
        <f t="shared" ca="1" si="0"/>
        <v>0</v>
      </c>
      <c r="S1" s="224">
        <f t="shared" ca="1" si="0"/>
        <v>0</v>
      </c>
      <c r="T1" s="224">
        <f t="shared" ca="1" si="0"/>
        <v>0</v>
      </c>
      <c r="U1" s="224">
        <f t="shared" ca="1" si="0"/>
        <v>0</v>
      </c>
      <c r="V1" s="224">
        <f t="shared" ca="1" si="0"/>
        <v>0</v>
      </c>
      <c r="W1" s="224">
        <f t="shared" ca="1" si="0"/>
        <v>0</v>
      </c>
      <c r="X1" s="224">
        <f t="shared" ca="1" si="0"/>
        <v>0</v>
      </c>
      <c r="Y1" s="224">
        <f t="shared" ca="1" si="0"/>
        <v>0</v>
      </c>
      <c r="Z1" s="224">
        <f t="shared" ca="1" si="0"/>
        <v>0</v>
      </c>
      <c r="AA1" s="224">
        <f t="shared" ca="1" si="0"/>
        <v>0</v>
      </c>
      <c r="AB1" s="224">
        <f t="shared" ca="1" si="0"/>
        <v>0</v>
      </c>
      <c r="AC1" s="224">
        <f t="shared" ca="1" si="0"/>
        <v>0</v>
      </c>
      <c r="AD1" s="224">
        <f t="shared" ca="1" si="0"/>
        <v>0</v>
      </c>
      <c r="AE1" s="224">
        <f t="shared" ca="1" si="0"/>
        <v>0</v>
      </c>
      <c r="AF1" s="224">
        <f t="shared" ca="1" si="0"/>
        <v>0</v>
      </c>
      <c r="AG1" s="224">
        <f t="shared" ca="1" si="0"/>
        <v>0</v>
      </c>
      <c r="AH1" s="224">
        <f t="shared" ca="1" si="0"/>
        <v>0</v>
      </c>
      <c r="AI1" s="224">
        <f t="shared" ca="1" si="0"/>
        <v>0</v>
      </c>
      <c r="AJ1" s="224">
        <f t="shared" ca="1" si="0"/>
        <v>0</v>
      </c>
      <c r="AK1" s="224">
        <f t="shared" ca="1" si="0"/>
        <v>0</v>
      </c>
      <c r="AL1" s="224">
        <f t="shared" ca="1" si="0"/>
        <v>0</v>
      </c>
      <c r="AM1" s="224">
        <f t="shared" ca="1" si="0"/>
        <v>0</v>
      </c>
      <c r="AN1" s="224">
        <f t="shared" ca="1" si="0"/>
        <v>0</v>
      </c>
      <c r="AO1" s="224">
        <f t="shared" ca="1" si="0"/>
        <v>0</v>
      </c>
      <c r="AP1" s="224">
        <f t="shared" ca="1" si="0"/>
        <v>0</v>
      </c>
      <c r="AQ1" s="224">
        <f t="shared" ca="1" si="0"/>
        <v>0</v>
      </c>
      <c r="AR1" s="224">
        <f t="shared" ca="1" si="0"/>
        <v>0</v>
      </c>
      <c r="AS1" s="224">
        <f t="shared" ca="1" si="0"/>
        <v>0</v>
      </c>
      <c r="AT1" s="224">
        <f t="shared" ca="1" si="0"/>
        <v>0</v>
      </c>
      <c r="AU1" s="224">
        <f t="shared" ca="1" si="0"/>
        <v>0</v>
      </c>
      <c r="AV1" s="224">
        <f t="shared" ca="1" si="0"/>
        <v>0</v>
      </c>
      <c r="AW1" s="224">
        <f t="shared" ca="1" si="0"/>
        <v>1</v>
      </c>
      <c r="AX1" s="224">
        <f t="shared" ref="AX1" ca="1" si="1">IF(AND(AX10&lt;&gt;0,-AX10&gt;AW12),1,0)</f>
        <v>0</v>
      </c>
      <c r="AY1" s="224">
        <f t="shared" ref="AY1" ca="1" si="2">IF(AND(AY10&lt;&gt;0,-AY10&gt;AX12),1,0)</f>
        <v>0</v>
      </c>
      <c r="AZ1" s="224">
        <f ca="1">IF(AND(AZ10&lt;&gt;0,-AZ10&gt;AY12),1,0)</f>
        <v>0</v>
      </c>
      <c r="BA1" s="224">
        <f ca="1">IF(AND(BA10&lt;&gt;0,-BA10&gt;AZ12),1,0)</f>
        <v>0</v>
      </c>
      <c r="BB1" s="224">
        <f t="shared" ref="BB1" ca="1" si="3">IF(AND(BB10&lt;&gt;0,-BB10&gt;BA12),1,0)</f>
        <v>0</v>
      </c>
      <c r="BC1" s="224">
        <f t="shared" ref="BC1" ca="1" si="4">IF(AND(BC10&lt;&gt;0,-BC10&gt;BB12),1,0)</f>
        <v>0</v>
      </c>
      <c r="BD1" s="224">
        <f t="shared" ref="BD1" ca="1" si="5">IF(AND(BD10&lt;&gt;0,-BD10&gt;BC12),1,0)</f>
        <v>0</v>
      </c>
      <c r="BE1" s="224">
        <f t="shared" ref="BE1" ca="1" si="6">IF(AND(BE10&lt;&gt;0,-BE10&gt;BD12),1,0)</f>
        <v>0</v>
      </c>
      <c r="BF1" s="224">
        <f t="shared" ref="BF1" ca="1" si="7">IF(AND(BF10&lt;&gt;0,-BF10&gt;BE12),1,0)</f>
        <v>0</v>
      </c>
      <c r="BG1" s="224">
        <f t="shared" ref="BG1" ca="1" si="8">IF(AND(BG10&lt;&gt;0,-BG10&gt;BF12),1,0)</f>
        <v>0</v>
      </c>
      <c r="BH1" s="224">
        <f t="shared" ref="BH1" ca="1" si="9">IF(AND(BH10&lt;&gt;0,-BH10&gt;BG12),1,0)</f>
        <v>0</v>
      </c>
      <c r="BI1" s="224">
        <f t="shared" ref="BI1" ca="1" si="10">IF(AND(BI10&lt;&gt;0,-BI10&gt;BH12),1,0)</f>
        <v>0</v>
      </c>
      <c r="BJ1" s="224">
        <f t="shared" ref="BJ1" ca="1" si="11">IF(AND(BJ10&lt;&gt;0,-BJ10&gt;BI12),1,0)</f>
        <v>0</v>
      </c>
      <c r="BK1" s="224">
        <f t="shared" ref="BK1" ca="1" si="12">IF(AND(BK10&lt;&gt;0,-BK10&gt;BJ12),1,0)</f>
        <v>0</v>
      </c>
      <c r="BL1" s="224">
        <f t="shared" ref="BL1" ca="1" si="13">IF(AND(BL10&lt;&gt;0,-BL10&gt;BK12),1,0)</f>
        <v>0</v>
      </c>
      <c r="BM1" s="224">
        <f t="shared" ref="BM1" ca="1" si="14">IF(AND(BM10&lt;&gt;0,-BM10&gt;BL12),1,0)</f>
        <v>0</v>
      </c>
      <c r="BN1" s="224">
        <f t="shared" ref="BN1" ca="1" si="15">IF(AND(BN10&lt;&gt;0,-BN10&gt;BM12),1,0)</f>
        <v>0</v>
      </c>
      <c r="BO1" s="225">
        <f t="shared" ref="BO1" ca="1" si="16">IF(AND(BO10&lt;&gt;0,-BO10&gt;BN12),1,0)</f>
        <v>0</v>
      </c>
    </row>
    <row r="2" spans="2:67" ht="14.05" customHeight="1" x14ac:dyDescent="0.4">
      <c r="B2" s="113"/>
      <c r="C2" s="192"/>
      <c r="D2" s="193"/>
      <c r="E2" s="2"/>
      <c r="F2" s="226">
        <f ca="1">SUMIF(G1:BO1,1,G5:BO5)</f>
        <v>46234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8"/>
    </row>
    <row r="3" spans="2:67" ht="14.05" customHeight="1" x14ac:dyDescent="0.4">
      <c r="B3" s="125" t="s">
        <v>62</v>
      </c>
      <c r="C3" s="192"/>
      <c r="D3" s="194">
        <f>Assumptions!$C$41</f>
        <v>0.95</v>
      </c>
      <c r="E3" s="2"/>
      <c r="BO3" s="2"/>
    </row>
    <row r="4" spans="2:67" ht="14.05" customHeight="1" x14ac:dyDescent="0.4">
      <c r="B4" s="125"/>
      <c r="C4" s="192"/>
      <c r="D4" s="194"/>
      <c r="E4" s="2"/>
      <c r="G4" s="227" t="str">
        <f>'Sales Proceeds &amp; MUD'!G3</f>
        <v>Period Ending</v>
      </c>
      <c r="H4" s="227" t="str">
        <f>'Sales Proceeds &amp; MUD'!H3</f>
        <v/>
      </c>
      <c r="I4" s="227" t="str">
        <f>'Sales Proceeds &amp; MUD'!I3</f>
        <v>Effective Date</v>
      </c>
      <c r="J4" s="227" t="str">
        <f>'Sales Proceeds &amp; MUD'!J3</f>
        <v/>
      </c>
      <c r="K4" s="227" t="str">
        <f>'Sales Proceeds &amp; MUD'!K3</f>
        <v/>
      </c>
      <c r="L4" s="227" t="str">
        <f>'Sales Proceeds &amp; MUD'!L3</f>
        <v>End of Feasibility</v>
      </c>
      <c r="M4" s="227" t="str">
        <f>'Sales Proceeds &amp; MUD'!M3</f>
        <v>A&amp;D Loan Closing Date</v>
      </c>
      <c r="N4" s="227" t="str">
        <f>'Sales Proceeds &amp; MUD'!N3</f>
        <v/>
      </c>
      <c r="O4" s="227" t="str">
        <f>'Sales Proceeds &amp; MUD'!O3</f>
        <v/>
      </c>
      <c r="P4" s="227" t="str">
        <f>'Sales Proceeds &amp; MUD'!P3</f>
        <v/>
      </c>
      <c r="Q4" s="227" t="str">
        <f>'Sales Proceeds &amp; MUD'!Q3</f>
        <v/>
      </c>
      <c r="R4" s="227" t="str">
        <f>'Sales Proceeds &amp; MUD'!R3</f>
        <v/>
      </c>
      <c r="S4" s="227" t="str">
        <f>'Sales Proceeds &amp; MUD'!S3</f>
        <v/>
      </c>
      <c r="T4" s="227" t="str">
        <f>'Sales Proceeds &amp; MUD'!T3</f>
        <v/>
      </c>
      <c r="U4" s="227" t="str">
        <f>'Sales Proceeds &amp; MUD'!U3</f>
        <v/>
      </c>
      <c r="V4" s="227" t="str">
        <f>'Sales Proceeds &amp; MUD'!V3</f>
        <v/>
      </c>
      <c r="W4" s="227" t="str">
        <f>'Sales Proceeds &amp; MUD'!W3</f>
        <v/>
      </c>
      <c r="X4" s="227" t="str">
        <f>'Sales Proceeds &amp; MUD'!X3</f>
        <v/>
      </c>
      <c r="Y4" s="227" t="str">
        <f>'Sales Proceeds &amp; MUD'!Y3</f>
        <v>Lot Substantial Completion Date (SC)</v>
      </c>
      <c r="Z4" s="227" t="str">
        <f>'Sales Proceeds &amp; MUD'!Z3</f>
        <v/>
      </c>
      <c r="AA4" s="227" t="str">
        <f>'Sales Proceeds &amp; MUD'!AA3</f>
        <v/>
      </c>
      <c r="AB4" s="227" t="str">
        <f>'Sales Proceeds &amp; MUD'!AB3</f>
        <v/>
      </c>
      <c r="AC4" s="227" t="str">
        <f>'Sales Proceeds &amp; MUD'!AC3</f>
        <v/>
      </c>
      <c r="AD4" s="227" t="str">
        <f>'Sales Proceeds &amp; MUD'!AD3</f>
        <v/>
      </c>
      <c r="AE4" s="227" t="str">
        <f>'Sales Proceeds &amp; MUD'!AE3</f>
        <v/>
      </c>
      <c r="AF4" s="227" t="str">
        <f>'Sales Proceeds &amp; MUD'!AF3</f>
        <v/>
      </c>
      <c r="AG4" s="227" t="str">
        <f>'Sales Proceeds &amp; MUD'!AG3</f>
        <v/>
      </c>
      <c r="AH4" s="227" t="str">
        <f>'Sales Proceeds &amp; MUD'!AH3</f>
        <v/>
      </c>
      <c r="AI4" s="227" t="str">
        <f>'Sales Proceeds &amp; MUD'!AI3</f>
        <v/>
      </c>
      <c r="AJ4" s="227" t="str">
        <f>'Sales Proceeds &amp; MUD'!AJ3</f>
        <v/>
      </c>
      <c r="AK4" s="227" t="str">
        <f>'Sales Proceeds &amp; MUD'!AK3</f>
        <v>Escalation Rate Increase Date</v>
      </c>
      <c r="AL4" s="227" t="str">
        <f>'Sales Proceeds &amp; MUD'!AL3</f>
        <v/>
      </c>
      <c r="AM4" s="227" t="str">
        <f>'Sales Proceeds &amp; MUD'!AM3</f>
        <v/>
      </c>
      <c r="AN4" s="227" t="str">
        <f>'Sales Proceeds &amp; MUD'!AN3</f>
        <v/>
      </c>
      <c r="AO4" s="227" t="str">
        <f>'Sales Proceeds &amp; MUD'!AO3</f>
        <v/>
      </c>
      <c r="AP4" s="227" t="str">
        <f>'Sales Proceeds &amp; MUD'!AP3</f>
        <v/>
      </c>
      <c r="AQ4" s="227" t="str">
        <f>'Sales Proceeds &amp; MUD'!AQ3</f>
        <v/>
      </c>
      <c r="AR4" s="227" t="str">
        <f>'Sales Proceeds &amp; MUD'!AR3</f>
        <v/>
      </c>
      <c r="AS4" s="227" t="str">
        <f>'Sales Proceeds &amp; MUD'!AS3</f>
        <v/>
      </c>
      <c r="AT4" s="227" t="str">
        <f>'Sales Proceeds &amp; MUD'!AT3</f>
        <v/>
      </c>
      <c r="AU4" s="227" t="str">
        <f>'Sales Proceeds &amp; MUD'!AU3</f>
        <v/>
      </c>
      <c r="AV4" s="227" t="str">
        <f>'Sales Proceeds &amp; MUD'!AV3</f>
        <v/>
      </c>
      <c r="AW4" s="227" t="str">
        <f>'Sales Proceeds &amp; MUD'!AW3</f>
        <v/>
      </c>
      <c r="AX4" s="227" t="str">
        <f>'Sales Proceeds &amp; MUD'!AX3</f>
        <v/>
      </c>
      <c r="AY4" s="227" t="str">
        <f>'Sales Proceeds &amp; MUD'!AY3</f>
        <v/>
      </c>
      <c r="AZ4" s="227" t="str">
        <f>'Sales Proceeds &amp; MUD'!AZ3</f>
        <v/>
      </c>
      <c r="BA4" s="227" t="str">
        <f>'Sales Proceeds &amp; MUD'!BA3</f>
        <v/>
      </c>
      <c r="BB4" s="227" t="str">
        <f>'Sales Proceeds &amp; MUD'!BB3</f>
        <v/>
      </c>
      <c r="BC4" s="227" t="str">
        <f>'Sales Proceeds &amp; MUD'!BC3</f>
        <v/>
      </c>
      <c r="BD4" s="227" t="str">
        <f>'Sales Proceeds &amp; MUD'!BD3</f>
        <v/>
      </c>
      <c r="BE4" s="227" t="str">
        <f>'Sales Proceeds &amp; MUD'!BE3</f>
        <v/>
      </c>
      <c r="BF4" s="227" t="str">
        <f>'Sales Proceeds &amp; MUD'!BF3</f>
        <v/>
      </c>
      <c r="BG4" s="227" t="str">
        <f>'Sales Proceeds &amp; MUD'!BG3</f>
        <v/>
      </c>
      <c r="BH4" s="227" t="str">
        <f>'Sales Proceeds &amp; MUD'!BH3</f>
        <v/>
      </c>
      <c r="BI4" s="227" t="str">
        <f>'Sales Proceeds &amp; MUD'!BI3</f>
        <v/>
      </c>
      <c r="BJ4" s="227" t="str">
        <f>'Sales Proceeds &amp; MUD'!BJ3</f>
        <v/>
      </c>
      <c r="BK4" s="227" t="str">
        <f>'Sales Proceeds &amp; MUD'!BK3</f>
        <v/>
      </c>
      <c r="BL4" s="227" t="str">
        <f>'Sales Proceeds &amp; MUD'!BL3</f>
        <v/>
      </c>
      <c r="BM4" s="227" t="str">
        <f>'Sales Proceeds &amp; MUD'!BM3</f>
        <v/>
      </c>
      <c r="BN4" s="227" t="str">
        <f>'Sales Proceeds &amp; MUD'!BN3</f>
        <v/>
      </c>
      <c r="BO4" s="228" t="str">
        <f>'Sales Proceeds &amp; MUD'!BO3</f>
        <v>MUD Reimbursement</v>
      </c>
    </row>
    <row r="5" spans="2:67" ht="14.05" customHeight="1" x14ac:dyDescent="0.4">
      <c r="B5" s="126" t="s">
        <v>58</v>
      </c>
      <c r="C5" s="195"/>
      <c r="D5" s="196" t="s">
        <v>34</v>
      </c>
      <c r="E5" s="197"/>
      <c r="G5" s="34">
        <f>'Sales Proceeds &amp; MUD'!G4</f>
        <v>44941</v>
      </c>
      <c r="H5" s="34">
        <f>'Sales Proceeds &amp; MUD'!H4</f>
        <v>44985</v>
      </c>
      <c r="I5" s="34">
        <f>'Sales Proceeds &amp; MUD'!I4</f>
        <v>45016</v>
      </c>
      <c r="J5" s="34">
        <f>'Sales Proceeds &amp; MUD'!J4</f>
        <v>45046</v>
      </c>
      <c r="K5" s="34">
        <f>'Sales Proceeds &amp; MUD'!K4</f>
        <v>45077</v>
      </c>
      <c r="L5" s="34">
        <f>'Sales Proceeds &amp; MUD'!L4</f>
        <v>45107</v>
      </c>
      <c r="M5" s="34">
        <f>'Sales Proceeds &amp; MUD'!M4</f>
        <v>45138</v>
      </c>
      <c r="N5" s="34">
        <f>'Sales Proceeds &amp; MUD'!N4</f>
        <v>45169</v>
      </c>
      <c r="O5" s="34">
        <f>'Sales Proceeds &amp; MUD'!O4</f>
        <v>45199</v>
      </c>
      <c r="P5" s="34">
        <f>'Sales Proceeds &amp; MUD'!P4</f>
        <v>45230</v>
      </c>
      <c r="Q5" s="34">
        <f>'Sales Proceeds &amp; MUD'!Q4</f>
        <v>45260</v>
      </c>
      <c r="R5" s="34">
        <f>'Sales Proceeds &amp; MUD'!R4</f>
        <v>45291</v>
      </c>
      <c r="S5" s="34">
        <f>'Sales Proceeds &amp; MUD'!S4</f>
        <v>45322</v>
      </c>
      <c r="T5" s="34">
        <f>'Sales Proceeds &amp; MUD'!T4</f>
        <v>45351</v>
      </c>
      <c r="U5" s="34">
        <f>'Sales Proceeds &amp; MUD'!U4</f>
        <v>45382</v>
      </c>
      <c r="V5" s="34">
        <f>'Sales Proceeds &amp; MUD'!V4</f>
        <v>45412</v>
      </c>
      <c r="W5" s="34">
        <f>'Sales Proceeds &amp; MUD'!W4</f>
        <v>45443</v>
      </c>
      <c r="X5" s="34">
        <f>'Sales Proceeds &amp; MUD'!X4</f>
        <v>45473</v>
      </c>
      <c r="Y5" s="34">
        <f>'Sales Proceeds &amp; MUD'!Y4</f>
        <v>45504</v>
      </c>
      <c r="Z5" s="34">
        <f>'Sales Proceeds &amp; MUD'!Z4</f>
        <v>45535</v>
      </c>
      <c r="AA5" s="34">
        <f>'Sales Proceeds &amp; MUD'!AA4</f>
        <v>45565</v>
      </c>
      <c r="AB5" s="34">
        <f>'Sales Proceeds &amp; MUD'!AB4</f>
        <v>45596</v>
      </c>
      <c r="AC5" s="34">
        <f>'Sales Proceeds &amp; MUD'!AC4</f>
        <v>45626</v>
      </c>
      <c r="AD5" s="34">
        <f>'Sales Proceeds &amp; MUD'!AD4</f>
        <v>45657</v>
      </c>
      <c r="AE5" s="34">
        <f>'Sales Proceeds &amp; MUD'!AE4</f>
        <v>45688</v>
      </c>
      <c r="AF5" s="34">
        <f>'Sales Proceeds &amp; MUD'!AF4</f>
        <v>45716</v>
      </c>
      <c r="AG5" s="34">
        <f>'Sales Proceeds &amp; MUD'!AG4</f>
        <v>45747</v>
      </c>
      <c r="AH5" s="34">
        <f>'Sales Proceeds &amp; MUD'!AH4</f>
        <v>45777</v>
      </c>
      <c r="AI5" s="34">
        <f>'Sales Proceeds &amp; MUD'!AI4</f>
        <v>45808</v>
      </c>
      <c r="AJ5" s="34">
        <f>'Sales Proceeds &amp; MUD'!AJ4</f>
        <v>45838</v>
      </c>
      <c r="AK5" s="34">
        <f>'Sales Proceeds &amp; MUD'!AK4</f>
        <v>45869</v>
      </c>
      <c r="AL5" s="34">
        <f>'Sales Proceeds &amp; MUD'!AL4</f>
        <v>45900</v>
      </c>
      <c r="AM5" s="34">
        <f>'Sales Proceeds &amp; MUD'!AM4</f>
        <v>45930</v>
      </c>
      <c r="AN5" s="34">
        <f>'Sales Proceeds &amp; MUD'!AN4</f>
        <v>45961</v>
      </c>
      <c r="AO5" s="34">
        <f>'Sales Proceeds &amp; MUD'!AO4</f>
        <v>45991</v>
      </c>
      <c r="AP5" s="34">
        <f>'Sales Proceeds &amp; MUD'!AP4</f>
        <v>46022</v>
      </c>
      <c r="AQ5" s="34">
        <f>'Sales Proceeds &amp; MUD'!AQ4</f>
        <v>46053</v>
      </c>
      <c r="AR5" s="34">
        <f>'Sales Proceeds &amp; MUD'!AR4</f>
        <v>46081</v>
      </c>
      <c r="AS5" s="34">
        <f>'Sales Proceeds &amp; MUD'!AS4</f>
        <v>46112</v>
      </c>
      <c r="AT5" s="34">
        <f>'Sales Proceeds &amp; MUD'!AT4</f>
        <v>46142</v>
      </c>
      <c r="AU5" s="34">
        <f>'Sales Proceeds &amp; MUD'!AU4</f>
        <v>46173</v>
      </c>
      <c r="AV5" s="34">
        <f>'Sales Proceeds &amp; MUD'!AV4</f>
        <v>46203</v>
      </c>
      <c r="AW5" s="34">
        <f>'Sales Proceeds &amp; MUD'!AW4</f>
        <v>46234</v>
      </c>
      <c r="AX5" s="34">
        <f>'Sales Proceeds &amp; MUD'!AX4</f>
        <v>46265</v>
      </c>
      <c r="AY5" s="34">
        <f>'Sales Proceeds &amp; MUD'!AY4</f>
        <v>46295</v>
      </c>
      <c r="AZ5" s="34">
        <f>'Sales Proceeds &amp; MUD'!AZ4</f>
        <v>46326</v>
      </c>
      <c r="BA5" s="34">
        <f>'Sales Proceeds &amp; MUD'!BA4</f>
        <v>46356</v>
      </c>
      <c r="BB5" s="34">
        <f>'Sales Proceeds &amp; MUD'!BB4</f>
        <v>46387</v>
      </c>
      <c r="BC5" s="34">
        <f>'Sales Proceeds &amp; MUD'!BC4</f>
        <v>46418</v>
      </c>
      <c r="BD5" s="34">
        <f>'Sales Proceeds &amp; MUD'!BD4</f>
        <v>46446</v>
      </c>
      <c r="BE5" s="34">
        <f>'Sales Proceeds &amp; MUD'!BE4</f>
        <v>46477</v>
      </c>
      <c r="BF5" s="34">
        <f>'Sales Proceeds &amp; MUD'!BF4</f>
        <v>46507</v>
      </c>
      <c r="BG5" s="34">
        <f>'Sales Proceeds &amp; MUD'!BG4</f>
        <v>46538</v>
      </c>
      <c r="BH5" s="34">
        <f>'Sales Proceeds &amp; MUD'!BH4</f>
        <v>46568</v>
      </c>
      <c r="BI5" s="34">
        <f>'Sales Proceeds &amp; MUD'!BI4</f>
        <v>46599</v>
      </c>
      <c r="BJ5" s="34">
        <f>'Sales Proceeds &amp; MUD'!BJ4</f>
        <v>46630</v>
      </c>
      <c r="BK5" s="34">
        <f>'Sales Proceeds &amp; MUD'!BK4</f>
        <v>46660</v>
      </c>
      <c r="BL5" s="34">
        <f>'Sales Proceeds &amp; MUD'!BL4</f>
        <v>46691</v>
      </c>
      <c r="BM5" s="34">
        <f>'Sales Proceeds &amp; MUD'!BM4</f>
        <v>46721</v>
      </c>
      <c r="BN5" s="34">
        <f>'Sales Proceeds &amp; MUD'!BN4</f>
        <v>46752</v>
      </c>
      <c r="BO5" s="34">
        <f>'Sales Proceeds &amp; MUD'!BO4</f>
        <v>46783</v>
      </c>
    </row>
    <row r="6" spans="2:67" ht="14.05" customHeight="1" x14ac:dyDescent="0.4">
      <c r="B6" s="127" t="s">
        <v>52</v>
      </c>
      <c r="C6" s="198"/>
      <c r="E6" s="199"/>
      <c r="G6" s="208">
        <f>F$12</f>
        <v>0</v>
      </c>
      <c r="H6" s="201">
        <f t="shared" ref="H6:AW6" ca="1" si="17">G$12</f>
        <v>0</v>
      </c>
      <c r="I6" s="201">
        <f t="shared" ca="1" si="17"/>
        <v>0</v>
      </c>
      <c r="J6" s="201">
        <f t="shared" ca="1" si="17"/>
        <v>0</v>
      </c>
      <c r="K6" s="201">
        <f t="shared" ca="1" si="17"/>
        <v>0</v>
      </c>
      <c r="L6" s="201">
        <f t="shared" ca="1" si="17"/>
        <v>0</v>
      </c>
      <c r="M6" s="201">
        <f t="shared" ca="1" si="17"/>
        <v>0</v>
      </c>
      <c r="N6" s="201">
        <f t="shared" ca="1" si="17"/>
        <v>119637.3795891609</v>
      </c>
      <c r="O6" s="201">
        <f t="shared" ca="1" si="17"/>
        <v>315882.70686125086</v>
      </c>
      <c r="P6" s="201">
        <f t="shared" ca="1" si="17"/>
        <v>434013.10520151805</v>
      </c>
      <c r="Q6" s="201">
        <f t="shared" ca="1" si="17"/>
        <v>853126.51053002873</v>
      </c>
      <c r="R6" s="201">
        <f t="shared" ca="1" si="17"/>
        <v>1275208.6358129496</v>
      </c>
      <c r="S6" s="201">
        <f t="shared" ca="1" si="17"/>
        <v>2020605.5094832913</v>
      </c>
      <c r="T6" s="201">
        <f t="shared" ca="1" si="17"/>
        <v>2786361.6526754647</v>
      </c>
      <c r="U6" s="201">
        <f t="shared" ca="1" si="17"/>
        <v>3542462.5268819155</v>
      </c>
      <c r="V6" s="201">
        <f t="shared" ca="1" si="17"/>
        <v>4303919.1156139951</v>
      </c>
      <c r="W6" s="201">
        <f t="shared" ca="1" si="17"/>
        <v>4688859.7926829271</v>
      </c>
      <c r="X6" s="201">
        <f t="shared" ca="1" si="17"/>
        <v>5145193.7995477645</v>
      </c>
      <c r="Y6" s="201">
        <f t="shared" ca="1" si="17"/>
        <v>5284435.1722945608</v>
      </c>
      <c r="Z6" s="201">
        <f t="shared" ca="1" si="17"/>
        <v>4788162.8380983137</v>
      </c>
      <c r="AA6" s="201">
        <f t="shared" ca="1" si="17"/>
        <v>4851625.2415348431</v>
      </c>
      <c r="AB6" s="201">
        <f t="shared" ca="1" si="17"/>
        <v>4915537.1703290483</v>
      </c>
      <c r="AC6" s="201">
        <f t="shared" ca="1" si="17"/>
        <v>4225496.1836188789</v>
      </c>
      <c r="AD6" s="201">
        <f t="shared" ca="1" si="17"/>
        <v>4255426.7815861795</v>
      </c>
      <c r="AE6" s="201">
        <f t="shared" ca="1" si="17"/>
        <v>4285569.3879557485</v>
      </c>
      <c r="AF6" s="201">
        <f t="shared" ca="1" si="17"/>
        <v>3607865.504453768</v>
      </c>
      <c r="AG6" s="201">
        <f t="shared" ca="1" si="17"/>
        <v>3633421.2184436489</v>
      </c>
      <c r="AH6" s="201">
        <f t="shared" ca="1" si="17"/>
        <v>3659157.9520742912</v>
      </c>
      <c r="AI6" s="201">
        <f t="shared" ca="1" si="17"/>
        <v>2933498.8625681507</v>
      </c>
      <c r="AJ6" s="201">
        <f t="shared" ca="1" si="17"/>
        <v>2954277.812844675</v>
      </c>
      <c r="AK6" s="201">
        <f t="shared" ca="1" si="17"/>
        <v>2975203.9473523246</v>
      </c>
      <c r="AL6" s="201">
        <f t="shared" ca="1" si="17"/>
        <v>2228398.1428017686</v>
      </c>
      <c r="AM6" s="201">
        <f t="shared" ca="1" si="17"/>
        <v>2244646.8792596981</v>
      </c>
      <c r="AN6" s="201">
        <f t="shared" ca="1" si="17"/>
        <v>2261014.0960876332</v>
      </c>
      <c r="AO6" s="201">
        <f t="shared" ca="1" si="17"/>
        <v>1494750.6572049391</v>
      </c>
      <c r="AP6" s="201">
        <f t="shared" ca="1" si="17"/>
        <v>1505649.8807470584</v>
      </c>
      <c r="AQ6" s="201">
        <f t="shared" ca="1" si="17"/>
        <v>1516628.5777941723</v>
      </c>
      <c r="AR6" s="201">
        <f t="shared" ca="1" si="17"/>
        <v>886312.32784058829</v>
      </c>
      <c r="AS6" s="201">
        <f t="shared" ca="1" si="17"/>
        <v>892775.02189775929</v>
      </c>
      <c r="AT6" s="201">
        <f t="shared" ca="1" si="17"/>
        <v>899284.83976576384</v>
      </c>
      <c r="AU6" s="201">
        <f t="shared" ca="1" si="17"/>
        <v>94592.125055722543</v>
      </c>
      <c r="AV6" s="201">
        <f t="shared" ca="1" si="17"/>
        <v>95281.859300920521</v>
      </c>
      <c r="AW6" s="201">
        <f t="shared" ca="1" si="17"/>
        <v>95976.62285832307</v>
      </c>
      <c r="AX6" s="201">
        <f t="shared" ref="AX6" ca="1" si="18">AW$12</f>
        <v>0</v>
      </c>
      <c r="AY6" s="201">
        <f t="shared" ref="AY6" ca="1" si="19">AX$12</f>
        <v>0</v>
      </c>
      <c r="AZ6" s="201">
        <f ca="1">AY$12</f>
        <v>0</v>
      </c>
      <c r="BA6" s="201">
        <f t="shared" ref="BA6" ca="1" si="20">AZ$12</f>
        <v>0</v>
      </c>
      <c r="BB6" s="201">
        <f t="shared" ref="BB6" ca="1" si="21">BA$12</f>
        <v>0</v>
      </c>
      <c r="BC6" s="201">
        <f t="shared" ref="BC6" ca="1" si="22">BB$12</f>
        <v>0</v>
      </c>
      <c r="BD6" s="201">
        <f t="shared" ref="BD6" ca="1" si="23">BC$12</f>
        <v>0</v>
      </c>
      <c r="BE6" s="201">
        <f t="shared" ref="BE6" ca="1" si="24">BD$12</f>
        <v>0</v>
      </c>
      <c r="BF6" s="201">
        <f t="shared" ref="BF6" ca="1" si="25">BE$12</f>
        <v>0</v>
      </c>
      <c r="BG6" s="201">
        <f t="shared" ref="BG6" ca="1" si="26">BF$12</f>
        <v>0</v>
      </c>
      <c r="BH6" s="201">
        <f t="shared" ref="BH6" ca="1" si="27">BG$12</f>
        <v>0</v>
      </c>
      <c r="BI6" s="201">
        <f t="shared" ref="BI6" ca="1" si="28">BH$12</f>
        <v>0</v>
      </c>
      <c r="BJ6" s="201">
        <f t="shared" ref="BJ6" ca="1" si="29">BI$12</f>
        <v>0</v>
      </c>
      <c r="BK6" s="201">
        <f t="shared" ref="BK6" ca="1" si="30">BJ$12</f>
        <v>0</v>
      </c>
      <c r="BL6" s="201">
        <f t="shared" ref="BL6" ca="1" si="31">BK$12</f>
        <v>0</v>
      </c>
      <c r="BM6" s="201">
        <f t="shared" ref="BM6" ca="1" si="32">BL$12</f>
        <v>0</v>
      </c>
      <c r="BN6" s="201">
        <f t="shared" ref="BN6" ca="1" si="33">BM$12</f>
        <v>0</v>
      </c>
      <c r="BO6" s="213">
        <f t="shared" ref="BO6" ca="1" si="34">BN$12</f>
        <v>0</v>
      </c>
    </row>
    <row r="7" spans="2:67" ht="14.05" customHeight="1" x14ac:dyDescent="0.4">
      <c r="B7" s="128" t="s">
        <v>33</v>
      </c>
      <c r="C7" s="200"/>
      <c r="D7" s="201">
        <f ca="1">SUM(G7:AW7)</f>
        <v>19637.379589160904</v>
      </c>
      <c r="E7" s="202" t="s">
        <v>24</v>
      </c>
      <c r="G7" s="209">
        <f>IF(LEFT(G4,3)="A&amp;D",Assumptions!$G$31-Assumptions!$K$13,0)</f>
        <v>0</v>
      </c>
      <c r="H7" s="42">
        <f>IF(LEFT(H4,3)="A&amp;D",Assumptions!$G$31-Assumptions!$K$13,0)</f>
        <v>0</v>
      </c>
      <c r="I7" s="42">
        <f>IF(LEFT(I4,3)="A&amp;D",Assumptions!$G$31-Assumptions!$K$13,0)</f>
        <v>0</v>
      </c>
      <c r="J7" s="42">
        <f>IF(LEFT(J4,3)="A&amp;D",Assumptions!$G$31-Assumptions!$K$13,0)</f>
        <v>0</v>
      </c>
      <c r="K7" s="42">
        <f>IF(LEFT(K4,3)="A&amp;D",Assumptions!$G$31-Assumptions!$K$13,0)</f>
        <v>0</v>
      </c>
      <c r="L7" s="42">
        <f>IF(LEFT(L4,3)="A&amp;D",Assumptions!$G$31-Assumptions!$K$13,0)</f>
        <v>0</v>
      </c>
      <c r="M7" s="42">
        <f ca="1">IF(LEFT(M4,3)="A&amp;D",Assumptions!$G$31-Assumptions!$K$13,0)</f>
        <v>19637.379589160904</v>
      </c>
      <c r="N7" s="42">
        <f>IF(LEFT(N4,3)="A&amp;D",Assumptions!$G$31-Assumptions!$K$13,0)</f>
        <v>0</v>
      </c>
      <c r="O7" s="42">
        <f>IF(LEFT(O4,3)="A&amp;D",Assumptions!$G$31-Assumptions!$K$13,0)</f>
        <v>0</v>
      </c>
      <c r="P7" s="42">
        <f>IF(LEFT(P4,3)="A&amp;D",Assumptions!$G$31-Assumptions!$K$13,0)</f>
        <v>0</v>
      </c>
      <c r="Q7" s="42">
        <f>IF(LEFT(Q4,3)="A&amp;D",Assumptions!$G$31-Assumptions!$K$13,0)</f>
        <v>0</v>
      </c>
      <c r="R7" s="42">
        <f>IF(LEFT(R4,3)="A&amp;D",Assumptions!$G$31-Assumptions!$K$13,0)</f>
        <v>0</v>
      </c>
      <c r="S7" s="42">
        <f>IF(LEFT(S4,3)="A&amp;D",Assumptions!$G$31-Assumptions!$K$13,0)</f>
        <v>0</v>
      </c>
      <c r="T7" s="42">
        <f>IF(LEFT(T4,3)="A&amp;D",Assumptions!$G$31-Assumptions!$K$13,0)</f>
        <v>0</v>
      </c>
      <c r="U7" s="42">
        <f>IF(LEFT(U4,3)="A&amp;D",Assumptions!$G$31-Assumptions!$K$13,0)</f>
        <v>0</v>
      </c>
      <c r="V7" s="42">
        <f>IF(LEFT(V4,3)="A&amp;D",Assumptions!$G$31-Assumptions!$K$13,0)</f>
        <v>0</v>
      </c>
      <c r="W7" s="42">
        <f>IF(LEFT(W4,3)="A&amp;D",Assumptions!$G$31-Assumptions!$K$13,0)</f>
        <v>0</v>
      </c>
      <c r="X7" s="42">
        <f>IF(LEFT(X4,3)="A&amp;D",Assumptions!$G$31-Assumptions!$K$13,0)</f>
        <v>0</v>
      </c>
      <c r="Y7" s="42">
        <f>IF(LEFT(Y4,3)="A&amp;D",Assumptions!$G$31-Assumptions!$K$13,0)</f>
        <v>0</v>
      </c>
      <c r="Z7" s="42">
        <f>IF(LEFT(Z4,3)="A&amp;D",Assumptions!$G$31-Assumptions!$K$13,0)</f>
        <v>0</v>
      </c>
      <c r="AA7" s="42">
        <f>IF(LEFT(AA4,3)="A&amp;D",Assumptions!$G$31-Assumptions!$K$13,0)</f>
        <v>0</v>
      </c>
      <c r="AB7" s="42">
        <f>IF(LEFT(AB4,3)="A&amp;D",Assumptions!$G$31-Assumptions!$K$13,0)</f>
        <v>0</v>
      </c>
      <c r="AC7" s="42">
        <f>IF(LEFT(AC4,3)="A&amp;D",Assumptions!$G$31-Assumptions!$K$13,0)</f>
        <v>0</v>
      </c>
      <c r="AD7" s="42">
        <f>IF(LEFT(AD4,3)="A&amp;D",Assumptions!$G$31-Assumptions!$K$13,0)</f>
        <v>0</v>
      </c>
      <c r="AE7" s="42">
        <f>IF(LEFT(AE4,3)="A&amp;D",Assumptions!$G$31-Assumptions!$K$13,0)</f>
        <v>0</v>
      </c>
      <c r="AF7" s="42">
        <f>IF(LEFT(AF4,3)="A&amp;D",Assumptions!$G$31-Assumptions!$K$13,0)</f>
        <v>0</v>
      </c>
      <c r="AG7" s="42">
        <f>IF(LEFT(AG4,3)="A&amp;D",Assumptions!$G$31-Assumptions!$K$13,0)</f>
        <v>0</v>
      </c>
      <c r="AH7" s="42">
        <f>IF(LEFT(AH4,3)="A&amp;D",Assumptions!$G$31-Assumptions!$K$13,0)</f>
        <v>0</v>
      </c>
      <c r="AI7" s="42">
        <f>IF(LEFT(AI4,3)="A&amp;D",Assumptions!$G$31-Assumptions!$K$13,0)</f>
        <v>0</v>
      </c>
      <c r="AJ7" s="42">
        <f>IF(LEFT(AJ4,3)="A&amp;D",Assumptions!$G$31-Assumptions!$K$13,0)</f>
        <v>0</v>
      </c>
      <c r="AK7" s="42">
        <f>IF(LEFT(AK4,3)="A&amp;D",Assumptions!$G$31-Assumptions!$K$13,0)</f>
        <v>0</v>
      </c>
      <c r="AL7" s="42">
        <f>IF(LEFT(AL4,3)="A&amp;D",Assumptions!$G$31-Assumptions!$K$13,0)</f>
        <v>0</v>
      </c>
      <c r="AM7" s="42">
        <f>IF(LEFT(AM4,3)="A&amp;D",Assumptions!$G$31-Assumptions!$K$13,0)</f>
        <v>0</v>
      </c>
      <c r="AN7" s="42">
        <f>IF(LEFT(AN4,3)="A&amp;D",Assumptions!$G$31-Assumptions!$K$13,0)</f>
        <v>0</v>
      </c>
      <c r="AO7" s="42">
        <f>IF(LEFT(AO4,3)="A&amp;D",Assumptions!$G$31-Assumptions!$K$13,0)</f>
        <v>0</v>
      </c>
      <c r="AP7" s="42">
        <f>IF(LEFT(AP4,3)="A&amp;D",Assumptions!$G$31-Assumptions!$K$13,0)</f>
        <v>0</v>
      </c>
      <c r="AQ7" s="42">
        <f>IF(LEFT(AQ4,3)="A&amp;D",Assumptions!$G$31-Assumptions!$K$13,0)</f>
        <v>0</v>
      </c>
      <c r="AR7" s="42">
        <f>IF(LEFT(AR4,3)="A&amp;D",Assumptions!$G$31-Assumptions!$K$13,0)</f>
        <v>0</v>
      </c>
      <c r="AS7" s="42">
        <f>IF(LEFT(AS4,3)="A&amp;D",Assumptions!$G$31-Assumptions!$K$13,0)</f>
        <v>0</v>
      </c>
      <c r="AT7" s="42">
        <f>IF(LEFT(AT4,3)="A&amp;D",Assumptions!$G$31-Assumptions!$K$13,0)</f>
        <v>0</v>
      </c>
      <c r="AU7" s="42">
        <f>IF(LEFT(AU4,3)="A&amp;D",Assumptions!$G$31-Assumptions!$K$13,0)</f>
        <v>0</v>
      </c>
      <c r="AV7" s="42">
        <f>IF(LEFT(AV4,3)="A&amp;D",Assumptions!$G$31-Assumptions!$K$13,0)</f>
        <v>0</v>
      </c>
      <c r="AW7" s="42">
        <f>IF(LEFT(AW4,3)="A&amp;D",Assumptions!$G$31-Assumptions!$K$13,0)</f>
        <v>0</v>
      </c>
      <c r="AX7" s="42">
        <f>IF(LEFT(AX4,3)="A&amp;D",Assumptions!$G$31-Assumptions!$K$13,0)</f>
        <v>0</v>
      </c>
      <c r="AY7" s="42">
        <f>IF(LEFT(AY4,3)="A&amp;D",Assumptions!$G$31-Assumptions!$K$13,0)</f>
        <v>0</v>
      </c>
      <c r="AZ7" s="42">
        <f>IF(LEFT(AZ4,3)="A&amp;D",Assumptions!$G$31-Assumptions!$K$13,0)</f>
        <v>0</v>
      </c>
      <c r="BA7" s="42">
        <f>IF(LEFT(BA4,3)="A&amp;D",Assumptions!$G$31-Assumptions!$K$13,0)</f>
        <v>0</v>
      </c>
      <c r="BB7" s="42">
        <f>IF(LEFT(BB4,3)="A&amp;D",Assumptions!$G$31-Assumptions!$K$13,0)</f>
        <v>0</v>
      </c>
      <c r="BC7" s="42">
        <f>IF(LEFT(BC4,3)="A&amp;D",Assumptions!$G$31-Assumptions!$K$13,0)</f>
        <v>0</v>
      </c>
      <c r="BD7" s="42">
        <f>IF(LEFT(BD4,3)="A&amp;D",Assumptions!$G$31-Assumptions!$K$13,0)</f>
        <v>0</v>
      </c>
      <c r="BE7" s="42">
        <f>IF(LEFT(BE4,3)="A&amp;D",Assumptions!$G$31-Assumptions!$K$13,0)</f>
        <v>0</v>
      </c>
      <c r="BF7" s="42">
        <f>IF(LEFT(BF4,3)="A&amp;D",Assumptions!$G$31-Assumptions!$K$13,0)</f>
        <v>0</v>
      </c>
      <c r="BG7" s="42">
        <f>IF(LEFT(BG4,3)="A&amp;D",Assumptions!$G$31-Assumptions!$K$13,0)</f>
        <v>0</v>
      </c>
      <c r="BH7" s="42">
        <f>IF(LEFT(BH4,3)="A&amp;D",Assumptions!$G$31-Assumptions!$K$13,0)</f>
        <v>0</v>
      </c>
      <c r="BI7" s="42">
        <f>IF(LEFT(BI4,3)="A&amp;D",Assumptions!$G$31-Assumptions!$K$13,0)</f>
        <v>0</v>
      </c>
      <c r="BJ7" s="42">
        <f>IF(LEFT(BJ4,3)="A&amp;D",Assumptions!$G$31-Assumptions!$K$13,0)</f>
        <v>0</v>
      </c>
      <c r="BK7" s="42">
        <f>IF(LEFT(BK4,3)="A&amp;D",Assumptions!$G$31-Assumptions!$K$13,0)</f>
        <v>0</v>
      </c>
      <c r="BL7" s="42">
        <f>IF(LEFT(BL4,3)="A&amp;D",Assumptions!$G$31-Assumptions!$K$13,0)</f>
        <v>0</v>
      </c>
      <c r="BM7" s="42">
        <f>IF(LEFT(BM4,3)="A&amp;D",Assumptions!$G$31-Assumptions!$K$13,0)</f>
        <v>0</v>
      </c>
      <c r="BN7" s="42">
        <f>IF(LEFT(BN4,3)="A&amp;D",Assumptions!$G$31-Assumptions!$K$13,0)</f>
        <v>0</v>
      </c>
      <c r="BO7" s="214">
        <f>IF(LEFT(BO4,3)="A&amp;D",Assumptions!$G$31-Assumptions!$K$13,0)</f>
        <v>0</v>
      </c>
    </row>
    <row r="8" spans="2:67" ht="14.05" customHeight="1" x14ac:dyDescent="0.4">
      <c r="B8" s="128" t="s">
        <v>191</v>
      </c>
      <c r="C8" s="200"/>
      <c r="D8" s="201">
        <f t="shared" ref="D8:D11" ca="1" si="35">SUM(G8:AW8)</f>
        <v>5515949.6249999991</v>
      </c>
      <c r="E8" s="202" t="s">
        <v>24</v>
      </c>
      <c r="G8" s="209">
        <f ca="1">IF(SUM($F$1:F$1)&gt;=1,0,-'Cash Flow'!G$46)</f>
        <v>0</v>
      </c>
      <c r="H8" s="42">
        <f ca="1">IF(SUM($F$1:G$1)&gt;=1,0,-'Cash Flow'!H$46)</f>
        <v>0</v>
      </c>
      <c r="I8" s="42">
        <f ca="1">IF(SUM($F$1:H$1)&gt;=1,0,-'Cash Flow'!I$46)</f>
        <v>0</v>
      </c>
      <c r="J8" s="42">
        <f ca="1">IF(SUM($F$1:I$1)&gt;=1,0,-'Cash Flow'!J$46)</f>
        <v>0</v>
      </c>
      <c r="K8" s="42">
        <f ca="1">IF(SUM($F$1:J$1)&gt;=1,0,-'Cash Flow'!K$46)</f>
        <v>0</v>
      </c>
      <c r="L8" s="42">
        <f ca="1">IF(SUM($F$1:K$1)&gt;=1,0,-'Cash Flow'!L$46)</f>
        <v>0</v>
      </c>
      <c r="M8" s="42">
        <f ca="1">IF(SUM($F$1:L$1)&gt;=1,0,-'Cash Flow'!M$46)</f>
        <v>100000</v>
      </c>
      <c r="N8" s="42">
        <f ca="1">IF(SUM($F$1:M$1)&gt;=1,0,-'Cash Flow'!N$46)</f>
        <v>195397.89583333334</v>
      </c>
      <c r="O8" s="42">
        <f ca="1">IF(SUM($F$1:N$1)&gt;=1,0,-'Cash Flow'!O$46)</f>
        <v>115892.89583333333</v>
      </c>
      <c r="P8" s="42">
        <f ca="1">IF(SUM($F$1:O$1)&gt;=1,0,-'Cash Flow'!P$46)</f>
        <v>416039.14583333326</v>
      </c>
      <c r="Q8" s="42">
        <f ca="1">IF(SUM($F$1:P$1)&gt;=1,0,-'Cash Flow'!Q$46)</f>
        <v>416039.14583333326</v>
      </c>
      <c r="R8" s="42">
        <f ca="1">IF(SUM($F$1:Q$1)&gt;=1,0,-'Cash Flow'!R$46)</f>
        <v>736364.14583333326</v>
      </c>
      <c r="S8" s="42">
        <f ca="1">IF(SUM($F$1:R$1)&gt;=1,0,-'Cash Flow'!S$46)</f>
        <v>751443.52083333326</v>
      </c>
      <c r="T8" s="42">
        <f ca="1">IF(SUM($F$1:S$1)&gt;=1,0,-'Cash Flow'!T$46)</f>
        <v>736364.14583333326</v>
      </c>
      <c r="U8" s="42">
        <f ca="1">IF(SUM($F$1:T$1)&gt;=1,0,-'Cash Flow'!U$46)</f>
        <v>736364.14583333326</v>
      </c>
      <c r="V8" s="42">
        <f ca="1">IF(SUM($F$1:U$1)&gt;=1,0,-'Cash Flow'!V$46)</f>
        <v>354454.58333333331</v>
      </c>
      <c r="W8" s="42">
        <f ca="1">IF(SUM($F$1:V$1)&gt;=1,0,-'Cash Flow'!W$46)</f>
        <v>423121.25</v>
      </c>
      <c r="X8" s="42">
        <f ca="1">IF(SUM($F$1:W$1)&gt;=1,0,-'Cash Flow'!X$46)</f>
        <v>102796.25</v>
      </c>
      <c r="Y8" s="42">
        <f ca="1">IF(SUM($F$1:X$1)&gt;=1,0,-'Cash Flow'!Y$46)</f>
        <v>178796.25</v>
      </c>
      <c r="Z8" s="42">
        <f ca="1">IF(SUM($F$1:Y$1)&gt;=1,0,-'Cash Flow'!Z$46)</f>
        <v>29546.25</v>
      </c>
      <c r="AA8" s="42">
        <f ca="1">IF(SUM($F$1:Z$1)&gt;=1,0,-'Cash Flow'!AA$46)</f>
        <v>29546.25</v>
      </c>
      <c r="AB8" s="42">
        <f ca="1">IF(SUM($F$1:AA$1)&gt;=1,0,-'Cash Flow'!AB$46)</f>
        <v>1000</v>
      </c>
      <c r="AC8" s="42">
        <f ca="1">IF(SUM($F$1:AB$1)&gt;=1,0,-'Cash Flow'!AC$46)</f>
        <v>0</v>
      </c>
      <c r="AD8" s="42">
        <f ca="1">IF(SUM($F$1:AC$1)&gt;=1,0,-'Cash Flow'!AD$46)</f>
        <v>0</v>
      </c>
      <c r="AE8" s="42">
        <f ca="1">IF(SUM($F$1:AD$1)&gt;=1,0,-'Cash Flow'!AE$46)</f>
        <v>31158.75</v>
      </c>
      <c r="AF8" s="42">
        <f ca="1">IF(SUM($F$1:AE$1)&gt;=1,0,-'Cash Flow'!AF$46)</f>
        <v>0</v>
      </c>
      <c r="AG8" s="42">
        <f ca="1">IF(SUM($F$1:AF$1)&gt;=1,0,-'Cash Flow'!AG$46)</f>
        <v>0</v>
      </c>
      <c r="AH8" s="42">
        <f ca="1">IF(SUM($F$1:AG$1)&gt;=1,0,-'Cash Flow'!AH$46)</f>
        <v>1000</v>
      </c>
      <c r="AI8" s="42">
        <f ca="1">IF(SUM($F$1:AH$1)&gt;=1,0,-'Cash Flow'!AI$46)</f>
        <v>0</v>
      </c>
      <c r="AJ8" s="42">
        <f ca="1">IF(SUM($F$1:AI$1)&gt;=1,0,-'Cash Flow'!AJ$46)</f>
        <v>0</v>
      </c>
      <c r="AK8" s="42">
        <f ca="1">IF(SUM($F$1:AJ$1)&gt;=1,0,-'Cash Flow'!AK$46)</f>
        <v>1000</v>
      </c>
      <c r="AL8" s="42">
        <f ca="1">IF(SUM($F$1:AK$1)&gt;=1,0,-'Cash Flow'!AL$46)</f>
        <v>0</v>
      </c>
      <c r="AM8" s="42">
        <f ca="1">IF(SUM($F$1:AL$1)&gt;=1,0,-'Cash Flow'!AM$46)</f>
        <v>0</v>
      </c>
      <c r="AN8" s="42">
        <f ca="1">IF(SUM($F$1:AM$1)&gt;=1,0,-'Cash Flow'!AN$46)</f>
        <v>1000</v>
      </c>
      <c r="AO8" s="42">
        <f ca="1">IF(SUM($F$1:AN$1)&gt;=1,0,-'Cash Flow'!AO$46)</f>
        <v>0</v>
      </c>
      <c r="AP8" s="42">
        <f ca="1">IF(SUM($F$1:AO$1)&gt;=1,0,-'Cash Flow'!AP$46)</f>
        <v>0</v>
      </c>
      <c r="AQ8" s="42">
        <f ca="1">IF(SUM($F$1:AP$1)&gt;=1,0,-'Cash Flow'!AQ$46)</f>
        <v>156625</v>
      </c>
      <c r="AR8" s="42">
        <f ca="1">IF(SUM($F$1:AQ$1)&gt;=1,0,-'Cash Flow'!AR$46)</f>
        <v>0</v>
      </c>
      <c r="AS8" s="42">
        <f ca="1">IF(SUM($F$1:AR$1)&gt;=1,0,-'Cash Flow'!AS$46)</f>
        <v>0</v>
      </c>
      <c r="AT8" s="42">
        <f ca="1">IF(SUM($F$1:AS$1)&gt;=1,0,-'Cash Flow'!AT$46)</f>
        <v>1000</v>
      </c>
      <c r="AU8" s="42">
        <f ca="1">IF(SUM($F$1:AT$1)&gt;=1,0,-'Cash Flow'!AU$46)</f>
        <v>0</v>
      </c>
      <c r="AV8" s="42">
        <f ca="1">IF(SUM($F$1:AU$1)&gt;=1,0,-'Cash Flow'!AV$46)</f>
        <v>0</v>
      </c>
      <c r="AW8" s="42">
        <f ca="1">IF(SUM($F$1:AV$1)&gt;=1,0,-'Cash Flow'!AW$46)</f>
        <v>1000</v>
      </c>
      <c r="AX8" s="42">
        <f ca="1">IF(SUM($F$1:AW$1)&gt;=1,0,-'Cash Flow'!AX$46)</f>
        <v>0</v>
      </c>
      <c r="AY8" s="42">
        <f ca="1">IF(SUM($F$1:AX$1)&gt;=1,0,-'Cash Flow'!AY$46)</f>
        <v>0</v>
      </c>
      <c r="AZ8" s="42">
        <f ca="1">IF(SUM($F$1:AY$1)&gt;=1,0,-'Cash Flow'!AZ$46)</f>
        <v>0</v>
      </c>
      <c r="BA8" s="42">
        <f ca="1">IF(SUM($F$1:AZ$1)&gt;=1,0,-'Cash Flow'!BA$46)</f>
        <v>0</v>
      </c>
      <c r="BB8" s="42">
        <f ca="1">IF(SUM($F$1:BA$1)&gt;=1,0,-'Cash Flow'!BB$46)</f>
        <v>0</v>
      </c>
      <c r="BC8" s="42">
        <f ca="1">IF(SUM($F$1:BB$1)&gt;=1,0,-'Cash Flow'!BC$46)</f>
        <v>0</v>
      </c>
      <c r="BD8" s="42">
        <f ca="1">IF(SUM($F$1:BC$1)&gt;=1,0,-'Cash Flow'!BD$46)</f>
        <v>0</v>
      </c>
      <c r="BE8" s="42">
        <f ca="1">IF(SUM($F$1:BD$1)&gt;=1,0,-'Cash Flow'!BE$46)</f>
        <v>0</v>
      </c>
      <c r="BF8" s="42">
        <f ca="1">IF(SUM($F$1:BE$1)&gt;=1,0,-'Cash Flow'!BF$46)</f>
        <v>0</v>
      </c>
      <c r="BG8" s="42">
        <f ca="1">IF(SUM($F$1:BF$1)&gt;=1,0,-'Cash Flow'!BG$46)</f>
        <v>0</v>
      </c>
      <c r="BH8" s="42">
        <f ca="1">IF(SUM($F$1:BG$1)&gt;=1,0,-'Cash Flow'!BH$46)</f>
        <v>0</v>
      </c>
      <c r="BI8" s="42">
        <f ca="1">IF(SUM($F$1:BH$1)&gt;=1,0,-'Cash Flow'!BI$46)</f>
        <v>0</v>
      </c>
      <c r="BJ8" s="42">
        <f ca="1">IF(SUM($F$1:BI$1)&gt;=1,0,-'Cash Flow'!BJ$46)</f>
        <v>0</v>
      </c>
      <c r="BK8" s="42">
        <f ca="1">IF(SUM($F$1:BJ$1)&gt;=1,0,-'Cash Flow'!BK$46)</f>
        <v>0</v>
      </c>
      <c r="BL8" s="42">
        <f ca="1">IF(SUM($F$1:BK$1)&gt;=1,0,-'Cash Flow'!BL$46)</f>
        <v>0</v>
      </c>
      <c r="BM8" s="42">
        <f ca="1">IF(SUM($F$1:BL$1)&gt;=1,0,-'Cash Flow'!BM$46)</f>
        <v>0</v>
      </c>
      <c r="BN8" s="42">
        <f ca="1">IF(SUM($F$1:BM$1)&gt;=1,0,-'Cash Flow'!BN$46)</f>
        <v>0</v>
      </c>
      <c r="BO8" s="214">
        <f ca="1">IF(SUM($F$1:BN$1)&gt;=1,0,-'Cash Flow'!BO$46)</f>
        <v>0</v>
      </c>
    </row>
    <row r="9" spans="2:67" ht="14.05" customHeight="1" x14ac:dyDescent="0.4">
      <c r="B9" s="128" t="s">
        <v>35</v>
      </c>
      <c r="C9" s="200"/>
      <c r="D9" s="201">
        <f ca="1">SUM(G9:AW9)</f>
        <v>655745.69781084068</v>
      </c>
      <c r="E9" s="202" t="s">
        <v>24</v>
      </c>
      <c r="G9" s="209">
        <f>IF(SUM($F$1:F$1)&gt;=1,0,-'Cash Flow'!G$54)</f>
        <v>0</v>
      </c>
      <c r="H9" s="42">
        <f ca="1">IF(SUM($F$1:G$1)&gt;=1,0,-'Cash Flow'!H$54)</f>
        <v>0</v>
      </c>
      <c r="I9" s="42">
        <f ca="1">IF(SUM($F$1:H$1)&gt;=1,0,-'Cash Flow'!I$54)</f>
        <v>0</v>
      </c>
      <c r="J9" s="42">
        <f ca="1">IF(SUM($F$1:I$1)&gt;=1,0,-'Cash Flow'!J$54)</f>
        <v>0</v>
      </c>
      <c r="K9" s="42">
        <f ca="1">IF(SUM($F$1:J$1)&gt;=1,0,-'Cash Flow'!K$54)</f>
        <v>0</v>
      </c>
      <c r="L9" s="42">
        <f ca="1">IF(SUM($F$1:K$1)&gt;=1,0,-'Cash Flow'!L$54)</f>
        <v>0</v>
      </c>
      <c r="M9" s="42">
        <f ca="1">IF(SUM($F$1:L$1)&gt;=1,0,-'Cash Flow'!M$54)</f>
        <v>0</v>
      </c>
      <c r="N9" s="42">
        <f ca="1">IF(SUM($F$1:M$1)&gt;=1,0,-'Cash Flow'!N$54)</f>
        <v>847.43143875655642</v>
      </c>
      <c r="O9" s="42">
        <f ca="1">IF(SUM($F$1:N$1)&gt;=1,0,-'Cash Flow'!O$54)</f>
        <v>2237.5025069338603</v>
      </c>
      <c r="P9" s="42">
        <f ca="1">IF(SUM($F$1:O$1)&gt;=1,0,-'Cash Flow'!P$54)</f>
        <v>3074.2594951774195</v>
      </c>
      <c r="Q9" s="42">
        <f ca="1">IF(SUM($F$1:P$1)&gt;=1,0,-'Cash Flow'!Q$54)</f>
        <v>6042.979449587704</v>
      </c>
      <c r="R9" s="42">
        <f ca="1">IF(SUM($F$1:Q$1)&gt;=1,0,-'Cash Flow'!R$54)</f>
        <v>9032.7278370083932</v>
      </c>
      <c r="S9" s="42">
        <f ca="1">IF(SUM($F$1:R$1)&gt;=1,0,-'Cash Flow'!S$54)</f>
        <v>14312.622358839981</v>
      </c>
      <c r="T9" s="42">
        <f ca="1">IF(SUM($F$1:S$1)&gt;=1,0,-'Cash Flow'!T$54)</f>
        <v>19736.728373117876</v>
      </c>
      <c r="U9" s="42">
        <f ca="1">IF(SUM($F$1:T$1)&gt;=1,0,-'Cash Flow'!U$54)</f>
        <v>25092.442898746904</v>
      </c>
      <c r="V9" s="42">
        <f ca="1">IF(SUM($F$1:U$1)&gt;=1,0,-'Cash Flow'!V$54)</f>
        <v>30486.093735599134</v>
      </c>
      <c r="W9" s="42">
        <f ca="1">IF(SUM($F$1:V$1)&gt;=1,0,-'Cash Flow'!W$54)</f>
        <v>33212.756864837407</v>
      </c>
      <c r="X9" s="42">
        <f ca="1">IF(SUM($F$1:W$1)&gt;=1,0,-'Cash Flow'!X$54)</f>
        <v>36445.122746796667</v>
      </c>
      <c r="Y9" s="42">
        <f ca="1">IF(SUM($F$1:X$1)&gt;=1,0,-'Cash Flow'!Y$54)</f>
        <v>37431.415803753138</v>
      </c>
      <c r="Z9" s="42">
        <f ca="1">IF(SUM($F$1:Y$1)&gt;=1,0,-'Cash Flow'!Z$54)</f>
        <v>33916.153436529727</v>
      </c>
      <c r="AA9" s="42">
        <f ca="1">IF(SUM($F$1:Z$1)&gt;=1,0,-'Cash Flow'!AA$54)</f>
        <v>34365.678794205138</v>
      </c>
      <c r="AB9" s="42">
        <f ca="1">IF(SUM($F$1:AA$1)&gt;=1,0,-'Cash Flow'!AB$54)</f>
        <v>34818.388289830757</v>
      </c>
      <c r="AC9" s="42">
        <f ca="1">IF(SUM($F$1:AB$1)&gt;=1,0,-'Cash Flow'!AC$54)</f>
        <v>29930.597967300393</v>
      </c>
      <c r="AD9" s="42">
        <f ca="1">IF(SUM($F$1:AC$1)&gt;=1,0,-'Cash Flow'!AD$54)</f>
        <v>30142.606369568774</v>
      </c>
      <c r="AE9" s="42">
        <f ca="1">IF(SUM($F$1:AD$1)&gt;=1,0,-'Cash Flow'!AE$54)</f>
        <v>30356.116498019885</v>
      </c>
      <c r="AF9" s="42">
        <f ca="1">IF(SUM($F$1:AE$1)&gt;=1,0,-'Cash Flow'!AF$54)</f>
        <v>25555.713989880856</v>
      </c>
      <c r="AG9" s="42">
        <f ca="1">IF(SUM($F$1:AF$1)&gt;=1,0,-'Cash Flow'!AG$54)</f>
        <v>25736.733630642513</v>
      </c>
      <c r="AH9" s="42">
        <f ca="1">IF(SUM($F$1:AG$1)&gt;=1,0,-'Cash Flow'!AH$54)</f>
        <v>25919.035493859566</v>
      </c>
      <c r="AI9" s="42">
        <f ca="1">IF(SUM($F$1:AH$1)&gt;=1,0,-'Cash Flow'!AI$54)</f>
        <v>20778.950276524403</v>
      </c>
      <c r="AJ9" s="42">
        <f ca="1">IF(SUM($F$1:AI$1)&gt;=1,0,-'Cash Flow'!AJ$54)</f>
        <v>20926.134507649782</v>
      </c>
      <c r="AK9" s="42">
        <f ca="1">IF(SUM($F$1:AJ$1)&gt;=1,0,-'Cash Flow'!AK$54)</f>
        <v>21694.195449444036</v>
      </c>
      <c r="AL9" s="42">
        <f ca="1">IF(SUM($F$1:AK$1)&gt;=1,0,-'Cash Flow'!AL$54)</f>
        <v>16248.736457929563</v>
      </c>
      <c r="AM9" s="42">
        <f ca="1">IF(SUM($F$1:AL$1)&gt;=1,0,-'Cash Flow'!AM$54)</f>
        <v>16367.216827935299</v>
      </c>
      <c r="AN9" s="42">
        <f ca="1">IF(SUM($F$1:AM$1)&gt;=1,0,-'Cash Flow'!AN$54)</f>
        <v>16486.56111730566</v>
      </c>
      <c r="AO9" s="42">
        <f ca="1">IF(SUM($F$1:AN$1)&gt;=1,0,-'Cash Flow'!AO$54)</f>
        <v>10899.223542119349</v>
      </c>
      <c r="AP9" s="42">
        <f ca="1">IF(SUM($F$1:AO$1)&gt;=1,0,-'Cash Flow'!AP$54)</f>
        <v>10978.69704711397</v>
      </c>
      <c r="AQ9" s="42">
        <f ca="1">IF(SUM($F$1:AP$1)&gt;=1,0,-'Cash Flow'!AQ$54)</f>
        <v>11058.750046415842</v>
      </c>
      <c r="AR9" s="42">
        <f ca="1">IF(SUM($F$1:AQ$1)&gt;=1,0,-'Cash Flow'!AR$54)</f>
        <v>6462.6940571709565</v>
      </c>
      <c r="AS9" s="42">
        <f ca="1">IF(SUM($F$1:AR$1)&gt;=1,0,-'Cash Flow'!AS$54)</f>
        <v>6509.8178680044957</v>
      </c>
      <c r="AT9" s="42">
        <f ca="1">IF(SUM($F$1:AS$1)&gt;=1,0,-'Cash Flow'!AT$54)</f>
        <v>6557.2852899586951</v>
      </c>
      <c r="AU9" s="42">
        <f ca="1">IF(SUM($F$1:AT$1)&gt;=1,0,-'Cash Flow'!AU$54)</f>
        <v>689.73424519797697</v>
      </c>
      <c r="AV9" s="42">
        <f ca="1">IF(SUM($F$1:AU$1)&gt;=1,0,-'Cash Flow'!AV$54)</f>
        <v>694.76355740254564</v>
      </c>
      <c r="AW9" s="42">
        <f ca="1">IF(SUM($F$1:AV$1)&gt;=1,0,-'Cash Flow'!AW$54)</f>
        <v>699.82954167527248</v>
      </c>
      <c r="AX9" s="42">
        <f ca="1">IF(SUM($F$1:AW$1)&gt;=1,0,-'Cash Flow'!AX$54)</f>
        <v>0</v>
      </c>
      <c r="AY9" s="42">
        <f ca="1">IF(SUM($F$1:AX$1)&gt;=1,0,-'Cash Flow'!AY$54)</f>
        <v>0</v>
      </c>
      <c r="AZ9" s="42">
        <f ca="1">IF(SUM($F$1:AY$1)&gt;=1,0,-'Cash Flow'!AZ$54)</f>
        <v>0</v>
      </c>
      <c r="BA9" s="42">
        <f ca="1">IF(SUM($F$1:AZ$1)&gt;=1,0,-'Cash Flow'!BA$54)</f>
        <v>0</v>
      </c>
      <c r="BB9" s="42">
        <f ca="1">IF(SUM($F$1:BA$1)&gt;=1,0,-'Cash Flow'!BB$54)</f>
        <v>0</v>
      </c>
      <c r="BC9" s="42">
        <f ca="1">IF(SUM($F$1:BB$1)&gt;=1,0,-'Cash Flow'!BC$54)</f>
        <v>0</v>
      </c>
      <c r="BD9" s="42">
        <f ca="1">IF(SUM($F$1:BC$1)&gt;=1,0,-'Cash Flow'!BD$54)</f>
        <v>0</v>
      </c>
      <c r="BE9" s="42">
        <f ca="1">IF(SUM($F$1:BD$1)&gt;=1,0,-'Cash Flow'!BE$54)</f>
        <v>0</v>
      </c>
      <c r="BF9" s="42">
        <f ca="1">IF(SUM($F$1:BE$1)&gt;=1,0,-'Cash Flow'!BF$54)</f>
        <v>0</v>
      </c>
      <c r="BG9" s="42">
        <f ca="1">IF(SUM($F$1:BF$1)&gt;=1,0,-'Cash Flow'!BG$54)</f>
        <v>0</v>
      </c>
      <c r="BH9" s="42">
        <f ca="1">IF(SUM($F$1:BG$1)&gt;=1,0,-'Cash Flow'!BH$54)</f>
        <v>0</v>
      </c>
      <c r="BI9" s="42">
        <f ca="1">IF(SUM($F$1:BH$1)&gt;=1,0,-'Cash Flow'!BI$54)</f>
        <v>0</v>
      </c>
      <c r="BJ9" s="42">
        <f ca="1">IF(SUM($F$1:BI$1)&gt;=1,0,-'Cash Flow'!BJ$54)</f>
        <v>0</v>
      </c>
      <c r="BK9" s="42">
        <f ca="1">IF(SUM($F$1:BJ$1)&gt;=1,0,-'Cash Flow'!BK$54)</f>
        <v>0</v>
      </c>
      <c r="BL9" s="42">
        <f ca="1">IF(SUM($F$1:BK$1)&gt;=1,0,-'Cash Flow'!BL$54)</f>
        <v>0</v>
      </c>
      <c r="BM9" s="42">
        <f ca="1">IF(SUM($F$1:BL$1)&gt;=1,0,-'Cash Flow'!BM$54)</f>
        <v>0</v>
      </c>
      <c r="BN9" s="42">
        <f ca="1">IF(SUM($F$1:BM$1)&gt;=1,0,-'Cash Flow'!BN$54)</f>
        <v>0</v>
      </c>
      <c r="BO9" s="214">
        <f ca="1">IF(SUM($F$1:BN$1)&gt;=1,0,-'Cash Flow'!BO$54)</f>
        <v>0</v>
      </c>
    </row>
    <row r="10" spans="2:67" ht="14.05" customHeight="1" x14ac:dyDescent="0.4">
      <c r="B10" s="128" t="s">
        <v>103</v>
      </c>
      <c r="C10" s="200"/>
      <c r="D10" s="201">
        <f t="shared" ca="1" si="35"/>
        <v>-6920156.25</v>
      </c>
      <c r="E10" s="202" t="s">
        <v>21</v>
      </c>
      <c r="G10" s="209">
        <f>IF(G6=0,0,-'Sales Proceeds &amp; MUD'!G$14*$D$3)</f>
        <v>0</v>
      </c>
      <c r="H10" s="42">
        <f ca="1">IF(H6=0,0,-'Sales Proceeds &amp; MUD'!H$14*$D$3)</f>
        <v>0</v>
      </c>
      <c r="I10" s="42">
        <f ca="1">IF(I6=0,0,-'Sales Proceeds &amp; MUD'!I$14*$D$3)</f>
        <v>0</v>
      </c>
      <c r="J10" s="42">
        <f ca="1">IF(J6=0,0,-'Sales Proceeds &amp; MUD'!J$14*$D$3)</f>
        <v>0</v>
      </c>
      <c r="K10" s="42">
        <f ca="1">IF(K6=0,0,-'Sales Proceeds &amp; MUD'!K$14*$D$3)</f>
        <v>0</v>
      </c>
      <c r="L10" s="42">
        <f ca="1">IF(L6=0,0,-'Sales Proceeds &amp; MUD'!L$14*$D$3)</f>
        <v>0</v>
      </c>
      <c r="M10" s="42">
        <f ca="1">IF(M6=0,0,-'Sales Proceeds &amp; MUD'!M$14*$D$3)</f>
        <v>0</v>
      </c>
      <c r="N10" s="42">
        <f ca="1">IF(N6=0,0,-'Sales Proceeds &amp; MUD'!N$14*$D$3)</f>
        <v>0</v>
      </c>
      <c r="O10" s="42">
        <f ca="1">IF(O6=0,0,-'Sales Proceeds &amp; MUD'!O$14*$D$3)</f>
        <v>0</v>
      </c>
      <c r="P10" s="42">
        <f ca="1">IF(P6=0,0,-'Sales Proceeds &amp; MUD'!P$14*$D$3)</f>
        <v>0</v>
      </c>
      <c r="Q10" s="42">
        <f ca="1">IF(Q6=0,0,-'Sales Proceeds &amp; MUD'!Q$14*$D$3)</f>
        <v>0</v>
      </c>
      <c r="R10" s="42">
        <f ca="1">IF(R6=0,0,-'Sales Proceeds &amp; MUD'!R$14*$D$3)</f>
        <v>0</v>
      </c>
      <c r="S10" s="42">
        <f ca="1">IF(S6=0,0,-'Sales Proceeds &amp; MUD'!S$14*$D$3)</f>
        <v>0</v>
      </c>
      <c r="T10" s="42">
        <f ca="1">IF(T6=0,0,-'Sales Proceeds &amp; MUD'!T$14*$D$3)</f>
        <v>0</v>
      </c>
      <c r="U10" s="42">
        <f ca="1">IF(U6=0,0,-'Sales Proceeds &amp; MUD'!U$14*$D$3)</f>
        <v>0</v>
      </c>
      <c r="V10" s="42">
        <f ca="1">IF(V6=0,0,-'Sales Proceeds &amp; MUD'!V$14*$D$3)</f>
        <v>0</v>
      </c>
      <c r="W10" s="42">
        <f ca="1">IF(W6=0,0,-'Sales Proceeds &amp; MUD'!W$14*$D$3)</f>
        <v>0</v>
      </c>
      <c r="X10" s="42">
        <f ca="1">IF(X6=0,0,-'Sales Proceeds &amp; MUD'!X$14*$D$3)</f>
        <v>0</v>
      </c>
      <c r="Y10" s="42">
        <f ca="1">IF(Y6=0,0,-'Sales Proceeds &amp; MUD'!Y$14*$D$3)</f>
        <v>-712500</v>
      </c>
      <c r="Z10" s="42">
        <f ca="1">IF(Z6=0,0,-'Sales Proceeds &amp; MUD'!Z$14*$D$3)</f>
        <v>0</v>
      </c>
      <c r="AA10" s="42">
        <f ca="1">IF(AA6=0,0,-'Sales Proceeds &amp; MUD'!AA$14*$D$3)</f>
        <v>0</v>
      </c>
      <c r="AB10" s="42">
        <f ca="1">IF(AB6=0,0,-'Sales Proceeds &amp; MUD'!AB$14*$D$3)</f>
        <v>-725859.375</v>
      </c>
      <c r="AC10" s="42">
        <f ca="1">IF(AC6=0,0,-'Sales Proceeds &amp; MUD'!AC$14*$D$3)</f>
        <v>0</v>
      </c>
      <c r="AD10" s="42">
        <f ca="1">IF(AD6=0,0,-'Sales Proceeds &amp; MUD'!AD$14*$D$3)</f>
        <v>0</v>
      </c>
      <c r="AE10" s="42">
        <f ca="1">IF(AE6=0,0,-'Sales Proceeds &amp; MUD'!AE$14*$D$3)</f>
        <v>-739218.75</v>
      </c>
      <c r="AF10" s="42">
        <f ca="1">IF(AF6=0,0,-'Sales Proceeds &amp; MUD'!AF$14*$D$3)</f>
        <v>0</v>
      </c>
      <c r="AG10" s="42">
        <f ca="1">IF(AG6=0,0,-'Sales Proceeds &amp; MUD'!AG$14*$D$3)</f>
        <v>0</v>
      </c>
      <c r="AH10" s="42">
        <f ca="1">IF(AH6=0,0,-'Sales Proceeds &amp; MUD'!AH$14*$D$3)</f>
        <v>-752578.125</v>
      </c>
      <c r="AI10" s="42">
        <f ca="1">IF(AI6=0,0,-'Sales Proceeds &amp; MUD'!AI$14*$D$3)</f>
        <v>0</v>
      </c>
      <c r="AJ10" s="42">
        <f ca="1">IF(AJ6=0,0,-'Sales Proceeds &amp; MUD'!AJ$14*$D$3)</f>
        <v>0</v>
      </c>
      <c r="AK10" s="42">
        <f ca="1">IF(AK6=0,0,-'Sales Proceeds &amp; MUD'!AK$14*$D$3)</f>
        <v>-769500</v>
      </c>
      <c r="AL10" s="42">
        <f ca="1">IF(AL6=0,0,-'Sales Proceeds &amp; MUD'!AL$14*$D$3)</f>
        <v>0</v>
      </c>
      <c r="AM10" s="42">
        <f ca="1">IF(AM6=0,0,-'Sales Proceeds &amp; MUD'!AM$14*$D$3)</f>
        <v>0</v>
      </c>
      <c r="AN10" s="42">
        <f ca="1">IF(AN6=0,0,-'Sales Proceeds &amp; MUD'!AN$14*$D$3)</f>
        <v>-783750</v>
      </c>
      <c r="AO10" s="42">
        <f ca="1">IF(AO6=0,0,-'Sales Proceeds &amp; MUD'!AO$14*$D$3)</f>
        <v>0</v>
      </c>
      <c r="AP10" s="42">
        <f ca="1">IF(AP6=0,0,-'Sales Proceeds &amp; MUD'!AP$14*$D$3)</f>
        <v>0</v>
      </c>
      <c r="AQ10" s="42">
        <f ca="1">IF(AQ6=0,0,-'Sales Proceeds &amp; MUD'!AQ$14*$D$3)</f>
        <v>-798000</v>
      </c>
      <c r="AR10" s="42">
        <f ca="1">IF(AR6=0,0,-'Sales Proceeds &amp; MUD'!AR$14*$D$3)</f>
        <v>0</v>
      </c>
      <c r="AS10" s="42">
        <f ca="1">IF(AS6=0,0,-'Sales Proceeds &amp; MUD'!AS$14*$D$3)</f>
        <v>0</v>
      </c>
      <c r="AT10" s="42">
        <f ca="1">IF(AT6=0,0,-'Sales Proceeds &amp; MUD'!AT$14*$D$3)</f>
        <v>-812250</v>
      </c>
      <c r="AU10" s="42">
        <f ca="1">IF(AU6=0,0,-'Sales Proceeds &amp; MUD'!AU$14*$D$3)</f>
        <v>0</v>
      </c>
      <c r="AV10" s="42">
        <f ca="1">IF(AV6=0,0,-'Sales Proceeds &amp; MUD'!AV$14*$D$3)</f>
        <v>0</v>
      </c>
      <c r="AW10" s="42">
        <f ca="1">IF(AW6=0,0,-'Sales Proceeds &amp; MUD'!AW$14*$D$3)</f>
        <v>-826500</v>
      </c>
      <c r="AX10" s="42">
        <f ca="1">IF(AX6=0,0,-'Sales Proceeds &amp; MUD'!AX$14*$D$3)</f>
        <v>0</v>
      </c>
      <c r="AY10" s="42">
        <f ca="1">IF(AY6=0,0,-'Sales Proceeds &amp; MUD'!AY$14*$D$3)</f>
        <v>0</v>
      </c>
      <c r="AZ10" s="42">
        <f ca="1">IF(AZ6=0,0,-'Sales Proceeds &amp; MUD'!AZ$14*$D$3)</f>
        <v>0</v>
      </c>
      <c r="BA10" s="42">
        <f ca="1">IF(BA6=0,0,-'Sales Proceeds &amp; MUD'!BA$14*$D$3)</f>
        <v>0</v>
      </c>
      <c r="BB10" s="42">
        <f ca="1">IF(BB6=0,0,-'Sales Proceeds &amp; MUD'!BB$14*$D$3)</f>
        <v>0</v>
      </c>
      <c r="BC10" s="42">
        <f ca="1">IF(BC6=0,0,-'Sales Proceeds &amp; MUD'!BC$14*$D$3)</f>
        <v>0</v>
      </c>
      <c r="BD10" s="42">
        <f ca="1">IF(BD6=0,0,-'Sales Proceeds &amp; MUD'!BD$14*$D$3)</f>
        <v>0</v>
      </c>
      <c r="BE10" s="42">
        <f ca="1">IF(BE6=0,0,-'Sales Proceeds &amp; MUD'!BE$14*$D$3)</f>
        <v>0</v>
      </c>
      <c r="BF10" s="42">
        <f ca="1">IF(BF6=0,0,-'Sales Proceeds &amp; MUD'!BF$14*$D$3)</f>
        <v>0</v>
      </c>
      <c r="BG10" s="42">
        <f ca="1">IF(BG6=0,0,-'Sales Proceeds &amp; MUD'!BG$14*$D$3)</f>
        <v>0</v>
      </c>
      <c r="BH10" s="42">
        <f ca="1">IF(BH6=0,0,-'Sales Proceeds &amp; MUD'!BH$14*$D$3)</f>
        <v>0</v>
      </c>
      <c r="BI10" s="42">
        <f ca="1">IF(BI6=0,0,-'Sales Proceeds &amp; MUD'!BI$14*$D$3)</f>
        <v>0</v>
      </c>
      <c r="BJ10" s="42">
        <f ca="1">IF(BJ6=0,0,-'Sales Proceeds &amp; MUD'!BJ$14*$D$3)</f>
        <v>0</v>
      </c>
      <c r="BK10" s="42">
        <f ca="1">IF(BK6=0,0,-'Sales Proceeds &amp; MUD'!BK$14*$D$3)</f>
        <v>0</v>
      </c>
      <c r="BL10" s="42">
        <f ca="1">IF(BL6=0,0,-'Sales Proceeds &amp; MUD'!BL$14*$D$3)</f>
        <v>0</v>
      </c>
      <c r="BM10" s="42">
        <f ca="1">IF(BM6=0,0,-'Sales Proceeds &amp; MUD'!BM$14*$D$3)</f>
        <v>0</v>
      </c>
      <c r="BN10" s="42">
        <f ca="1">IF(BN6=0,0,-'Sales Proceeds &amp; MUD'!BN$14*$D$3)</f>
        <v>0</v>
      </c>
      <c r="BO10" s="214">
        <f ca="1">IF(BO6=0,0,-'Sales Proceeds &amp; MUD'!BO$14*$D$3)</f>
        <v>0</v>
      </c>
    </row>
    <row r="11" spans="2:67" ht="14.05" customHeight="1" x14ac:dyDescent="0.4">
      <c r="B11" s="128" t="s">
        <v>44</v>
      </c>
      <c r="C11" s="200"/>
      <c r="D11" s="201">
        <f t="shared" ca="1" si="35"/>
        <v>728823.54760000168</v>
      </c>
      <c r="E11" s="202" t="s">
        <v>24</v>
      </c>
      <c r="G11" s="209">
        <f>IF(G1=1,-SUM(G6:G10),0)</f>
        <v>0</v>
      </c>
      <c r="H11" s="42">
        <f t="shared" ref="H11:AL11" ca="1" si="36">IF(H1=1,-SUM(H6:H10),0)</f>
        <v>0</v>
      </c>
      <c r="I11" s="42">
        <f t="shared" ca="1" si="36"/>
        <v>0</v>
      </c>
      <c r="J11" s="42">
        <f t="shared" ca="1" si="36"/>
        <v>0</v>
      </c>
      <c r="K11" s="42">
        <f t="shared" ca="1" si="36"/>
        <v>0</v>
      </c>
      <c r="L11" s="42">
        <f t="shared" ca="1" si="36"/>
        <v>0</v>
      </c>
      <c r="M11" s="42">
        <f t="shared" ca="1" si="36"/>
        <v>0</v>
      </c>
      <c r="N11" s="42">
        <f t="shared" ca="1" si="36"/>
        <v>0</v>
      </c>
      <c r="O11" s="42">
        <f t="shared" ca="1" si="36"/>
        <v>0</v>
      </c>
      <c r="P11" s="42">
        <f t="shared" ca="1" si="36"/>
        <v>0</v>
      </c>
      <c r="Q11" s="42">
        <f t="shared" ca="1" si="36"/>
        <v>0</v>
      </c>
      <c r="R11" s="42">
        <f t="shared" ca="1" si="36"/>
        <v>0</v>
      </c>
      <c r="S11" s="42">
        <f t="shared" ca="1" si="36"/>
        <v>0</v>
      </c>
      <c r="T11" s="42">
        <f t="shared" ca="1" si="36"/>
        <v>0</v>
      </c>
      <c r="U11" s="42">
        <f t="shared" ca="1" si="36"/>
        <v>0</v>
      </c>
      <c r="V11" s="42">
        <f t="shared" ca="1" si="36"/>
        <v>0</v>
      </c>
      <c r="W11" s="42">
        <f t="shared" ca="1" si="36"/>
        <v>0</v>
      </c>
      <c r="X11" s="42">
        <f t="shared" ca="1" si="36"/>
        <v>0</v>
      </c>
      <c r="Y11" s="42">
        <f t="shared" ca="1" si="36"/>
        <v>0</v>
      </c>
      <c r="Z11" s="42">
        <f t="shared" ca="1" si="36"/>
        <v>0</v>
      </c>
      <c r="AA11" s="42">
        <f t="shared" ca="1" si="36"/>
        <v>0</v>
      </c>
      <c r="AB11" s="42">
        <f t="shared" ca="1" si="36"/>
        <v>0</v>
      </c>
      <c r="AC11" s="42">
        <f t="shared" ca="1" si="36"/>
        <v>0</v>
      </c>
      <c r="AD11" s="42">
        <f t="shared" ca="1" si="36"/>
        <v>0</v>
      </c>
      <c r="AE11" s="42">
        <f t="shared" ca="1" si="36"/>
        <v>0</v>
      </c>
      <c r="AF11" s="42">
        <f t="shared" ca="1" si="36"/>
        <v>0</v>
      </c>
      <c r="AG11" s="42">
        <f t="shared" ca="1" si="36"/>
        <v>0</v>
      </c>
      <c r="AH11" s="42">
        <f t="shared" ca="1" si="36"/>
        <v>0</v>
      </c>
      <c r="AI11" s="42">
        <f t="shared" ca="1" si="36"/>
        <v>0</v>
      </c>
      <c r="AJ11" s="42">
        <f t="shared" ca="1" si="36"/>
        <v>0</v>
      </c>
      <c r="AK11" s="42">
        <f t="shared" ca="1" si="36"/>
        <v>0</v>
      </c>
      <c r="AL11" s="42">
        <f t="shared" ca="1" si="36"/>
        <v>0</v>
      </c>
      <c r="AM11" s="42">
        <f t="shared" ref="AM11:BO11" ca="1" si="37">IF(AM1=1,-SUM(AM6:AM10),0)</f>
        <v>0</v>
      </c>
      <c r="AN11" s="42">
        <f t="shared" ca="1" si="37"/>
        <v>0</v>
      </c>
      <c r="AO11" s="42">
        <f t="shared" ca="1" si="37"/>
        <v>0</v>
      </c>
      <c r="AP11" s="42">
        <f t="shared" ca="1" si="37"/>
        <v>0</v>
      </c>
      <c r="AQ11" s="42">
        <f t="shared" ca="1" si="37"/>
        <v>0</v>
      </c>
      <c r="AR11" s="42">
        <f t="shared" ca="1" si="37"/>
        <v>0</v>
      </c>
      <c r="AS11" s="42">
        <f t="shared" ca="1" si="37"/>
        <v>0</v>
      </c>
      <c r="AT11" s="42">
        <f t="shared" ca="1" si="37"/>
        <v>0</v>
      </c>
      <c r="AU11" s="42">
        <f t="shared" ca="1" si="37"/>
        <v>0</v>
      </c>
      <c r="AV11" s="42">
        <f t="shared" ca="1" si="37"/>
        <v>0</v>
      </c>
      <c r="AW11" s="42">
        <f t="shared" ca="1" si="37"/>
        <v>728823.54760000168</v>
      </c>
      <c r="AX11" s="42">
        <f t="shared" ca="1" si="37"/>
        <v>0</v>
      </c>
      <c r="AY11" s="42">
        <f t="shared" ca="1" si="37"/>
        <v>0</v>
      </c>
      <c r="AZ11" s="42">
        <f ca="1">IF(AZ1=1,-SUM(AZ6:AZ10),0)</f>
        <v>0</v>
      </c>
      <c r="BA11" s="42">
        <f t="shared" ca="1" si="37"/>
        <v>0</v>
      </c>
      <c r="BB11" s="42">
        <f t="shared" ca="1" si="37"/>
        <v>0</v>
      </c>
      <c r="BC11" s="42">
        <f t="shared" ca="1" si="37"/>
        <v>0</v>
      </c>
      <c r="BD11" s="42">
        <f t="shared" ca="1" si="37"/>
        <v>0</v>
      </c>
      <c r="BE11" s="42">
        <f t="shared" ca="1" si="37"/>
        <v>0</v>
      </c>
      <c r="BF11" s="42">
        <f t="shared" ca="1" si="37"/>
        <v>0</v>
      </c>
      <c r="BG11" s="42">
        <f t="shared" ca="1" si="37"/>
        <v>0</v>
      </c>
      <c r="BH11" s="42">
        <f t="shared" ca="1" si="37"/>
        <v>0</v>
      </c>
      <c r="BI11" s="42">
        <f t="shared" ca="1" si="37"/>
        <v>0</v>
      </c>
      <c r="BJ11" s="42">
        <f t="shared" ca="1" si="37"/>
        <v>0</v>
      </c>
      <c r="BK11" s="42">
        <f t="shared" ca="1" si="37"/>
        <v>0</v>
      </c>
      <c r="BL11" s="42">
        <f t="shared" ca="1" si="37"/>
        <v>0</v>
      </c>
      <c r="BM11" s="42">
        <f t="shared" ca="1" si="37"/>
        <v>0</v>
      </c>
      <c r="BN11" s="42">
        <f t="shared" ca="1" si="37"/>
        <v>0</v>
      </c>
      <c r="BO11" s="214">
        <f t="shared" ca="1" si="37"/>
        <v>0</v>
      </c>
    </row>
    <row r="12" spans="2:67" ht="14.05" customHeight="1" x14ac:dyDescent="0.4">
      <c r="B12" s="129" t="s">
        <v>102</v>
      </c>
      <c r="C12" s="203"/>
      <c r="D12" s="201">
        <f ca="1">SUM(D7:D11)</f>
        <v>2.4447217583656311E-9</v>
      </c>
      <c r="E12" s="199"/>
      <c r="G12" s="210">
        <f t="shared" ref="G12:AL12" ca="1" si="38">SUM(G6:G11)</f>
        <v>0</v>
      </c>
      <c r="H12" s="43">
        <f t="shared" ca="1" si="38"/>
        <v>0</v>
      </c>
      <c r="I12" s="43">
        <f t="shared" ca="1" si="38"/>
        <v>0</v>
      </c>
      <c r="J12" s="43">
        <f t="shared" ca="1" si="38"/>
        <v>0</v>
      </c>
      <c r="K12" s="43">
        <f t="shared" ca="1" si="38"/>
        <v>0</v>
      </c>
      <c r="L12" s="43">
        <f t="shared" ca="1" si="38"/>
        <v>0</v>
      </c>
      <c r="M12" s="43">
        <f t="shared" ca="1" si="38"/>
        <v>119637.3795891609</v>
      </c>
      <c r="N12" s="43">
        <f t="shared" ca="1" si="38"/>
        <v>315882.70686125086</v>
      </c>
      <c r="O12" s="43">
        <f t="shared" ca="1" si="38"/>
        <v>434013.10520151805</v>
      </c>
      <c r="P12" s="43">
        <f t="shared" ca="1" si="38"/>
        <v>853126.51053002873</v>
      </c>
      <c r="Q12" s="43">
        <f t="shared" ca="1" si="38"/>
        <v>1275208.6358129496</v>
      </c>
      <c r="R12" s="43">
        <f t="shared" ca="1" si="38"/>
        <v>2020605.5094832913</v>
      </c>
      <c r="S12" s="43">
        <f t="shared" ca="1" si="38"/>
        <v>2786361.6526754647</v>
      </c>
      <c r="T12" s="43">
        <f t="shared" ca="1" si="38"/>
        <v>3542462.5268819155</v>
      </c>
      <c r="U12" s="43">
        <f t="shared" ca="1" si="38"/>
        <v>4303919.1156139951</v>
      </c>
      <c r="V12" s="43">
        <f t="shared" ca="1" si="38"/>
        <v>4688859.7926829271</v>
      </c>
      <c r="W12" s="43">
        <f t="shared" ca="1" si="38"/>
        <v>5145193.7995477645</v>
      </c>
      <c r="X12" s="43">
        <f t="shared" ca="1" si="38"/>
        <v>5284435.1722945608</v>
      </c>
      <c r="Y12" s="43">
        <f t="shared" ca="1" si="38"/>
        <v>4788162.8380983137</v>
      </c>
      <c r="Z12" s="43">
        <f t="shared" ca="1" si="38"/>
        <v>4851625.2415348431</v>
      </c>
      <c r="AA12" s="43">
        <f t="shared" ca="1" si="38"/>
        <v>4915537.1703290483</v>
      </c>
      <c r="AB12" s="43">
        <f t="shared" ca="1" si="38"/>
        <v>4225496.1836188789</v>
      </c>
      <c r="AC12" s="43">
        <f t="shared" ca="1" si="38"/>
        <v>4255426.7815861795</v>
      </c>
      <c r="AD12" s="43">
        <f t="shared" ca="1" si="38"/>
        <v>4285569.3879557485</v>
      </c>
      <c r="AE12" s="43">
        <f t="shared" ca="1" si="38"/>
        <v>3607865.504453768</v>
      </c>
      <c r="AF12" s="43">
        <f t="shared" ca="1" si="38"/>
        <v>3633421.2184436489</v>
      </c>
      <c r="AG12" s="43">
        <f t="shared" ca="1" si="38"/>
        <v>3659157.9520742912</v>
      </c>
      <c r="AH12" s="43">
        <f t="shared" ca="1" si="38"/>
        <v>2933498.8625681507</v>
      </c>
      <c r="AI12" s="43">
        <f t="shared" ca="1" si="38"/>
        <v>2954277.812844675</v>
      </c>
      <c r="AJ12" s="43">
        <f t="shared" ca="1" si="38"/>
        <v>2975203.9473523246</v>
      </c>
      <c r="AK12" s="43">
        <f t="shared" ca="1" si="38"/>
        <v>2228398.1428017686</v>
      </c>
      <c r="AL12" s="43">
        <f t="shared" ca="1" si="38"/>
        <v>2244646.8792596981</v>
      </c>
      <c r="AM12" s="43">
        <f t="shared" ref="AM12:BO12" ca="1" si="39">SUM(AM6:AM11)</f>
        <v>2261014.0960876332</v>
      </c>
      <c r="AN12" s="43">
        <f t="shared" ca="1" si="39"/>
        <v>1494750.6572049391</v>
      </c>
      <c r="AO12" s="43">
        <f t="shared" ca="1" si="39"/>
        <v>1505649.8807470584</v>
      </c>
      <c r="AP12" s="43">
        <f t="shared" ca="1" si="39"/>
        <v>1516628.5777941723</v>
      </c>
      <c r="AQ12" s="43">
        <f t="shared" ca="1" si="39"/>
        <v>886312.32784058829</v>
      </c>
      <c r="AR12" s="43">
        <f t="shared" ca="1" si="39"/>
        <v>892775.02189775929</v>
      </c>
      <c r="AS12" s="43">
        <f t="shared" ca="1" si="39"/>
        <v>899284.83976576384</v>
      </c>
      <c r="AT12" s="43">
        <f t="shared" ca="1" si="39"/>
        <v>94592.125055722543</v>
      </c>
      <c r="AU12" s="43">
        <f t="shared" ca="1" si="39"/>
        <v>95281.859300920521</v>
      </c>
      <c r="AV12" s="43">
        <f t="shared" ca="1" si="39"/>
        <v>95976.62285832307</v>
      </c>
      <c r="AW12" s="43">
        <f t="shared" ca="1" si="39"/>
        <v>0</v>
      </c>
      <c r="AX12" s="43">
        <f t="shared" ca="1" si="39"/>
        <v>0</v>
      </c>
      <c r="AY12" s="43">
        <f t="shared" ca="1" si="39"/>
        <v>0</v>
      </c>
      <c r="AZ12" s="43">
        <f ca="1">SUM(AZ6:AZ11)</f>
        <v>0</v>
      </c>
      <c r="BA12" s="43">
        <f t="shared" ca="1" si="39"/>
        <v>0</v>
      </c>
      <c r="BB12" s="43">
        <f t="shared" ca="1" si="39"/>
        <v>0</v>
      </c>
      <c r="BC12" s="43">
        <f t="shared" ca="1" si="39"/>
        <v>0</v>
      </c>
      <c r="BD12" s="43">
        <f t="shared" ca="1" si="39"/>
        <v>0</v>
      </c>
      <c r="BE12" s="43">
        <f t="shared" ca="1" si="39"/>
        <v>0</v>
      </c>
      <c r="BF12" s="43">
        <f t="shared" ca="1" si="39"/>
        <v>0</v>
      </c>
      <c r="BG12" s="43">
        <f t="shared" ca="1" si="39"/>
        <v>0</v>
      </c>
      <c r="BH12" s="43">
        <f t="shared" ca="1" si="39"/>
        <v>0</v>
      </c>
      <c r="BI12" s="43">
        <f t="shared" ca="1" si="39"/>
        <v>0</v>
      </c>
      <c r="BJ12" s="43">
        <f t="shared" ca="1" si="39"/>
        <v>0</v>
      </c>
      <c r="BK12" s="43">
        <f t="shared" ca="1" si="39"/>
        <v>0</v>
      </c>
      <c r="BL12" s="43">
        <f t="shared" ca="1" si="39"/>
        <v>0</v>
      </c>
      <c r="BM12" s="43">
        <f t="shared" ca="1" si="39"/>
        <v>0</v>
      </c>
      <c r="BN12" s="43">
        <f t="shared" ca="1" si="39"/>
        <v>0</v>
      </c>
      <c r="BO12" s="215">
        <f t="shared" ca="1" si="39"/>
        <v>0</v>
      </c>
    </row>
    <row r="13" spans="2:67" ht="14.05" customHeight="1" x14ac:dyDescent="0.4">
      <c r="B13" s="130"/>
      <c r="E13" s="199"/>
      <c r="G13" s="211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7"/>
    </row>
    <row r="14" spans="2:67" ht="14.05" customHeight="1" x14ac:dyDescent="0.4">
      <c r="B14" s="130" t="s">
        <v>64</v>
      </c>
      <c r="E14" s="199"/>
      <c r="G14" s="212">
        <f>IF(G$5&lt;Assumptions!$C$60,Assumptions!$C$39,(Assumptions!$C$39+Assumptions!$C$40))</f>
        <v>8.5000000000000006E-2</v>
      </c>
      <c r="H14" s="218">
        <f>IF(H$5&lt;Assumptions!$C$60,Assumptions!$C$39,(Assumptions!$C$39+Assumptions!$C$40))</f>
        <v>8.5000000000000006E-2</v>
      </c>
      <c r="I14" s="218">
        <f>IF(I$5&lt;Assumptions!$C$60,Assumptions!$C$39,(Assumptions!$C$39+Assumptions!$C$40))</f>
        <v>8.5000000000000006E-2</v>
      </c>
      <c r="J14" s="218">
        <f>IF(J$5&lt;Assumptions!$C$60,Assumptions!$C$39,(Assumptions!$C$39+Assumptions!$C$40))</f>
        <v>8.5000000000000006E-2</v>
      </c>
      <c r="K14" s="218">
        <f>IF(K$5&lt;Assumptions!$C$60,Assumptions!$C$39,(Assumptions!$C$39+Assumptions!$C$40))</f>
        <v>8.5000000000000006E-2</v>
      </c>
      <c r="L14" s="218">
        <f>IF(L$5&lt;Assumptions!$C$60,Assumptions!$C$39,(Assumptions!$C$39+Assumptions!$C$40))</f>
        <v>8.5000000000000006E-2</v>
      </c>
      <c r="M14" s="218">
        <f>IF(M$5&lt;Assumptions!$C$60,Assumptions!$C$39,(Assumptions!$C$39+Assumptions!$C$40))</f>
        <v>8.5000000000000006E-2</v>
      </c>
      <c r="N14" s="218">
        <f>IF(N$5&lt;Assumptions!$C$60,Assumptions!$C$39,(Assumptions!$C$39+Assumptions!$C$40))</f>
        <v>8.5000000000000006E-2</v>
      </c>
      <c r="O14" s="218">
        <f>IF(O$5&lt;Assumptions!$C$60,Assumptions!$C$39,(Assumptions!$C$39+Assumptions!$C$40))</f>
        <v>8.5000000000000006E-2</v>
      </c>
      <c r="P14" s="218">
        <f>IF(P$5&lt;Assumptions!$C$60,Assumptions!$C$39,(Assumptions!$C$39+Assumptions!$C$40))</f>
        <v>8.5000000000000006E-2</v>
      </c>
      <c r="Q14" s="218">
        <f>IF(Q$5&lt;Assumptions!$C$60,Assumptions!$C$39,(Assumptions!$C$39+Assumptions!$C$40))</f>
        <v>8.5000000000000006E-2</v>
      </c>
      <c r="R14" s="218">
        <f>IF(R$5&lt;Assumptions!$C$60,Assumptions!$C$39,(Assumptions!$C$39+Assumptions!$C$40))</f>
        <v>8.5000000000000006E-2</v>
      </c>
      <c r="S14" s="218">
        <f>IF(S$5&lt;Assumptions!$C$60,Assumptions!$C$39,(Assumptions!$C$39+Assumptions!$C$40))</f>
        <v>8.5000000000000006E-2</v>
      </c>
      <c r="T14" s="218">
        <f>IF(T$5&lt;Assumptions!$C$60,Assumptions!$C$39,(Assumptions!$C$39+Assumptions!$C$40))</f>
        <v>8.5000000000000006E-2</v>
      </c>
      <c r="U14" s="218">
        <f>IF(U$5&lt;Assumptions!$C$60,Assumptions!$C$39,(Assumptions!$C$39+Assumptions!$C$40))</f>
        <v>8.5000000000000006E-2</v>
      </c>
      <c r="V14" s="218">
        <f>IF(V$5&lt;Assumptions!$C$60,Assumptions!$C$39,(Assumptions!$C$39+Assumptions!$C$40))</f>
        <v>8.5000000000000006E-2</v>
      </c>
      <c r="W14" s="218">
        <f>IF(W$5&lt;Assumptions!$C$60,Assumptions!$C$39,(Assumptions!$C$39+Assumptions!$C$40))</f>
        <v>8.5000000000000006E-2</v>
      </c>
      <c r="X14" s="218">
        <f>IF(X$5&lt;Assumptions!$C$60,Assumptions!$C$39,(Assumptions!$C$39+Assumptions!$C$40))</f>
        <v>8.5000000000000006E-2</v>
      </c>
      <c r="Y14" s="218">
        <f>IF(Y$5&lt;Assumptions!$C$60,Assumptions!$C$39,(Assumptions!$C$39+Assumptions!$C$40))</f>
        <v>8.5000000000000006E-2</v>
      </c>
      <c r="Z14" s="218">
        <f>IF(Z$5&lt;Assumptions!$C$60,Assumptions!$C$39,(Assumptions!$C$39+Assumptions!$C$40))</f>
        <v>8.5000000000000006E-2</v>
      </c>
      <c r="AA14" s="218">
        <f>IF(AA$5&lt;Assumptions!$C$60,Assumptions!$C$39,(Assumptions!$C$39+Assumptions!$C$40))</f>
        <v>8.5000000000000006E-2</v>
      </c>
      <c r="AB14" s="218">
        <f>IF(AB$5&lt;Assumptions!$C$60,Assumptions!$C$39,(Assumptions!$C$39+Assumptions!$C$40))</f>
        <v>8.5000000000000006E-2</v>
      </c>
      <c r="AC14" s="218">
        <f>IF(AC$5&lt;Assumptions!$C$60,Assumptions!$C$39,(Assumptions!$C$39+Assumptions!$C$40))</f>
        <v>8.5000000000000006E-2</v>
      </c>
      <c r="AD14" s="218">
        <f>IF(AD$5&lt;Assumptions!$C$60,Assumptions!$C$39,(Assumptions!$C$39+Assumptions!$C$40))</f>
        <v>8.5000000000000006E-2</v>
      </c>
      <c r="AE14" s="218">
        <f>IF(AE$5&lt;Assumptions!$C$60,Assumptions!$C$39,(Assumptions!$C$39+Assumptions!$C$40))</f>
        <v>8.5000000000000006E-2</v>
      </c>
      <c r="AF14" s="218">
        <f>IF(AF$5&lt;Assumptions!$C$60,Assumptions!$C$39,(Assumptions!$C$39+Assumptions!$C$40))</f>
        <v>8.5000000000000006E-2</v>
      </c>
      <c r="AG14" s="218">
        <f>IF(AG$5&lt;Assumptions!$C$60,Assumptions!$C$39,(Assumptions!$C$39+Assumptions!$C$40))</f>
        <v>8.5000000000000006E-2</v>
      </c>
      <c r="AH14" s="218">
        <f>IF(AH$5&lt;Assumptions!$C$60,Assumptions!$C$39,(Assumptions!$C$39+Assumptions!$C$40))</f>
        <v>8.5000000000000006E-2</v>
      </c>
      <c r="AI14" s="218">
        <f>IF(AI$5&lt;Assumptions!$C$60,Assumptions!$C$39,(Assumptions!$C$39+Assumptions!$C$40))</f>
        <v>8.5000000000000006E-2</v>
      </c>
      <c r="AJ14" s="218">
        <f>IF(AJ$5&lt;Assumptions!$C$60,Assumptions!$C$39,(Assumptions!$C$39+Assumptions!$C$40))</f>
        <v>8.5000000000000006E-2</v>
      </c>
      <c r="AK14" s="218">
        <f>IF(AK$5&lt;Assumptions!$C$60,Assumptions!$C$39,(Assumptions!$C$39+Assumptions!$C$40))</f>
        <v>8.7500000000000008E-2</v>
      </c>
      <c r="AL14" s="218">
        <f>IF(AL$5&lt;Assumptions!$C$60,Assumptions!$C$39,(Assumptions!$C$39+Assumptions!$C$40))</f>
        <v>8.7500000000000008E-2</v>
      </c>
      <c r="AM14" s="218">
        <f>IF(AM$5&lt;Assumptions!$C$60,Assumptions!$C$39,(Assumptions!$C$39+Assumptions!$C$40))</f>
        <v>8.7500000000000008E-2</v>
      </c>
      <c r="AN14" s="218">
        <f>IF(AN$5&lt;Assumptions!$C$60,Assumptions!$C$39,(Assumptions!$C$39+Assumptions!$C$40))</f>
        <v>8.7500000000000008E-2</v>
      </c>
      <c r="AO14" s="218">
        <f>IF(AO$5&lt;Assumptions!$C$60,Assumptions!$C$39,(Assumptions!$C$39+Assumptions!$C$40))</f>
        <v>8.7500000000000008E-2</v>
      </c>
      <c r="AP14" s="218">
        <f>IF(AP$5&lt;Assumptions!$C$60,Assumptions!$C$39,(Assumptions!$C$39+Assumptions!$C$40))</f>
        <v>8.7500000000000008E-2</v>
      </c>
      <c r="AQ14" s="218">
        <f>IF(AQ$5&lt;Assumptions!$C$60,Assumptions!$C$39,(Assumptions!$C$39+Assumptions!$C$40))</f>
        <v>8.7500000000000008E-2</v>
      </c>
      <c r="AR14" s="218">
        <f>IF(AR$5&lt;Assumptions!$C$60,Assumptions!$C$39,(Assumptions!$C$39+Assumptions!$C$40))</f>
        <v>8.7500000000000008E-2</v>
      </c>
      <c r="AS14" s="218">
        <f>IF(AS$5&lt;Assumptions!$C$60,Assumptions!$C$39,(Assumptions!$C$39+Assumptions!$C$40))</f>
        <v>8.7500000000000008E-2</v>
      </c>
      <c r="AT14" s="218">
        <f>IF(AT$5&lt;Assumptions!$C$60,Assumptions!$C$39,(Assumptions!$C$39+Assumptions!$C$40))</f>
        <v>8.7500000000000008E-2</v>
      </c>
      <c r="AU14" s="218">
        <f>IF(AU$5&lt;Assumptions!$C$60,Assumptions!$C$39,(Assumptions!$C$39+Assumptions!$C$40))</f>
        <v>8.7500000000000008E-2</v>
      </c>
      <c r="AV14" s="218">
        <f>IF(AV$5&lt;Assumptions!$C$60,Assumptions!$C$39,(Assumptions!$C$39+Assumptions!$C$40))</f>
        <v>8.7500000000000008E-2</v>
      </c>
      <c r="AW14" s="218">
        <f>IF(AW$5&lt;Assumptions!$C$60,Assumptions!$C$39,(Assumptions!$C$39+Assumptions!$C$40))</f>
        <v>8.7500000000000008E-2</v>
      </c>
      <c r="AX14" s="218">
        <f>IF(AX$5&lt;Assumptions!$C$60,Assumptions!$C$39,(Assumptions!$C$39+Assumptions!$C$40))</f>
        <v>8.7500000000000008E-2</v>
      </c>
      <c r="AY14" s="218">
        <f>IF(AY$5&lt;Assumptions!$C$60,Assumptions!$C$39,(Assumptions!$C$39+Assumptions!$C$40))</f>
        <v>8.7500000000000008E-2</v>
      </c>
      <c r="AZ14" s="218">
        <f>IF(AZ$5&lt;Assumptions!$C$60,Assumptions!$C$39,(Assumptions!$C$39+Assumptions!$C$40))</f>
        <v>8.7500000000000008E-2</v>
      </c>
      <c r="BA14" s="218">
        <f>IF(BA$5&lt;Assumptions!$C$60,Assumptions!$C$39,(Assumptions!$C$39+Assumptions!$C$40))</f>
        <v>8.7500000000000008E-2</v>
      </c>
      <c r="BB14" s="218">
        <f>IF(BB$5&lt;Assumptions!$C$60,Assumptions!$C$39,(Assumptions!$C$39+Assumptions!$C$40))</f>
        <v>8.7500000000000008E-2</v>
      </c>
      <c r="BC14" s="218">
        <f>IF(BC$5&lt;Assumptions!$C$60,Assumptions!$C$39,(Assumptions!$C$39+Assumptions!$C$40))</f>
        <v>8.7500000000000008E-2</v>
      </c>
      <c r="BD14" s="218">
        <f>IF(BD$5&lt;Assumptions!$C$60,Assumptions!$C$39,(Assumptions!$C$39+Assumptions!$C$40))</f>
        <v>8.7500000000000008E-2</v>
      </c>
      <c r="BE14" s="218">
        <f>IF(BE$5&lt;Assumptions!$C$60,Assumptions!$C$39,(Assumptions!$C$39+Assumptions!$C$40))</f>
        <v>8.7500000000000008E-2</v>
      </c>
      <c r="BF14" s="218">
        <f>IF(BF$5&lt;Assumptions!$C$60,Assumptions!$C$39,(Assumptions!$C$39+Assumptions!$C$40))</f>
        <v>8.7500000000000008E-2</v>
      </c>
      <c r="BG14" s="218">
        <f>IF(BG$5&lt;Assumptions!$C$60,Assumptions!$C$39,(Assumptions!$C$39+Assumptions!$C$40))</f>
        <v>8.7500000000000008E-2</v>
      </c>
      <c r="BH14" s="218">
        <f>IF(BH$5&lt;Assumptions!$C$60,Assumptions!$C$39,(Assumptions!$C$39+Assumptions!$C$40))</f>
        <v>8.7500000000000008E-2</v>
      </c>
      <c r="BI14" s="218">
        <f>IF(BI$5&lt;Assumptions!$C$60,Assumptions!$C$39,(Assumptions!$C$39+Assumptions!$C$40))</f>
        <v>8.7500000000000008E-2</v>
      </c>
      <c r="BJ14" s="218">
        <f>IF(BJ$5&lt;Assumptions!$C$60,Assumptions!$C$39,(Assumptions!$C$39+Assumptions!$C$40))</f>
        <v>8.7500000000000008E-2</v>
      </c>
      <c r="BK14" s="218">
        <f>IF(BK$5&lt;Assumptions!$C$60,Assumptions!$C$39,(Assumptions!$C$39+Assumptions!$C$40))</f>
        <v>8.7500000000000008E-2</v>
      </c>
      <c r="BL14" s="218">
        <f>IF(BL$5&lt;Assumptions!$C$60,Assumptions!$C$39,(Assumptions!$C$39+Assumptions!$C$40))</f>
        <v>8.7500000000000008E-2</v>
      </c>
      <c r="BM14" s="218">
        <f>IF(BM$5&lt;Assumptions!$C$60,Assumptions!$C$39,(Assumptions!$C$39+Assumptions!$C$40))</f>
        <v>8.7500000000000008E-2</v>
      </c>
      <c r="BN14" s="218">
        <f>IF(BN$5&lt;Assumptions!$C$60,Assumptions!$C$39,(Assumptions!$C$39+Assumptions!$C$40))</f>
        <v>8.7500000000000008E-2</v>
      </c>
      <c r="BO14" s="219">
        <f>IF(BO$5&lt;Assumptions!$C$60,Assumptions!$C$39,(Assumptions!$C$39+Assumptions!$C$40))</f>
        <v>8.7500000000000008E-2</v>
      </c>
    </row>
    <row r="15" spans="2:67" ht="14.05" customHeight="1" x14ac:dyDescent="0.4">
      <c r="B15" s="204" t="s">
        <v>14</v>
      </c>
      <c r="C15" s="205"/>
      <c r="D15" s="206">
        <f ca="1">SUM(G15:AW15)</f>
        <v>655745.69781084068</v>
      </c>
      <c r="E15" s="207"/>
      <c r="F15" s="205"/>
      <c r="G15" s="220">
        <f>F12*G14/12</f>
        <v>0</v>
      </c>
      <c r="H15" s="221">
        <f t="shared" ref="H15:AW15" ca="1" si="40">G12*H14/12</f>
        <v>0</v>
      </c>
      <c r="I15" s="221">
        <f t="shared" ca="1" si="40"/>
        <v>0</v>
      </c>
      <c r="J15" s="221">
        <f t="shared" ca="1" si="40"/>
        <v>0</v>
      </c>
      <c r="K15" s="221">
        <f t="shared" ca="1" si="40"/>
        <v>0</v>
      </c>
      <c r="L15" s="221">
        <f t="shared" ca="1" si="40"/>
        <v>0</v>
      </c>
      <c r="M15" s="221">
        <f t="shared" ca="1" si="40"/>
        <v>0</v>
      </c>
      <c r="N15" s="221">
        <f t="shared" ca="1" si="40"/>
        <v>847.43143875655642</v>
      </c>
      <c r="O15" s="221">
        <f t="shared" ca="1" si="40"/>
        <v>2237.5025069338603</v>
      </c>
      <c r="P15" s="221">
        <f t="shared" ca="1" si="40"/>
        <v>3074.2594951774195</v>
      </c>
      <c r="Q15" s="221">
        <f t="shared" ca="1" si="40"/>
        <v>6042.979449587704</v>
      </c>
      <c r="R15" s="221">
        <f t="shared" ca="1" si="40"/>
        <v>9032.7278370083932</v>
      </c>
      <c r="S15" s="221">
        <f t="shared" ca="1" si="40"/>
        <v>14312.622358839981</v>
      </c>
      <c r="T15" s="221">
        <f t="shared" ca="1" si="40"/>
        <v>19736.728373117876</v>
      </c>
      <c r="U15" s="221">
        <f t="shared" ca="1" si="40"/>
        <v>25092.442898746904</v>
      </c>
      <c r="V15" s="221">
        <f t="shared" ca="1" si="40"/>
        <v>30486.093735599134</v>
      </c>
      <c r="W15" s="221">
        <f t="shared" ca="1" si="40"/>
        <v>33212.756864837407</v>
      </c>
      <c r="X15" s="221">
        <f t="shared" ca="1" si="40"/>
        <v>36445.122746796667</v>
      </c>
      <c r="Y15" s="221">
        <f t="shared" ca="1" si="40"/>
        <v>37431.415803753138</v>
      </c>
      <c r="Z15" s="221">
        <f t="shared" ca="1" si="40"/>
        <v>33916.153436529727</v>
      </c>
      <c r="AA15" s="221">
        <f t="shared" ca="1" si="40"/>
        <v>34365.678794205138</v>
      </c>
      <c r="AB15" s="221">
        <f t="shared" ca="1" si="40"/>
        <v>34818.388289830757</v>
      </c>
      <c r="AC15" s="221">
        <f t="shared" ca="1" si="40"/>
        <v>29930.597967300393</v>
      </c>
      <c r="AD15" s="221">
        <f t="shared" ca="1" si="40"/>
        <v>30142.606369568774</v>
      </c>
      <c r="AE15" s="221">
        <f t="shared" ca="1" si="40"/>
        <v>30356.116498019885</v>
      </c>
      <c r="AF15" s="221">
        <f t="shared" ca="1" si="40"/>
        <v>25555.713989880856</v>
      </c>
      <c r="AG15" s="221">
        <f t="shared" ca="1" si="40"/>
        <v>25736.733630642513</v>
      </c>
      <c r="AH15" s="221">
        <f t="shared" ca="1" si="40"/>
        <v>25919.035493859566</v>
      </c>
      <c r="AI15" s="221">
        <f t="shared" ca="1" si="40"/>
        <v>20778.950276524403</v>
      </c>
      <c r="AJ15" s="221">
        <f t="shared" ca="1" si="40"/>
        <v>20926.134507649782</v>
      </c>
      <c r="AK15" s="221">
        <f t="shared" ca="1" si="40"/>
        <v>21694.195449444036</v>
      </c>
      <c r="AL15" s="221">
        <f t="shared" ca="1" si="40"/>
        <v>16248.736457929563</v>
      </c>
      <c r="AM15" s="221">
        <f t="shared" ca="1" si="40"/>
        <v>16367.216827935299</v>
      </c>
      <c r="AN15" s="221">
        <f t="shared" ca="1" si="40"/>
        <v>16486.56111730566</v>
      </c>
      <c r="AO15" s="221">
        <f t="shared" ca="1" si="40"/>
        <v>10899.223542119349</v>
      </c>
      <c r="AP15" s="221">
        <f t="shared" ca="1" si="40"/>
        <v>10978.69704711397</v>
      </c>
      <c r="AQ15" s="221">
        <f t="shared" ca="1" si="40"/>
        <v>11058.750046415842</v>
      </c>
      <c r="AR15" s="221">
        <f t="shared" ca="1" si="40"/>
        <v>6462.6940571709565</v>
      </c>
      <c r="AS15" s="221">
        <f t="shared" ca="1" si="40"/>
        <v>6509.8178680044957</v>
      </c>
      <c r="AT15" s="221">
        <f t="shared" ca="1" si="40"/>
        <v>6557.2852899586951</v>
      </c>
      <c r="AU15" s="221">
        <f t="shared" ca="1" si="40"/>
        <v>689.73424519797697</v>
      </c>
      <c r="AV15" s="221">
        <f t="shared" ca="1" si="40"/>
        <v>694.76355740254564</v>
      </c>
      <c r="AW15" s="221">
        <f t="shared" ca="1" si="40"/>
        <v>699.82954167527248</v>
      </c>
      <c r="AX15" s="221">
        <f t="shared" ref="AX15" ca="1" si="41">AW12*AX14/12</f>
        <v>0</v>
      </c>
      <c r="AY15" s="221">
        <f t="shared" ref="AY15" ca="1" si="42">AX12*AY14/12</f>
        <v>0</v>
      </c>
      <c r="AZ15" s="221">
        <f t="shared" ref="AZ15" ca="1" si="43">AY12*AZ14/12</f>
        <v>0</v>
      </c>
      <c r="BA15" s="221">
        <f t="shared" ref="BA15" ca="1" si="44">AZ12*BA14/12</f>
        <v>0</v>
      </c>
      <c r="BB15" s="221">
        <f t="shared" ref="BB15" ca="1" si="45">BA12*BB14/12</f>
        <v>0</v>
      </c>
      <c r="BC15" s="221">
        <f t="shared" ref="BC15" ca="1" si="46">BB12*BC14/12</f>
        <v>0</v>
      </c>
      <c r="BD15" s="221">
        <f t="shared" ref="BD15" ca="1" si="47">BC12*BD14/12</f>
        <v>0</v>
      </c>
      <c r="BE15" s="221">
        <f t="shared" ref="BE15" ca="1" si="48">BD12*BE14/12</f>
        <v>0</v>
      </c>
      <c r="BF15" s="221">
        <f t="shared" ref="BF15" ca="1" si="49">BE12*BF14/12</f>
        <v>0</v>
      </c>
      <c r="BG15" s="221">
        <f t="shared" ref="BG15" ca="1" si="50">BF12*BG14/12</f>
        <v>0</v>
      </c>
      <c r="BH15" s="221">
        <f t="shared" ref="BH15" ca="1" si="51">BG12*BH14/12</f>
        <v>0</v>
      </c>
      <c r="BI15" s="221">
        <f t="shared" ref="BI15" ca="1" si="52">BH12*BI14/12</f>
        <v>0</v>
      </c>
      <c r="BJ15" s="221">
        <f t="shared" ref="BJ15" ca="1" si="53">BI12*BJ14/12</f>
        <v>0</v>
      </c>
      <c r="BK15" s="221">
        <f t="shared" ref="BK15" ca="1" si="54">BJ12*BK14/12</f>
        <v>0</v>
      </c>
      <c r="BL15" s="221">
        <f t="shared" ref="BL15" ca="1" si="55">BK12*BL14/12</f>
        <v>0</v>
      </c>
      <c r="BM15" s="221">
        <f t="shared" ref="BM15" ca="1" si="56">BL12*BM14/12</f>
        <v>0</v>
      </c>
      <c r="BN15" s="221">
        <f t="shared" ref="BN15" ca="1" si="57">BM12*BN14/12</f>
        <v>0</v>
      </c>
      <c r="BO15" s="222">
        <f t="shared" ref="BO15" ca="1" si="58">BN12*BO14/12</f>
        <v>0</v>
      </c>
    </row>
    <row r="18" spans="4:37" x14ac:dyDescent="0.4">
      <c r="D18" s="58"/>
      <c r="AK18" s="42"/>
    </row>
    <row r="19" spans="4:37" x14ac:dyDescent="0.4">
      <c r="AK19" s="40"/>
    </row>
  </sheetData>
  <phoneticPr fontId="23" type="noConversion"/>
  <pageMargins left="0.75" right="0.75" top="1" bottom="1" header="0.5" footer="0.5"/>
  <pageSetup paperSize="5" scale="23" fitToWidth="2" orientation="landscape" r:id="rId1"/>
  <headerFooter alignWithMargins="0">
    <oddFooter>&amp;L&amp;F&amp;CPage &amp;P of &amp;N&amp;R&amp;A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Assumptions</vt:lpstr>
      <vt:lpstr>Development Timeline</vt:lpstr>
      <vt:lpstr>Prelim Budget</vt:lpstr>
      <vt:lpstr>Sales Proceeds &amp; MUD</vt:lpstr>
      <vt:lpstr>Cash Flow</vt:lpstr>
      <vt:lpstr>Debt Schedule</vt:lpstr>
      <vt:lpstr>Assumptions!Print_Area</vt:lpstr>
      <vt:lpstr>'Cash Flow'!Print_Area</vt:lpstr>
      <vt:lpstr>'Debt Schedule'!Print_Area</vt:lpstr>
      <vt:lpstr>'Development Timeline'!Print_Area</vt:lpstr>
      <vt:lpstr>'Prelim Budget'!Print_Area</vt:lpstr>
      <vt:lpstr>'Sales Proceeds &amp; MUD'!Print_Area</vt:lpstr>
      <vt:lpstr>'Cash Flow'!Print_Titles</vt:lpstr>
      <vt:lpstr>'Sales Proceeds &amp; MUD'!Print_Titles</vt:lpstr>
    </vt:vector>
  </TitlesOfParts>
  <Company>Highland Homes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Yazzel Ponce</dc:creator>
  <cp:lastModifiedBy>Christopher Semper</cp:lastModifiedBy>
  <cp:lastPrinted>2024-05-05T16:17:26Z</cp:lastPrinted>
  <dcterms:created xsi:type="dcterms:W3CDTF">2000-07-12T18:45:43Z</dcterms:created>
  <dcterms:modified xsi:type="dcterms:W3CDTF">2024-05-06T14:52:32Z</dcterms:modified>
</cp:coreProperties>
</file>