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EL\Downloads\"/>
    </mc:Choice>
  </mc:AlternateContent>
  <xr:revisionPtr revIDLastSave="0" documentId="8_{8F6A39C2-7C09-458E-9FF2-565C64A2592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_FDSCACHE__" sheetId="2" state="veryHidden" r:id="rId1"/>
    <sheet name="Aset class Rankings" sheetId="59" r:id="rId2"/>
    <sheet name="Gloval value " sheetId="62" r:id="rId3"/>
    <sheet name="Asset class" sheetId="60" r:id="rId4"/>
    <sheet name="Momnetum ranking" sheetId="12" r:id="rId5"/>
    <sheet name="Risk" sheetId="13" r:id="rId6"/>
    <sheet name="Timing" sheetId="56" r:id="rId7"/>
    <sheet name="Commodities" sheetId="52" r:id="rId8"/>
    <sheet name="Monthly Returns" sheetId="5" r:id="rId9"/>
    <sheet name="Yearly returns" sheetId="15" r:id="rId10"/>
    <sheet name="Factset Price Data" sheetId="61" r:id="rId11"/>
    <sheet name="Chart1" sheetId="36" state="hidden" r:id="rId12"/>
  </sheets>
  <externalReferences>
    <externalReference r:id="rId13"/>
  </externalReference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0" i="59" l="1"/>
  <c r="E59" i="59"/>
  <c r="E58" i="59"/>
  <c r="E57" i="59"/>
  <c r="J43" i="62"/>
  <c r="G43" i="62"/>
  <c r="Q6" i="61" a="1"/>
  <c r="K6" i="61" a="1"/>
  <c r="E6" i="61" a="1"/>
  <c r="P6" i="61" a="1"/>
  <c r="J6" i="61" a="1"/>
  <c r="D6" i="61" a="1"/>
  <c r="L2" i="15" a="1"/>
  <c r="F2" i="15" a="1"/>
  <c r="O2" i="5" a="1"/>
  <c r="I2" i="5" a="1"/>
  <c r="C2" i="5" a="1"/>
  <c r="G18" i="52" a="1"/>
  <c r="I17" i="52" a="1"/>
  <c r="C17" i="52" a="1"/>
  <c r="E8" i="52" a="1"/>
  <c r="G7" i="52" a="1"/>
  <c r="I6" i="52" a="1"/>
  <c r="C6" i="52" a="1"/>
  <c r="O6" i="61" a="1"/>
  <c r="I6" i="61" a="1"/>
  <c r="C6" i="61" a="1"/>
  <c r="K2" i="15" a="1"/>
  <c r="E2" i="15" a="1"/>
  <c r="N2" i="5" a="1"/>
  <c r="H2" i="5" a="1"/>
  <c r="B2" i="5" a="1"/>
  <c r="F18" i="52" a="1"/>
  <c r="H17" i="52" a="1"/>
  <c r="J8" i="52" a="1"/>
  <c r="N6" i="61" a="1"/>
  <c r="H6" i="61" a="1"/>
  <c r="B6" i="61" a="1"/>
  <c r="J2" i="15" a="1"/>
  <c r="D2" i="15" a="1"/>
  <c r="M2" i="5" a="1"/>
  <c r="G2" i="5" a="1"/>
  <c r="A2" i="5" a="1"/>
  <c r="E18" i="52" a="1"/>
  <c r="G17" i="52" a="1"/>
  <c r="I8" i="52" a="1"/>
  <c r="C8" i="52" a="1"/>
  <c r="E7" i="52" a="1"/>
  <c r="G6" i="52" a="1"/>
  <c r="I5" i="52" a="1"/>
  <c r="C5" i="52" a="1"/>
  <c r="E4" i="52" a="1"/>
  <c r="G3" i="52" a="1"/>
  <c r="M6" i="61" a="1"/>
  <c r="G6" i="61" a="1"/>
  <c r="O2" i="15" a="1"/>
  <c r="I2" i="15" a="1"/>
  <c r="L6" i="61" a="1"/>
  <c r="A2" i="15" a="1"/>
  <c r="H18" i="52" a="1"/>
  <c r="F8" i="52" a="1"/>
  <c r="H6" i="52" a="1"/>
  <c r="J4" i="52" a="1"/>
  <c r="F3" i="52" a="1"/>
  <c r="T16" i="56" a="1"/>
  <c r="S11" i="56" a="1"/>
  <c r="U8" i="56" a="1"/>
  <c r="S6" i="56" a="1"/>
  <c r="H16" i="56" a="1"/>
  <c r="J13" i="56" a="1"/>
  <c r="H11" i="56" a="1"/>
  <c r="G6" i="56" a="1"/>
  <c r="B16" i="56" a="1"/>
  <c r="B6" i="56" a="1"/>
  <c r="C7" i="13" a="1"/>
  <c r="P26" i="12" a="1"/>
  <c r="R23" i="12" a="1"/>
  <c r="Q18" i="12" a="1"/>
  <c r="O14" i="12" a="1"/>
  <c r="Q11" i="12" a="1"/>
  <c r="R8" i="12" a="1"/>
  <c r="P6" i="12" a="1"/>
  <c r="R3" i="12" a="1"/>
  <c r="K22" i="12" a="1"/>
  <c r="M18" i="12" a="1"/>
  <c r="L13" i="12" a="1"/>
  <c r="M9" i="12" a="1"/>
  <c r="L6" i="12" a="1"/>
  <c r="K3" i="12" a="1"/>
  <c r="E21" i="12" a="1"/>
  <c r="G15" i="12" a="1"/>
  <c r="F12" i="12" a="1"/>
  <c r="G8" i="12" a="1"/>
  <c r="F5" i="12" a="1"/>
  <c r="B13" i="12" a="1"/>
  <c r="F6" i="52" a="1"/>
  <c r="I4" i="52" a="1"/>
  <c r="E3" i="52" a="1"/>
  <c r="S16" i="56" a="1"/>
  <c r="U13" i="56" a="1"/>
  <c r="V10" i="56" a="1"/>
  <c r="T8" i="56" a="1"/>
  <c r="V5" i="56" a="1"/>
  <c r="I13" i="56" a="1"/>
  <c r="G11" i="56" a="1"/>
  <c r="I8" i="56" a="1"/>
  <c r="J5" i="56" a="1"/>
  <c r="B15" i="56" a="1"/>
  <c r="B5" i="56" a="1"/>
  <c r="O26" i="12" a="1"/>
  <c r="Q23" i="12" a="1"/>
  <c r="O21" i="12" a="1"/>
  <c r="P18" i="12" a="1"/>
  <c r="R13" i="12" a="1"/>
  <c r="P11" i="12" a="1"/>
  <c r="O6" i="12" a="1"/>
  <c r="Q3" i="12" a="1"/>
  <c r="L25" i="12" a="1"/>
  <c r="M21" i="12" a="1"/>
  <c r="L18" i="12" a="1"/>
  <c r="K13" i="12" a="1"/>
  <c r="K6" i="12" a="1"/>
  <c r="G27" i="12" a="1"/>
  <c r="F24" i="12" a="1"/>
  <c r="G20" i="12" a="1"/>
  <c r="F15" i="12" a="1"/>
  <c r="E12" i="12" a="1"/>
  <c r="E5" i="12" a="1"/>
  <c r="B12" i="12" a="1"/>
  <c r="H14" i="60" a="1"/>
  <c r="U16" i="56" a="1"/>
  <c r="I16" i="56" a="1"/>
  <c r="J8" i="56" a="1"/>
  <c r="Q26" i="12" a="1"/>
  <c r="R18" i="12" a="1"/>
  <c r="P14" i="12" a="1"/>
  <c r="F6" i="61" a="1"/>
  <c r="L2" i="5" a="1"/>
  <c r="D18" i="52" a="1"/>
  <c r="D8" i="52" a="1"/>
  <c r="E6" i="52" a="1"/>
  <c r="H4" i="52" a="1"/>
  <c r="D3" i="52" a="1"/>
  <c r="V15" i="56" a="1"/>
  <c r="T13" i="56" a="1"/>
  <c r="S8" i="56" a="1"/>
  <c r="U5" i="56" a="1"/>
  <c r="G16" i="56" a="1"/>
  <c r="H13" i="56" a="1"/>
  <c r="J10" i="56" a="1"/>
  <c r="H8" i="56" a="1"/>
  <c r="B14" i="56" a="1"/>
  <c r="C16" i="13" a="1"/>
  <c r="C6" i="13" a="1"/>
  <c r="R25" i="12" a="1"/>
  <c r="P23" i="12" a="1"/>
  <c r="R20" i="12" a="1"/>
  <c r="Q13" i="12" a="1"/>
  <c r="O11" i="12" a="1"/>
  <c r="Q8" i="12" a="1"/>
  <c r="R5" i="12" a="1"/>
  <c r="P3" i="12" a="1"/>
  <c r="K25" i="12" a="1"/>
  <c r="K18" i="12" a="1"/>
  <c r="M12" i="12" a="1"/>
  <c r="L9" i="12" a="1"/>
  <c r="M5" i="12" a="1"/>
  <c r="F27" i="12" a="1"/>
  <c r="E24" i="12" a="1"/>
  <c r="E15" i="12" a="1"/>
  <c r="G11" i="12" a="1"/>
  <c r="F8" i="12" a="1"/>
  <c r="G4" i="12" a="1"/>
  <c r="B11" i="12" a="1"/>
  <c r="G14" i="60" a="1"/>
  <c r="F12" i="60" a="1"/>
  <c r="F10" i="60" a="1"/>
  <c r="G8" i="60" a="1"/>
  <c r="E7" i="60" a="1"/>
  <c r="G5" i="60" a="1"/>
  <c r="E4" i="60" a="1"/>
  <c r="F14" i="60" a="1"/>
  <c r="E12" i="60" a="1"/>
  <c r="O8" i="12" a="1"/>
  <c r="Q5" i="12" a="1"/>
  <c r="M27" i="12" a="1"/>
  <c r="L24" i="12" a="1"/>
  <c r="K21" i="12" a="1"/>
  <c r="K2" i="5" a="1"/>
  <c r="C18" i="52" a="1"/>
  <c r="J7" i="52" a="1"/>
  <c r="D6" i="52" a="1"/>
  <c r="U15" i="56" a="1"/>
  <c r="S13" i="56" a="1"/>
  <c r="U10" i="56" a="1"/>
  <c r="V7" i="56" a="1"/>
  <c r="T5" i="56" a="1"/>
  <c r="J15" i="56" a="1"/>
  <c r="I10" i="56" a="1"/>
  <c r="G8" i="56" a="1"/>
  <c r="I5" i="56" a="1"/>
  <c r="B13" i="56" a="1"/>
  <c r="C15" i="13" a="1"/>
  <c r="C5" i="13" a="1"/>
  <c r="O23" i="12" a="1"/>
  <c r="Q20" i="12" a="1"/>
  <c r="O18" i="12" a="1"/>
  <c r="P13" i="12" a="1"/>
  <c r="R10" i="12" a="1"/>
  <c r="P8" i="12" a="1"/>
  <c r="O3" i="12" a="1"/>
  <c r="M24" i="12" a="1"/>
  <c r="L21" i="12" a="1"/>
  <c r="M15" i="12" a="1"/>
  <c r="L12" i="12" a="1"/>
  <c r="K9" i="12" a="1"/>
  <c r="E27" i="12" a="1"/>
  <c r="G23" i="12" a="1"/>
  <c r="F20" i="12" a="1"/>
  <c r="G14" i="12" a="1"/>
  <c r="F11" i="12" a="1"/>
  <c r="E8" i="12" a="1"/>
  <c r="B10" i="12" a="1"/>
  <c r="E11" i="12" a="1"/>
  <c r="G7" i="12" a="1"/>
  <c r="F4" i="12" a="1"/>
  <c r="B9" i="12" a="1"/>
  <c r="E10" i="60" a="1"/>
  <c r="F8" i="60" a="1"/>
  <c r="F5" i="60" a="1"/>
  <c r="H3" i="60" a="1"/>
  <c r="E9" i="60" a="1"/>
  <c r="G4" i="60" a="1"/>
  <c r="I18" i="52" a="1"/>
  <c r="I11" i="56" a="1"/>
  <c r="O24" i="12" a="1"/>
  <c r="Q6" i="12" a="1"/>
  <c r="K10" i="12" a="1"/>
  <c r="L3" i="12" a="1"/>
  <c r="E18" i="12" a="1"/>
  <c r="B14" i="12" a="1"/>
  <c r="G10" i="60" a="1"/>
  <c r="F7" i="60" a="1"/>
  <c r="N2" i="15" a="1"/>
  <c r="J2" i="5" a="1"/>
  <c r="J17" i="52" a="1"/>
  <c r="I7" i="52" a="1"/>
  <c r="G4" i="52" a="1"/>
  <c r="C3" i="52" a="1"/>
  <c r="T15" i="56" a="1"/>
  <c r="V12" i="56" a="1"/>
  <c r="T10" i="56" a="1"/>
  <c r="S5" i="56" a="1"/>
  <c r="I15" i="56" a="1"/>
  <c r="G13" i="56" a="1"/>
  <c r="H10" i="56" a="1"/>
  <c r="J7" i="56" a="1"/>
  <c r="H5" i="56" a="1"/>
  <c r="C14" i="13" a="1"/>
  <c r="C4" i="13" a="1"/>
  <c r="Q25" i="12" a="1"/>
  <c r="R22" i="12" a="1"/>
  <c r="P20" i="12" a="1"/>
  <c r="R15" i="12" a="1"/>
  <c r="Q10" i="12" a="1"/>
  <c r="K12" i="12" a="1"/>
  <c r="M8" i="12" a="1"/>
  <c r="L5" i="12" a="1"/>
  <c r="G26" i="12" a="1"/>
  <c r="F23" i="12" a="1"/>
  <c r="E20" i="12" a="1"/>
  <c r="E14" i="60" a="1"/>
  <c r="H6" i="60" a="1"/>
  <c r="M2" i="15" a="1"/>
  <c r="H7" i="52" a="1"/>
  <c r="J5" i="52" a="1"/>
  <c r="F4" i="52" a="1"/>
  <c r="V17" i="56" a="1"/>
  <c r="U12" i="56" a="1"/>
  <c r="S10" i="56" a="1"/>
  <c r="U7" i="56" a="1"/>
  <c r="J17" i="56" a="1"/>
  <c r="H15" i="56" a="1"/>
  <c r="J12" i="56" a="1"/>
  <c r="I7" i="56" a="1"/>
  <c r="G5" i="56" a="1"/>
  <c r="B12" i="56" a="1"/>
  <c r="C13" i="13" a="1"/>
  <c r="R27" i="12" a="1"/>
  <c r="P25" i="12" a="1"/>
  <c r="O20" i="12" a="1"/>
  <c r="Q15" i="12" a="1"/>
  <c r="O13" i="12" a="1"/>
  <c r="P10" i="12" a="1"/>
  <c r="R7" i="12" a="1"/>
  <c r="P5" i="12" a="1"/>
  <c r="K24" i="12" a="1"/>
  <c r="M20" i="12" a="1"/>
  <c r="L15" i="12" a="1"/>
  <c r="M11" i="12" a="1"/>
  <c r="L8" i="12" a="1"/>
  <c r="K5" i="12" a="1"/>
  <c r="E23" i="12" a="1"/>
  <c r="G19" i="12" a="1"/>
  <c r="F14" i="12" a="1"/>
  <c r="G10" i="12" a="1"/>
  <c r="F7" i="12" a="1"/>
  <c r="E4" i="12" a="1"/>
  <c r="H13" i="60" a="1"/>
  <c r="H11" i="60" a="1"/>
  <c r="H9" i="60" a="1"/>
  <c r="G3" i="12" a="1"/>
  <c r="B8" i="12" a="1"/>
  <c r="G13" i="60" a="1"/>
  <c r="L22" i="12" a="1"/>
  <c r="E9" i="12" a="1"/>
  <c r="H10" i="60" a="1"/>
  <c r="G12" i="60" a="1"/>
  <c r="H8" i="60" a="1"/>
  <c r="H5" i="60" a="1"/>
  <c r="F2" i="5" a="1"/>
  <c r="F17" i="52" a="1"/>
  <c r="H5" i="52" a="1"/>
  <c r="D4" i="52" a="1"/>
  <c r="U17" i="56" a="1"/>
  <c r="S15" i="56" a="1"/>
  <c r="T12" i="56" a="1"/>
  <c r="V9" i="56" a="1"/>
  <c r="T7" i="56" a="1"/>
  <c r="G15" i="56" a="1"/>
  <c r="I12" i="56" a="1"/>
  <c r="G10" i="56" a="1"/>
  <c r="H7" i="56" a="1"/>
  <c r="C26" i="56" a="1"/>
  <c r="B11" i="56" a="1"/>
  <c r="Q27" i="12" a="1"/>
  <c r="O25" i="12" a="1"/>
  <c r="Q22" i="12" a="1"/>
  <c r="R19" i="12" a="1"/>
  <c r="P15" i="12" a="1"/>
  <c r="R12" i="12" a="1"/>
  <c r="Q7" i="12" a="1"/>
  <c r="O5" i="12" a="1"/>
  <c r="L27" i="12" a="1"/>
  <c r="M23" i="12" a="1"/>
  <c r="L20" i="12" a="1"/>
  <c r="K15" i="12" a="1"/>
  <c r="K8" i="12" a="1"/>
  <c r="M4" i="12" a="1"/>
  <c r="F26" i="12" a="1"/>
  <c r="G22" i="12" a="1"/>
  <c r="F19" i="12" a="1"/>
  <c r="E14" i="12" a="1"/>
  <c r="E7" i="12" a="1"/>
  <c r="G9" i="60" a="1"/>
  <c r="E8" i="60" a="1"/>
  <c r="G6" i="60" a="1"/>
  <c r="E5" i="60" a="1"/>
  <c r="G3" i="60" a="1"/>
  <c r="G21" i="12" a="1"/>
  <c r="G12" i="12" a="1"/>
  <c r="F9" i="12" a="1"/>
  <c r="E13" i="60" a="1"/>
  <c r="G7" i="60" a="1"/>
  <c r="E6" i="60" a="1"/>
  <c r="E3" i="60" a="1"/>
  <c r="G8" i="52" a="1"/>
  <c r="H3" i="52" a="1"/>
  <c r="V13" i="56" a="1"/>
  <c r="V8" i="56" a="1"/>
  <c r="G14" i="56" a="1"/>
  <c r="H6" i="56" a="1"/>
  <c r="B17" i="56" a="1"/>
  <c r="P21" i="12" a="1"/>
  <c r="O9" i="12" a="1"/>
  <c r="O4" i="12" a="1"/>
  <c r="K19" i="12" a="1"/>
  <c r="F21" i="12" a="1"/>
  <c r="H2" i="15" a="1"/>
  <c r="E2" i="5" a="1"/>
  <c r="E17" i="52" a="1"/>
  <c r="F7" i="52" a="1"/>
  <c r="G5" i="52" a="1"/>
  <c r="C4" i="52" a="1"/>
  <c r="T17" i="56" a="1"/>
  <c r="V14" i="56" a="1"/>
  <c r="U9" i="56" a="1"/>
  <c r="S7" i="56" a="1"/>
  <c r="I17" i="56" a="1"/>
  <c r="J14" i="56" a="1"/>
  <c r="H12" i="56" a="1"/>
  <c r="J9" i="56" a="1"/>
  <c r="C25" i="56" a="1"/>
  <c r="B10" i="56" a="1"/>
  <c r="C12" i="13" a="1"/>
  <c r="P27" i="12" a="1"/>
  <c r="R24" i="12" a="1"/>
  <c r="P22" i="12" a="1"/>
  <c r="O15" i="12" a="1"/>
  <c r="Q12" i="12" a="1"/>
  <c r="O10" i="12" a="1"/>
  <c r="P7" i="12" a="1"/>
  <c r="R4" i="12" a="1"/>
  <c r="K27" i="12" a="1"/>
  <c r="K20" i="12" a="1"/>
  <c r="M14" i="12" a="1"/>
  <c r="L11" i="12" a="1"/>
  <c r="M7" i="12" a="1"/>
  <c r="L4" i="12" a="1"/>
  <c r="E26" i="12" a="1"/>
  <c r="E19" i="12" a="1"/>
  <c r="G13" i="12" a="1"/>
  <c r="F10" i="12" a="1"/>
  <c r="G6" i="12" a="1"/>
  <c r="F3" i="12" a="1"/>
  <c r="B7" i="12" a="1"/>
  <c r="G11" i="60" a="1"/>
  <c r="T6" i="56" a="1"/>
  <c r="I6" i="56" a="1"/>
  <c r="B7" i="56" a="1"/>
  <c r="C9" i="13" a="1"/>
  <c r="R26" i="12" a="1"/>
  <c r="O19" i="12" a="1"/>
  <c r="R11" i="12" a="1"/>
  <c r="R6" i="12" a="1"/>
  <c r="M22" i="12" a="1"/>
  <c r="C8" i="13" a="1"/>
  <c r="M25" i="12" a="1"/>
  <c r="M6" i="12" a="1"/>
  <c r="G24" i="12" a="1"/>
  <c r="G5" i="12" a="1"/>
  <c r="H12" i="60" a="1"/>
  <c r="G2" i="15" a="1"/>
  <c r="D2" i="5" a="1"/>
  <c r="D17" i="52" a="1"/>
  <c r="D7" i="52" a="1"/>
  <c r="F5" i="52" a="1"/>
  <c r="J3" i="52" a="1"/>
  <c r="S17" i="56" a="1"/>
  <c r="U14" i="56" a="1"/>
  <c r="S12" i="56" a="1"/>
  <c r="T9" i="56" a="1"/>
  <c r="V6" i="56" a="1"/>
  <c r="H17" i="56" a="1"/>
  <c r="G12" i="56" a="1"/>
  <c r="I9" i="56" a="1"/>
  <c r="G7" i="56" a="1"/>
  <c r="C24" i="56" a="1"/>
  <c r="B9" i="56" a="1"/>
  <c r="C11" i="13" a="1"/>
  <c r="Q24" i="12" a="1"/>
  <c r="O22" i="12" a="1"/>
  <c r="Q19" i="12" a="1"/>
  <c r="R14" i="12" a="1"/>
  <c r="P12" i="12" a="1"/>
  <c r="R9" i="12" a="1"/>
  <c r="Q4" i="12" a="1"/>
  <c r="M26" i="12" a="1"/>
  <c r="L23" i="12" a="1"/>
  <c r="M19" i="12" a="1"/>
  <c r="L14" i="12" a="1"/>
  <c r="K11" i="12" a="1"/>
  <c r="K4" i="12" a="1"/>
  <c r="G25" i="12" a="1"/>
  <c r="F22" i="12" a="1"/>
  <c r="G18" i="12" a="1"/>
  <c r="F13" i="12" a="1"/>
  <c r="E10" i="12" a="1"/>
  <c r="E3" i="12" a="1"/>
  <c r="B6" i="12" a="1"/>
  <c r="F13" i="60" a="1"/>
  <c r="F11" i="60" a="1"/>
  <c r="F9" i="60" a="1"/>
  <c r="H7" i="60" a="1"/>
  <c r="F6" i="60" a="1"/>
  <c r="H4" i="60" a="1"/>
  <c r="F3" i="60" a="1"/>
  <c r="J18" i="52" a="1"/>
  <c r="J6" i="52" a="1"/>
  <c r="E5" i="52" a="1"/>
  <c r="S14" i="56" a="1"/>
  <c r="S9" i="56" a="1"/>
  <c r="J16" i="56" a="1"/>
  <c r="H14" i="56" a="1"/>
  <c r="G9" i="56" a="1"/>
  <c r="C23" i="56" a="1"/>
  <c r="Q21" i="12" a="1"/>
  <c r="Q14" i="12" a="1"/>
  <c r="K26" i="12" a="1"/>
  <c r="C7" i="52" a="1"/>
  <c r="V16" i="56" a="1"/>
  <c r="T14" i="56" a="1"/>
  <c r="V11" i="56" a="1"/>
  <c r="U6" i="56" a="1"/>
  <c r="G17" i="56" a="1"/>
  <c r="I14" i="56" a="1"/>
  <c r="J11" i="56" a="1"/>
  <c r="H9" i="56" a="1"/>
  <c r="J6" i="56" a="1"/>
  <c r="B8" i="56" a="1"/>
  <c r="C10" i="13" a="1"/>
  <c r="O27" i="12" a="1"/>
  <c r="P24" i="12" a="1"/>
  <c r="R21" i="12" a="1"/>
  <c r="P19" i="12" a="1"/>
  <c r="O12" i="12" a="1"/>
  <c r="Q9" i="12" a="1"/>
  <c r="O7" i="12" a="1"/>
  <c r="P4" i="12" a="1"/>
  <c r="L26" i="12" a="1"/>
  <c r="K23" i="12" a="1"/>
  <c r="K14" i="12" a="1"/>
  <c r="M10" i="12" a="1"/>
  <c r="L7" i="12" a="1"/>
  <c r="M3" i="12" a="1"/>
  <c r="F25" i="12" a="1"/>
  <c r="E22" i="12" a="1"/>
  <c r="E13" i="12" a="1"/>
  <c r="G9" i="12" a="1"/>
  <c r="F6" i="12" a="1"/>
  <c r="B15" i="12" a="1"/>
  <c r="B5" i="12" a="1"/>
  <c r="E11" i="60" a="1"/>
  <c r="C2" i="15" a="1"/>
  <c r="H8" i="52" a="1"/>
  <c r="I3" i="52" a="1"/>
  <c r="U11" i="56" a="1"/>
  <c r="P9" i="12" a="1"/>
  <c r="L19" i="12" a="1"/>
  <c r="M13" i="12" a="1"/>
  <c r="L10" i="12" a="1"/>
  <c r="K7" i="12" a="1"/>
  <c r="E25" i="12" a="1"/>
  <c r="F18" i="12" a="1"/>
  <c r="E6" i="12" a="1"/>
  <c r="B4" i="12" a="1"/>
  <c r="B2" i="15" a="1"/>
  <c r="D5" i="52" a="1"/>
  <c r="T11" i="56" a="1"/>
  <c r="B3" i="12" a="1"/>
  <c r="F4" i="60" a="1"/>
  <c r="O15" i="62" a="1"/>
  <c r="O15" i="62" l="1"/>
  <c r="F4" i="60"/>
  <c r="B3" i="12"/>
  <c r="T11" i="56"/>
  <c r="D5" i="52"/>
  <c r="B2" i="15"/>
  <c r="B4" i="12"/>
  <c r="E6" i="12"/>
  <c r="F18" i="12"/>
  <c r="E25" i="12"/>
  <c r="K7" i="12"/>
  <c r="L10" i="12"/>
  <c r="M13" i="12"/>
  <c r="L19" i="12"/>
  <c r="P9" i="12"/>
  <c r="U11" i="56"/>
  <c r="I3" i="52"/>
  <c r="H8" i="52"/>
  <c r="C2" i="15"/>
  <c r="E11" i="60"/>
  <c r="B5" i="12"/>
  <c r="B15" i="12"/>
  <c r="F6" i="12"/>
  <c r="G9" i="12"/>
  <c r="E13" i="12"/>
  <c r="E22" i="12"/>
  <c r="F25" i="12"/>
  <c r="M3" i="12"/>
  <c r="L7" i="12"/>
  <c r="M10" i="12"/>
  <c r="K14" i="12"/>
  <c r="K23" i="12"/>
  <c r="L26" i="12"/>
  <c r="P4" i="12"/>
  <c r="O7" i="12"/>
  <c r="Q9" i="12"/>
  <c r="O12" i="12"/>
  <c r="P19" i="12"/>
  <c r="R21" i="12"/>
  <c r="P24" i="12"/>
  <c r="O27" i="12"/>
  <c r="C10" i="13"/>
  <c r="B8" i="56"/>
  <c r="J6" i="56"/>
  <c r="H9" i="56"/>
  <c r="J11" i="56"/>
  <c r="I14" i="56"/>
  <c r="G17" i="56"/>
  <c r="U6" i="56"/>
  <c r="V11" i="56"/>
  <c r="T14" i="56"/>
  <c r="V16" i="56"/>
  <c r="C7" i="52"/>
  <c r="K26" i="12"/>
  <c r="Q14" i="12"/>
  <c r="Q21" i="12"/>
  <c r="C23" i="56"/>
  <c r="G9" i="56"/>
  <c r="H14" i="56"/>
  <c r="J16" i="56"/>
  <c r="S9" i="56"/>
  <c r="S14" i="56"/>
  <c r="E5" i="52"/>
  <c r="J6" i="52"/>
  <c r="J18" i="52"/>
  <c r="F3" i="60"/>
  <c r="H4" i="60"/>
  <c r="F6" i="60"/>
  <c r="H7" i="60"/>
  <c r="F9" i="60"/>
  <c r="F11" i="60"/>
  <c r="F13" i="60"/>
  <c r="B6" i="12"/>
  <c r="E3" i="12"/>
  <c r="E10" i="12"/>
  <c r="F13" i="12"/>
  <c r="G18" i="12"/>
  <c r="F22" i="12"/>
  <c r="G25" i="12"/>
  <c r="K4" i="12"/>
  <c r="K11" i="12"/>
  <c r="L14" i="12"/>
  <c r="M19" i="12"/>
  <c r="L23" i="12"/>
  <c r="M26" i="12"/>
  <c r="Q4" i="12"/>
  <c r="R9" i="12"/>
  <c r="P12" i="12"/>
  <c r="R14" i="12"/>
  <c r="Q19" i="12"/>
  <c r="O22" i="12"/>
  <c r="Q24" i="12"/>
  <c r="C11" i="13"/>
  <c r="B9" i="56"/>
  <c r="C24" i="56"/>
  <c r="G7" i="56"/>
  <c r="I9" i="56"/>
  <c r="G12" i="56"/>
  <c r="H17" i="56"/>
  <c r="V6" i="56"/>
  <c r="T9" i="56"/>
  <c r="S12" i="56"/>
  <c r="U14" i="56"/>
  <c r="S17" i="56"/>
  <c r="J3" i="52"/>
  <c r="F5" i="52"/>
  <c r="D7" i="52"/>
  <c r="D17" i="52"/>
  <c r="D2" i="5"/>
  <c r="G2" i="15"/>
  <c r="H12" i="60"/>
  <c r="G5" i="12"/>
  <c r="G24" i="12"/>
  <c r="M6" i="12"/>
  <c r="M25" i="12"/>
  <c r="C8" i="13"/>
  <c r="M22" i="12"/>
  <c r="R6" i="12"/>
  <c r="R11" i="12"/>
  <c r="O19" i="12"/>
  <c r="R26" i="12"/>
  <c r="C9" i="13"/>
  <c r="B7" i="56"/>
  <c r="I6" i="56"/>
  <c r="T6" i="56"/>
  <c r="G11" i="60"/>
  <c r="B7" i="12"/>
  <c r="F3" i="12"/>
  <c r="G6" i="12"/>
  <c r="F10" i="12"/>
  <c r="G13" i="12"/>
  <c r="E19" i="12"/>
  <c r="E26" i="12"/>
  <c r="L4" i="12"/>
  <c r="M7" i="12"/>
  <c r="L11" i="12"/>
  <c r="M14" i="12"/>
  <c r="K20" i="12"/>
  <c r="K27" i="12"/>
  <c r="R4" i="12"/>
  <c r="P7" i="12"/>
  <c r="O10" i="12"/>
  <c r="Q12" i="12"/>
  <c r="O15" i="12"/>
  <c r="P22" i="12"/>
  <c r="R24" i="12"/>
  <c r="P27" i="12"/>
  <c r="C12" i="13"/>
  <c r="B10" i="56"/>
  <c r="C25" i="56"/>
  <c r="J9" i="56"/>
  <c r="H12" i="56"/>
  <c r="J14" i="56"/>
  <c r="I17" i="56"/>
  <c r="S7" i="56"/>
  <c r="U9" i="56"/>
  <c r="V14" i="56"/>
  <c r="T17" i="56"/>
  <c r="C4" i="52"/>
  <c r="G5" i="52"/>
  <c r="F7" i="52"/>
  <c r="E17" i="52"/>
  <c r="E2" i="5"/>
  <c r="H2" i="15"/>
  <c r="F21" i="12"/>
  <c r="K19" i="12"/>
  <c r="O4" i="12"/>
  <c r="O9" i="12"/>
  <c r="P21" i="12"/>
  <c r="B17" i="56"/>
  <c r="H6" i="56"/>
  <c r="G14" i="56"/>
  <c r="V8" i="56"/>
  <c r="V13" i="56"/>
  <c r="H3" i="52"/>
  <c r="G8" i="52"/>
  <c r="E3" i="60"/>
  <c r="E6" i="60"/>
  <c r="G7" i="60"/>
  <c r="E13" i="60"/>
  <c r="F9" i="12"/>
  <c r="G12" i="12"/>
  <c r="G21" i="12"/>
  <c r="G3" i="60"/>
  <c r="E5" i="60"/>
  <c r="G6" i="60"/>
  <c r="E8" i="60"/>
  <c r="G9" i="60"/>
  <c r="E7" i="12"/>
  <c r="E14" i="12"/>
  <c r="F19" i="12"/>
  <c r="G22" i="12"/>
  <c r="F26" i="12"/>
  <c r="M4" i="12"/>
  <c r="K8" i="12"/>
  <c r="K15" i="12"/>
  <c r="L20" i="12"/>
  <c r="M23" i="12"/>
  <c r="L27" i="12"/>
  <c r="O5" i="12"/>
  <c r="Q7" i="12"/>
  <c r="R12" i="12"/>
  <c r="P15" i="12"/>
  <c r="R19" i="12"/>
  <c r="Q22" i="12"/>
  <c r="O25" i="12"/>
  <c r="Q27" i="12"/>
  <c r="B11" i="56"/>
  <c r="C26" i="56"/>
  <c r="H7" i="56"/>
  <c r="G10" i="56"/>
  <c r="I12" i="56"/>
  <c r="G15" i="56"/>
  <c r="T7" i="56"/>
  <c r="V9" i="56"/>
  <c r="T12" i="56"/>
  <c r="S15" i="56"/>
  <c r="U17" i="56"/>
  <c r="D4" i="52"/>
  <c r="H5" i="52"/>
  <c r="F17" i="52"/>
  <c r="F2" i="5"/>
  <c r="H5" i="60"/>
  <c r="H8" i="60"/>
  <c r="G12" i="60"/>
  <c r="H10" i="60"/>
  <c r="E9" i="12"/>
  <c r="L22" i="12"/>
  <c r="G13" i="60"/>
  <c r="B8" i="12"/>
  <c r="G3" i="12"/>
  <c r="H9" i="60"/>
  <c r="H11" i="60"/>
  <c r="H13" i="60"/>
  <c r="E4" i="12"/>
  <c r="F7" i="12"/>
  <c r="G10" i="12"/>
  <c r="F14" i="12"/>
  <c r="G19" i="12"/>
  <c r="E23" i="12"/>
  <c r="K5" i="12"/>
  <c r="L8" i="12"/>
  <c r="M11" i="12"/>
  <c r="L15" i="12"/>
  <c r="M20" i="12"/>
  <c r="K24" i="12"/>
  <c r="P5" i="12"/>
  <c r="R7" i="12"/>
  <c r="P10" i="12"/>
  <c r="O13" i="12"/>
  <c r="Q15" i="12"/>
  <c r="O20" i="12"/>
  <c r="P25" i="12"/>
  <c r="R27" i="12"/>
  <c r="C13" i="13"/>
  <c r="B12" i="56"/>
  <c r="G5" i="56"/>
  <c r="I7" i="56"/>
  <c r="J12" i="56"/>
  <c r="H15" i="56"/>
  <c r="J17" i="56"/>
  <c r="U7" i="56"/>
  <c r="S10" i="56"/>
  <c r="U12" i="56"/>
  <c r="V17" i="56"/>
  <c r="F4" i="52"/>
  <c r="J5" i="52"/>
  <c r="H7" i="52"/>
  <c r="M2" i="15"/>
  <c r="H6" i="60"/>
  <c r="E14" i="60"/>
  <c r="E20" i="12"/>
  <c r="F23" i="12"/>
  <c r="G26" i="12"/>
  <c r="L5" i="12"/>
  <c r="M8" i="12"/>
  <c r="K12" i="12"/>
  <c r="Q10" i="12"/>
  <c r="R15" i="12"/>
  <c r="P20" i="12"/>
  <c r="R22" i="12"/>
  <c r="Q25" i="12"/>
  <c r="C4" i="13"/>
  <c r="C14" i="13"/>
  <c r="H5" i="56"/>
  <c r="J7" i="56"/>
  <c r="H10" i="56"/>
  <c r="G13" i="56"/>
  <c r="I15" i="56"/>
  <c r="S5" i="56"/>
  <c r="T10" i="56"/>
  <c r="V12" i="56"/>
  <c r="T15" i="56"/>
  <c r="C3" i="52"/>
  <c r="G4" i="52"/>
  <c r="I7" i="52"/>
  <c r="J17" i="52"/>
  <c r="J2" i="5"/>
  <c r="N2" i="15"/>
  <c r="F7" i="60"/>
  <c r="G10" i="60"/>
  <c r="B14" i="12"/>
  <c r="E18" i="12"/>
  <c r="L3" i="12"/>
  <c r="K10" i="12"/>
  <c r="Q6" i="12"/>
  <c r="O24" i="12"/>
  <c r="I11" i="56"/>
  <c r="I18" i="52"/>
  <c r="G4" i="60"/>
  <c r="E9" i="60"/>
  <c r="H3" i="60"/>
  <c r="F5" i="60"/>
  <c r="F8" i="60"/>
  <c r="E10" i="60"/>
  <c r="B9" i="12"/>
  <c r="F4" i="12"/>
  <c r="G7" i="12"/>
  <c r="E11" i="12"/>
  <c r="B10" i="12"/>
  <c r="E8" i="12"/>
  <c r="F11" i="12"/>
  <c r="G14" i="12"/>
  <c r="F20" i="12"/>
  <c r="G23" i="12"/>
  <c r="E27" i="12"/>
  <c r="K9" i="12"/>
  <c r="L12" i="12"/>
  <c r="M15" i="12"/>
  <c r="L21" i="12"/>
  <c r="M24" i="12"/>
  <c r="O3" i="12"/>
  <c r="P8" i="12"/>
  <c r="R10" i="12"/>
  <c r="P13" i="12"/>
  <c r="O18" i="12"/>
  <c r="Q20" i="12"/>
  <c r="O23" i="12"/>
  <c r="C5" i="13"/>
  <c r="C15" i="13"/>
  <c r="B13" i="56"/>
  <c r="I5" i="56"/>
  <c r="G8" i="56"/>
  <c r="I10" i="56"/>
  <c r="J15" i="56"/>
  <c r="T5" i="56"/>
  <c r="V7" i="56"/>
  <c r="U10" i="56"/>
  <c r="S13" i="56"/>
  <c r="U15" i="56"/>
  <c r="D6" i="52"/>
  <c r="J7" i="52"/>
  <c r="C18" i="52"/>
  <c r="K2" i="5"/>
  <c r="K21" i="12"/>
  <c r="L24" i="12"/>
  <c r="M27" i="12"/>
  <c r="Q5" i="12"/>
  <c r="O8" i="12"/>
  <c r="E12" i="60"/>
  <c r="F14" i="60"/>
  <c r="E4" i="60"/>
  <c r="G5" i="60"/>
  <c r="E7" i="60"/>
  <c r="G8" i="60"/>
  <c r="F10" i="60"/>
  <c r="F12" i="60"/>
  <c r="G14" i="60"/>
  <c r="B11" i="12"/>
  <c r="G4" i="12"/>
  <c r="F8" i="12"/>
  <c r="G11" i="12"/>
  <c r="E15" i="12"/>
  <c r="E24" i="12"/>
  <c r="F27" i="12"/>
  <c r="M5" i="12"/>
  <c r="L9" i="12"/>
  <c r="M12" i="12"/>
  <c r="K18" i="12"/>
  <c r="K25" i="12"/>
  <c r="P3" i="12"/>
  <c r="R5" i="12"/>
  <c r="Q8" i="12"/>
  <c r="O11" i="12"/>
  <c r="Q13" i="12"/>
  <c r="R20" i="12"/>
  <c r="P23" i="12"/>
  <c r="R25" i="12"/>
  <c r="C6" i="13"/>
  <c r="C16" i="13"/>
  <c r="B14" i="56"/>
  <c r="H8" i="56"/>
  <c r="J10" i="56"/>
  <c r="H13" i="56"/>
  <c r="G16" i="56"/>
  <c r="U5" i="56"/>
  <c r="S8" i="56"/>
  <c r="T13" i="56"/>
  <c r="V15" i="56"/>
  <c r="D3" i="52"/>
  <c r="H4" i="52"/>
  <c r="E6" i="52"/>
  <c r="D8" i="52"/>
  <c r="D18" i="52"/>
  <c r="L2" i="5"/>
  <c r="F6" i="61"/>
  <c r="P14" i="12"/>
  <c r="R18" i="12"/>
  <c r="Q26" i="12"/>
  <c r="J8" i="56"/>
  <c r="I16" i="56"/>
  <c r="U16" i="56"/>
  <c r="H14" i="60"/>
  <c r="B12" i="12"/>
  <c r="E5" i="12"/>
  <c r="E12" i="12"/>
  <c r="F15" i="12"/>
  <c r="G20" i="12"/>
  <c r="F24" i="12"/>
  <c r="G27" i="12"/>
  <c r="K6" i="12"/>
  <c r="K13" i="12"/>
  <c r="L18" i="12"/>
  <c r="M21" i="12"/>
  <c r="L25" i="12"/>
  <c r="Q3" i="12"/>
  <c r="O6" i="12"/>
  <c r="P11" i="12"/>
  <c r="R13" i="12"/>
  <c r="P18" i="12"/>
  <c r="O21" i="12"/>
  <c r="Q23" i="12"/>
  <c r="O26" i="12"/>
  <c r="B5" i="56"/>
  <c r="B15" i="56"/>
  <c r="J5" i="56"/>
  <c r="I8" i="56"/>
  <c r="G11" i="56"/>
  <c r="I13" i="56"/>
  <c r="V5" i="56"/>
  <c r="T8" i="56"/>
  <c r="V10" i="56"/>
  <c r="U13" i="56"/>
  <c r="S16" i="56"/>
  <c r="E3" i="52"/>
  <c r="I4" i="52"/>
  <c r="F6" i="52"/>
  <c r="B13" i="12"/>
  <c r="F5" i="12"/>
  <c r="G8" i="12"/>
  <c r="F12" i="12"/>
  <c r="G15" i="12"/>
  <c r="E21" i="12"/>
  <c r="K3" i="12"/>
  <c r="L6" i="12"/>
  <c r="M9" i="12"/>
  <c r="L13" i="12"/>
  <c r="M18" i="12"/>
  <c r="K22" i="12"/>
  <c r="R3" i="12"/>
  <c r="P6" i="12"/>
  <c r="R8" i="12"/>
  <c r="Q11" i="12"/>
  <c r="O14" i="12"/>
  <c r="Q18" i="12"/>
  <c r="R23" i="12"/>
  <c r="P26" i="12"/>
  <c r="C7" i="13"/>
  <c r="B6" i="56"/>
  <c r="B16" i="56"/>
  <c r="G6" i="56"/>
  <c r="H11" i="56"/>
  <c r="J13" i="56"/>
  <c r="H16" i="56"/>
  <c r="S6" i="56"/>
  <c r="U8" i="56"/>
  <c r="S11" i="56"/>
  <c r="T16" i="56"/>
  <c r="F3" i="52"/>
  <c r="J4" i="52"/>
  <c r="H6" i="52"/>
  <c r="F8" i="52"/>
  <c r="H18" i="52"/>
  <c r="A2" i="15"/>
  <c r="L6" i="61"/>
  <c r="I2" i="15"/>
  <c r="O2" i="15"/>
  <c r="G6" i="61"/>
  <c r="M6" i="61"/>
  <c r="G3" i="52"/>
  <c r="E4" i="52"/>
  <c r="C5" i="52"/>
  <c r="I5" i="52"/>
  <c r="G6" i="52"/>
  <c r="E7" i="52"/>
  <c r="C8" i="52"/>
  <c r="I8" i="52"/>
  <c r="G17" i="52"/>
  <c r="E18" i="52"/>
  <c r="A2" i="5"/>
  <c r="G2" i="5"/>
  <c r="M2" i="5"/>
  <c r="D2" i="15"/>
  <c r="J2" i="15"/>
  <c r="B6" i="61"/>
  <c r="H6" i="61"/>
  <c r="N6" i="61"/>
  <c r="J8" i="52"/>
  <c r="H17" i="52"/>
  <c r="F18" i="52"/>
  <c r="B2" i="5"/>
  <c r="H2" i="5"/>
  <c r="N2" i="5"/>
  <c r="E2" i="15"/>
  <c r="K2" i="15"/>
  <c r="C6" i="61"/>
  <c r="I6" i="61"/>
  <c r="O6" i="61"/>
  <c r="C6" i="52"/>
  <c r="I6" i="52"/>
  <c r="G7" i="52"/>
  <c r="E8" i="52"/>
  <c r="C17" i="52"/>
  <c r="I17" i="52"/>
  <c r="G18" i="52"/>
  <c r="C2" i="5"/>
  <c r="I2" i="5"/>
  <c r="O2" i="5"/>
  <c r="F2" i="15"/>
  <c r="L2" i="15"/>
  <c r="D6" i="61"/>
  <c r="J6" i="61"/>
  <c r="P6" i="61"/>
  <c r="E6" i="61"/>
  <c r="K6" i="61"/>
  <c r="Q6" i="61"/>
  <c r="O14" i="62" a="1"/>
  <c r="O14" i="62" l="1"/>
  <c r="O13" i="62" a="1"/>
  <c r="O13" i="62" l="1"/>
  <c r="O12" i="62" a="1"/>
  <c r="O12" i="62" l="1"/>
  <c r="O11" i="62" a="1"/>
  <c r="O11" i="62" l="1"/>
  <c r="O10" i="62" a="1"/>
  <c r="O10" i="62" l="1"/>
  <c r="O9" i="62" a="1"/>
  <c r="O9" i="62" l="1"/>
  <c r="O8" i="62" a="1"/>
  <c r="O8" i="62" l="1"/>
  <c r="O7" i="62" a="1"/>
  <c r="O7" i="62" l="1"/>
  <c r="O6" i="62" a="1"/>
  <c r="O6" i="62" l="1"/>
  <c r="O5" i="62" a="1"/>
  <c r="O5" i="62" l="1"/>
  <c r="O4" i="62" a="1"/>
  <c r="O4" i="62" l="1"/>
  <c r="O3" i="62" a="1"/>
  <c r="O3" i="62" l="1"/>
  <c r="L20" i="62" a="1"/>
  <c r="L20" i="62" l="1"/>
  <c r="K20" i="62" a="1"/>
  <c r="K20" i="62" l="1"/>
  <c r="J20" i="62" a="1"/>
  <c r="J20" i="62" l="1"/>
  <c r="I20" i="62" a="1"/>
  <c r="I20" i="62" l="1"/>
  <c r="H20" i="62" a="1"/>
  <c r="H20" i="62" l="1"/>
  <c r="G20" i="62" a="1"/>
  <c r="G20" i="62" l="1"/>
  <c r="F20" i="62" a="1"/>
  <c r="F20" i="62" l="1"/>
  <c r="L19" i="62" a="1"/>
  <c r="L19" i="62" l="1"/>
  <c r="K19" i="62" a="1"/>
  <c r="K19" i="62" l="1"/>
  <c r="J19" i="62" a="1"/>
  <c r="J19" i="62" l="1"/>
  <c r="I19" i="62" a="1"/>
  <c r="I19" i="62" l="1"/>
  <c r="H19" i="62" a="1"/>
  <c r="H19" i="62" l="1"/>
  <c r="G19" i="62" a="1"/>
  <c r="G19" i="62" l="1"/>
  <c r="F19" i="62" a="1"/>
  <c r="F19" i="62" l="1"/>
  <c r="L15" i="62" a="1"/>
  <c r="L15" i="62" l="1"/>
  <c r="K15" i="62" a="1"/>
  <c r="K15" i="62" l="1"/>
  <c r="J15" i="62" a="1"/>
  <c r="J15" i="62" l="1"/>
  <c r="I15" i="62" a="1"/>
  <c r="I15" i="62" l="1"/>
  <c r="H15" i="62" a="1"/>
  <c r="H15" i="62" l="1"/>
  <c r="G15" i="62" a="1"/>
  <c r="G15" i="62" l="1"/>
  <c r="F15" i="62" a="1"/>
  <c r="F15" i="62" l="1"/>
  <c r="L14" i="62" a="1"/>
  <c r="L14" i="62" l="1"/>
  <c r="K14" i="62" a="1"/>
  <c r="K14" i="62" l="1"/>
  <c r="J14" i="62" a="1"/>
  <c r="J14" i="62" l="1"/>
  <c r="I14" i="62" a="1"/>
  <c r="I14" i="62" l="1"/>
  <c r="H14" i="62" a="1"/>
  <c r="H14" i="62" l="1"/>
  <c r="G14" i="62" a="1"/>
  <c r="G14" i="62" l="1"/>
  <c r="F14" i="62" a="1"/>
  <c r="F14" i="62" l="1"/>
  <c r="L13" i="62" a="1"/>
  <c r="L13" i="62" l="1"/>
  <c r="K13" i="62" a="1"/>
  <c r="K13" i="62" l="1"/>
  <c r="J13" i="62" a="1"/>
  <c r="J13" i="62" l="1"/>
  <c r="I13" i="62" a="1"/>
  <c r="I13" i="62" l="1"/>
  <c r="H13" i="62" a="1"/>
  <c r="H13" i="62" l="1"/>
  <c r="G13" i="62" a="1"/>
  <c r="G13" i="62" l="1"/>
  <c r="F13" i="62" a="1"/>
  <c r="F13" i="62" l="1"/>
  <c r="L12" i="62" a="1"/>
  <c r="L12" i="62" l="1"/>
  <c r="K12" i="62" a="1"/>
  <c r="K12" i="62" l="1"/>
  <c r="J12" i="62" a="1"/>
  <c r="J12" i="62" l="1"/>
  <c r="I12" i="62" a="1"/>
  <c r="I12" i="62" l="1"/>
  <c r="H12" i="62" a="1"/>
  <c r="H12" i="62" l="1"/>
  <c r="G12" i="62" a="1"/>
  <c r="G12" i="62" l="1"/>
  <c r="F12" i="62" a="1"/>
  <c r="F12" i="62" l="1"/>
  <c r="L11" i="62" a="1"/>
  <c r="L11" i="62" l="1"/>
  <c r="K11" i="62" a="1"/>
  <c r="K11" i="62" l="1"/>
  <c r="J11" i="62" a="1"/>
  <c r="J11" i="62" l="1"/>
  <c r="I11" i="62" a="1"/>
  <c r="I11" i="62" l="1"/>
  <c r="H11" i="62" a="1"/>
  <c r="H11" i="62" l="1"/>
  <c r="G11" i="62" a="1"/>
  <c r="G11" i="62" l="1"/>
  <c r="F11" i="62" a="1"/>
  <c r="F11" i="62" l="1"/>
  <c r="L10" i="62" a="1"/>
  <c r="L10" i="62" l="1"/>
  <c r="K10" i="62" a="1"/>
  <c r="K10" i="62" l="1"/>
  <c r="J10" i="62" a="1"/>
  <c r="J10" i="62" l="1"/>
  <c r="I10" i="62" a="1"/>
  <c r="I10" i="62" l="1"/>
  <c r="H10" i="62" a="1"/>
  <c r="H10" i="62" l="1"/>
  <c r="G10" i="62" a="1"/>
  <c r="G10" i="62" l="1"/>
  <c r="F10" i="62" a="1"/>
  <c r="F10" i="62" l="1"/>
  <c r="L9" i="62" a="1"/>
  <c r="L9" i="62" l="1"/>
  <c r="K9" i="62" a="1"/>
  <c r="K9" i="62" l="1"/>
  <c r="J9" i="62" a="1"/>
  <c r="J9" i="62" l="1"/>
  <c r="I9" i="62" a="1"/>
  <c r="I9" i="62" l="1"/>
  <c r="H9" i="62" a="1"/>
  <c r="H9" i="62" l="1"/>
  <c r="G9" i="62" a="1"/>
  <c r="G9" i="62" l="1"/>
  <c r="F9" i="62" a="1"/>
  <c r="F9" i="62" l="1"/>
  <c r="L8" i="62" a="1"/>
  <c r="L8" i="62" l="1"/>
  <c r="K8" i="62" a="1"/>
  <c r="K8" i="62" l="1"/>
  <c r="J8" i="62" a="1"/>
  <c r="J8" i="62" l="1"/>
  <c r="I8" i="62" a="1"/>
  <c r="I8" i="62" l="1"/>
  <c r="H8" i="62" a="1"/>
  <c r="H8" i="62" l="1"/>
  <c r="G8" i="62" a="1"/>
  <c r="G8" i="62" l="1"/>
  <c r="F8" i="62" a="1"/>
  <c r="F8" i="62" l="1"/>
  <c r="L7" i="62" a="1"/>
  <c r="L7" i="62" l="1"/>
  <c r="K7" i="62" a="1"/>
  <c r="K7" i="62" l="1"/>
  <c r="J7" i="62" a="1"/>
  <c r="J7" i="62" l="1"/>
  <c r="I7" i="62" a="1"/>
  <c r="I7" i="62" l="1"/>
  <c r="H7" i="62" a="1"/>
  <c r="H7" i="62" l="1"/>
  <c r="G7" i="62" a="1"/>
  <c r="G7" i="62" l="1"/>
  <c r="F7" i="62" a="1"/>
  <c r="F7" i="62" l="1"/>
  <c r="L6" i="62" a="1"/>
  <c r="L6" i="62" l="1"/>
  <c r="K6" i="62" a="1"/>
  <c r="K6" i="62" l="1"/>
  <c r="J6" i="62" a="1"/>
  <c r="J6" i="62" l="1"/>
  <c r="I6" i="62" a="1"/>
  <c r="I6" i="62" l="1"/>
  <c r="H6" i="62" a="1"/>
  <c r="H6" i="62" l="1"/>
  <c r="G6" i="62" a="1"/>
  <c r="G6" i="62" l="1"/>
  <c r="F6" i="62" a="1"/>
  <c r="F6" i="62" l="1"/>
  <c r="L5" i="62" a="1"/>
  <c r="L5" i="62" l="1"/>
  <c r="K5" i="62" a="1"/>
  <c r="K5" i="62" l="1"/>
  <c r="J5" i="62" a="1"/>
  <c r="J5" i="62" l="1"/>
  <c r="I5" i="62" a="1"/>
  <c r="I5" i="62" l="1"/>
  <c r="H5" i="62" a="1"/>
  <c r="H5" i="62" l="1"/>
  <c r="G5" i="62" a="1"/>
  <c r="G5" i="62" l="1"/>
  <c r="F5" i="62" a="1"/>
  <c r="F5" i="62" l="1"/>
  <c r="L4" i="62" a="1"/>
  <c r="L4" i="62" l="1"/>
  <c r="K4" i="62" a="1"/>
  <c r="K4" i="62" l="1"/>
  <c r="J4" i="62" a="1"/>
  <c r="J4" i="62" l="1"/>
  <c r="I4" i="62" a="1"/>
  <c r="I4" i="62" l="1"/>
  <c r="H4" i="62" a="1"/>
  <c r="H4" i="62" l="1"/>
  <c r="G4" i="62" a="1"/>
  <c r="G4" i="62" l="1"/>
  <c r="F4" i="62" a="1"/>
  <c r="F4" i="62" l="1"/>
  <c r="L3" i="62" a="1"/>
  <c r="L3" i="62" l="1"/>
  <c r="K3" i="62" a="1"/>
  <c r="K3" i="62" l="1"/>
  <c r="J3" i="62" a="1"/>
  <c r="J3" i="62" l="1"/>
  <c r="I3" i="62" a="1"/>
  <c r="I3" i="62" l="1"/>
  <c r="H3" i="62" a="1"/>
  <c r="H3" i="62" l="1"/>
  <c r="G3" i="62" a="1"/>
  <c r="G3" i="62" l="1"/>
  <c r="F3" i="62" a="1"/>
  <c r="F3" i="62" l="1"/>
  <c r="C15" i="62" a="1"/>
  <c r="C15" i="62" l="1"/>
  <c r="C14" i="62" a="1"/>
  <c r="C14" i="62" l="1"/>
  <c r="C13" i="62" a="1"/>
  <c r="C13" i="62" l="1"/>
  <c r="C12" i="62" a="1"/>
  <c r="C12" i="62" l="1"/>
  <c r="C11" i="62" a="1"/>
  <c r="C11" i="62" l="1"/>
  <c r="C10" i="62" a="1"/>
  <c r="C10" i="62" l="1"/>
  <c r="C9" i="62" a="1"/>
  <c r="C9" i="62" l="1"/>
  <c r="C8" i="62" a="1"/>
  <c r="C8" i="62" l="1"/>
  <c r="C7" i="62" a="1"/>
  <c r="C7" i="62" l="1"/>
  <c r="C6" i="62" a="1"/>
  <c r="C6" i="62" l="1"/>
  <c r="C5" i="62" a="1"/>
  <c r="C5" i="62" l="1"/>
  <c r="C4" i="62" a="1"/>
  <c r="C4" i="62" l="1"/>
  <c r="C3" i="62" a="1"/>
  <c r="C3" i="62" l="1"/>
  <c r="H39" i="62"/>
  <c r="H36" i="62"/>
  <c r="H33" i="62"/>
  <c r="H30" i="62"/>
  <c r="D20" i="62"/>
  <c r="D19" i="62"/>
  <c r="P15" i="62"/>
  <c r="N15" i="62"/>
  <c r="H41" i="62" s="1"/>
  <c r="M15" i="62"/>
  <c r="S14" i="62"/>
  <c r="P14" i="62"/>
  <c r="N14" i="62"/>
  <c r="H40" i="62" s="1"/>
  <c r="M14" i="62"/>
  <c r="P13" i="62"/>
  <c r="N13" i="62"/>
  <c r="M13" i="62"/>
  <c r="S12" i="62"/>
  <c r="P12" i="62"/>
  <c r="N12" i="62"/>
  <c r="H38" i="62" s="1"/>
  <c r="M12" i="62"/>
  <c r="P11" i="62"/>
  <c r="N11" i="62"/>
  <c r="H37" i="62" s="1"/>
  <c r="M11" i="62"/>
  <c r="S10" i="62"/>
  <c r="P10" i="62"/>
  <c r="N10" i="62"/>
  <c r="M10" i="62"/>
  <c r="P9" i="62"/>
  <c r="N9" i="62"/>
  <c r="H35" i="62" s="1"/>
  <c r="M9" i="62"/>
  <c r="S8" i="62"/>
  <c r="P8" i="62"/>
  <c r="N8" i="62"/>
  <c r="H34" i="62" s="1"/>
  <c r="M8" i="62"/>
  <c r="P7" i="62"/>
  <c r="N7" i="62"/>
  <c r="M7" i="62"/>
  <c r="S6" i="62"/>
  <c r="P6" i="62"/>
  <c r="N6" i="62"/>
  <c r="H32" i="62" s="1"/>
  <c r="M6" i="62"/>
  <c r="P5" i="62"/>
  <c r="N5" i="62"/>
  <c r="H31" i="62" s="1"/>
  <c r="M5" i="62"/>
  <c r="S4" i="62"/>
  <c r="P4" i="62"/>
  <c r="N4" i="62"/>
  <c r="M4" i="62"/>
  <c r="P3" i="62"/>
  <c r="AA15" i="62" s="1" a="1"/>
  <c r="AA15" i="62" s="1"/>
  <c r="N3" i="62"/>
  <c r="H29" i="62" s="1"/>
  <c r="M3" i="62"/>
  <c r="C14" i="60"/>
  <c r="T15" i="62" l="1"/>
  <c r="Q3" i="62"/>
  <c r="Q5" i="62"/>
  <c r="Q7" i="62"/>
  <c r="Q9" i="62"/>
  <c r="Q11" i="62"/>
  <c r="Q13" i="62"/>
  <c r="Q15" i="62"/>
  <c r="T4" i="62"/>
  <c r="T6" i="62"/>
  <c r="T8" i="62"/>
  <c r="T10" i="62"/>
  <c r="T12" i="62"/>
  <c r="T14" i="62"/>
  <c r="Q4" i="62"/>
  <c r="Q6" i="62"/>
  <c r="Q8" i="62"/>
  <c r="Q10" i="62"/>
  <c r="Q12" i="62"/>
  <c r="Q14" i="62"/>
  <c r="T3" i="62"/>
  <c r="T11" i="62"/>
  <c r="T5" i="62"/>
  <c r="T9" i="62"/>
  <c r="T13" i="62"/>
  <c r="T7" i="62"/>
  <c r="AA4" i="62" a="1"/>
  <c r="AA4" i="62" s="1"/>
  <c r="AA6" i="62" a="1"/>
  <c r="AA6" i="62" s="1"/>
  <c r="AA8" i="62" a="1"/>
  <c r="AA8" i="62" s="1"/>
  <c r="AA10" i="62" a="1"/>
  <c r="AA10" i="62" s="1"/>
  <c r="AA12" i="62" a="1"/>
  <c r="AA12" i="62" s="1"/>
  <c r="AA14" i="62" a="1"/>
  <c r="AA14" i="62" s="1"/>
  <c r="S3" i="62"/>
  <c r="S5" i="62"/>
  <c r="S7" i="62"/>
  <c r="S9" i="62"/>
  <c r="S11" i="62"/>
  <c r="S13" i="62"/>
  <c r="S15" i="62"/>
  <c r="AA3" i="62" a="1"/>
  <c r="AA3" i="62" s="1"/>
  <c r="AA5" i="62" a="1"/>
  <c r="AA5" i="62" s="1"/>
  <c r="AA7" i="62" a="1"/>
  <c r="AA7" i="62" s="1"/>
  <c r="AA9" i="62" a="1"/>
  <c r="AA9" i="62" s="1"/>
  <c r="AA11" i="62" a="1"/>
  <c r="AA11" i="62" s="1"/>
  <c r="AA13" i="62" a="1"/>
  <c r="AA13" i="62" s="1"/>
  <c r="K13" i="60"/>
  <c r="M7" i="60"/>
  <c r="L9" i="60"/>
  <c r="C25" i="12"/>
  <c r="C26" i="12"/>
  <c r="C27" i="12"/>
  <c r="Z15" i="62" l="1" a="1"/>
  <c r="Z15" i="62" s="1"/>
  <c r="Z13" i="62" a="1"/>
  <c r="Z13" i="62" s="1"/>
  <c r="Z11" i="62" a="1"/>
  <c r="Z11" i="62" s="1"/>
  <c r="Z9" i="62" a="1"/>
  <c r="Z9" i="62" s="1"/>
  <c r="Z7" i="62" a="1"/>
  <c r="Z7" i="62" s="1"/>
  <c r="Z5" i="62" a="1"/>
  <c r="Z5" i="62" s="1"/>
  <c r="Z3" i="62" a="1"/>
  <c r="Z3" i="62" s="1"/>
  <c r="Z14" i="62" a="1"/>
  <c r="Z14" i="62" s="1"/>
  <c r="Z12" i="62" a="1"/>
  <c r="Z12" i="62" s="1"/>
  <c r="Z10" i="62" a="1"/>
  <c r="Z10" i="62" s="1"/>
  <c r="Z8" i="62" a="1"/>
  <c r="Z8" i="62" s="1"/>
  <c r="Z6" i="62" a="1"/>
  <c r="Z6" i="62" s="1"/>
  <c r="Z4" i="62" a="1"/>
  <c r="Z4" i="62" s="1"/>
  <c r="Y14" i="62" a="1"/>
  <c r="Y14" i="62" s="1"/>
  <c r="Y12" i="62" a="1"/>
  <c r="Y12" i="62" s="1"/>
  <c r="Y10" i="62" a="1"/>
  <c r="Y10" i="62" s="1"/>
  <c r="Y8" i="62" a="1"/>
  <c r="Y8" i="62" s="1"/>
  <c r="Y6" i="62" a="1"/>
  <c r="Y6" i="62" s="1"/>
  <c r="Y4" i="62" a="1"/>
  <c r="Y4" i="62" s="1"/>
  <c r="Y11" i="62" a="1"/>
  <c r="Y11" i="62" s="1"/>
  <c r="Y3" i="62" a="1"/>
  <c r="Y3" i="62" s="1"/>
  <c r="Y7" i="62" a="1"/>
  <c r="Y7" i="62" s="1"/>
  <c r="Y5" i="62" a="1"/>
  <c r="Y5" i="62" s="1"/>
  <c r="Y15" i="62" a="1"/>
  <c r="Y15" i="62" s="1"/>
  <c r="Y9" i="62" a="1"/>
  <c r="Y9" i="62" s="1"/>
  <c r="Y13" i="62" a="1"/>
  <c r="Y13" i="62" s="1"/>
  <c r="R7" i="62"/>
  <c r="E33" i="62"/>
  <c r="G33" i="62" s="1"/>
  <c r="J33" i="62" s="1"/>
  <c r="R5" i="62"/>
  <c r="E31" i="62"/>
  <c r="G31" i="62" s="1"/>
  <c r="J31" i="62" s="1"/>
  <c r="U15" i="62" a="1"/>
  <c r="U15" i="62" s="1"/>
  <c r="U13" i="62" a="1"/>
  <c r="U13" i="62" s="1"/>
  <c r="U11" i="62" a="1"/>
  <c r="U11" i="62" s="1"/>
  <c r="U9" i="62" a="1"/>
  <c r="U9" i="62" s="1"/>
  <c r="U7" i="62" a="1"/>
  <c r="U7" i="62" s="1"/>
  <c r="U5" i="62" a="1"/>
  <c r="U5" i="62" s="1"/>
  <c r="U3" i="62" a="1"/>
  <c r="U3" i="62" s="1"/>
  <c r="U14" i="62" a="1"/>
  <c r="U14" i="62" s="1"/>
  <c r="U12" i="62" a="1"/>
  <c r="U12" i="62" s="1"/>
  <c r="U10" i="62" a="1"/>
  <c r="U10" i="62" s="1"/>
  <c r="U8" i="62" a="1"/>
  <c r="U8" i="62" s="1"/>
  <c r="U6" i="62" a="1"/>
  <c r="U6" i="62" s="1"/>
  <c r="U4" i="62" a="1"/>
  <c r="U4" i="62" s="1"/>
  <c r="E30" i="62"/>
  <c r="G30" i="62" s="1"/>
  <c r="J30" i="62" s="1"/>
  <c r="R4" i="62"/>
  <c r="E34" i="62"/>
  <c r="G34" i="62" s="1"/>
  <c r="J34" i="62" s="1"/>
  <c r="R8" i="62"/>
  <c r="E32" i="62"/>
  <c r="G32" i="62" s="1"/>
  <c r="J32" i="62" s="1"/>
  <c r="R6" i="62"/>
  <c r="X14" i="62" a="1"/>
  <c r="X14" i="62" s="1"/>
  <c r="X12" i="62" a="1"/>
  <c r="X12" i="62" s="1"/>
  <c r="X10" i="62" a="1"/>
  <c r="X10" i="62" s="1"/>
  <c r="X8" i="62" a="1"/>
  <c r="X8" i="62" s="1"/>
  <c r="X6" i="62" a="1"/>
  <c r="X6" i="62" s="1"/>
  <c r="X4" i="62" a="1"/>
  <c r="X4" i="62" s="1"/>
  <c r="X15" i="62" a="1"/>
  <c r="X15" i="62" s="1"/>
  <c r="X13" i="62" a="1"/>
  <c r="X13" i="62" s="1"/>
  <c r="X11" i="62" a="1"/>
  <c r="X11" i="62" s="1"/>
  <c r="X9" i="62" a="1"/>
  <c r="X9" i="62" s="1"/>
  <c r="X7" i="62" a="1"/>
  <c r="X7" i="62" s="1"/>
  <c r="X5" i="62" a="1"/>
  <c r="X5" i="62" s="1"/>
  <c r="X3" i="62" a="1"/>
  <c r="X3" i="62" s="1"/>
  <c r="E41" i="62"/>
  <c r="G41" i="62" s="1"/>
  <c r="J41" i="62" s="1"/>
  <c r="R15" i="62"/>
  <c r="E29" i="62"/>
  <c r="G29" i="62" s="1"/>
  <c r="J29" i="62" s="1"/>
  <c r="R3" i="62"/>
  <c r="R13" i="62"/>
  <c r="E39" i="62"/>
  <c r="G39" i="62" s="1"/>
  <c r="J39" i="62" s="1"/>
  <c r="E40" i="62"/>
  <c r="G40" i="62" s="1"/>
  <c r="J40" i="62" s="1"/>
  <c r="R14" i="62"/>
  <c r="R11" i="62"/>
  <c r="E37" i="62"/>
  <c r="G37" i="62" s="1"/>
  <c r="J37" i="62" s="1"/>
  <c r="E38" i="62"/>
  <c r="G38" i="62" s="1"/>
  <c r="J38" i="62" s="1"/>
  <c r="R12" i="62"/>
  <c r="E36" i="62"/>
  <c r="G36" i="62" s="1"/>
  <c r="J36" i="62" s="1"/>
  <c r="R10" i="62"/>
  <c r="W14" i="62" a="1"/>
  <c r="W14" i="62" s="1"/>
  <c r="W12" i="62" a="1"/>
  <c r="W12" i="62" s="1"/>
  <c r="W10" i="62" a="1"/>
  <c r="W10" i="62" s="1"/>
  <c r="W8" i="62" a="1"/>
  <c r="W8" i="62" s="1"/>
  <c r="W6" i="62" a="1"/>
  <c r="W6" i="62" s="1"/>
  <c r="W4" i="62" a="1"/>
  <c r="W4" i="62" s="1"/>
  <c r="W15" i="62" a="1"/>
  <c r="W15" i="62" s="1"/>
  <c r="W13" i="62" a="1"/>
  <c r="W13" i="62" s="1"/>
  <c r="W11" i="62" a="1"/>
  <c r="W11" i="62" s="1"/>
  <c r="W9" i="62" a="1"/>
  <c r="W9" i="62" s="1"/>
  <c r="W7" i="62" a="1"/>
  <c r="W7" i="62" s="1"/>
  <c r="W5" i="62" a="1"/>
  <c r="W5" i="62" s="1"/>
  <c r="W3" i="62" a="1"/>
  <c r="W3" i="62" s="1"/>
  <c r="E35" i="62"/>
  <c r="G35" i="62" s="1"/>
  <c r="J35" i="62" s="1"/>
  <c r="R9" i="62"/>
  <c r="K4" i="60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36" i="59"/>
  <c r="I39" i="59"/>
  <c r="G38" i="59"/>
  <c r="H36" i="59"/>
  <c r="H39" i="59"/>
  <c r="I37" i="59"/>
  <c r="I27" i="12"/>
  <c r="L52" i="59" s="1"/>
  <c r="G39" i="59"/>
  <c r="G36" i="59"/>
  <c r="H37" i="59"/>
  <c r="H38" i="59"/>
  <c r="I38" i="59"/>
  <c r="G37" i="59"/>
  <c r="I26" i="12"/>
  <c r="L51" i="59" s="1"/>
  <c r="H26" i="12"/>
  <c r="K51" i="59" s="1"/>
  <c r="H27" i="12"/>
  <c r="K52" i="59" s="1"/>
  <c r="I25" i="12"/>
  <c r="L50" i="59" s="1"/>
  <c r="V15" i="62" l="1" a="1"/>
  <c r="V15" i="62" s="1"/>
  <c r="AB15" i="62" s="1"/>
  <c r="V13" i="62" a="1"/>
  <c r="V13" i="62" s="1"/>
  <c r="AB13" i="62" s="1"/>
  <c r="V11" i="62" a="1"/>
  <c r="V11" i="62" s="1"/>
  <c r="AB11" i="62" s="1"/>
  <c r="V9" i="62" a="1"/>
  <c r="V9" i="62" s="1"/>
  <c r="AB9" i="62" s="1"/>
  <c r="V7" i="62" a="1"/>
  <c r="V7" i="62" s="1"/>
  <c r="AB7" i="62" s="1"/>
  <c r="V5" i="62" a="1"/>
  <c r="V5" i="62" s="1"/>
  <c r="AB5" i="62" s="1"/>
  <c r="V3" i="62" a="1"/>
  <c r="V3" i="62" s="1"/>
  <c r="AB3" i="62" s="1"/>
  <c r="V14" i="62" a="1"/>
  <c r="V14" i="62" s="1"/>
  <c r="AB14" i="62" s="1"/>
  <c r="V10" i="62" a="1"/>
  <c r="V10" i="62" s="1"/>
  <c r="AB10" i="62" s="1"/>
  <c r="V12" i="62" a="1"/>
  <c r="V12" i="62" s="1"/>
  <c r="AB12" i="62" s="1"/>
  <c r="V4" i="62" a="1"/>
  <c r="V4" i="62" s="1"/>
  <c r="AB4" i="62" s="1"/>
  <c r="V8" i="62" a="1"/>
  <c r="V8" i="62" s="1"/>
  <c r="AB8" i="62" s="1"/>
  <c r="V6" i="62" a="1"/>
  <c r="V6" i="62" s="1"/>
  <c r="AB6" i="62" s="1"/>
  <c r="J27" i="12"/>
  <c r="J26" i="12"/>
  <c r="F39" i="59" s="1"/>
  <c r="H25" i="12"/>
  <c r="AC9" i="62" l="1" a="1"/>
  <c r="AC9" i="62" s="1"/>
  <c r="AC7" i="62" a="1"/>
  <c r="AC7" i="62" s="1"/>
  <c r="AC14" i="62" a="1"/>
  <c r="AC14" i="62" s="1"/>
  <c r="AC12" i="62" a="1"/>
  <c r="AC12" i="62" s="1"/>
  <c r="AC10" i="62" a="1"/>
  <c r="AC10" i="62" s="1"/>
  <c r="AC8" i="62" a="1"/>
  <c r="AC8" i="62" s="1"/>
  <c r="AC6" i="62" a="1"/>
  <c r="AC6" i="62" s="1"/>
  <c r="AC4" i="62" a="1"/>
  <c r="AC4" i="62" s="1"/>
  <c r="AC5" i="62" a="1"/>
  <c r="AC5" i="62" s="1"/>
  <c r="AC3" i="62" a="1"/>
  <c r="AC3" i="62" s="1"/>
  <c r="AC15" i="62" a="1"/>
  <c r="AC15" i="62" s="1"/>
  <c r="AC13" i="62" a="1"/>
  <c r="AC13" i="62" s="1"/>
  <c r="AC11" i="62" a="1"/>
  <c r="AC11" i="62" s="1"/>
  <c r="J25" i="12"/>
  <c r="F38" i="59" s="1"/>
  <c r="K50" i="59"/>
  <c r="E35" i="59"/>
  <c r="E34" i="59"/>
  <c r="E33" i="59"/>
  <c r="E32" i="59"/>
  <c r="E31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4" i="61" s="1"/>
  <c r="G51" i="59" s="1"/>
  <c r="P212" i="61"/>
  <c r="P209" i="61"/>
  <c r="G212" i="61"/>
  <c r="G211" i="61"/>
  <c r="G210" i="61"/>
  <c r="G209" i="61"/>
  <c r="Q214" i="61" l="1"/>
  <c r="O215" i="61"/>
  <c r="H48" i="59" s="1"/>
  <c r="C214" i="61"/>
  <c r="K214" i="61"/>
  <c r="M215" i="61"/>
  <c r="G215" i="61"/>
  <c r="J21" i="59" s="1"/>
  <c r="L214" i="61"/>
  <c r="K213" i="61"/>
  <c r="J213" i="61"/>
  <c r="H24" i="59" s="1"/>
  <c r="C213" i="61"/>
  <c r="F44" i="59" s="1"/>
  <c r="J215" i="61"/>
  <c r="G213" i="61"/>
  <c r="H21" i="59" s="1"/>
  <c r="E215" i="61"/>
  <c r="H9" i="59" s="1"/>
  <c r="G214" i="61"/>
  <c r="I21" i="59" s="1"/>
  <c r="F214" i="61"/>
  <c r="I20" i="59" s="1"/>
  <c r="P213" i="61"/>
  <c r="F51" i="59" s="1"/>
  <c r="I215" i="61"/>
  <c r="J23" i="59" s="1"/>
  <c r="N215" i="61"/>
  <c r="H45" i="59" s="1"/>
  <c r="H213" i="61"/>
  <c r="H22" i="59" s="1"/>
  <c r="D213" i="61"/>
  <c r="N213" i="61"/>
  <c r="F45" i="59" s="1"/>
  <c r="H215" i="61"/>
  <c r="H10" i="59" s="1"/>
  <c r="D214" i="61"/>
  <c r="I214" i="61"/>
  <c r="I23" i="59" s="1"/>
  <c r="I213" i="61"/>
  <c r="H23" i="59" s="1"/>
  <c r="H50" i="59"/>
  <c r="O214" i="61"/>
  <c r="G48" i="59" s="1"/>
  <c r="O213" i="61"/>
  <c r="F48" i="59" s="1"/>
  <c r="H46" i="59"/>
  <c r="J27" i="59"/>
  <c r="M214" i="61"/>
  <c r="P215" i="61"/>
  <c r="H51" i="59" s="1"/>
  <c r="M213" i="61"/>
  <c r="H7" i="59"/>
  <c r="G44" i="59"/>
  <c r="I17" i="59"/>
  <c r="C215" i="61"/>
  <c r="N214" i="61"/>
  <c r="L213" i="61"/>
  <c r="H25" i="59"/>
  <c r="F43" i="59"/>
  <c r="G43" i="59"/>
  <c r="I25" i="59"/>
  <c r="L215" i="61"/>
  <c r="G11" i="59"/>
  <c r="F215" i="61"/>
  <c r="F213" i="61"/>
  <c r="F10" i="59"/>
  <c r="Q213" i="61"/>
  <c r="H214" i="61"/>
  <c r="Q215" i="61"/>
  <c r="H8" i="59"/>
  <c r="J24" i="59"/>
  <c r="E213" i="61"/>
  <c r="J214" i="61"/>
  <c r="I26" i="59"/>
  <c r="G49" i="59"/>
  <c r="K215" i="61"/>
  <c r="H18" i="59"/>
  <c r="F47" i="59"/>
  <c r="I18" i="59"/>
  <c r="G47" i="59"/>
  <c r="D215" i="61"/>
  <c r="F8" i="59"/>
  <c r="E214" i="61"/>
  <c r="F50" i="59" l="1"/>
  <c r="G50" i="59"/>
  <c r="J19" i="59"/>
  <c r="J22" i="59"/>
  <c r="F7" i="59"/>
  <c r="H17" i="59"/>
  <c r="H49" i="59"/>
  <c r="J26" i="59"/>
  <c r="G9" i="59"/>
  <c r="I19" i="59"/>
  <c r="F49" i="59"/>
  <c r="H26" i="59"/>
  <c r="G45" i="59"/>
  <c r="G7" i="59"/>
  <c r="J18" i="59"/>
  <c r="H47" i="59"/>
  <c r="H44" i="59"/>
  <c r="J17" i="59"/>
  <c r="J25" i="59"/>
  <c r="H43" i="59"/>
  <c r="G8" i="59"/>
  <c r="I24" i="59"/>
  <c r="F9" i="59"/>
  <c r="H19" i="59"/>
  <c r="H27" i="59"/>
  <c r="F46" i="59"/>
  <c r="I27" i="59"/>
  <c r="G46" i="59"/>
  <c r="G10" i="59"/>
  <c r="I22" i="59"/>
  <c r="H20" i="59"/>
  <c r="F11" i="59"/>
  <c r="J20" i="59"/>
  <c r="H11" i="59"/>
  <c r="O126" i="15" l="1" a="1"/>
  <c r="O126" i="15" s="1"/>
  <c r="O127" i="15" a="1"/>
  <c r="O127" i="15" s="1"/>
  <c r="O128" i="15" a="1"/>
  <c r="O128" i="15" s="1"/>
  <c r="O130" i="15"/>
  <c r="O136" i="15" a="1"/>
  <c r="O136" i="15" s="1"/>
  <c r="O131" i="15"/>
  <c r="O137" i="15" a="1"/>
  <c r="O137" i="15" s="1"/>
  <c r="O138" i="15" a="1"/>
  <c r="O138" i="15" s="1"/>
  <c r="O133" i="15" l="1"/>
  <c r="O140" i="15"/>
  <c r="O138" i="5" l="1"/>
  <c r="O139" i="5" s="1"/>
  <c r="O136" i="5" a="1"/>
  <c r="O136" i="5" s="1"/>
  <c r="O127" i="5" l="1" a="1"/>
  <c r="O127" i="5" s="1"/>
  <c r="O126" i="5" a="1"/>
  <c r="O126" i="5" s="1"/>
  <c r="O130" i="5"/>
  <c r="O129" i="5"/>
  <c r="O132" i="5" s="1"/>
  <c r="O134" i="5" a="1"/>
  <c r="O134" i="5" s="1"/>
  <c r="K4" i="52" l="1"/>
  <c r="K5" i="52"/>
  <c r="K6" i="52"/>
  <c r="K7" i="52"/>
  <c r="K8" i="52"/>
  <c r="K3" i="52"/>
  <c r="M2" i="60"/>
  <c r="L2" i="60"/>
  <c r="K2" i="60"/>
  <c r="C24" i="12" l="1"/>
  <c r="H24" i="12" l="1"/>
  <c r="K49" i="59" s="1"/>
  <c r="I24" i="12"/>
  <c r="L49" i="59" s="1"/>
  <c r="J24" i="12" l="1"/>
  <c r="F37" i="59" s="1"/>
  <c r="C12" i="60"/>
  <c r="C23" i="12" l="1"/>
  <c r="I23" i="12" l="1"/>
  <c r="L48" i="59" s="1"/>
  <c r="G31" i="59"/>
  <c r="H31" i="59"/>
  <c r="G32" i="59"/>
  <c r="I33" i="59"/>
  <c r="H33" i="59"/>
  <c r="H23" i="12"/>
  <c r="K48" i="59" s="1"/>
  <c r="H32" i="59"/>
  <c r="I32" i="59"/>
  <c r="N32" i="59" s="1"/>
  <c r="G33" i="59"/>
  <c r="L33" i="59" s="1"/>
  <c r="G34" i="59"/>
  <c r="H34" i="59"/>
  <c r="I34" i="59"/>
  <c r="G35" i="59"/>
  <c r="H35" i="59"/>
  <c r="I35" i="59"/>
  <c r="I31" i="59"/>
  <c r="M33" i="59" l="1"/>
  <c r="L34" i="59"/>
  <c r="N33" i="59"/>
  <c r="L32" i="59"/>
  <c r="M32" i="59"/>
  <c r="N31" i="59"/>
  <c r="N38" i="59"/>
  <c r="N39" i="59"/>
  <c r="N36" i="59"/>
  <c r="N37" i="59"/>
  <c r="M31" i="59"/>
  <c r="M37" i="59"/>
  <c r="M39" i="59"/>
  <c r="M36" i="59"/>
  <c r="M38" i="59"/>
  <c r="M35" i="59"/>
  <c r="L31" i="59"/>
  <c r="L38" i="59"/>
  <c r="L36" i="59"/>
  <c r="L39" i="59"/>
  <c r="L37" i="59"/>
  <c r="M34" i="59"/>
  <c r="N35" i="59"/>
  <c r="L35" i="59"/>
  <c r="N34" i="59"/>
  <c r="N6" i="56"/>
  <c r="M6" i="56"/>
  <c r="L6" i="56"/>
  <c r="P6" i="56" s="1"/>
  <c r="N16" i="56"/>
  <c r="L16" i="56"/>
  <c r="M16" i="56"/>
  <c r="N5" i="56"/>
  <c r="M5" i="56"/>
  <c r="L5" i="56"/>
  <c r="M11" i="56"/>
  <c r="L11" i="56"/>
  <c r="N11" i="56"/>
  <c r="L13" i="56"/>
  <c r="M13" i="56"/>
  <c r="N13" i="56"/>
  <c r="L14" i="56"/>
  <c r="M14" i="56"/>
  <c r="N14" i="56"/>
  <c r="M17" i="56"/>
  <c r="L17" i="56"/>
  <c r="N17" i="56"/>
  <c r="L8" i="56"/>
  <c r="M8" i="56"/>
  <c r="N8" i="56"/>
  <c r="M12" i="56"/>
  <c r="N12" i="56"/>
  <c r="L12" i="56"/>
  <c r="P12" i="56" s="1"/>
  <c r="L10" i="56"/>
  <c r="N10" i="56"/>
  <c r="M10" i="56"/>
  <c r="M9" i="56"/>
  <c r="N9" i="56"/>
  <c r="L9" i="56"/>
  <c r="L15" i="56"/>
  <c r="N15" i="56"/>
  <c r="M15" i="56"/>
  <c r="N7" i="56"/>
  <c r="L7" i="56"/>
  <c r="M7" i="56"/>
  <c r="J23" i="12"/>
  <c r="F36" i="59" s="1"/>
  <c r="P9" i="56" l="1"/>
  <c r="P10" i="56"/>
  <c r="P15" i="56"/>
  <c r="P11" i="56"/>
  <c r="P14" i="56"/>
  <c r="P17" i="56"/>
  <c r="M19" i="56"/>
  <c r="M20" i="56"/>
  <c r="N19" i="56"/>
  <c r="N20" i="56"/>
  <c r="P16" i="56"/>
  <c r="P8" i="56"/>
  <c r="P5" i="56"/>
  <c r="L20" i="56"/>
  <c r="L19" i="56"/>
  <c r="P7" i="56"/>
  <c r="P13" i="56"/>
  <c r="N22" i="56" l="1"/>
  <c r="M22" i="56"/>
  <c r="L22" i="56"/>
  <c r="C13" i="60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S10" i="60"/>
  <c r="S4" i="60"/>
  <c r="S14" i="60"/>
  <c r="S7" i="60"/>
  <c r="F21" i="59" s="1"/>
  <c r="S5" i="60"/>
  <c r="F19" i="59" s="1"/>
  <c r="S13" i="60"/>
  <c r="F27" i="59" s="1"/>
  <c r="S9" i="60"/>
  <c r="F23" i="59" s="1"/>
  <c r="S12" i="60"/>
  <c r="F26" i="59" s="1"/>
  <c r="G26" i="59" s="1"/>
  <c r="S3" i="60"/>
  <c r="F17" i="59" s="1"/>
  <c r="S11" i="60"/>
  <c r="F25" i="59" s="1"/>
  <c r="S8" i="60"/>
  <c r="F22" i="59" s="1"/>
  <c r="F24" i="59"/>
  <c r="F18" i="59"/>
  <c r="F20" i="59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L138" i="5"/>
  <c r="L139" i="5" s="1"/>
  <c r="M138" i="5"/>
  <c r="M139" i="5" s="1"/>
  <c r="N138" i="5"/>
  <c r="N139" i="5" s="1"/>
  <c r="K132" i="5" l="1"/>
  <c r="E13" i="13" s="1"/>
  <c r="L132" i="5"/>
  <c r="E14" i="13" s="1"/>
  <c r="N132" i="5"/>
  <c r="E16" i="13" s="1"/>
  <c r="M132" i="5"/>
  <c r="E15" i="13" s="1"/>
  <c r="H12" i="12"/>
  <c r="I12" i="12"/>
  <c r="J14" i="12"/>
  <c r="I13" i="12"/>
  <c r="J13" i="12" s="1"/>
  <c r="H15" i="12"/>
  <c r="J12" i="12" l="1"/>
  <c r="J15" i="12"/>
  <c r="I13" i="13" l="1"/>
  <c r="I14" i="13"/>
  <c r="I15" i="13"/>
  <c r="I16" i="13"/>
  <c r="H15" i="13"/>
  <c r="H14" i="13"/>
  <c r="H13" i="13" l="1"/>
  <c r="H16" i="13"/>
  <c r="AE2" i="12" l="1"/>
  <c r="B138" i="5" l="1"/>
  <c r="B139" i="5" s="1"/>
  <c r="C138" i="5"/>
  <c r="C139" i="5" s="1"/>
  <c r="D138" i="5"/>
  <c r="D139" i="5" s="1"/>
  <c r="E138" i="5"/>
  <c r="E139" i="5" s="1"/>
  <c r="F138" i="5"/>
  <c r="F139" i="5" s="1"/>
  <c r="G138" i="5"/>
  <c r="G139" i="5" s="1"/>
  <c r="H138" i="5"/>
  <c r="H139" i="5" s="1"/>
  <c r="I138" i="5"/>
  <c r="I139" i="5" s="1"/>
  <c r="J138" i="5"/>
  <c r="J139" i="5" s="1"/>
  <c r="C21" i="12" l="1"/>
  <c r="C22" i="12"/>
  <c r="H22" i="12" l="1"/>
  <c r="K47" i="59" s="1"/>
  <c r="H21" i="12"/>
  <c r="K46" i="59" s="1"/>
  <c r="I21" i="12" l="1"/>
  <c r="I22" i="12"/>
  <c r="L47" i="59" s="1"/>
  <c r="J21" i="12" l="1"/>
  <c r="F34" i="59" s="1"/>
  <c r="L46" i="59"/>
  <c r="J22" i="12"/>
  <c r="F35" i="59" s="1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C126" i="15" a="1"/>
  <c r="C126" i="15" s="1"/>
  <c r="D126" i="15" a="1"/>
  <c r="D126" i="15" s="1"/>
  <c r="E126" i="15" a="1"/>
  <c r="E126" i="15" s="1"/>
  <c r="F126" i="15" a="1"/>
  <c r="F126" i="15" s="1"/>
  <c r="G126" i="15" a="1"/>
  <c r="G126" i="15" s="1"/>
  <c r="H126" i="15" a="1"/>
  <c r="H126" i="15" s="1"/>
  <c r="I126" i="15" a="1"/>
  <c r="I126" i="15" s="1"/>
  <c r="J126" i="15" a="1"/>
  <c r="J126" i="15" s="1"/>
  <c r="B134" i="5" l="1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J127" i="5" a="1"/>
  <c r="J127" i="5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D12" i="13" l="1"/>
  <c r="D11" i="13"/>
  <c r="F12" i="56"/>
  <c r="C20" i="12"/>
  <c r="I20" i="12" l="1"/>
  <c r="L45" i="59" s="1"/>
  <c r="H20" i="12" l="1"/>
  <c r="J20" i="12" l="1"/>
  <c r="F33" i="59" s="1"/>
  <c r="K45" i="59"/>
  <c r="C19" i="12"/>
  <c r="I19" i="12" l="1"/>
  <c r="L44" i="59" s="1"/>
  <c r="H19" i="12"/>
  <c r="K44" i="59" s="1"/>
  <c r="J19" i="12" l="1"/>
  <c r="F32" i="59" s="1"/>
  <c r="H136" i="5" l="1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I12" i="13" l="1"/>
  <c r="N12" i="13" s="1"/>
  <c r="N11" i="13"/>
  <c r="N7" i="13"/>
  <c r="N10" i="13"/>
  <c r="N6" i="13"/>
  <c r="N9" i="13"/>
  <c r="N5" i="13"/>
  <c r="N8" i="13"/>
  <c r="N4" i="13"/>
  <c r="N14" i="13"/>
  <c r="N15" i="13"/>
  <c r="N13" i="13"/>
  <c r="N16" i="13"/>
  <c r="C18" i="12" l="1"/>
  <c r="I18" i="12" l="1"/>
  <c r="L43" i="59" s="1"/>
  <c r="H18" i="12" l="1"/>
  <c r="K43" i="59" s="1"/>
  <c r="J18" i="12" l="1"/>
  <c r="F31" i="59" s="1"/>
  <c r="K31" i="59" l="1"/>
  <c r="K39" i="59"/>
  <c r="O39" i="59" s="1"/>
  <c r="K38" i="59"/>
  <c r="O38" i="59" s="1"/>
  <c r="K37" i="59"/>
  <c r="O37" i="59" s="1"/>
  <c r="K36" i="59"/>
  <c r="O36" i="59" s="1"/>
  <c r="K35" i="59"/>
  <c r="K34" i="59"/>
  <c r="K33" i="59"/>
  <c r="K32" i="59"/>
  <c r="M2" i="13"/>
  <c r="N2" i="13"/>
  <c r="L2" i="13"/>
  <c r="U2" i="12" l="1"/>
  <c r="U11" i="12" l="1"/>
  <c r="U7" i="12"/>
  <c r="U3" i="12"/>
  <c r="U10" i="12"/>
  <c r="U9" i="12"/>
  <c r="U8" i="12"/>
  <c r="U6" i="12"/>
  <c r="U5" i="12"/>
  <c r="U4" i="12"/>
  <c r="I140" i="15" l="1"/>
  <c r="J140" i="15"/>
  <c r="H140" i="15"/>
  <c r="B140" i="15"/>
  <c r="G140" i="15"/>
  <c r="F140" i="15"/>
  <c r="E140" i="15"/>
  <c r="C140" i="15"/>
  <c r="D140" i="15"/>
  <c r="AC2" i="12" l="1"/>
  <c r="AD2" i="12"/>
  <c r="B133" i="15" l="1"/>
  <c r="H4" i="13" s="1"/>
  <c r="D133" i="15" l="1"/>
  <c r="H6" i="13" s="1"/>
  <c r="J133" i="15"/>
  <c r="I133" i="15"/>
  <c r="G133" i="15"/>
  <c r="H9" i="13" s="1"/>
  <c r="F133" i="15"/>
  <c r="H8" i="13" s="1"/>
  <c r="H133" i="15"/>
  <c r="H10" i="13" s="1"/>
  <c r="E133" i="15"/>
  <c r="H7" i="13" s="1"/>
  <c r="C133" i="15"/>
  <c r="H5" i="13" s="1"/>
  <c r="H11" i="13" l="1"/>
  <c r="H12" i="13"/>
  <c r="M12" i="13" s="1"/>
  <c r="M5" i="13"/>
  <c r="M9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F132" i="5"/>
  <c r="E8" i="13" s="1"/>
  <c r="G132" i="5"/>
  <c r="E9" i="13" s="1"/>
  <c r="H132" i="5"/>
  <c r="E10" i="13" s="1"/>
  <c r="I132" i="5"/>
  <c r="E11" i="13" s="1"/>
  <c r="J132" i="5"/>
  <c r="D132" i="5" l="1"/>
  <c r="E6" i="13" s="1"/>
  <c r="C132" i="5"/>
  <c r="E5" i="13" s="1"/>
  <c r="B132" i="5"/>
  <c r="E4" i="13" s="1"/>
  <c r="E12" i="13" l="1"/>
  <c r="L12" i="13" s="1"/>
  <c r="L5" i="13"/>
  <c r="L9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P5" i="13" l="1"/>
  <c r="P11" i="13"/>
  <c r="P7" i="13"/>
  <c r="P10" i="13"/>
  <c r="P4" i="13"/>
  <c r="P9" i="13"/>
  <c r="P6" i="13"/>
  <c r="P8" i="13"/>
  <c r="P12" i="13"/>
  <c r="AF2" i="12"/>
  <c r="R5" i="13" l="1" a="1"/>
  <c r="R5" i="13" s="1"/>
  <c r="R8" i="13" a="1"/>
  <c r="R8" i="13" s="1"/>
  <c r="R13" i="13" a="1"/>
  <c r="R13" i="13" s="1"/>
  <c r="R16" i="13" a="1"/>
  <c r="R16" i="13" s="1"/>
  <c r="R6" i="13" a="1"/>
  <c r="R6" i="13" s="1"/>
  <c r="R11" i="13" a="1"/>
  <c r="R11" i="13" s="1"/>
  <c r="R14" i="13" a="1"/>
  <c r="R14" i="13" s="1"/>
  <c r="R9" i="13" a="1"/>
  <c r="R9" i="13" s="1"/>
  <c r="R12" i="13" a="1"/>
  <c r="R12" i="13" s="1"/>
  <c r="R4" i="13" a="1"/>
  <c r="R4" i="13" s="1"/>
  <c r="R7" i="13" a="1"/>
  <c r="R7" i="13" s="1"/>
  <c r="R10" i="13" a="1"/>
  <c r="R10" i="13" s="1"/>
  <c r="R15" i="13" a="1"/>
  <c r="R15" i="13" s="1"/>
  <c r="I4" i="12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2" i="59" l="1"/>
  <c r="G21" i="59"/>
  <c r="G24" i="59"/>
  <c r="G25" i="59"/>
  <c r="G17" i="59"/>
  <c r="G18" i="59"/>
  <c r="G20" i="59"/>
  <c r="G19" i="59"/>
  <c r="G27" i="59"/>
  <c r="G23" i="59"/>
  <c r="O31" i="59" l="1"/>
  <c r="O35" i="59"/>
  <c r="O34" i="59"/>
  <c r="O33" i="59"/>
  <c r="O32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Bhartia</author>
  </authors>
  <commentList>
    <comment ref="A1" authorId="0" shapeId="0" xr:uid="{FE780909-1AEE-4362-B303-7406D38B3D4B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Timestamp="1706434830"&gt;&lt;FQL&gt;&lt;Q&gt;FXI^P_PRICE(0,-200D)&lt;/Q&gt;&lt;R&gt;201&lt;/R&gt;&lt;C&gt;1&lt;/C&gt;&lt;D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xsi:type="xsd:double"&gt;27.75&lt;/D&gt;&lt;D xsi:type="xsd:double"&gt;27.82&lt;/D&gt;&lt;D xsi:type="xsd:double"&gt;27.79&lt;/D&gt;&lt;D xsi:type="xsd:double"&gt;27.5&lt;/D&gt;&lt;D xsi:type="xsd:double"&gt;27.99&lt;/D&gt;&lt;D xsi:type="xsd:double"&gt;27.39&lt;/D&gt;&lt;D xsi:type="xsd:double"&gt;27.43&lt;/D&gt;&lt;D xsi:type="xsd:double"&gt;26.63&lt;/D&gt;&lt;D xsi:type="xsd:double"&gt;25.97&lt;/D&gt;&lt;D xsi:type="xsd:double"&gt;26.04&lt;/D&gt;&lt;D xsi:type="xsd:double"&gt;26.83&lt;/D&gt;&lt;D xsi:type="xsd:double"&gt;26.39&lt;/D&gt;&lt;D xsi:type="xsd:double"&gt;26.94&lt;/D&gt;&lt;D xsi:type="xsd:double"&gt;27.49&lt;/D&gt;&lt;D xsi:type="xsd:double"&gt;28.35&lt;/D&gt;&lt;D xsi:type="xsd:double"&gt;27.9&lt;/D&gt;&lt;D xsi:type="xsd:double"&gt;28.05&lt;/D&gt;&lt;D xsi:type="xsd:double"&gt;28.44&lt;/D&gt;&lt;D xsi:type="xsd:double"&gt;28.74&lt;/D&gt;&lt;D xsi:type="xsd:double"&gt;29.04&lt;/D&gt;&lt;D xsi:type="xsd:double"&gt;27.79&lt;/D&gt;&lt;D xsi:type="xsd:double"&gt;28.54&lt;/D&gt;&lt;D xsi:type="xsd:double"&gt;28.24&lt;/D&gt;&lt;D xsi:type="xsd:double"&gt;28.44&lt;/D&gt;&lt;D xsi:type="xsd:double"&gt;28.89&lt;/D&gt;&lt;D xsi:type="xsd:double"&gt;28.67&lt;/D&gt;&lt;D xsi:type="xsd:double"&gt;28.3&lt;/D&gt;&lt;D xsi:type="xsd:double"&gt;27.56&lt;/D&gt;&lt;D xsi:type="xsd:double"&gt;27.69&lt;/D&gt;&lt;D xsi:type="xsd:double"&gt;28.22&lt;/D&gt;&lt;D xsi:type="xsd:double"&gt;28.33&lt;/D&gt;&lt;D xsi:type="xsd:double"&gt;28.19&lt;/D&gt;&lt;D xsi:type="xsd:double"&gt;27.8&lt;/D&gt;&lt;D xsi:type="xsd:double"&gt;27.35&lt;/D&gt;&lt;D xsi:type="xsd:double"&gt;28.11&lt;/D&gt;&lt;D xsi:type="xsd:double"&gt;28.4&lt;/D&gt;&lt;D xsi:type="xsd:double"&gt;28.82&lt;/D&gt;&lt;D xsi:type="xsd:double"&gt;29.01&lt;/D&gt;&lt;D xsi:type="xsd:double"&gt;29.37&lt;/D&gt;&lt;D xsi:type="xsd:double"&gt;29.49&lt;/D&gt;&lt;D xsi:type="xsd:double"&gt;28.71&lt;/D&gt;&lt;D xsi:type="xsd:double"&gt;29.07&lt;/D&gt;&lt;D xsi:type="xsd:double"&gt;28.41&lt;/D&gt;&lt;D xsi:type="xsd:double"&gt;29.21&lt;/D&gt;&lt;/FQL&gt;&lt;FQL&gt;&lt;Q&gt;VGK^P_PRICE(0,-200D)&lt;/Q&gt;&lt;R&gt;201&lt;/R&gt;&lt;C&gt;1&lt;/C&gt;&lt;D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xsi:type="xsd:double"&gt;61.78&lt;/D&gt;&lt;D xsi:type="xsd:double"&gt;61.51&lt;/D&gt;&lt;D xsi:type="xsd:double"&gt;61.88&lt;/D&gt;&lt;D xsi:type="xsd:double"&gt;61.17&lt;/D&gt;&lt;D xsi:type="xsd:double"&gt;61.44&lt;/D&gt;&lt;D xsi:type="xsd:double"&gt;61.21&lt;/D&gt;&lt;D xsi:type="xsd:double"&gt;61.65&lt;/D&gt;&lt;D xsi:type="xsd:double"&gt;60.93&lt;/D&gt;&lt;D xsi:type="xsd:double"&gt;60.22&lt;/D&gt;&lt;D xsi:type="xsd:double"&gt;60.87&lt;/D&gt;&lt;D xsi:type="xsd:double"&gt;61.51&lt;/D&gt;&lt;D xsi:type="xsd:double"&gt;60.84&lt;/D&gt;&lt;D xsi:type="xsd:double"&gt;61&lt;/D&gt;&lt;D xsi:type="xsd:double"&gt;61.97&lt;/D&gt;&lt;D xsi:type="xsd:double"&gt;62.89&lt;/D&gt;&lt;D xsi:type="xsd:double"&gt;62.97&lt;/D&gt;&lt;D xsi:type="xsd:double"&gt;62.51&lt;/D&gt;&lt;D xsi:type="xsd:double"&gt;62.63&lt;/D&gt;&lt;D xsi:type="xsd:double"&gt;62.36&lt;/D&gt;&lt;D xsi:type="xsd:double"&gt;63.02&lt;/D&gt;&lt;D xsi:type="xsd:double"&gt;62.55&lt;/D&gt;&lt;D xsi:type="xsd:double"&gt;62.72&lt;/D&gt;&lt;D xsi:type="xsd:double"&gt;62.99&lt;/D&gt;&lt;D xsi:type="xsd:double"&gt;63.07&lt;/D&gt;&lt;D xsi:type="xsd:double"&gt;63.57&lt;/D&gt;&lt;D xsi:type="xsd:double"&gt;63.56&lt;/D&gt;&lt;D xsi:type="xsd:double"&gt;62.62&lt;/D&gt;&lt;D xsi:type="xsd:double"&gt;62.94&lt;/D&gt;&lt;D xsi:type="xsd:double"&gt;62.74&lt;/D&gt;&lt;D xsi:type="xsd:double"&gt;63.48&lt;/D&gt;&lt;D xsi:type="xsd:double"&gt;63.47&lt;/D&gt;&lt;D xsi:type="xsd:double"&gt;63.38&lt;/D&gt;&lt;D xsi:type="xsd:double"&gt;62.65&lt;/D&gt;&lt;D xsi:type="xsd:double"&gt;62.6&lt;/D&gt;&lt;D xsi:type="xsd:double"&gt;63.67&lt;/D&gt;&lt;D xsi:type="xsd:double"&gt;63.41&lt;/D&gt;&lt;D xsi:type="xsd:double"&gt;62.94&lt;/D&gt;&lt;D xsi:type="xsd:double"&gt;63.03&lt;/D&gt;&lt;D xsi:type="xsd:double"&gt;63.17&lt;/D&gt;&lt;D xsi:type="xsd:double"&gt;62.74&lt;/D&gt;&lt;D xsi:type="xsd:double"&gt;63.04&lt;/D&gt;&lt;D xsi:type="xsd:double"&gt;63.14&lt;/D&gt;&lt;D xsi:type="xsd:double"&gt;62.3&lt;/D&gt;&lt;D xsi:type="xsd:double"&gt;61.81&lt;/D&gt;&lt;/FQL&gt;&lt;FQL&gt;&lt;Q&gt;GLD^P_PRICE(0,-200D)&lt;/Q&gt;&lt;R&gt;201&lt;/R&gt;&lt;C&gt;1&lt;/C&gt;&lt;D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xsi:type="xsd:double"&gt;181.88&lt;/D&gt;&lt;D xsi:type="xsd:double"&gt;182.04&lt;/D&gt;&lt;D xsi:type="xsd:double"&gt;182.53&lt;/D&gt;&lt;D xsi:type="xsd:double"&gt;180.15&lt;/D&gt;&lt;D xsi:type="xsd:double"&gt;182.34&lt;/D&gt;&lt;D xsi:type="xsd:double"&gt;182.14&lt;/D&gt;&lt;D xsi:type="xsd:double"&gt;181.05&lt;/D&gt;&lt;D xsi:type="xsd:double"&gt;183.76&lt;/D&gt;&lt;D xsi:type="xsd:double"&gt;182.32&lt;/D&gt;&lt;D xsi:type="xsd:double"&gt;182.04&lt;/D&gt;&lt;D xsi:type="xsd:double"&gt;180.92&lt;/D&gt;&lt;D xsi:type="xsd:double"&gt;180.2&lt;/D&gt;&lt;D xsi:type="xsd:double"&gt;181.95&lt;/D&gt;&lt;D xsi:type="xsd:double"&gt;183.43&lt;/D&gt;&lt;D xsi:type="xsd:double"&gt;183.21&lt;/D&gt;&lt;D xsi:type="xsd:double"&gt;183.64&lt;/D&gt;&lt;D xsi:type="xsd:double"&gt;181.84&lt;/D&gt;&lt;D xsi:type="xsd:double"&gt;184.23&lt;/D&gt;&lt;D xsi:type="xsd:double"&gt;184.87&lt;/D&gt;&lt;D xsi:type="xsd:double"&gt;187.21&lt;/D&gt;&lt;D xsi:type="xsd:double"&gt;186.81&lt;/D&gt;&lt;D xsi:type="xsd:double"&gt;187.13&lt;/D&gt;&lt;D xsi:type="xsd:double"&gt;188.75&lt;/D&gt;&lt;D xsi:type="xsd:double"&gt;189.02&lt;/D&gt;&lt;D xsi:type="xsd:double"&gt;187.69&lt;/D&gt;&lt;D xsi:type="xsd:double"&gt;187.46&lt;/D&gt;&lt;D xsi:type="xsd:double"&gt;190.44&lt;/D&gt;&lt;D xsi:type="xsd:double"&gt;189.11&lt;/D&gt;&lt;D xsi:type="xsd:double"&gt;187.52&lt;/D&gt;&lt;D xsi:type="xsd:double"&gt;183.97&lt;/D&gt;&lt;D xsi:type="xsd:double"&gt;184.8&lt;/D&gt;&lt;D xsi:type="xsd:double"&gt;184.75&lt;/D&gt;&lt;D xsi:type="xsd:double"&gt;184.74&lt;/D&gt;&lt;D xsi:type="xsd:double"&gt;185.75&lt;/D&gt;&lt;D xsi:type="xsd:double"&gt;184.81&lt;/D&gt;&lt;D xsi:type="xsd:double"&gt;184.25&lt;/D&gt;&lt;D xsi:type="xsd:double"&gt;186.09&lt;/D&gt;&lt;D xsi:type="xsd:double"&gt;185.36&lt;/D&gt;&lt;D xsi:type="xsd:double"&gt;186.25&lt;/D&gt;&lt;D xsi:type="xsd:double"&gt;185.53&lt;/D&gt;&lt;D xsi:type="xsd:double"&gt;186.36&lt;/D&gt;&lt;D xsi:type="xsd:double"&gt;189.72&lt;/D&gt;&lt;D xsi:type="xsd:double"&gt;187.19&lt;/D&gt;&lt;D xsi:type="xsd:double"&gt;186.28&lt;/D&gt;&lt;/FQL&gt;&lt;FQL&gt;&lt;Q&gt;IWM^P_PRICE(0,-200D)&lt;/Q&gt;&lt;R&gt;201&lt;/R&gt;&lt;C&gt;1&lt;/C&gt;&lt;D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xsi:type="xsd:double"&gt;187.93&lt;/D&gt;&lt;D xsi:type="xsd:double"&gt;185.8&lt;/D&gt;&lt;D xsi:type="xsd:double"&gt;185.03&lt;/D&gt;&lt;D xsi:type="xsd:double"&gt;186.54&lt;/D&gt;&lt;D xsi:type="xsd:double"&gt;187.24&lt;/D&gt;&lt;D xsi:type="xsd:double"&gt;184.31&lt;/D&gt;&lt;D xsi:type="xsd:double"&gt;179.58&lt;/D&gt;&lt;D xsi:type="xsd:double"&gt;182.02&lt;/D&gt;&lt;D xsi:type="xsd:double"&gt;175.65&lt;/D&gt;&lt;D xsi:type="xsd:double"&gt;173.77&lt;/D&gt;&lt;D xsi:type="xsd:double"&gt;175.5&lt;/D&gt;&lt;D xsi:type="xsd:double"&gt;176.15&lt;/D&gt;&lt;D xsi:type="xsd:double"&gt;174.17&lt;/D&gt;&lt;D xsi:type="xsd:double"&gt;175.54&lt;/D&gt;&lt;D xsi:type="xsd:double"&gt;177.42&lt;/D&gt;&lt;D xsi:type="xsd:double"&gt;178.26&lt;/D&gt;&lt;D xsi:type="xsd:double"&gt;176.11&lt;/D&gt;&lt;D xsi:type="xsd:double"&gt;177.19&lt;/D&gt;&lt;D xsi:type="xsd:double"&gt;176.12&lt;/D&gt;&lt;D xsi:type="xsd:double"&gt;172.28&lt;/D&gt;&lt;D xsi:type="xsd:double"&gt;174.83&lt;/D&gt;&lt;D xsi:type="xsd:double"&gt;172.72&lt;/D&gt;&lt;D xsi:type="xsd:double"&gt;173.07&lt;/D&gt;&lt;D xsi:type="xsd:double"&gt;174.41&lt;/D&gt;&lt;D xsi:type="xsd:double"&gt;173.53&lt;/D&gt;&lt;D xsi:type="xsd:double"&gt;174.05&lt;/D&gt;&lt;D xsi:type="xsd:double"&gt;174.45&lt;/D&gt;&lt;D xsi:type="xsd:double"&gt;170.4&lt;/D&gt;&lt;D xsi:type="xsd:double"&gt;172.33&lt;/D&gt;&lt;D xsi:type="xsd:double"&gt;171.7&lt;/D&gt;&lt;D xsi:type="xsd:double"&gt;175.3&lt;/D&gt;&lt;D xsi:type="xsd:double"&gt;175.2&lt;/D&gt;&lt;D xsi:type="xsd:double"&gt;173.68&lt;/D&gt;&lt;D xsi:type="xsd:double"&gt;171.39&lt;/D&gt;&lt;D xsi:type="xsd:double"&gt;173.06&lt;/D&gt;&lt;D xsi:type="xsd:double"&gt;177.44&lt;/D&gt;&lt;D xsi:type="xsd:double"&gt;177.56&lt;/D&gt;&lt;D xsi:type="xsd:double"&gt;177.33&lt;/D&gt;&lt;D xsi:type="xsd:double"&gt;178.25&lt;/D&gt;&lt;D xsi:type="xsd:double"&gt;178.02&lt;/D&gt;&lt;D xsi:type="xsd:double"&gt;178.78&lt;/D&gt;&lt;D xsi:type="xsd:double"&gt;176.51&lt;/D&gt;&lt;D xsi:type="xsd:double"&gt;178.17&lt;/D&gt;&lt;D xsi:type="xsd:double"&gt;175.84&lt;/D&gt;&lt;D xsi:type="xsd:double"&gt;177.14&lt;/D&gt;&lt;/FQL&gt;&lt;FQL&gt;&lt;Q&gt;TLT^P_PRICE(0,-200D)&lt;/Q&gt;&lt;R&gt;201&lt;/R&gt;&lt;C&gt;1&lt;/C&gt;&lt;D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</t>
        </r>
      </text>
    </comment>
    <comment ref="A2" authorId="0" shapeId="0" xr:uid="{2FA12E0D-3BEA-4564-A5B4-C15787E9CD8C}">
      <text>
        <r>
          <rPr>
            <b/>
            <sz val="9"/>
            <color indexed="81"/>
            <rFont val="Tahoma"/>
            <family val="2"/>
          </rPr>
          <t>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xsi:type="xsd:double"&gt;102.22&lt;/D&gt;&lt;D xsi:type="xsd:double"&gt;101.92&lt;/D&gt;&lt;D xsi:type="xsd:double"&gt;102.06&lt;/D&gt;&lt;D xsi:type="xsd:double"&gt;100.88&lt;/D&gt;&lt;D xsi:type="xsd:double"&gt;102.4&lt;/D&gt;&lt;D xsi:type="xsd:double"&gt;101.8&lt;/D&gt;&lt;D xsi:type="xsd:double"&gt;101.99&lt;/D&gt;&lt;D xsi:type="xsd:double"&gt;103.12&lt;/D&gt;&lt;D xsi:type="xsd:double"&gt;102.99&lt;/D&gt;&lt;D xsi:type="xsd:double"&gt;102.1&lt;/D&gt;&lt;D xsi:type="xsd:double"&gt;101.09&lt;/D&gt;&lt;D xsi:type="xsd:double"&gt;100.28&lt;/D&gt;&lt;D xsi:type="xsd:double"&gt;100.53&lt;/D&gt;&lt;D xsi:type="xsd:double"&gt;101.03&lt;/D&gt;&lt;D xsi:type="xsd:double"&gt;100.74&lt;/D&gt;&lt;D xsi:type="xsd:double"&gt;101.1&lt;/D&gt;&lt;D xsi:type="xsd:double"&gt;101.82&lt;/D&gt;&lt;D xsi:type="xsd:double"&gt;102.58&lt;/D&gt;&lt;D xsi:type="xsd:double"&gt;102.88&lt;/D&gt;&lt;D xsi:type="xsd:double"&gt;103.19&lt;/D&gt;&lt;D xsi:type="xsd:double"&gt;104.27&lt;/D&gt;&lt;D xsi:type="xsd:double"&gt;105.15&lt;/D&gt;&lt;D xsi:type="xsd:double"&gt;104.05&lt;/D&gt;&lt;D xsi:type="xsd:double"&gt;103.05&lt;/D&gt;&lt;D xsi:type="xsd:double"&gt;103.42&lt;/D&gt;&lt;D xsi:type="xsd:double"&gt;104.89&lt;/D&gt;&lt;D xsi:type="xsd:double"&gt;105.24&lt;/D&gt;&lt;D xsi:type="xsd:double"&gt;106.29&lt;/D&gt;&lt;D xsi:type="xsd:double"&gt;105.7&lt;/D&gt;&lt;D xsi:type="xsd:double"&gt;103.13&lt;/D&gt;&lt;D xsi:type="xsd:double"&gt;106.46&lt;/D&gt;&lt;D xsi:type="xsd:double"&gt;104.77&lt;/D&gt;&lt;D xsi:type="xsd:double"&gt;105.82&lt;/D&gt;&lt;D xsi:type="xsd:double"&gt;106.96&lt;/D&gt;&lt;D xsi:type="xsd:double"&gt;105.41&lt;/D&gt;&lt;D xsi:type="xsd:double"&gt;104.4&lt;/D&gt;&lt;D xsi:type="xsd:double"&gt;104.99&lt;/D&gt;&lt;D xsi:type="xsd:double"&gt;104.1&lt;/D&gt;&lt;D xsi:type="xsd:double"&gt;104.2&lt;/D&gt;&lt;D xsi:type="xsd:double"&gt;103.83&lt;/D&gt;&lt;D xsi:type="xsd:double"&gt;105.08&lt;/D&gt;&lt;D xsi:type="xsd:double"&gt;106.05&lt;/D&gt;&lt;D xsi:type="xsd:double"&gt;106.89&lt;/D&gt;&lt;D xsi:type="xsd:double"&gt;107&lt;/D&gt;&lt;/FQL&gt;&lt;FQL&gt;&lt;Q&gt;SPY^P_PRICE(0,-200D)&lt;/Q&gt;&lt;R&gt;201&lt;/R&gt;&lt;C&gt;1&lt;/C&gt;&lt;D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xsi:type="xsd:double"&gt;433.8&lt;/D&gt;&lt;D xsi:type="xsd:double"&gt;429.9&lt;/D&gt;&lt;D xsi:type="xsd:double"&gt;429.13&lt;/D&gt;&lt;D xsi:type="xsd:double"&gt;426.55&lt;/D&gt;&lt;D xsi:type="xsd:double"&gt;428.03&lt;/D&gt;&lt;D xsi:type="xsd:double"&gt;427.1&lt;/D&gt;&lt;D xsi:type="xsd:double"&gt;427.92&lt;/D&gt;&lt;D xsi:type="xsd:double"&gt;421.82&lt;/D&gt;&lt;D xsi:type="xsd:double"&gt;417.85&lt;/D&gt;&lt;D xsi:type="xsd:double"&gt;420.18&lt;/D&gt;&lt;D xsi:type="xsd:double"&gt;420.02&lt;/D&gt;&lt;D xsi:type="xsd:double"&gt;414.65&lt;/D&gt;&lt;D xsi:type="xsd:double"&gt;411.09&lt;/D&gt;&lt;D xsi:type="xsd:double"&gt;414.09&lt;/D&gt;&lt;D xsi:type="xsd:double"&gt;418.79&lt;/D&gt;&lt;D xsi:type="xsd:double"&gt;418.62&lt;/D&gt;&lt;D xsi:type="xsd:double"&gt;419.23&lt;/D&gt;&lt;D xsi:type="xsd:double"&gt;415.23&lt;/D&gt;&lt;D xsi:type="xsd:double"&gt;410.25&lt;/D&gt;&lt;D xsi:type="xsd:double"&gt;413.01&lt;/D&gt;&lt;D xsi:type="xsd:double"&gt;411.59&lt;/D&gt;&lt;D xsi:type="xsd:double"&gt;412.13&lt;/D&gt;&lt;D xsi:type="xsd:double"&gt;412.85&lt;/D&gt;&lt;D xsi:type="xsd:double"&gt;410.93&lt;/D&gt;&lt;D xsi:type="xsd:double"&gt;412.74&lt;/D&gt;&lt;D xsi:type="xsd:double"&gt;412.63&lt;/D&gt;&lt;D xsi:type="xsd:double"&gt;405.13&lt;/D&gt;&lt;D xsi:type="xsd:double"&gt;408.02&lt;/D&gt;&lt;D xsi:type="xsd:double"&gt;410.84&lt;/D&gt;&lt;D xsi:type="xsd:double"&gt;415.51&lt;/D&gt;&lt;D xsi:type="xsd:double"&gt;415.93&lt;/D&gt;&lt;D xsi:type="xsd:double"&gt;412.41&lt;/D&gt;&lt;D xsi:type="xsd:double"&gt;404.36&lt;/D&gt;&lt;D xsi:type="xsd:double"&gt;406.08&lt;/D&gt;&lt;D xsi:type="xsd:double"&gt;412.63&lt;/D&gt;&lt;D xsi:type="xsd:double"&gt;412.2&lt;/D&gt;&lt;D xsi:type="xsd:double"&gt;411.88&lt;/D&gt;&lt;D xsi:type="xsd:double"&gt;414.14&lt;/D&gt;&lt;D xsi:type="xsd:double"&gt;414.21&lt;/D&gt;&lt;D xsi:type="xsd:double"&gt;413.94&lt;/D&gt;&lt;D xsi:type="xsd:double"&gt;412.46&lt;/D&gt;&lt;D xsi:type="xsd:double"&gt;413.47&lt;/D&gt;&lt;D xsi:type="xsd:double"&gt;408.05&lt;/D&gt;&lt;D xsi:type="xsd:double"&gt;409.72&lt;/D&gt;&lt;/FQL&gt;&lt;FQL&gt;&lt;Q&gt;EWJ^P_PRICE_RETURNS_PR('52W',2,-10AY,0,AM)&lt;/Q&gt;&lt;R&gt;121&lt;/R&gt;&lt;C&gt;1&lt;/C&gt;&lt;D xsi:type="xsd:double"&gt;20.5742&lt;/D&gt;&lt;D xsi:type="xsd:double"&gt;14.781475&lt;/D&gt;&lt;D xsi:type="xsd:double"&gt;3.8450599&lt;/D&gt;&lt;D xsi:type="xsd:double"&gt;-3.642428&lt;/D&gt;&lt;D xsi:type="xsd:double"&gt;-0.8357346&lt;/D&gt;&lt;D xsi:type="xsd:double"&gt;12.18046&lt;/D&gt;&lt;D xsi:type="xsd:double"&gt;5.607581&lt;/D&gt;&lt;D xsi:type="xsd:double"&gt;7.8641295&lt;/D&gt;&lt;D xsi:type="xsd:double"&gt;-0.2465725&lt;/D&gt;&lt;D xsi:type="xsd:double"&gt;-4.945034&lt;/D&gt;&lt;D xsi:type="xsd:double"&gt;-1.6092598&lt;/D&gt;&lt;D xsi:type="xsd:double"&gt;-2.02834&lt;/D&gt;&lt;D xsi:type="xsd:double"&gt;0.49654245&lt;/D&gt;&lt;D xsi:type="xsd:double"&gt;8.730197&lt;/D&gt;&lt;D xsi:type="xsd:double"&gt;16.21641&lt;/D&gt;&lt;D xsi:type="xsd:double"&gt;21.550571&lt;/D&gt;&lt;D xsi:type="xsd:double"&gt;16.570711&lt;/D&gt;&lt;D xsi:type="xsd:double"&gt;10.102856&lt;/D&gt;&lt;D xsi:type="xsd:double"&gt;6.614852&lt;/D&gt;&lt;D xsi:type="xsd:double"&gt;2.200377&lt;/D&gt;&lt;D xsi:type="xsd:double"&gt;-0.7001519&lt;/D&gt;&lt;D xsi:type="xsd:double"&gt;12.229097&lt;/D&gt;&lt;D xsi:type="xsd:double"&gt;8.446836&lt;/D&gt;&lt;D xsi:type="xsd:double"&gt;6.880021&lt;/D&gt;&lt;D xsi:type="xsd:double"&gt;-2.170384&lt;/D&gt;&lt;D xsi:type="xsd:double"&gt;-9.703838&lt;/D&gt;&lt;D xsi:type="xsd:double"&gt;-10.511613&lt;/D&gt;&lt;D xsi:type="xsd:double"&gt;-8.1192255&lt;/D&gt;&lt;D xsi:type="xsd:double"&gt;-9.420246&lt;/D&gt;&lt;D xsi:type="xsd:double"&gt;-11.399084&lt;/D&gt;&lt;D xsi:type="xsd:double"&gt;-5.798614&lt;/D&gt;&lt;D xsi:type="xsd:double"&gt;3.1307936&lt;/D&gt;&lt;D xsi:type="xsd:double"&gt;9.572517&lt;/D&gt;&lt;D xsi:type="xsd:double"&gt;2.1770477&lt;/D&gt;&lt;D xsi:type="xsd:double"&gt;0.1711607&lt;/D&gt;&lt;D xsi:type="xsd:double"&gt;3.388548&lt;/D&gt;&lt;D xsi:type="xsd:double"&gt;16.65746&lt;/D&gt;&lt;D xsi:type="xsd:double"&gt;20.059132&lt;/D&gt;&lt;D xsi:type="xsd:double"&gt;16.50833&lt;/D&gt;&lt;D xsi:type="xsd:double"&gt;9.88977&lt;/D&gt;&lt;D xsi:type="xsd:double"&gt;15.581142&lt;/D&gt;&lt;D xsi:type="xsd:double"&gt;20.995308&lt;/D&gt;&lt;D xsi:type="xsd:double"&gt;16.715288&lt;/D&gt;&lt;D xsi:type="xsd:double"&gt;12.412394&lt;/D&gt;&lt;D xsi:type="xsd:double"&gt;12.856293&lt;/D&gt;&lt;D xsi:type="xsd:double"&gt;17.32496&lt;/D&gt;&lt;D xsi:type="xsd:double"&gt;22.511887&lt;/D&gt;&lt;D xsi:type="xsd:double"&gt;22.250128&lt;/D&gt;&lt;D xsi:type="xsd:double"&gt;27.849174&lt;/D&gt;&lt;D xsi:type="xsd:double"&gt;22.833014&lt;/D&gt;&lt;D xsi:type="xsd:double"&gt;15.460563&lt;/D&gt;&lt;D xsi:type="xsd:double"&gt;18.597376&lt;/D&gt;&lt;D xsi:type="xsd:double"&gt;14.624357&lt;/D&gt;&lt;D xsi:type="xsd:double"&gt;9.966636&lt;/D&gt;&lt;D xsi:type="xsd:double"&gt;10.829878&lt;/D&gt;&lt;D xsi:type="xsd:double"&gt;7.881522&lt;/D&gt;&lt;D xsi:type="xsd:double"&gt;10.5175495&lt;/D&gt;&lt;D xsi:type="xsd:double"&gt;-5.5586042&lt;/D&gt;&lt;D xsi:type="xsd:double"&gt;-7.3948803&lt;/D&gt;&lt;D xsi:type="xsd:double"&gt;-15.334463&lt;/D&gt;&lt;D xsi:type="xsd:double"&gt;-14.698208&lt;/D&gt;&lt;D xsi:type="xsd:double"&gt;-10.273033&lt;/D&gt;&lt;D xsi:type="xsd:double"&gt;-5.651772&lt;/D&gt;&lt;D xsi:type="xsd:double"&gt;-7.6835036&lt;/D&gt;&lt;D xsi:type="xsd:double"&gt;-9.512531&lt;/D&gt;&lt;D xsi:type="xsd:double"&gt;-5.759549&lt;/D&gt;&lt;D xsi:type="xsd:double"&gt;-5.929792&lt;/D&gt;&lt;D xsi:type="xsd:double"&gt;-5.4583073&lt;/D&gt;&lt;D xsi:type="xsd:double"&gt;-3.7040293&lt;/D&gt;&lt;D xsi:type="xsd:double"&gt;8.052039&lt;/D&gt;&lt;D xsi:type="xsd:double"&gt;11.097086&lt;/D&gt;&lt;D xsi:type="xsd:double"&gt;21.772718&lt;/D&gt;&lt;D xsi:type="xsd:double"&gt;13.955534&lt;/D&gt;&lt;D xsi:type="xsd:double"&gt;1.5881777&lt;/D&gt;&lt;D xsi:type="xsd:double"&gt;-6.5776587&lt;/D&gt;&lt;D xsi:type="xsd:double"&gt;-5.1444054&lt;/D&gt;&lt;D xsi:type="xsd:double"&gt;3.4550548&lt;/D&gt;&lt;D xsi:type="xsd:double"&gt;4.5045257&lt;/D&gt;&lt;D xsi:type="xsd:double"&gt;3.0509353&lt;/D&gt;&lt;D xsi:type="xsd:double"&gt;11.082733&lt;/D&gt;&lt;D xsi:type="xsd:double"&gt;4.7806025&lt;/D&gt;&lt;D xsi:type="xsd:double"&gt;3.12258&lt;/D&gt;&lt;D xsi:type="xsd:double"&gt;11.02873&lt;/D&gt;&lt;D xsi:type="xsd:double"&gt;11.889267&lt;/D&gt;&lt;D xsi:type="xsd:double"&gt;18.178988&lt;/D&gt;&lt;D xsi:type="xsd:double"&gt;25.749361&lt;/D&gt;&lt;D xsi:type="xsd:double"&gt;41.22019&lt;/D&gt;&lt;D xsi:type="xsd:double"&gt;36.890984&lt;/D&gt;&lt;D xsi:type="xsd:double"&gt;26.765347&lt;/D&gt;&lt;D xsi:type="xsd:double"&gt;23.535597&lt;/D&gt;&lt;D xsi:type="xsd:double"&gt;22.502888&lt;/D&gt;&lt;D xsi:type="xsd:double"&gt;17.304493&lt;/D&gt;&lt;D xsi:type="xsd:double"&gt;25.24314&lt;/D&gt;&lt;D xsi:type="xsd:double"&gt;17.883099&lt;/D&gt;&lt;D xsi:type="xsd:double"&gt;3.7154317&lt;/D&gt;&lt;D xsi:type="xsd:double"&gt;4.1419864&lt;/D&gt;&lt;D xsi:type="xsd:double"&gt;-6.8993864&lt;/D&gt;&lt;D xsi:type="xsd:double"&gt;-6.275904&lt;/D&gt;&lt;D xsi:type="xsd:double"&gt;-7.443756&lt;/D&gt;&lt;D xsi:type="xsd:double"&gt;-16.892672&lt;/D&gt;&lt;D xsi:type="xsd:double"&gt;-13.234722&lt;/D&gt;&lt;D xsi:type="xsd:double"&gt;-19.328535&lt;/D&gt;&lt;D xsi:type="xsd:double"&gt;-18.165934&lt;/D&gt;&lt;D xsi:type="xsd:double"&gt;-17.672937&lt;/D&gt;&lt;D xsi:type="xsd:double"&gt;-30.674833&lt;/D&gt;&lt;D xsi:type="xsd:double"&gt;-24.702972&lt;/D&gt;&lt;D xsi:type="xsd:double"&gt;-16.752338&lt;/D&gt;&lt;D xsi:type="xsd:double"&gt;-17.76151&lt;/D&gt;&lt;D xsi:type="xsd:double"&gt;-6.378293&lt;/D&gt;&lt;D xsi:type="xsd:double"&gt;-9.372139&lt;/D&gt;&lt;D xsi:type="xsd:double"&gt;-7.8611493&lt;/D&gt;&lt;D xsi:type="xsd:double"&gt;5.373633&lt;/D&gt;&lt;D xsi:type="xsd:double"&gt;5.146837&lt;/D&gt;&lt;D xsi:type="xsd:double"&gt;14.481068&lt;/D&gt;&lt;D xsi:type="xsd:double"&gt;17.238283&lt;/D&gt;&lt;D xsi:type="xsd:double"&gt;8.472406&lt;/D&gt;&lt;D xsi:type="xsd:double"&gt;24.58874&lt;/D&gt;&lt;D xsi:type="xsd:double"&gt;14.873255&lt;/D&gt;&lt;D xsi:type="xsd:double"&gt;13.695824&lt;/D&gt;&lt;D xsi:type="xsd:double"&gt;18.049313&lt;/D&gt;&lt;D xsi:type="xsd:double"&gt;13.842154&lt;/D&gt;&lt;/FQL&gt;&lt;FQL&gt;&lt;Q&gt;QQQ^P_PRICE_RETURNS_PR('52W',2,-10AY,0,AM)&lt;/Q&gt;&lt;R&gt;121&lt;/R&gt;&lt;C&gt;1&lt;/C&gt;&lt;D xsi:type="xsd:double"&gt;31.64674&lt;/D&gt;&lt;D xsi:type="xsd:double"&gt;37.149334&lt;/D&gt;&lt;D xsi:type="xsd:double"&gt;29.176092&lt;/D&gt;&lt;D xsi:type="xsd:double"&gt;25.45948&lt;/D&gt;&lt;D xsi:type="xsd:double"&gt;24.31141&lt;/D&gt;&lt;D xsi:type="xsd:double"&gt;33.73126&lt;/D&gt;&lt;D xsi:type="xsd:double"&gt;31.022585&lt;/D&gt;&lt;D xsi:type="xsd:double"&gt;31.703926&lt;/D&gt;&lt;D xsi:type="xsd:double"&gt;26.608444&lt;/D&gt;&lt;D xsi:type="xsd:double"&gt;21.58128&lt;/D&gt;&lt;D xsi:type="xsd:double"&gt;26.52161&lt;/D&gt;&lt;D xsi:type="xsd:double"&gt;21.549511&lt;/D&gt;&lt;D xsi:type="xsd:double"&gt;21.897352&lt;/D&gt;&lt;D xsi:type="xsd:double"&gt;22.516119&lt;/D&gt;&lt;D xsi:type="xsd:double"&gt;21.62856&lt;/D&gt;&lt;D xsi:type="xsd:double"&gt;27.60278&lt;/D&gt;&lt;D xsi:type="xsd:double"&gt;22.84423&lt;/D&gt;&lt;D xsi:type="xsd:double"&gt;18.322432&lt;/D&gt;&lt;D xsi:type="xsd:double"&gt;15.621686&lt;/D&gt;&lt;D xsi:type="xsd:double"&gt;4.6585083&lt;/D&gt;&lt;D xsi:type="xsd:double"&gt;6.4388633&lt;/D&gt;&lt;D xsi:type="xsd:double"&gt;15.666962&lt;/D&gt;&lt;D xsi:type="xsd:double"&gt;10.058033&lt;/D&gt;&lt;D xsi:type="xsd:double"&gt;9.051704&lt;/D&gt;&lt;D xsi:type="xsd:double"&gt;0.06186962&lt;/D&gt;&lt;D xsi:type="xsd:double"&gt;-4.0344477&lt;/D&gt;&lt;D xsi:type="xsd:double"&gt;0.46263933&lt;/D&gt;&lt;D xsi:type="xsd:double"&gt;-0.82114935&lt;/D&gt;&lt;D xsi:type="xsd:double"&gt;1.4234424&lt;/D&gt;&lt;D xsi:type="xsd:double"&gt;-4.3124557&lt;/D&gt;&lt;D xsi:type="xsd:double"&gt;3.57697&lt;/D&gt;&lt;D xsi:type="xsd:double"&gt;14.6246195&lt;/D&gt;&lt;D xsi:type="xsd:double"&gt;15.301681&lt;/D&gt;&lt;D xsi:type="xsd:double"&gt;6.087959&lt;/D&gt;&lt;D xsi:type="xsd:double"&gt;5.2518845&lt;/D&gt;&lt;D xsi:type="xsd:double"&gt;7.932508&lt;/D&gt;&lt;D xsi:type="xsd:double"&gt;23.085487&lt;/D&gt;&lt;D xsi:type="xsd:double"&gt;28.439962&lt;/D&gt;&lt;D xsi:type="xsd:double"&gt;23.040903&lt;/D&gt;&lt;D xsi:type="xsd:double"&gt;25.705862&lt;/D&gt;&lt;D xsi:type="xsd:double"&gt;30.223274&lt;/D&gt;&lt;D xsi:type="xsd:double"&gt;36.190178&lt;/D&gt;&lt;D xsi:type="xsd:double"&gt;28.62909&lt;/D&gt;&lt;D xsi:type="xsd:double"&gt;23.00582&lt;/D&gt;&lt;D xsi:type="xsd:double"&gt;23.235535&lt;/D&gt;&lt;D xsi:type="xsd:double"&gt;25.386524&lt;/D&gt;&lt;D xsi:type="xsd:double"&gt;33.27626&lt;/D&gt;&lt;D xsi:type="xsd:double"&gt;31.40422&lt;/D&gt;&lt;D xsi:type="xsd:double"&gt;37.376022&lt;/D&gt;&lt;D xsi:type="xsd:double"&gt;32.00867&lt;/D&gt;&lt;D xsi:type="xsd:double"&gt;26.945639&lt;/D&gt;&lt;D xsi:type="xsd:double"&gt;21.089481&lt;/D&gt;&lt;D xsi:type="xsd:double"&gt;21.440971&lt;/D&gt;&lt;D xsi:type="xsd:double"&gt;23.390747&lt;/D&gt;&lt;D xsi:type="xsd:double"&gt;25.289774&lt;/D&gt;&lt;D xsi:type="xsd:double"&gt;29.301273&lt;/D&gt;&lt;D xsi:type="xsd:double"&gt;29.69693&lt;/D&gt;&lt;D xsi:type="xsd:double"&gt;14.277113&lt;/D&gt;&lt;D xsi:type="xsd:double"&gt;5.0445795&lt;/D&gt;&lt;D xsi:type="xsd:double"&gt;-1.7611146&lt;/D&gt;&lt;D xsi:type="xsd:double"&gt;-1.0620892&lt;/D&gt;&lt;D xsi:type="xsd:double"&gt;2.8081536&lt;/D&gt;&lt;D xsi:type="xsd:double"&gt;9.86011&lt;/D&gt;&lt;D xsi:type="xsd:double"&gt;18.717861&lt;/D&gt;&lt;D xsi:type="xsd:double"&gt;5.9936643&lt;/D&gt;&lt;D xsi:type="xsd:double"&gt;8.921301&lt;/D&gt;&lt;D xsi:type="xsd:double"&gt;9.416413&lt;/D&gt;&lt;D xsi:type="xsd:double"&gt;2.1714091&lt;/D&gt;&lt;D xsi:type="xsd:double"&gt;3.6983728&lt;/D&gt;&lt;D xsi:type="xsd:double"&gt;15.398884&lt;/D&gt;&lt;D xsi:type="xsd:double"&gt;26.743258&lt;/D&gt;&lt;D xsi:type="xsd:double"&gt;41.380703&lt;/D&gt;&lt;D xsi:type="xsd:double"&gt;37.581097&lt;/D&gt;&lt;D xsi:type="xsd:double"&gt;25.654089&lt;/D&gt;&lt;D xsi:type="xsd:double"&gt;8.092129&lt;/D&gt;&lt;D xsi:type="xsd:double"&gt;13.682116&lt;/D&gt;&lt;D xsi:type="xsd:double"&gt;29.656578&lt;/D&gt;&lt;D xsi:type="xsd:double"&gt;30.337166&lt;/D&gt;&lt;D xsi:type="xsd:double"&gt;32.009674&lt;/D&gt;&lt;D xsi:type="xsd:double"&gt;59.241306&lt;/D&gt;&lt;D xsi:type="xsd:double"&gt;43.934788&lt;/D&gt;&lt;D xsi:type="xsd:double"&gt;44.432594&lt;/D&gt;&lt;D xsi:type="xsd:double"&gt;46.164&lt;/D&gt;&lt;D xsi:type="xsd:double"&gt;47.11615&lt;/D&gt;&lt;D xsi:type="xsd:double"&gt;48.60095&lt;/D&gt;&lt;D xsi:type="xsd:double"&gt;46.148014&lt;/D&gt;&lt;D xsi:type="xsd:double"&gt;65.69682&lt;/D&gt;&lt;D xsi:type="xsd:double"&gt;60.756718&lt;/D&gt;&lt;D xsi:type="xsd:double"&gt;46.79328&lt;/D&gt;&lt;D xsi:type="xsd:double"&gt;42.845142&lt;/D&gt;&lt;D xsi:type="xsd:double"&gt;45.006966&lt;/D&gt;&lt;D xsi:type="xsd:double"&gt;28.281998&lt;/D&gt;&lt;D xsi:type="xsd:double"&gt;41.42488&lt;/D&gt;&lt;D xsi:type="xsd:double"&gt;35.896347&lt;/D&gt;&lt;D xsi:type="xsd:double"&gt;32.74374&lt;/D&gt;&lt;D xsi:type="xsd:double"&gt;29.40756&lt;/D&gt;&lt;D xsi:type="xsd:double"&gt;5.3689003&lt;/D&gt;&lt;D xsi:type="xsd:double"&gt;11.062706&lt;/D&gt;&lt;D xsi:type="xsd:double"&gt;15.98078&lt;/D&gt;&lt;D xsi:type="xsd:double"&gt;-6.720895&lt;/D&gt;&lt;D xsi:type="xsd:double"&gt;-9.983092&lt;/D&gt;&lt;D xsi:type="xsd:double"&gt;-15.33202&lt;/D&gt;&lt;D xsi:type="xsd:double"&gt;-19.671219&lt;/D&gt;&lt;D xsi:type="xsd:double"&gt;-16.989946&lt;/D&gt;&lt;D xsi:type="xsd:double"&gt;-26.051586&lt;/D&gt;&lt;D xsi:type="xsd:double"&gt;-26.2361&lt;/D&gt;&lt;D xsi:type="xsd:double"&gt;-27.6007&lt;/D&gt;&lt;D xsi:type="xsd:double"&gt;-32.1465&lt;/D&gt;&lt;D xsi:type="xsd:double"&gt;-14.242399&lt;/D&gt;&lt;D xsi:type="xsd:double"&gt;-13.655591&lt;/D&gt;&lt;D xsi:type="xsd:double"&gt;-12.896097&lt;/D&gt;&lt;D xsi:type="xsd:double"&gt;-0.9091675&lt;/D&gt;&lt;D xsi:type="xsd:double"&gt;17.284012&lt;/D&gt;&lt;D xsi:type="xsd:double"&gt;22.275675&lt;/D&gt;&lt;D xsi:type="xsd:double"&gt;29.16335&lt;/D&gt;&lt;D xsi:type="xsd:double"&gt;14.36199&lt;/D&gt;&lt;D xsi:type="xsd:double"&gt;29.978348&lt;/D&gt;&lt;D xsi:type="xsd:double"&gt;24.491703&lt;/D&gt;&lt;D xsi:type="xsd:double"&gt;35.78074&lt;/D&gt;&lt;D xsi:type="xsd:double"&gt;54.658173&lt;/D&gt;&lt;D xsi:type="xsd:double"&gt;45.472862&lt;/D&gt;&lt;/FQL&gt;&lt;FQL&gt;&lt;Q&gt;URTH^FG_TOTAL_RETURNC(-10AY,0,AM)&lt;/Q&gt;&lt;R&gt;121&lt;/R&gt;&lt;C&gt;1&lt;/C&gt;&lt;D xsi:type="xsd:double"&gt;-2.062571&lt;/D&gt;&lt;D xsi:type="xsd:double"&gt;3.0626893&lt;/D&gt;&lt;D xsi:type="xsd:double"&gt;0.9174228&lt;/D&gt;&lt;D xsi:type="xsd:double"&gt;0.1835227&lt;/D&gt;&lt;D xsi:type="xsd:double"&gt;1.2681484&lt;/D&gt;&lt;D xsi:type="xsd:double"&gt;2.7891397&lt;/D&gt;&lt;D xsi:type="xsd:double"&gt;0.8883238&lt;/D&gt;&lt;D xsi:type="xsd:double"&gt;0.18018484&lt;/D&gt;&lt;D xsi:type="xsd:double"&gt;-2.619791&lt;/D&gt;&lt;D xsi:type="xsd:double"&gt;-2.2720873&lt;/D&gt;&lt;D xsi:type="xsd:double"&gt;4.8209906&lt;/D&gt;&lt;D xsi:type="xsd:double"&gt;0.24168491&lt;/D&gt;&lt;D xsi:type="xsd:double"&gt;-1.41173&lt;/D&gt;&lt;D xsi:type="xsd:double"&gt;3.628528&lt;/D&gt;&lt;D xsi:type="xsd:double"&gt;-1.6098797&lt;/D&gt;&lt;D xsi:type="xsd:double"&gt;3.1088114&lt;/D&gt;&lt;D xsi:type="xsd:double"&gt;-0.07935166&lt;/D&gt;&lt;D xsi:type="xsd:double"&gt;-0.58279634&lt;/D&gt;&lt;D xsi:type="xsd:double"&gt;-1.8052042&lt;/D&gt;&lt;D xsi:type="xsd:double"&gt;-6.58527&lt;/D&gt;&lt;D xsi:type="xsd:double"&gt;-0.77837706&lt;/D&gt;&lt;D xsi:type="xsd:double"&gt;5.8170557&lt;/D&gt;&lt;D xsi:type="xsd:double"&gt;0.27976036&lt;/D&gt;&lt;D xsi:type="xsd:double"&gt;-1.2925506&lt;/D&gt;&lt;D xsi:type="xsd:double"&gt;-8.085722&lt;/D&gt;&lt;D xsi:type="xsd:double"&gt;1.1501431&lt;/D&gt;&lt;D xsi:type="xsd:double"&gt;5.208969&lt;/D&gt;&lt;D xsi:type="xsd:double"&gt;3.826487&lt;/D&gt;&lt;D xsi:type="xsd:double"&gt;-0.5204618&lt;/D&gt;&lt;D xsi:type="xsd:double"&gt;-3.4643888&lt;/D&gt;&lt;D xsi:type="xsd:double"&gt;6.2546372&lt;/D&gt;&lt;D xsi:type="xsd:double"&gt;0.934577&lt;/D&gt;&lt;D xsi:type="xsd:double"&gt;-0.76009035&lt;/D&gt;&lt;D xsi:type="xsd:double"&gt;-0.4456222&lt;/D&gt;&lt;D xsi:type="xsd:double"&gt;1.1566758&lt;/D&gt;&lt;D xsi:type="xsd:double"&gt;2.7819037&lt;/D&gt;&lt;D xsi:type="xsd:double"&gt;2.7585387&lt;/D&gt;&lt;D xsi:type="xsd:double"&gt;2.0893812&lt;/D&gt;&lt;D xsi:type="xsd:double"&gt;0.38757324&lt;/D&gt;&lt;D xsi:type="xsd:double"&gt;2.2591233&lt;/D&gt;&lt;D xsi:type="xsd:double"&gt;2.0567775&lt;/D&gt;&lt;D xsi:type="xsd:double"&gt;0.7476926&lt;/D&gt;&lt;D xsi:type="xsd:double"&gt;2.1698713&lt;/D&gt;&lt;D xsi:type="xsd:double"&gt;-0.9830177&lt;/D&gt;&lt;D xsi:type="xsd:double"&gt;2.2919536&lt;/D&gt;&lt;D xsi:type="xsd:double"&gt;2.2765398&lt;/D&gt;&lt;D xsi:type="xsd:double"&gt;1.7806888&lt;/D&gt;&lt;D xsi:type="xsd:double"&gt;2.2414565&lt;/D&gt;&lt;D xsi:type="xsd:double"&gt;6.8977237&lt;/D&gt;&lt;D xsi:type="xsd:double"&gt;-3.4867644&lt;/D&gt;&lt;D xsi:type="xsd:double"&gt;-3.998232&lt;/D&gt;&lt;D xsi:type="xsd:double"&gt;1.2046814&lt;/D&gt;&lt;D xsi:type="xsd:double"&gt;1.0429621&lt;/D&gt;&lt;D xsi:type="xsd:double"&gt;-0.70590377&lt;/D&gt;&lt;D xsi:type="xsd:double"&gt;3.498745&lt;/D&gt;&lt;D xsi:type="xsd:double"&gt;0.20990372&lt;/D&gt;&lt;D xsi:type="xsd:double"&gt;1.5103102&lt;/D&gt;&lt;D xsi:type="xsd:double"&gt;-9.372288&lt;/D&gt;&lt;D xsi:type="xsd:double"&gt;1.0185838&lt;/D&gt;&lt;D xsi:type="xsd:double"&gt;-7.2609005&lt;/D&gt;&lt;D xsi:type="xsd:double"&gt;8.264172&lt;/D&gt;&lt;D xsi:type="xsd:double"&gt;4.8664093&lt;/D&gt;&lt;D xsi:type="xsd:double"&gt;0.5800724&lt;/D&gt;&lt;D xsi:type="xsd:double"&gt;3.7317634&lt;/D&gt;&lt;D xsi:type="xsd:double"&gt;-3.2268703&lt;/D&gt;&lt;D xsi:type="xsd:double"&gt;3.0879736&lt;/D&gt;&lt;D xsi:type="xsd:double"&gt;3.0682325&lt;/D&gt;&lt;D xsi:type="xsd:double"&gt;-4.954326&lt;/D&gt;&lt;D xsi:type="xsd:double"&gt;4.002714&lt;/D&gt;&lt;D xsi:type="xsd:double"&gt;1.889646&lt;/D&gt;&lt;D xsi:type="xsd:double"&gt;3.299141&lt;/D&gt;&lt;D xsi:type="xsd:double"&gt;3.11234&lt;/D&gt;&lt;D xsi:type="xsd:double"&gt;1.1729002&lt;/D&gt;&lt;D xsi:type="xsd:double"&gt;-5.5566607&lt;/D&gt;&lt;D xsi:type="xsd:double"&gt;-16.380955&lt;/D&gt;&lt;D xsi:type="xsd:double"&gt;6.112385&lt;/D&gt;&lt;D xsi:type="xsd:double"&gt;6.249249&lt;/D&gt;&lt;D xsi:type="xsd:double"&gt;2.2194982&lt;/D&gt;&lt;D xsi:type="xsd:double"&gt;6.432998&lt;/D&gt;&lt;D xsi:type="xsd:double"&gt;7.169652&lt;/D&gt;&lt;D xsi:type="xsd:double"&gt;-4.745233&lt;/D&gt;&lt;D xsi:type="xsd:double"&gt;2.5520563&lt;/D&gt;&lt;D xsi:type="xsd:double"&gt;8.570576&lt;/D&gt;&lt;D xsi:type="xsd:double"&gt;2.9122114&lt;/D&gt;&lt;D xsi:type="xsd:double"&gt;3.6073208&lt;/D&gt;&lt;D xsi:type="xsd:double"&gt;-1.0306597&lt;/D&gt;&lt;D xsi:type="xsd:double"&gt;3.7017584&lt;/D&gt;&lt;D xsi:type="xsd:double"&gt;5.0295353&lt;/D&gt;&lt;D xsi:type="xsd:double"&gt;0.6267071&lt;/D&gt;&lt;D xsi:type="xsd:double"&gt;2.005875&lt;/D&gt;&lt;D xsi:type="xsd:double"&gt;1.9881725&lt;/D&gt;&lt;D xsi:type="xsd:double"&gt;1.1062026&lt;/D&gt;&lt;D xsi:type="xsd:double"&gt;-0.091809034&lt;/D&gt;&lt;D xsi:type="xsd:double"&gt;2.0753503&lt;/D&gt;&lt;D xsi:type="xsd:double"&gt;-0.9678066&lt;/D&gt;&lt;D xsi:type="xsd:double"&gt;2.6129246&lt;/D&gt;&lt;D xsi:type="xsd:double"&gt;-7.4284077&lt;/D&gt;&lt;D xsi:type="xsd:double"&gt;0.6912112&lt;/D&gt;&lt;D xsi:type="xsd:double"&gt;2.5223494&lt;/D&gt;&lt;D xsi:type="xsd:double"&gt;-8.120525&lt;/D&gt;&lt;D xsi:type="xsd:double"&gt;-1.474458&lt;/D&gt;&lt;D xsi:type="xsd:double"&gt;-4.503143&lt;/D&gt;&lt;D xsi:type="xsd:double"&gt;-0.19989014&lt;/D&gt;&lt;D xsi:type="xsd:double"&gt;2.794981&lt;/D&gt;&lt;D xsi:type="xsd:double"&gt;-10.415375&lt;/D&gt;&lt;D xsi:type="xsd:double"&gt;5.585766&lt;/D&gt;&lt;D xsi:type="xsd:double"&gt;6.9288373&lt;/D&gt;&lt;D xsi:type="xsd:double"&gt;-3.4701467&lt;/D&gt;&lt;D xsi:type="xsd:double"&gt;6.7068696&lt;/D&gt;&lt;D xsi:type="xsd:double"&gt;-2.680254&lt;/D&gt;&lt;D xsi:type="xsd:double"&gt;-0.20238161&lt;/D&gt;&lt;D xsi:type="xsd:double"&gt;3.2534003&lt;/D&gt;&lt;D xsi:type="xsd:double"&gt;2.390921&lt;/D&gt;&lt;D xsi:type="xsd:double"&gt;2.3460388&lt;/D&gt;&lt;D xsi:type="xsd:double"&gt;5.3233504&lt;/D&gt;&lt;D xsi:type="xsd:double"&gt;-4.1481137&lt;/D&gt;&lt;D xsi:type="xsd:double"&gt;-2.4694383&lt;/D&gt;&lt;D xsi:type="xsd:double"&gt;-3.4177303&lt;/D&gt;&lt;D xsi:type="xsd:double"&gt;10.330498&lt;/D&gt;&lt;D xsi:type="xsd:double"&gt;5.1513195&lt;/D&gt;&lt;D xsi:type="xsd:double"&gt;1.5716791&lt;/D&gt;&lt;/FQL&gt;&lt;FQL&gt;&lt;Q&gt;TLT^FG_TOTAL_RETURNC(-10AY,0,AM)&lt;/Q&gt;&lt;R&gt;121&lt;/R&gt;&lt;C&gt;1&lt;/C&gt;&lt;D xsi:type="xsd:double"&gt;5.2693486&lt;/D&gt;&lt;D xsi:type="xsd:double"&gt;0.66246986&lt;/D&gt;&lt;D xsi:type="xsd:double"&gt;1.6533256&lt;/D&gt;&lt;D xsi:type="xsd:double"&gt;1.9911885&lt;/D&gt;&lt;D xsi:type="xsd:double"&gt;1.4739394&lt;/D&gt;&lt;D xsi:type="xsd:double"&gt;0.89176893&lt;/D&gt;&lt;D xsi:type="xsd:double"&gt;2.2578359&lt;/D&gt;&lt;D xsi:type="xsd:double"&gt;1.7179132&lt;/D&gt;&lt;D xsi:type="xsd:double"&gt;-0.9209037&lt;/D&gt;&lt;D xsi:type="xsd:double"&gt;3.4595013&lt;/D&gt;&lt;D xsi:type="xsd:double"&gt;1.7593265&lt;/D&gt;&lt;D xsi:type="xsd:double"&gt;2.819097&lt;/D&gt;&lt;D xsi:type="xsd:double"&gt;7.997751&lt;/D&gt;&lt;D xsi:type="xsd:double"&gt;-4.2046127&lt;/D&gt;&lt;D xsi:type="xsd:double"&gt;0.97875595&lt;/D&gt;&lt;D xsi:type="xsd:double"&gt;-0.087469816&lt;/D&gt;&lt;D xsi:type="xsd:double"&gt;-4.923773&lt;/D&gt;&lt;D xsi:type="xsd:double"&gt;-5.6986094&lt;/D&gt;&lt;D xsi:type="xsd:double"&gt;5.581045&lt;/D&gt;&lt;D xsi:type="xsd:double"&gt;0.6622553&lt;/D&gt;&lt;D xsi:type="xsd:double"&gt;-0.105291605&lt;/D&gt;&lt;D xsi:type="xsd:double"&gt;2.2516847&lt;/D&gt;&lt;D xsi:type="xsd:double"&gt;-2.1490693&lt;/D&gt;&lt;D xsi:type="xsd:double"&gt;1.0314584&lt;/D&gt;&lt;D xsi:type="xsd:double"&gt;3.4884691&lt;/D&gt;&lt;D xsi:type="xsd:double"&gt;3.6311507&lt;/D&gt;&lt;D xsi:type="xsd:double"&gt;-0.47501922&lt;/D&gt;&lt;D xsi:type="xsd:double"&gt;-1.5645504&lt;/D&gt;&lt;D xsi:type="xsd:double"&gt;2.4005532&lt;/D&gt;&lt;D xsi:type="xsd:double"&gt;4.6280026&lt;/D&gt;&lt;D xsi:type="xsd:double"&gt;2.498293&lt;/D&gt;&lt;D xsi:type="xsd:double"&gt;-0.21916032&lt;/D&gt;&lt;D xsi:type="xsd:double"&gt;-0.3032744&lt;/D&gt;&lt;D xsi:type="xsd:double"&gt;-3.8283825&lt;/D&gt;&lt;D xsi:type="xsd:double"&gt;-8.420009&lt;/D&gt;&lt;D xsi:type="xsd:double"&gt;-1.8365264&lt;/D&gt;&lt;D xsi:type="xsd:double"&gt;0.9741545&lt;/D&gt;&lt;D xsi:type="xsd:double"&gt;2.5801063&lt;/D&gt;&lt;D xsi:type="xsd:double"&gt;-0.73221326&lt;/D&gt;&lt;D xsi:type="xsd:double"&gt;1.2371778&lt;/D&gt;&lt;D xsi:type="xsd:double"&gt;1.3264537&lt;/D&gt;&lt;D xsi:type="xsd:double"&gt;4.091084&lt;/D&gt;&lt;D xsi:type="xsd:double"&gt;-3.300935&lt;/D&gt;&lt;D xsi:type="xsd:double"&gt;3.0899525&lt;/D&gt;&lt;D xsi:type="xsd:double"&gt;-0.23353696&lt;/D&gt;&lt;D xsi:type="xsd:double"&gt;-3.2197654&lt;/D&gt;&lt;D xsi:type="xsd:double"&gt;3.7878036&lt;/D&gt;&lt;D xsi:type="xsd:double"&gt;-0.90293884&lt;/D&gt;&lt;D xsi:type="xsd:double"&gt;-1.2386143&lt;/D&gt;&lt;D xsi:type="xsd:double"&gt;-4.183817&lt;/D&gt;&lt;D xsi:type="xsd:double"&gt;1.5061021&lt;/D&gt;&lt;D xsi:type="xsd:double"&gt;-1.2345672&lt;/D&gt;&lt;D xsi:type="xsd:double"&gt;1.6144753&lt;/D&gt;&lt;D xsi:type="xsd:double"&gt;1.3645172&lt;/D&gt;&lt;D xsi:type="xsd:double"&gt;-1.1902034&lt;/D&gt;&lt;D xsi:type="xsd:double"&gt;2.771616&lt;/D&gt;&lt;D xsi:type="xsd:double"&gt;-3.6989152&lt;/D&gt;&lt;D xsi:type="xsd:double"&gt;-1.9163728&lt;/D&gt;&lt;D xsi:type="xsd:double"&gt;0.14631748&lt;/D&gt;&lt;D xsi:type="xsd:double"&gt;4.9616218&lt;/D&gt;&lt;D xsi:type="xsd:double"&gt;0.42493343&lt;/D&gt;&lt;D xsi:type="xsd:double"&gt;1.2916088&lt;/D&gt;&lt;D xsi:type="xsd:double"&gt;2.813208&lt;/D&gt;&lt;D xsi:type="xsd:double"&gt;-0.706619&lt;/D&gt;&lt;D xsi:type="xsd:double"&gt;3.4221888&lt;/D&gt;&lt;D xsi:type="xsd:double"&gt;3.4892678&lt;/D&gt;&lt;D xsi:type="xsd:double"&gt;-0.18287897&lt;/D&gt;&lt;D xsi:type="xsd:double"&gt;10.788525&lt;/D&gt;&lt;D xsi:type="xsd:double"&gt;-1.8837094&lt;/D&gt;&lt;D xsi:type="xsd:double"&gt;-2.5412261&lt;/D&gt;&lt;D xsi:type="xsd:double"&gt;2.062261&lt;/D&gt;&lt;D xsi:type="xsd:double"&gt;-2.4816513&lt;/D&gt;&lt;D xsi:type="xsd:double"&gt;3.5794973&lt;/D&gt;&lt;D xsi:type="xsd:double"&gt;5.9260964&lt;/D&gt;&lt;D xsi:type="xsd:double"&gt;8.874035&lt;/D&gt;&lt;D xsi:type="xsd:double"&gt;4.740691&lt;/D&gt;&lt;D xsi:type="xsd:double"&gt;-4.272848&lt;/D&gt;&lt;D xsi:type="xsd:double"&gt;1.3065815&lt;/D&gt;&lt;D xsi:type="xsd:double"&gt;2.8375626&lt;/D&gt;&lt;D xsi:type="xsd:double"&gt;-3.255856&lt;/D&gt;&lt;D xsi:type="xsd:double"&gt;0.77688694&lt;/D&gt;&lt;D xsi:type="xsd:double"&gt;-3.3157408&lt;/D&gt;&lt;D xsi:type="xsd:double"&gt;-0.3953159&lt;/D&gt;&lt;D xsi:type="xsd:double"&gt;-0.66964626&lt;/D&gt;&lt;D xsi:type="xsd:double"&gt;-2.4858475&lt;/D&gt;&lt;D xsi:type="xsd:double"&gt;-6.5813723&lt;/D&gt;&lt;D xsi:type="xsd:double"&gt;-4.3974457&lt;/D&gt;&lt;D xsi:type="xsd:double"&gt;2.4793148&lt;/D&gt;&lt;D xsi:type="xsd:double"&gt;-0.31166673&lt;/D&gt;&lt;D xsi:type="xsd:double"&gt;2.151084&lt;/D&gt;&lt;D xsi:type="xsd:double"&gt;4.3958664&lt;/D&gt;&lt;D xsi:type="xsd:double"&gt;0.38433075&lt;/D&gt;&lt;D xsi:type="xsd:double"&gt;-0.9115279&lt;/D&gt;&lt;D xsi:type="xsd:double"&gt;-1.1076391&lt;/D&gt;&lt;D xsi:type="xsd:double"&gt;3.8755894&lt;/D&gt;&lt;D xsi:type="xsd:double"&gt;-1.1049926&lt;/D&gt;&lt;D xsi:type="xsd:double"&gt;-5.399948&lt;/D&gt;&lt;D xsi:type="xsd:double"&gt;-2.4474323&lt;/D&gt;&lt;D xsi:type="xsd:double"&gt;-5.875498&lt;/D&gt;&lt;D xsi:type="xsd:double"&gt;-4.7127905&lt;/D&gt;&lt;D xsi:type="xsd:double"&gt;-2.7890503&lt;/D&gt;&lt;D xsi:type="xsd:double"&gt;-5.075431&lt;/D&gt;&lt;D xsi:type="xsd:double"&gt;4.575515&lt;/D&gt;&lt;D xsi:type="xsd:double"&gt;-3.1140149&lt;/D&gt;&lt;D xsi:type="xsd:double"&gt;-8.55186&lt;/D&gt;&lt;D xsi:type="xsd:double"&gt;-6.7450047&lt;/D&gt;&lt;D xsi:type="xsd:double"&gt;6.936109&lt;/D&gt;&lt;D xsi:type="xsd:double"&gt;-0.25003552&lt;/D&gt;&lt;D xsi:type="xsd:double"&gt;4.718089&lt;/D&gt;&lt;D xsi:type="xsd:double"&gt;-5.377519&lt;/D&gt;&lt;D xsi:type="xsd:double"&gt;6.08685&lt;/D&gt;&lt;D xsi:type="xsd:double"&gt;-0.7142842&lt;/D&gt;&lt;D xsi:type="xsd:double"&gt;-4.2216063&lt;/D&gt;&lt;D xsi:type="xsd:double"&gt;2.5956035&lt;/D&gt;&lt;D xsi:type="xsd:double"&gt;-1.8314898&lt;/D&gt;&lt;D xsi:type="xsd:double"&gt;-5.7103815&lt;/D&gt;&lt;D xsi:type="xsd:double"&gt;-6.3848076&lt;/D&gt;&lt;D xsi:type="xsd:double"&gt;-4.3513775&lt;/D&gt;&lt;D xsi:type="xsd:double"&gt;6.3402534&lt;/D&gt;&lt;D xsi:type="xsd:double"&gt;10.665321&lt;/D&gt;&lt;D xsi:type="xsd:double"&gt;-5.042529&lt;/D&gt;&lt;/FQL&gt;&lt;FQL&gt;&lt;Q&gt;SPY^FG_TOTAL_RETURNC(-10AY,0,AM)&lt;/Q&gt;&lt;R&gt;121&lt;/R&gt;&lt;C&gt;1&lt;/C&gt;&lt;D xsi:type="xsd:double"&gt;-2.7004957&lt;/D&gt;&lt;D xsi:type="xsd:double"&gt;3.3316612&lt;/D&gt;&lt;D xsi:type="xsd:double"&gt;0.5080581&lt;/D&gt;&lt;D xsi:type="xsd:double"&gt;0.71362257&lt;/D&gt;&lt;D xsi:type="xsd:double"&gt;2.179408&lt;/D&gt;&lt;D xsi:type="xsd:double"&gt;3.1648517&lt;/D&gt;&lt;D xsi:type="xsd:double"&gt;1.166594&lt;/D&gt;&lt;D xsi:type="xsd:double"&gt;1.3200521&lt;/D&gt;&lt;D xsi:type="xsd:double"&gt;-0.7507205&lt;/D&gt;&lt;D xsi:type="xsd:double"&gt;-0.74279904&lt;/D&gt;&lt;D xsi:type="xsd:double"&gt;5.7068706&lt;/D&gt;&lt;D xsi:type="xsd:double"&gt;0.93694925&lt;/D&gt;&lt;D xsi:type="xsd:double"&gt;-1.4344692&lt;/D&gt;&lt;D xsi:type="xsd:double"&gt;2.886355&lt;/D&gt;&lt;D xsi:type="xsd:double"&gt;-2.4609387&lt;/D&gt;&lt;D xsi:type="xsd:double"&gt;3.1080484&lt;/D&gt;&lt;D xsi:type="xsd:double"&gt;-0.44881105&lt;/D&gt;&lt;D xsi:type="xsd:double"&gt;0.06892681&lt;/D&gt;&lt;D xsi:type="xsd:double"&gt;-0.8674145&lt;/D&gt;&lt;D xsi:type="xsd:double"&gt;-6.509614&lt;/D&gt;&lt;D xsi:type="xsd:double"&gt;-0.30356646&lt;/D&gt;&lt;D xsi:type="xsd:double"&gt;7.337308&lt;/D&gt;&lt;D xsi:type="xsd:double"&gt;1.1207819&lt;/D&gt;&lt;D xsi:type="xsd:double"&gt;-1.1437953&lt;/D&gt;&lt;D xsi:type="xsd:double"&gt;-7.5262547&lt;/D&gt;&lt;D xsi:type="xsd:double"&gt;2.5705576&lt;/D&gt;&lt;D xsi:type="xsd:double"&gt;4.651177&lt;/D&gt;&lt;D xsi:type="xsd:double"&gt;2.8550625&lt;/D&gt;&lt;D xsi:type="xsd:double"&gt;0.20141602&lt;/D&gt;&lt;D xsi:type="xsd:double"&gt;-2.4597585&lt;/D&gt;&lt;D xsi:type="xsd:double"&gt;6.7050576&lt;/D&gt;&lt;D xsi:type="xsd:double"&gt;0.2491355&lt;/D&gt;&lt;D xsi:type="xsd:double"&gt;-0.9036422&lt;/D&gt;&lt;D xsi:type="xsd:double"&gt;-0.23338199&lt;/D&gt;&lt;D xsi:type="xsd:double"&gt;3.6399364&lt;/D&gt;&lt;D xsi:type="xsd:double"&gt;2.493167&lt;/D&gt;&lt;D xsi:type="xsd:double"&gt;1.6038299&lt;/D&gt;&lt;D xsi:type="xsd:double"&gt;3.2311559&lt;/D&gt;&lt;D xsi:type="xsd:double"&gt;-0.7859647&lt;/D&gt;&lt;D xsi:type="xsd:double"&gt;1.9413352&lt;/D&gt;&lt;D xsi:type="xsd:double"&gt;1.3884306&lt;/D&gt;&lt;D xsi:type="xsd:double"&gt;1.1444688&lt;/D&gt;&lt;D xsi:type="xsd:double"&gt;1.7016768&lt;/D&gt;&lt;D xsi:type="xsd:double"&gt;-1.1599243&lt;/D&gt;&lt;D xsi:type="xsd:double"&gt;2.35281&lt;/D&gt;&lt;D xsi:type="xsd:double"&gt;2.6256561&lt;/D&gt;&lt;D xsi:type="xsd:double"&gt;1.8543124&lt;/D&gt;&lt;D xsi:type="xsd:double"&gt;3.1436443&lt;/D&gt;&lt;D xsi:type="xsd:double"&gt;7.2569966&lt;/D&gt;&lt;D xsi:type="xsd:double"&gt;-3.028822&lt;/D&gt;&lt;D xsi:type="xsd:double"&gt;-4.2207956&lt;/D&gt;&lt;D xsi:type="xsd:double"&gt;0.4526496&lt;/D&gt;&lt;D xsi:type="xsd:double"&gt;2.1929264&lt;/D&gt;&lt;D xsi:type="xsd:double"&gt;0.24645329&lt;/D&gt;&lt;D xsi:type="xsd:double"&gt;4.322529&lt;/D&gt;&lt;D xsi:type="xsd:double"&gt;1.471734&lt;/D&gt;&lt;D xsi:type="xsd:double"&gt;1.2810111&lt;/D&gt;&lt;D xsi:type="xsd:double"&gt;-8.4690275&lt;/D&gt;&lt;D xsi:type="xsd:double"&gt;0.8178592&lt;/D&gt;&lt;D xsi:type="xsd:double"&gt;-7.421267&lt;/D&gt;&lt;D xsi:type="xsd:double"&gt;7.9616547&lt;/D&gt;&lt;D xsi:type="xsd:double"&gt;5.0944448&lt;/D&gt;&lt;D xsi:type="xsd:double"&gt;1.0855913&lt;/D&gt;&lt;D xsi:type="xsd:double"&gt;4.371798&lt;/D&gt;&lt;D xsi:type="xsd:double"&gt;-3.6229193&lt;/D&gt;&lt;D xsi:type="xsd:double"&gt;3.2196283&lt;/D&gt;&lt;D xsi:type="xsd:double"&gt;3.972876&lt;/D&gt;&lt;D xsi:type="xsd:double"&gt;-4.638922&lt;/D&gt;&lt;D xsi:type="xsd:double"&gt;3.603363&lt;/D&gt;&lt;D xsi:type="xsd:double"&gt;1.5488267&lt;/D&gt;&lt;D xsi:type="xsd:double"&gt;4.1379213&lt;/D&gt;&lt;D xsi:type="xsd:double"&gt;3.3242583&lt;/D&gt;&lt;D xsi:type="xsd:double"&gt;1.8052816&lt;/D&gt;&lt;D xsi:type="xsd:double"&gt;-5.2529097&lt;/D&gt;&lt;D xsi:type="xsd:double"&gt;-15.632545&lt;/D&gt;&lt;D xsi:type="xsd:double"&gt;8.3346&lt;/D&gt;&lt;D xsi:type="xsd:double"&gt;5.6931734&lt;/D&gt;&lt;D xsi:type="xsd:double"&gt;0.7684231&lt;/D&gt;&lt;D xsi:type="xsd:double"&gt;6.942177&lt;/D&gt;&lt;D xsi:type="xsd:double"&gt;8.317757&lt;/D&gt;&lt;D xsi:type="xsd:double"&gt;-5.037421&lt;/D&gt;&lt;D xsi:type="xsd:double"&gt;3.2427788&lt;/D&gt;&lt;D xsi:type="xsd:double"&gt;6.8564177&lt;/D&gt;&lt;D xsi:type="xsd:double"&gt;2.18364&lt;/D&gt;&lt;D xsi:type="xsd:double"&gt;4.008138&lt;/D&gt;&lt;D xsi:type="xsd:double"&gt;-0.89372396&lt;/D&gt;&lt;D xsi:type="xsd:double"&gt;4.4481993&lt;/D&gt;&lt;D xsi:type="xsd:double"&gt;5.462396&lt;/D&gt;&lt;D xsi:type="xsd:double"&gt;0.349617&lt;/D&gt;&lt;D xsi:type="xsd:double"&gt;2.1367788&lt;/D&gt;&lt;D xsi:type="xsd:double"&gt;3.3777952&lt;/D&gt;&lt;D xsi:type="xsd:double"&gt;1.188159&lt;/D&gt;&lt;D xsi:type="xsd:double"&gt;-0.20475388&lt;/D&gt;&lt;D xsi:type="xsd:double"&gt;2.7145147&lt;/D&gt;&lt;D xsi:type="xsd:double"&gt;0.6601453&lt;/D&gt;&lt;D xsi:type="xsd:double"&gt;2.8988004&lt;/D&gt;&lt;D xsi:type="xsd:double"&gt;-7.909054&lt;/D&gt;&lt;D xsi:type="xsd:double"&gt;1.0083556&lt;/D&gt;&lt;D xsi:type="xsd:double"&gt;3.7306905&lt;/D&gt;&lt;D xsi:type="xsd:double"&gt;-8.082795&lt;/D&gt;&lt;D xsi:type="xsd:double"&gt;-2.5931299&lt;/D&gt;&lt;D xsi:type="xsd:double"&gt;-3.3428192&lt;/D&gt;&lt;D xsi:type="xsd:double"&gt;0.20766258&lt;/D&gt;&lt;D xsi:type="xsd:double"&gt;3.689015&lt;/D&gt;&lt;D xsi:type="xsd:double"&gt;-9.743547&lt;/D&gt;&lt;D xsi:type="xsd:double"&gt;4.8612475&lt;/D&gt;&lt;D xsi:type="xsd:double"&gt;5.316472&lt;/D&gt;&lt;D xsi:type="xsd:double"&gt;-4.3845296&lt;/D&gt;&lt;D xsi:type="xsd:double"&gt;5.7036877&lt;/D&gt;&lt;D xsi:type="xsd:double"&gt;-2.0679414&lt;/D&gt;&lt;D xsi:type="xsd:double"&gt;0.22666454&lt;/D&gt;&lt;D xsi:type="xsd:double"&gt;2.1756172&lt;/D&gt;&lt;D xsi:type="xsd:double"&gt;3.872788&lt;/D&gt;&lt;D xsi:type="xsd:double"&gt;3.1018734&lt;/D&gt;&lt;D xsi:type="xsd:double"&gt;5.5789948&lt;/D&gt;&lt;D xsi:type="xsd:double"&gt;-3.4115613&lt;/D&gt;&lt;D xsi:type="xsd:double"&gt;-2.8568506&lt;/D&gt;&lt;D xsi:type="xsd:double"&gt;-3.1299949&lt;/D&gt;&lt;D xsi:type="xsd:double"&gt;10.362375&lt;/D&gt;&lt;D xsi:type="xsd:double"&gt;4.893863&lt;/D&gt;&lt;D xsi:type="xsd:double"&gt;2.4724126&lt;/D&gt;&lt;/FQL&gt;&lt;FQL&gt;&lt;Q&gt;CPALM-FDS^FG_PRICE_CHANGE(0,-6AM)&lt;/Q&gt;&lt;R&gt;1&lt;/R&gt;&lt;C&gt;1&lt;/C&gt;&lt;D xsi</t>
        </r>
      </text>
    </comment>
    <comment ref="A3" authorId="0" shapeId="0" xr:uid="{F6A82363-4672-4944-85B0-D24A0012D44A}">
      <text>
        <r>
          <rPr>
            <b/>
            <sz val="9"/>
            <color indexed="81"/>
            <rFont val="Tahoma"/>
            <family val="2"/>
          </rPr>
          <t>:type="xsd:double"&gt;0.802608477552047&lt;/D&gt;&lt;/FQL&gt;&lt;FQL&gt;&lt;Q&gt;W-FDS^FG_PRICE(0)/MAX(FG_PRICE(0,-1AY))&lt;/Q&gt;&lt;R&gt;1&lt;/R&gt;&lt;C&gt;1&lt;/C&gt;&lt;D xsi:type="xsd:double"&gt;0.757891414141414&lt;/D&gt;&lt;/FQL&gt;&lt;FQL&gt;&lt;Q&gt;W-FDS^FG_PRICE(0)&lt;/Q&gt;&lt;R&gt;1&lt;/R&gt;&lt;C&gt;1&lt;/C&gt;&lt;D xsi:type="xsd:double"&gt;6.0025&lt;/D&gt;&lt;/FQL&gt;&lt;FQL&gt;&lt;Q&gt;PASP-FDS^FG_PRICE_CHANGE(0,-1AM)&lt;/Q&gt;&lt;R&gt;1&lt;/R&gt;&lt;C&gt;1&lt;/C&gt;&lt;D xsi:type="xsd:double"&gt;-23.4126984126984&lt;/D&gt;&lt;/FQL&gt;&lt;FQL&gt;&lt;Q&gt;NI-FDS^FG_PRICE_CHANGE(0,-6AM)&lt;/Q&gt;&lt;R&gt;1&lt;/R&gt;&lt;C&gt;1&lt;/C&gt;&lt;D xsi:type="xsd:double"&gt;-23.3603707995365&lt;/D&gt;&lt;/FQL&gt;&lt;FQL&gt;&lt;Q&gt;PLATI-FDS^FG_PRICE(0)/MAX(FG_PRICE(0,-1AY))&lt;/Q&gt;&lt;R&gt;1&lt;/R&gt;&lt;C&gt;1&lt;/C&gt;&lt;D xsi:type="xsd:double"&gt;0.797356828193833&lt;/D&gt;&lt;/FQL&gt;&lt;FQL&gt;&lt;Q&gt;PLATI-FDS^FG_PRICE(0)&lt;/Q&gt;&lt;R&gt;1&lt;/R&gt;&lt;C&gt;1&lt;/C&gt;&lt;D xsi:type="xsd:double"&gt;905&lt;/D&gt;&lt;/FQL&gt;&lt;FQL&gt;&lt;Q&gt;INDA^P_PRICE(0,-200D)&lt;/Q&gt;&lt;R&gt;201&lt;/R&gt;&lt;C&gt;1&lt;/C&gt;&lt;D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xsi:type="xsd:double"&gt;43.01&lt;/D&gt;&lt;D xsi:type="xsd:double"&gt;42.78&lt;/D&gt;&lt;D xsi:type="xsd:double"&gt;42.64&lt;/D&gt;&lt;D xsi:type="xsd:double"&gt;42.28&lt;/D&gt;&lt;D xsi:type="xsd:double"&gt;42.11&lt;/D&gt;&lt;D xsi:type="xsd:double"&gt;42.23&lt;/D&gt;&lt;D xsi:type="xsd:double"&gt;42.33&lt;/D&gt;&lt;D xsi:type="xsd:double"&gt;42.26&lt;/D&gt;&lt;D xsi:type="xsd:double"&gt;42.16&lt;/D&gt;&lt;D xsi:type="xsd:double"&gt;42.28&lt;/D&gt;&lt;D xsi:type="xsd:double"&gt;42.125&lt;/D&gt;&lt;D xsi:type="xsd:double"&gt;41.7&lt;/D&gt;&lt;D xsi:type="xsd:double"&gt;41.81&lt;/D&gt;&lt;D xsi:type="xsd:double"&gt;42.02&lt;/D&gt;&lt;D xsi:type="xsd:double"&gt;41.41&lt;/D&gt;&lt;D xsi:type="xsd:double"&gt;41.19&lt;/D&gt;&lt;D xsi:type="xsd:double"&gt;41.13&lt;/D&gt;&lt;D xsi:type="xsd:double"&gt;41.26&lt;/D&gt;&lt;D xsi:type="xsd:double"&gt;40.88&lt;/D&gt;&lt;D xsi:type="xsd:double"&gt;40.93&lt;/D&gt;&lt;D xsi:type="xsd:double"&gt;41.23&lt;/D&gt;&lt;D xsi:type="xsd:double"&gt;41.29&lt;/D&gt;&lt;D xsi:type="xsd:double"&gt;41.66&lt;/D&gt;&lt;D xsi:type="xsd:double"&gt;41.32&lt;/D&gt;&lt;D xsi:type="xsd:double"&gt;41.46&lt;/D&gt;&lt;D xsi:type="xsd:double"&gt;41.71&lt;/D&gt;&lt;D xsi:type="xsd:double"&gt;41.47&lt;/D&gt;&lt;D xsi:type="xsd:double"&gt;41.53&lt;/D&gt;&lt;D xsi:type="xsd:double"&gt;41.4&lt;/D&gt;&lt;D xsi:type="xsd:double"&gt;41.26&lt;/D&gt;&lt;D xsi:type="xsd:double"&gt;40.92&lt;/D&gt;&lt;D xsi:type="xsd:double"&gt;41.06&lt;/D&gt;&lt;D xsi:type="xsd:double"&gt;41.12&lt;/D&gt;&lt;D xsi:type="xsd:double"&gt;41.12&lt;/D&gt;&lt;D xsi:type="xsd:double"&gt;40.75&lt;/D&gt;&lt;D xsi:type="xsd:double"&gt;40.26&lt;/D&gt;&lt;D xsi:type="xsd:double"&gt;40.01&lt;/D&gt;&lt;D xsi:type="xsd:double"&gt;40.19&lt;/D&gt;&lt;D xsi:type="xsd:double"&gt;39.88&lt;/D&gt;&lt;D xsi:type="xsd:double"&gt;39.86&lt;/D&gt;&lt;D xsi:type="xsd:double"&gt;39.81&lt;/D&gt;&lt;D xsi:type="xsd:double"&gt;39.94&lt;/D&gt;&lt;D xsi:type="xsd:double"&gt;40.02&lt;/D&gt;&lt;D xsi:type="xsd:double"&gt;40.16&lt;/D&gt;&lt;D xsi:type="xsd:double"&gt;40.35&lt;/D&gt;&lt;D xsi:type="xsd:double"&gt;40.2&lt;/D&gt;&lt;D xsi:type="xsd:double"&gt;40.07&lt;/D&gt;&lt;/FQL&gt;&lt;FQL&gt;&lt;Q&gt;USO^P_PRICE(0,-200D)&lt;/Q&gt;&lt;R&gt;201&lt;/R&gt;&lt;C&gt;1&lt;/C&gt;&lt;D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xsi:type="xsd:double"&gt;60.24&lt;/D&gt;&lt;D xsi:type="xsd:double"&gt;62.93&lt;/D&gt;&lt;D xsi:type="xsd:double"&gt;63.46&lt;/D&gt;&lt;D xsi:type="xsd:double"&gt;64.71&lt;/D&gt;&lt;D xsi:type="xsd:double"&gt;63.79&lt;/D&gt;&lt;D xsi:type="xsd:double"&gt;64.03&lt;/D&gt;&lt;D xsi:type="xsd:double"&gt;64.15&lt;/D&gt;&lt;D xsi:type="xsd:double"&gt;62.55&lt;/D&gt;&lt;D xsi:type="xsd:double"&gt;60.63&lt;/D&gt;&lt;D xsi:type="xsd:double"&gt;62.3&lt;/D&gt;&lt;D xsi:type="xsd:double"&gt;64.8&lt;/D&gt;&lt;D xsi:type="xsd:double"&gt;64.09&lt;/D&gt;&lt;D xsi:type="xsd:double"&gt;65.66&lt;/D&gt;&lt;D xsi:type="xsd:double"&gt;64.87&lt;/D&gt;&lt;D xsi:type="xsd:double"&gt;63.91&lt;/D&gt;&lt;D xsi:type="xsd:double"&gt;63.9&lt;/D&gt;&lt;D xsi:type="xsd:double"&gt;64.04&lt;/D&gt;&lt;D xsi:type="xsd:double"&gt;64.6&lt;/D&gt;&lt;D xsi:type="xsd:double"&gt;62.54&lt;/D&gt;&lt;D xsi:type="xsd:double"&gt;62.99&lt;/D&gt;&lt;D xsi:type="xsd:double"&gt;62.07&lt;/D&gt;&lt;D xsi:type="xsd:double"&gt;63.25&lt;/D&gt;&lt;D xsi:type="xsd:double"&gt;64.39&lt;/D&gt;&lt;D xsi:type="xsd:double"&gt;64.87&lt;/D&gt;&lt;D xsi:type="xsd:double"&gt;64.26&lt;/D&gt;&lt;D xsi:type="xsd:double"&gt;63.03&lt;/D&gt;&lt;D xsi:type="xsd:double"&gt;60.7&lt;/D&gt;&lt;D xsi:type="xsd:double"&gt;60.31&lt;/D&gt;&lt;D xsi:type="xsd:double"&gt;63.05&lt;/D&gt;&lt;D xsi:type="xsd:double"&gt;66.55&lt;/D&gt;&lt;D xsi:type="xsd:double"&gt;67.5&lt;/D&gt;&lt;D xsi:type="xsd:double"&gt;65.81&lt;/D&gt;&lt;D xsi:type="xsd:double"&gt;65.36&lt;/D&gt;&lt;D xsi:type="xsd:double"&gt;67.62&lt;/D&gt;&lt;D xsi:type="xsd:double"&gt;69.25&lt;/D&gt;&lt;D xsi:type="xsd:double"&gt;68.21&lt;/D&gt;&lt;D xsi:type="xsd:double"&gt;67.6&lt;/D&gt;&lt;D xsi:type="xsd:double"&gt;69.3&lt;/D&gt;&lt;D xsi:type="xsd:double"&gt;70.73&lt;/D&gt;&lt;D xsi:type="xsd:double"&gt;70.84&lt;/D&gt;&lt;D xsi:type="xsd:double"&gt;72.09&lt;/D&gt;&lt;D xsi:type="xsd:double"&gt;71.8&lt;/D&gt;&lt;D xsi:type="xsd:double"&gt;72.43&lt;/D&gt;&lt;D xsi:type="xsd:double"&gt;71.07&lt;/D&gt;&lt;/FQL&gt;&lt;FQL&gt;&lt;Q&gt;VWO^P_PRICE(0,-200D)&lt;/Q&gt;&lt;R&gt;201&lt;/R&gt;&lt;C&gt;1&lt;/C&gt;&lt;D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xsi:type="xsd:double"&gt;40.96&lt;/D&gt;&lt;D xsi:type="xsd:double"&gt;40.86&lt;/D&gt;&lt;D xsi:type="xsd:double"&gt;40.75&lt;/D&gt;&lt;D xsi:type="xsd:double"&gt;40.53&lt;/D&gt;&lt;D xsi:type="xsd:double"&gt;40.62&lt;/D&gt;&lt;D xsi:type="xsd:double"&gt;40.31&lt;/D&gt;&lt;D xsi:type="xsd:double"&gt;40.35&lt;/D&gt;&lt;D xsi:type="xsd:double"&gt;39.72&lt;/D&gt;&lt;D xsi:type="xsd:double"&gt;39.05&lt;/D&gt;&lt;D xsi:type="xsd:double"&gt;39.33&lt;/D&gt;&lt;D xsi:type="xsd:double"&gt;39.85&lt;/D&gt;&lt;D xsi:type="xsd:double"&gt;39.2&lt;/D&gt;&lt;D xsi:type="xsd:double"&gt;39.27&lt;/D&gt;&lt;D xsi:type="xsd:double"&gt;39.55&lt;/D&gt;&lt;D xsi:type="xsd:double"&gt;40.15&lt;/D&gt;&lt;D xsi:type="xsd:double"&gt;39.89&lt;/D&gt;&lt;D xsi:type="xsd:double"&gt;39.91&lt;/D&gt;&lt;D xsi:type="xsd:double"&gt;40.16&lt;/D&gt;&lt;D xsi:type="xsd:double"&gt;40.02&lt;/D&gt;&lt;D xsi:type="xsd:double"&gt;40.3&lt;/D&gt;&lt;D xsi:type="xsd:double"&gt;39.61&lt;/D&gt;&lt;D xsi:type="xsd:double"&gt;40.06&lt;/D&gt;&lt;D xsi:type="xsd:double"&gt;40.22&lt;/D&gt;&lt;D xsi:type="xsd:double"&gt;40.21&lt;/D&gt;&lt;D xsi:type="xsd:double"&gt;40.46&lt;/D&gt;&lt;D xsi:type="xsd:double"&gt;40.45&lt;/D&gt;&lt;D xsi:type="xsd:double"&gt;40.02&lt;/D&gt;&lt;D xsi:type="xsd:double"&gt;39.68&lt;/D&gt;&lt;D xsi:type="xsd:double"&gt;39.69&lt;/D&gt;&lt;D xsi:type="xsd:double"&gt;40.11&lt;/D&gt;&lt;D xsi:type="xsd:double"&gt;40.24&lt;/D&gt;&lt;D xsi:type="xsd:double"&gt;40&lt;/D&gt;&lt;D xsi:type="xsd:double"&gt;39.49&lt;/D&gt;&lt;D xsi:type="xsd:double"&gt;39.22&lt;/D&gt;&lt;D xsi:type="xsd:double"&gt;39.9&lt;/D&gt;&lt;D xsi:type="xsd:double"&gt;39.95&lt;/D&gt;&lt;D xsi:type="xsd:double"&gt;40.33&lt;/D&gt;&lt;D xsi:type="xsd:double"&gt;40.38&lt;/D&gt;&lt;D xsi:type="xsd:double"&gt;40.8&lt;/D&gt;&lt;D xsi:type="xsd:double"&gt;40.88&lt;/D&gt;&lt;D xsi:type="xsd:double"&gt;40.66&lt;/D&gt;&lt;D xsi:type="xsd:double"&gt;40.88&lt;/D&gt;&lt;D xsi:type="xsd:double"&gt;40.39&lt;/D&gt;&lt;D xsi:type="xsd:double"&gt;40.7&lt;/D&gt;&lt;/FQL&gt;&lt;FQL&gt;&lt;Q&gt;EMXC^P_PRICE_RETURNS_PR('52W',2,-10AY,0,AM)&lt;/Q&gt;&lt;R&gt;121&lt;/R&gt;&lt;C&gt;1&lt;/C&gt;&lt;D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xsi:type="xsd:double"&gt;0.917089&lt;/D&gt;&lt;D xsi:type="xsd:double"&gt;-1.6530812&lt;/D&gt;&lt;D xsi:type="xsd:double"&gt;-0.6166816&lt;/D&gt;&lt;D xsi:type="xsd:double"&gt;-11.915898&lt;/D&gt;&lt;D xsi:type="xsd:double"&gt;-11.685932&lt;/D&gt;&lt;D xsi:type="xsd:double"&gt;-13.2129135&lt;/D&gt;&lt;D xsi:type="xsd:double"&gt;-13.490206&lt;/D&gt;&lt;D xsi:type="xsd:double"&gt;-9.791576&lt;/D&gt;&lt;D xsi:type="xsd:double"&gt;-8.631569&lt;/D&gt;&lt;D xsi:type="xsd:double"&gt;-4.638833&lt;/D&gt;&lt;D xsi:type="xsd:double"&gt;-7.2976947&lt;/D&gt;&lt;D xsi:type="xsd:double"&gt;5.2294135&lt;/D&gt;&lt;D xsi:type="xsd:double"&gt;0.24939775&lt;/D&gt;&lt;D xsi:type="xsd:double"&gt;-6.7436514&lt;/D&gt;&lt;D xsi:type="xsd:double"&gt;-1.6700208&lt;/D&gt;&lt;D xsi:type="xsd:double"&gt;10.311758&lt;/D&gt;&lt;D xsi:type="xsd:double"&gt;9.58482&lt;/D&gt;&lt;D xsi:type="xsd:double"&gt;18.368351&lt;/D&gt;&lt;D xsi:type="xsd:double"&gt;9.843981&lt;/D&gt;&lt;D xsi:type="xsd:double"&gt;-2.565229&lt;/D&gt;&lt;D xsi:type="xsd:double"&gt;-21.992462&lt;/D&gt;&lt;D xsi:type="xsd:double"&gt;-22.013754&lt;/D&gt;&lt;D xsi:type="xsd:double"&gt;-11.442841&lt;/D&gt;&lt;D xsi:type="xsd:double"&gt;-11.168885&lt;/D&gt;&lt;D xsi:type="xsd:double"&gt;-4.820955&lt;/D&gt;&lt;D xsi:type="xsd:double"&gt;8.2865&lt;/D&gt;&lt;D xsi:type="xsd:double"&gt;-1.1507928&lt;/D&gt;&lt;D xsi:type="xsd:double"&gt;-0.97013116&lt;/D&gt;&lt;D xsi:type="xsd:double"&gt;9.765363&lt;/D&gt;&lt;D xsi:type="xsd:double"&gt;11.446869&lt;/D&gt;&lt;D xsi:type="xsd:double"&gt;17.696274&lt;/D&gt;&lt;D xsi:type="xsd:double"&gt;26.335217&lt;/D&gt;&lt;D xsi:type="xsd:double"&gt;63.643837&lt;/D&gt;&lt;D xsi:type="xsd:double"&gt;66.60944&lt;/D&gt;&lt;D xsi:type="xsd:double"&gt;56.22374&lt;/D&gt;&lt;D xsi:type="xsd:double"&gt;47.34157&lt;/D&gt;&lt;D xsi:type="xsd:double"&gt;35.50842&lt;/D&gt;&lt;D xsi:type="xsd:double"&gt;30.83781&lt;/D&gt;&lt;D xsi:type="xsd:double"&gt;38.44688&lt;/D&gt;&lt;D xsi:type="xsd:double"&gt;32.22195&lt;/D&gt;&lt;D xsi:type="xsd:double"&gt;11.867523&lt;/D&gt;&lt;D xsi:type="xsd:double"&gt;10.965288&lt;/D&gt;&lt;D xsi:type="xsd:double"&gt;0.8818984&lt;/D&gt;&lt;D xsi:type="xsd:double"&gt;2.6791215&lt;/D&gt;&lt;D xsi:type="xsd:double"&gt;1.8742442&lt;/D&gt;&lt;D xsi:type="xsd:double"&gt;-10.230577&lt;/D&gt;&lt;D xsi:type="xsd:double"&gt;-12.131798&lt;/D&gt;&lt;D xsi:type="xsd:double"&gt;-20.448696&lt;/D&gt;&lt;D xsi:type="xsd:double"&gt;-19.549501&lt;/D&gt;&lt;D xsi:type="xsd:double"&gt;-16.009634&lt;/D&gt;&lt;D xsi:type="xsd:double"&gt;-25.392788&lt;/D&gt;&lt;D xsi:type="xsd:double"&gt;-23.851555&lt;/D&gt;&lt;D xsi:type="xsd:double"&gt;-16.22787&lt;/D&gt;&lt;D xsi:type="xsd:double"&gt;-18.65226&lt;/D&gt;&lt;D xsi:type="xsd:double"&gt;-9.812635&lt;/D&gt;&lt;D xsi:type="xsd:double"&gt;-14.793462&lt;/D&gt;&lt;D xsi:type="xsd:double"&gt;-14.342272&lt;/D&gt;&lt;D xsi:type="xsd:double"&gt;-6.9648504&lt;/D&gt;&lt;D xsi:type="xsd:double"&gt;-0.93367696&lt;/D&gt;&lt;D xsi:type="xsd:double"&gt;9.03573&lt;/D&gt;&lt;D xsi:type="xsd:double"&gt;15.522623&lt;/D&gt;&lt;D xsi:type="xsd:double"&gt;3.4319162&lt;/D&gt;&lt;D xsi:type="xsd:double"&gt;13.194394&lt;/D&gt;&lt;D xsi:type="xsd:double"&gt;6.7308187&lt;/D&gt;&lt;D xsi:type="xsd:double"&gt;8.382713&lt;/D&gt;&lt;D xsi:type="xsd:double"&gt;17.454874&lt;/D&gt;&lt;D xsi:type="xsd:double"&gt;6.667936&lt;/D&gt;&lt;/FQL&gt;&lt;FQL&gt;&lt;Q&gt;UUP^P_PRICE_RETURNS_PR('52W',2,-10AY,0,AM)&lt;/Q&gt;&lt;R&gt;121&lt;/R&gt;&lt;C&gt;1&lt;/C&gt;&lt;D xsi:type="xsd:double"&gt;-0.96197724&lt;/D&gt;&lt;D xsi:type="xsd:double"&gt;-3.491497&lt;/D&gt;&lt;D xsi:type="xsd:double"&gt;-5.0952554&lt;/D&gt;&lt;D xsi:type="xsd:double"&gt;-5.197692&lt;/D&gt;&lt;D xsi:type="xsd:double"&gt;-5.5408955&lt;/D&gt;&lt;D xsi:type="xsd:double"&gt;-4.928952&lt;/D&gt;&lt;D xsi:type="xsd:double"&gt;-2.2603989&lt;/D&gt;&lt;D xsi:type="xsd:double"&gt;0.13642311&lt;/D&gt;&lt;D xsi:type="xsd:double"&gt;4.9723744&lt;/D&gt;&lt;D xsi:type="xsd:double"&gt;6.7979455&lt;/D&gt;&lt;D xsi:type="xsd:double"&gt;7.3305726&lt;/D&gt;&lt;D xsi:type="xsd:double"&gt;10.448456&lt;/D&gt;&lt;D xsi:type="xsd:double"&gt;16.419983&lt;/D&gt;&lt;D xsi:type="xsd:double"&gt;16.836739&lt;/D&gt;&lt;D xsi:type="xsd:double"&gt;19.701206&lt;/D&gt;&lt;D xsi:type="xsd:double"&gt;19.587635&lt;/D&gt;&lt;D xsi:type="xsd:double"&gt;18.994415&lt;/D&gt;&lt;D xsi:type="xsd:double"&gt;16.767872&lt;/D&gt;&lt;D xsi:type="xsd:double"&gt;17.933273&lt;/D&gt;&lt;D xsi:type="xsd:double"&gt;12.897372&lt;/D&gt;&lt;D xsi:type="xsd:double"&gt;10.630787&lt;/D&gt;&lt;D xsi:type="xsd:double"&gt;10.711145&lt;/D&gt;&lt;D xsi:type="xsd:double"&gt;11.263382&lt;/D&gt;&lt;D xsi:type="xsd:double"&gt;6.70017&lt;/D&gt;&lt;D xsi:type="xsd:double"&gt;2.2248745&lt;/D&gt;&lt;D xsi:type="xsd:double"&gt;0.9924531&lt;/D&gt;&lt;D xsi:type="xsd:double"&gt;-2.693212&lt;/D&gt;&lt;D xsi:type="xsd:double"&gt;-3.996867&lt;/D&gt;&lt;D xsi:type="xsd:double"&gt;-3.560251&lt;/D&gt;&lt;D xsi:type="xsd:double"&gt;-0.76090693&lt;/D&gt;&lt;D xsi:type="xsd:double"&gt;-1.2180805&lt;/D&gt;&lt;D xsi:type="xsd:double"&gt;-0.7240534&lt;/D&gt;&lt;D xsi:type="xsd:double"&gt;-1.7942607&lt;/D&gt;&lt;D xsi:type="xsd:double"&gt;1.1498809&lt;/D&gt;&lt;D xsi:type="xsd:double"&gt;1.0007739&lt;/D&gt;&lt;D xsi:type="xsd:double"&gt;4.267812&lt;/D&gt;&lt;D xsi:type="xsd:double"&gt;0.97162724&lt;/D&gt;&lt;D xsi:type="xsd:double"&gt;3.3214688&lt;/D&gt;&lt;D xsi:type="xsd:double"&gt;3.2490969&lt;/D&gt;&lt;D xsi:type="xsd:double"&gt;4.3265343&lt;/D&gt;&lt;D xsi:type="xsd:double"&gt;2.1095395&lt;/D&gt;&lt;D xsi:type="xsd:double"&gt;1.6545653&lt;/D&gt;&lt;D xsi:type="xsd:double"&gt;-3.6197305&lt;/D&gt;&lt;D xsi:type="xsd:double"&gt;-2.0816326&lt;/D&gt;&lt;D xsi:type="xsd:double"&gt;-1.9488394&lt;/D&gt;&lt;D xsi:type="xsd:double"&gt;-3.4888268&lt;/D&gt;&lt;D xsi:type="xsd:double"&gt;-8.216059&lt;/D&gt;&lt;D xsi:type="xsd:double"&gt;-8.851266&lt;/D&gt;&lt;D xsi:type="xsd:double"&gt;-10.385018&lt;/D&gt;&lt;D xsi:type="xsd:double"&gt;-10.095024&lt;/D&gt;&lt;D xsi:type="xsd:double"&gt;-9.355015&lt;/D&gt;&lt;D xsi:type="xsd:double"&gt;-5.8187904&lt;/D&gt;&lt;D xsi:type="xsd:double"&gt;-1.1412859&lt;/D&gt;&lt;D xsi:type="xsd:double"&gt;-0.7002592&lt;/D&gt;&lt;D xsi:type="xsd:double"&gt;3.4819007&lt;/D&gt;&lt;D xsi:type="xsd:double"&gt;4.273689&lt;/D&gt;&lt;D xsi:type="xsd:double"&gt;3.7003517&lt;/D&gt;&lt;D xsi:type="xsd:double"&gt;4.2819858&lt;/D&gt;&lt;D xsi:type="xsd:double"&gt;7.5196266&lt;/D&gt;&lt;D xsi:type="xsd:double"&gt;7.040262&lt;/D&gt;&lt;D xsi:type="xsd:double"&gt;10.31605&lt;/D&gt;&lt;D xsi:type="xsd:double"&gt;10.253084&lt;/D&gt;&lt;D xsi:type="xsd:double"&gt;12.2240305&lt;/D&gt;&lt;D xsi:type="xsd:double"&gt;10.578239&lt;/D&gt;&lt;D xsi:type="xsd:double"&gt;7.509792&lt;/D&gt;&lt;D xsi:type="xsd:double"&gt;5.1244974&lt;/D&gt;&lt;D xsi:type="xsd:double"&gt;7.1323514&lt;/D&gt;&lt;D xsi:type="xsd:double"&gt;6.9358945&lt;/D&gt;&lt;D xsi:type="xsd:double"&gt;9.280788&lt;/D&gt;&lt;D xsi:type="xsd:double"&gt;5.0489902&lt;/D&gt;&lt;D xsi:type="xsd:double"&gt;4.9013734&lt;/D&gt;&lt;D xsi:type="xsd:double"&gt;4.1484356&lt;/D&gt;&lt;D xsi:type="xsd:double"&gt;4.9462795&lt;/D&gt;&lt;D xsi:type="xsd:double"&gt;6.7052245&lt;/D&gt;&lt;D xsi:type="xsd:double"&gt;6.2208176&lt;/D&gt;&lt;D xsi:type="xsd:double"&gt;5.4178357&lt;/D&gt;&lt;D xsi:type="xsd:double"&gt;4.1018724&lt;/D&gt;&lt;D xsi:type="xsd:double"&gt;3.416407&lt;/D&gt;&lt;D xsi:type="xsd:double"&gt;-1.6973019&lt;/D&gt;&lt;D xsi:type="xsd:double"&gt;-3.965193&lt;/D&gt;&lt;D xsi:type="xsd:double"&gt;-3.4029126&lt;/D&gt;&lt;D xsi:type="xsd:double"&gt;-4.102206&lt;/D&gt;&lt;D xsi:type="xsd:double"&gt;-6.0264826&lt;/D&gt;&lt;D xsi:type="xsd:double"&gt;-7.2734175&lt;/D&gt;&lt;D xsi:type="xsd:double"&gt;-7.919669&lt;/D&gt;&lt;D xsi:type="xsd:double"&gt;-8.439136&lt;/D&gt;&lt;D xsi:type="xsd:double"&gt;-7.3098364&lt;/D&gt;&lt;D xsi:type="xsd:double"&gt;-10.011042&lt;/D&gt;&lt;D xsi:type="xsd:double"&gt;-9.593135&lt;/D&gt;&lt;D xsi:type="xsd:double"&gt;-6.1573505&lt;/D&gt;&lt;D xsi:type="xsd:double"&gt;-2.352941&lt;/D&gt;&lt;D xsi:type="xsd:double"&gt;-0.39840937&lt;/D&gt;&lt;D xsi:type="xsd:double"&gt;-1.6875982&lt;/D&gt;&lt;D xsi:type="xsd:double"&gt;0.3183484&lt;/D&gt;&lt;D xsi:type="xsd:double"&gt;3.8694143&lt;/D&gt;&lt;D xsi:type="xsd:double"&gt;5.7542086&lt;/D&gt;&lt;D xsi:type="xsd:double"&gt;6.337452&lt;/D&gt;&lt;D xsi:type="xsd:double"&gt;6.162691&lt;/D&gt;&lt;D xsi:type="xsd:double"&gt;5.5977583&lt;/D&gt;&lt;D xsi:type="xsd:double"&gt;11.860943&lt;/D&gt;&lt;D xsi:type="xsd:double"&gt;12.386454&lt;/D&gt;&lt;D xsi:type="xsd:double"&gt;12.560785&lt;/D&gt;&lt;D xsi:type="xsd:double"&gt;15.100408&lt;/D&gt;&lt;D xsi:type="xsd:double"&gt;16.52&lt;/D&gt;&lt;D xsi:type="xsd:double"&gt;22.395218&lt;/D&gt;&lt;D xsi:type="xsd:double"&gt;17.017067&lt;/D&gt;&lt;D xsi:type="xsd:double"&gt;10.050058&lt;/D&gt;&lt;D xsi:type="xsd:double"&gt;9.700001&lt;/D&gt;&lt;D xsi:type="xsd:double"&gt;7.085824&lt;/D&gt;&lt;D xsi:type="xsd:double"&gt;10.667265&lt;/D&gt;&lt;D xsi:type="xsd:double"&gt;7.1070075&lt;/D&gt;&lt;D xsi:type="xsd:double"&gt;2.169466&lt;/D&gt;&lt;D xsi:type="xsd:double"&gt;5.9558034&lt;/D&gt;&lt;D xsi:type="xsd:double"&gt;2.839446&lt;/D&gt;&lt;D xsi:type="xsd:double"&gt;-1.6205609&lt;/D&gt;&lt;D xsi:type="xsd:double"&gt;0.84375143&lt;/D&gt;&lt;D xsi:type="xsd:double"&gt;-2.1813989&lt;/D&gt;&lt;D xsi:type="xsd:double"&gt;2.622509&lt;/D&gt;&lt;D xsi:type="xsd:double"&gt;3.102219&lt;/D&gt;&lt;D xsi:type="xsd:double"&gt;3.000605&lt;/D&gt;&lt;D xsi:type="xsd:double"&gt;7.741964&lt;/D&gt;&lt;/FQL&gt;&lt;FQL&gt;&lt;Q&gt;EWI^FG_TOTAL_RETURNC(-10AY,0,AM)&lt;/Q&gt;&lt;R&gt;121&lt;/R&gt;&lt;C&gt;1&lt;/C&gt;&lt;D xsi:type="xsd:double"&gt;1.4294982&lt;/D&gt;&lt;D xsi:type="xsd:double"&gt;5.2530527&lt;/D&gt;&lt;D xsi:type="xsd:double"&gt;4.5039535&lt;/D&gt;&lt;D xsi:type="xsd:double"&gt;3.203261&lt;/D&gt;&lt;D xsi:type="xsd:double"&gt;-4.4017973&lt;/D&gt;&lt;D xsi:type="xsd:double"&gt;4.45354&lt;/D&gt;&lt;D xsi:type="xsd:double"&gt;-2.7507246&lt;/D&gt;&lt;D xsi:type="xsd:double"&gt;-5.0677595&lt;/D&gt;&lt;D xsi:type="xsd:double"&gt;-1.9242704&lt;/D&gt;&lt;D xsi:type="xsd:double"&gt;-6.0126543&lt;/D&gt;&lt;D xsi:type="xsd:double"&gt;0.8754134&lt;/D&gt;&lt;D xsi:type="xsd:double"&gt;-5.489212&lt;/D&gt;&lt;D xsi:type="xsd:double"&gt;-0.8534908&lt;/D&gt;&lt;D xsi:type="xsd:double"&gt;6.169307&lt;/D&gt;&lt;D xsi:type="xsd:double"&gt;0.40540695&lt;/D&gt;&lt;D xsi:type="xsd:double"&gt;2.1534324&lt;/D&gt;&lt;D xsi:type="xsd:double"&gt;0.92226267&lt;/D&gt;&lt;D xsi:type="xsd:double"&gt;4.817271&lt;/D&gt;&lt;D xsi:type="xsd:double"&gt;-2.7249634&lt;/D&gt;&lt;D xsi:type="xsd:double"&gt;-3.3224761&lt;/D&gt;&lt;D xsi:type="xsd:double"&gt;-4.3800592&lt;/D&gt;&lt;D xsi:type="xsd:double"&gt;5.8491945&lt;/D&gt;&lt;D xsi:type="xsd:double"&gt;-5.3928137&lt;/D&gt;&lt;D xsi:type="xsd:double"&gt;-0.544852&lt;/D&gt;&lt;D xsi:type="xsd:double"&gt;-13.058907&lt;/D&gt;&lt;D xsi:type="xsd:double"&gt;-7.591838&lt;/D&gt;&lt;D xsi:type="xsd:double"&gt;6.890464&lt;/D&gt;&lt;D xsi:type="xsd:double"&gt;4.0495872&lt;/D&gt;&lt;D xsi:type="xsd:double"&gt;-2.2239864&lt;/D&gt;&lt;D xsi:type="xsd:double"&gt;-13.526487&lt;/D&gt;&lt;D xsi:type="xsd:double"&gt;5.5072427&lt;/D&gt;&lt;D xsi:type="xsd:double"&gt;2.4725199&lt;/D&gt;&lt;D xsi:type="xsd:double"&gt;-2.6809573&lt;/D&gt;&lt;D xsi:type="xsd:double"&gt;3.4894466&lt;/D&gt;&lt;D xsi:type="xsd:double"&gt;-5.5456934&lt;/D&gt;&lt;D xsi:type="xsd:double"&gt;14.480209&lt;/D&gt;&lt;D xsi:type="xsd:double"&gt;1.2008309&lt;/D&gt;&lt;D xsi:type="xsd:double"&gt;-5.0736485&lt;/D&gt;&lt;D xsi:type="xsd:double"&gt;10.387934&lt;/D&gt;&lt;D xsi:type="xsd:double"&gt;4.099953&lt;/D&gt;&lt;D xsi:type="xsd:double"&gt;6.301582&lt;/D&gt;&lt;D xsi:type="xsd:double"&gt;-0.4793167&lt;/D&gt;&lt;D xsi:type="xsd:double"&gt;6.7508936&lt;/D&gt;&lt;D xsi:type="xsd:double"&gt;2.6039958&lt;/D&gt;&lt;D xsi:type="xsd:double"&gt;2.2412658&lt;/D&gt;&lt;D xsi:type="xsd:double"&gt;-0.22565722&lt;/D&gt;&lt;D xsi:type="xsd:double"&gt;0.6461978&lt;/D&gt;&lt;D xsi:type="xsd:double"&gt;-0.6103575&lt;/D&gt;&lt;D xsi:type="xsd:double"&gt;11.854494&lt;/D&gt;&lt;D xsi:type="xsd:double"&gt;-5.5458784&lt;/D&gt;&lt;D xsi:type="xsd:double"&gt;-1.567781&lt;/D&gt;&lt;D xsi:type="xsd:double"&gt;5.9650183&lt;/D&gt;&lt;D xsi:type="xsd:double"&gt;-9.784847&lt;/D&gt;&lt;D xsi:type="xsd:double"&gt;-3.7468016&lt;/D&gt;&lt;D xsi:type="xsd:double"&gt;2.0586133&lt;/D&gt;&lt;D xsi:type="xsd:double"&gt;-5.025637&lt;/D&gt;&lt;D xsi:type="xsd:double"&gt;5.3275704&lt;/D&gt;&lt;D xsi:type="xsd:double"&gt;-14.798361&lt;/D&gt;&lt;D xsi:type="xsd:double"&gt;2.0056129&lt;/D&gt;&lt;D xsi:type="xsd:double"&gt;-4.8553886&lt;/D&gt;&lt;D xsi:type="xsd:double"&gt;8.70657&lt;/D&gt;&lt;D xsi:type="xsd:double"&gt;3.61</t>
        </r>
      </text>
    </comment>
    <comment ref="A4" authorId="0" shapeId="0" xr:uid="{CD758809-D2BC-48FC-8C71-E1946D5D64E7}">
      <text>
        <r>
          <rPr>
            <b/>
            <sz val="9"/>
            <color indexed="81"/>
            <rFont val="Tahoma"/>
            <family val="2"/>
          </rPr>
          <t>95636&lt;/D&gt;&lt;D xsi:type="xsd:double"&gt;2.749908&lt;/D&gt;&lt;D xsi:type="xsd:double"&gt;1.0126591&lt;/D&gt;&lt;D xsi:type="xsd:double"&gt;-3.4371674&lt;/D&gt;&lt;D xsi:type="xsd:double"&gt;4.8228145&lt;/D&gt;&lt;D xsi:type="xsd:double"&gt;1.5007257&lt;/D&gt;&lt;D xsi:type="xsd:double"&gt;-5.3371787&lt;/D&gt;&lt;D xsi:type="xsd:double"&gt;4.7619104&lt;/D&gt;&lt;D xsi:type="xsd:double"&gt;3.7454605&lt;/D&gt;&lt;D xsi:type="xsd:double"&gt;2.8741717&lt;/D&gt;&lt;D xsi:type="xsd:double"&gt;1.8284202&lt;/D&gt;&lt;D xsi:type="xsd:double"&gt;-1.0444701&lt;/D&gt;&lt;D xsi:type="xsd:double"&gt;-5.2093983&lt;/D&gt;&lt;D xsi:type="xsd:double"&gt;-22.41379&lt;/D&gt;&lt;D xsi:type="xsd:double"&gt;-6.851852&lt;/D&gt;&lt;D xsi:type="xsd:double"&gt;7.25646&lt;/D&gt;&lt;D xsi:type="xsd:double"&gt;10.69194&lt;/D&gt;&lt;D xsi:type="xsd:double"&gt;8.5025425&lt;/D&gt;&lt;D xsi:type="xsd:double"&gt;2.027297&lt;/D&gt;&lt;D xsi:type="xsd:double"&gt;-7.9098167&lt;/D&gt;&lt;D xsi:type="xsd:double"&gt;1.6597509&lt;/D&gt;&lt;D xsi:type="xsd:double"&gt;18.693876&lt;/D&gt;&lt;D xsi:type="xsd:double"&gt;2.1781564&lt;/D&gt;&lt;D xsi:type="xsd:double"&gt;-0.9501159&lt;/D&gt;&lt;D xsi:type="xsd:double"&gt;2.500856&lt;/D&gt;&lt;D xsi:type="xsd:double"&gt;5.080211&lt;/D&gt;&lt;D xsi:type="xsd:double"&gt;2.7989745&lt;/D&gt;&lt;D xsi:type="xsd:double"&gt;2.2586584&lt;/D&gt;&lt;D xsi:type="xsd:double"&gt;1.2498975&lt;/D&gt;&lt;D xsi:type="xsd:double"&gt;-2.147621&lt;/D&gt;&lt;D xsi:type="xsd:double"&gt;0.6491542&lt;/D&gt;&lt;D xsi:type="xsd:double"&gt;-0.15357137&lt;/D&gt;&lt;D xsi:type="xsd:double"&gt;3.3835769&lt;/D&gt;&lt;D xsi:type="xsd:double"&gt;-5.8911085&lt;/D&gt;&lt;D xsi:type="xsd:double"&gt;4.1494966&lt;/D&gt;&lt;D xsi:type="xsd:double"&gt;-1.8780768&lt;/D&gt;&lt;D xsi:type="xsd:double"&gt;-1.5688717&lt;/D&gt;&lt;D xsi:type="xsd:double"&gt;-7.4593544&lt;/D&gt;&lt;D xsi:type="xsd:double"&gt;-6.3382683&lt;/D&gt;&lt;D xsi:type="xsd:double"&gt;6.1419606&lt;/D&gt;&lt;D xsi:type="xsd:double"&gt;-10.144586&lt;/D&gt;&lt;D xsi:type="xsd:double"&gt;-9.062004&lt;/D&gt;&lt;D xsi:type="xsd:double"&gt;1.8356681&lt;/D&gt;&lt;D xsi:type="xsd:double"&gt;-6.60944&lt;/D&gt;&lt;D xsi:type="xsd:double"&gt;10.340071&lt;/D&gt;&lt;D xsi:type="xsd:double"&gt;15.326953&lt;/D&gt;&lt;D xsi:type="xsd:double"&gt;-1.0623097&lt;/D&gt;&lt;D xsi:type="xsd:double"&gt;10.892927&lt;/D&gt;&lt;D xsi:type="xsd:double"&gt;-1.0023415&lt;/D&gt;&lt;D xsi:type="xsd:double"&gt;-1.8562257&lt;/D&gt;&lt;D xsi:type="xsd:double"&gt;7.668495&lt;/D&gt;&lt;D xsi:type="xsd:double"&gt;-2.6828468&lt;/D&gt;&lt;D xsi:type="xsd:double"&gt;3.1598449&lt;/D&gt;&lt;D xsi:type="xsd:double"&gt;8.213818&lt;/D&gt;&lt;D xsi:type="xsd:double"&gt;-5.0903616&lt;/D&gt;&lt;D xsi:type="xsd:double"&gt;-3.9987326&lt;/D&gt;&lt;D xsi:type="xsd:double"&gt;-3.041321&lt;/D&gt;&lt;D xsi:type="xsd:double"&gt;11.830891&lt;/D&gt;&lt;D xsi:type="xsd:double"&gt;4.9663067&lt;/D&gt;&lt;D xsi:type="xsd:double"&gt;-1.5882373&lt;/D&gt;&lt;/FQL&gt;&lt;FQL&gt;&lt;Q&gt;OIL^FG_TOTAL_RETURNC(-10AY,0,AM)&lt;/Q&gt;&lt;R&gt;121&lt;/R&gt;&lt;C&gt;1&lt;/C&gt;&lt;D xsi:type="xsd:double"&gt;-2.9150367&lt;/D&gt;&lt;D xsi:type="xsd:double"&gt;5.5168986&lt;/D&gt;&lt;D xsi:type="xsd:double"&gt;-1.0179281&lt;/D&gt;&lt;D xsi:type="xsd:double"&gt;1.7997026&lt;/D&gt;&lt;D xsi:type="xsd:double"&gt;3.8457155&lt;/D&gt;&lt;D xsi:type="xsd:double"&gt;2.6420474&lt;/D&gt;&lt;D xsi:type="xsd:double"&gt;-3.3602536&lt;/D&gt;&lt;D xsi:type="xsd:double"&gt;-6.0292006&lt;/D&gt;&lt;D xsi:type="xsd:double"&gt;-1.3045549&lt;/D&gt;&lt;D xsi:type="xsd:double"&gt;-11.776018&lt;/D&gt;&lt;D xsi:type="xsd:double"&gt;-8.689726&lt;/D&gt;&lt;D xsi:type="xsd:double"&gt;-23.86635&lt;/D&gt;&lt;D xsi:type="xsd:double"&gt;-15.04702&lt;/D&gt;&lt;D xsi:type="xsd:double"&gt;10.590399&lt;/D&gt;&lt;D xsi:type="xsd:double"&gt;-1.2137175&lt;/D&gt;&lt;D xsi:type="xsd:double"&gt;8.043062&lt;/D&gt;&lt;D xsi:type="xsd:double"&gt;-3.3997715&lt;/D&gt;&lt;D xsi:type="xsd:double"&gt;2.245152&lt;/D&gt;&lt;D xsi:type="xsd:double"&gt;-18.575668&lt;/D&gt;&lt;D xsi:type="xsd:double"&gt;-18.805153&lt;/D&gt;&lt;D xsi:type="xsd:double"&gt;12.807381&lt;/D&gt;&lt;D xsi:type="xsd:double"&gt;-3.5013258&lt;/D&gt;&lt;D xsi:type="xsd:double"&gt;-2.6937842&lt;/D&gt;&lt;D xsi:type="xsd:double"&gt;-14.4977455&lt;/D&gt;&lt;D xsi:type="xsd:double"&gt;-16.545635&lt;/D&gt;&lt;D xsi:type="xsd:double"&gt;2.9303432&lt;/D&gt;&lt;D xsi:type="xsd:double"&gt;12.969232&lt;/D&gt;&lt;D xsi:type="xsd:double"&gt;7.755685&lt;/D&gt;&lt;D xsi:type="xsd:double"&gt;9.640444&lt;/D&gt;&lt;D xsi:type="xsd:double"&gt;-3.7710428&lt;/D&gt;&lt;D xsi:type="xsd:double"&gt;-10.525089&lt;/D&gt;&lt;D xsi:type="xsd:double"&gt;7.8318477&lt;/D&gt;&lt;D xsi:type="xsd:double"&gt;-5.460298&lt;/D&gt;&lt;D xsi:type="xsd:double"&gt;6.570184&lt;/D&gt;&lt;D xsi:type="xsd:double"&gt;-5.9765816&lt;/D&gt;&lt;D xsi:type="xsd:double"&gt;11.861074&lt;/D&gt;&lt;D xsi:type="xsd:double"&gt;-1.230222&lt;/D&gt;&lt;D xsi:type="xsd:double"&gt;-1.3641834&lt;/D&gt;&lt;D xsi:type="xsd:double"&gt;-10.823811&lt;/D&gt;&lt;D xsi:type="xsd:double"&gt;1.7194867&lt;/D&gt;&lt;D xsi:type="xsd:double"&gt;0.09944439&lt;/D&gt;&lt;D xsi:type="xsd:double"&gt;-13.04636&lt;/D&gt;&lt;D xsi:type="xsd:double"&gt;10.853004&lt;/D&gt;&lt;D xsi:type="xsd:double"&gt;-1.4084518&lt;/D&gt;&lt;D xsi:type="xsd:double"&gt;7.386756&lt;/D&gt;&lt;D xsi:type="xsd:double"&gt;1.5249848&lt;/D&gt;&lt;D xsi:type="xsd:double"&gt;10.131025&lt;/D&gt;&lt;D xsi:type="xsd:double"&gt;1.5670419&lt;/D&gt;&lt;D xsi:type="xsd:double"&gt;10.399998&lt;/D&gt;&lt;D xsi:type="xsd:double"&gt;-2.6397526&lt;/D&gt;&lt;D xsi:type="xsd:double"&gt;3.51516&lt;/D&gt;&lt;D xsi:type="xsd:double"&gt;4.5646906&lt;/D&gt;&lt;D xsi:type="xsd:double"&gt;1.4243603&lt;/D&gt;&lt;D xsi:type="xsd:double"&gt;-0.1452744&lt;/D&gt;&lt;D xsi:type="xsd:double"&gt;1.648879&lt;/D&gt;&lt;D xsi:type="xsd:double"&gt;0.3053546&lt;/D&gt;&lt;D xsi:type="xsd:double"&gt;6.04738&lt;/D&gt;&lt;D xsi:type="xsd:double"&gt;-4.77857&lt;/D&gt;&lt;D xsi:type="xsd:double"&gt;-23.692883&lt;/D&gt;&lt;D xsi:type="xsd:double"&gt;-8.761734&lt;/D&gt;&lt;D xsi:type="xsd:double"&gt;13.1889105&lt;/D&gt;&lt;D xsi:type="xsd:double"&gt;4.1398644&lt;/D&gt;&lt;D xsi:type="xsd:double"&gt;4.9034&lt;/D&gt;&lt;D xsi:type="xsd:double"&gt;4.064703&lt;/D&gt;&lt;D xsi:type="xsd:double"&gt;-6.0452757&lt;/D&gt;&lt;D xsi:type="xsd:double"&gt;0.4079342&lt;/D&gt;&lt;D xsi:type="xsd:double"&gt;-4.0288925&lt;/D&gt;&lt;D xsi:type="xsd:double"&gt;-5.400687&lt;/D&gt;&lt;D xsi:type="xsd:double"&gt;5.061996&lt;/D&gt;&lt;D xsi:type="xsd:double"&gt;2.6322603&lt;/D&gt;&lt;D xsi:type="xsd:double"&gt;3.0458093&lt;/D&gt;&lt;D xsi:type="xsd:double"&gt;5.9519053&lt;/D&gt;&lt;D xsi:type="xsd:double"&gt;-10.467529&lt;/D&gt;&lt;D xsi:type="xsd:double"&gt;-9.69482&lt;/D&gt;&lt;D xsi:type="xsd:double"&gt;-39.339848&lt;/D&gt;&lt;D xsi:type="xsd:double"&gt;-13.774771&lt;/D&gt;&lt;D xsi:type="xsd:double"&gt;32.304573&lt;/D&gt;&lt;D xsi:type="xsd:double"&gt;9.489369&lt;/D&gt;&lt;D xsi:type="xsd:double"&gt;7.50674&lt;/D&gt;&lt;D xsi:type="xsd:double"&gt;5.0340533&lt;/D&gt;&lt;D xsi:type="xsd:double"&gt;-9.164924&lt;/D&gt;&lt;D xsi:type="xsd:double"&gt;-4.090458&lt;/D&gt;&lt;D xsi:type="xsd:double"&gt;16.551733&lt;/D&gt;&lt;D xsi:type="xsd:double"&gt;4.525614&lt;/D&gt;&lt;D xsi:type="xsd:double"&gt;7.673514&lt;/D&gt;&lt;D xsi:type="xsd:double"&gt;16.573883&lt;/D&gt;&lt;D xsi:type="xsd:double"&gt;1.3433218&lt;/D&gt;&lt;D xsi:type="xsd:double"&gt;2.233386&lt;/D&gt;&lt;D xsi:type="xsd:double"&gt;6.8268657&lt;/D&gt;&lt;D xsi:type="xsd:double"&gt;10.889578&lt;/D&gt;&lt;D xsi:type="xsd:double"&gt;-1.4753342&lt;/D&gt;&lt;D xsi:type="xsd:double"&gt;-3.8371623&lt;/D&gt;&lt;D xsi:type="xsd:double"&gt;9.391726&lt;/D&gt;&lt;D xsi:type="xsd:double"&gt;12.0996475&lt;/D&gt;&lt;D xsi:type="xsd:double"&gt;-15.19841&lt;/D&gt;&lt;D xsi:type="xsd:double"&gt;7.393539&lt;/D&gt;&lt;D xsi:type="xsd:double"&gt;15.729845&lt;/D&gt;&lt;D xsi:type="xsd:double"&gt;6.3253045&lt;/D&gt;&lt;D xsi:type="xsd:double"&gt;24.858356&lt;/D&gt;&lt;D xsi:type="xsd:double"&gt;-6.976742&lt;/D&gt;&lt;D xsi:type="xsd:double"&gt;10.731709&lt;/D&gt;&lt;D xsi:type="xsd:double"&gt;-4.6806216&lt;/D&gt;&lt;D xsi:type="xsd:double"&gt;-6.8315926&lt;/D&gt;&lt;D xsi:type="xsd:double"&gt;1.555109&lt;/D&gt;&lt;D xsi:type="xsd:double"&gt;-16.41354&lt;/D&gt;&lt;D xsi:type="xsd:double"&gt;15.924036&lt;/D&gt;&lt;D xsi:type="xsd:double"&gt;-8.388149&lt;/D&gt;&lt;D xsi:type="xsd:double"&gt;3.4817219&lt;/D&gt;&lt;D xsi:type="xsd:double"&gt;2.3928165&lt;/D&gt;&lt;D xsi:type="xsd:double"&gt;-5.29049&lt;/D&gt;&lt;D xsi:type="xsd:double"&gt;-8.798838&lt;/D&gt;&lt;D xsi:type="xsd:double"&gt;6.9422245&lt;/D&gt;&lt;D xsi:type="xsd:double"&gt;-0.98383427&lt;/D&gt;&lt;D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xsi:type="xsd:string"&gt;@NA&lt;/D&gt;&lt;/FQL&gt;&lt;FQL&gt;&lt;Q&gt;VWO^FG_TOTAL_RETURNC(-10AY,0,AM)&lt;/Q&gt;&lt;R&gt;121&lt;/R&gt;&lt;C&gt;1&lt;/C&gt;&lt;D xsi:type="xsd:double"&gt;-5.548644&lt;/D&gt;&lt;D xsi:type="xsd:double"&gt;1.2644887&lt;/D&gt;&lt;D xsi:type="xsd:double"&gt;3.030777&lt;/D&gt;&lt;D xsi:type="xsd:double"&gt;2.4303794&lt;/D&gt;&lt;D xsi:type="xsd:double"&gt;6.030655&lt;/D&gt;&lt;D xsi:type="xsd:double"&gt;1.4208794&lt;/D&gt;&lt;D xsi:type="xsd:double"&gt;4.200518&lt;/D&gt;&lt;D xsi:type="xsd:double"&gt;1.6035557&lt;/D&gt;&lt;D xsi:type="xsd:double"&gt;-5.812204&lt;/D&gt;&lt;D xsi:type="xsd:double"&gt;-2.4923503&lt;/D&gt;&lt;D xsi:type="xsd:double"&gt;3.544724&lt;/D&gt;&lt;D xsi:type="xsd:double"&gt;-6.3480854&lt;/D&gt;&lt;D xsi:type="xsd:double"&gt;4.170823&lt;/D&gt;&lt;D xsi:type="xsd:double"&gt;0.14384985&lt;/D&gt;&lt;D xsi:type="xsd:double"&gt;-4.092419&lt;/D&gt;&lt;D xsi:type="xsd:double"&gt;11.702919&lt;/D&gt;&lt;D xsi:type="xsd:double"&gt;-3.0445397&lt;/D&gt;&lt;D xsi:type="xsd:double"&gt;-3.8651586&lt;/D&gt;&lt;D xsi:type="xsd:double"&gt;-6.933337&lt;/D&gt;&lt;D xsi:type="xsd:double"&gt;-12.060433&lt;/D&gt;&lt;D xsi:type="xsd:double"&gt;-1.8370807&lt;/D&gt;&lt;D xsi:type="xsd:double"&gt;10.12609&lt;/D&gt;&lt;D xsi:type="xsd:double"&gt;-3.472221&lt;/D&gt;&lt;D xsi:type="xsd:double"&gt;-3.5622835&lt;/D&gt;&lt;D xsi:type="xsd:double"&gt;-11.544222&lt;/D&gt;&lt;D xsi:type="xsd:double"&gt;3.525424&lt;/D&gt;&lt;D xsi:type="xsd:double"&gt;10.899651&lt;/D&gt;&lt;D xsi:type="xsd:double"&gt;3.9633274&lt;/D&gt;&lt;D xsi:type="xsd:double"&gt;-4.0682793&lt;/D&gt;&lt;D xsi:type="xsd:double"&gt;-0.049823523&lt;/D&gt;&lt;D xsi:type="xsd:double"&gt;9.946239&lt;/D&gt;&lt;D xsi:type="xsd:double"&gt;1.7929912&lt;/D&gt;&lt;D xsi:type="xsd:double"&gt;0.5898595&lt;/D&gt;&lt;D xsi:type="xsd:double"&gt;1.9339323&lt;/D&gt;&lt;D xsi:type="xsd:double"&gt;-5.2437487&lt;/D&gt;&lt;D xsi:type="xsd:double"&gt;-2.1170795&lt;/D&gt;&lt;D xsi:type="xsd:double"&gt;8.392811&lt;/D&gt;&lt;D xsi:type="xsd:double"&gt;3.21306&lt;/D&gt;&lt;D xsi:type="xsd:double"&gt;2.7844667&lt;/D&gt;&lt;D xsi:type="xsd:double"&gt;0.22382736&lt;/D&gt;&lt;D xsi:type="xsd:double"&gt;2.0099282&lt;/D&gt;&lt;D xsi:type="xsd:double"&gt;0.7481575&lt;/D&gt;&lt;D xsi:type="xsd:double"&gt;4.4703603&lt;/D&gt;&lt;D xsi:type="xsd:double"&gt;2.7907014&lt;/D&gt;&lt;D xsi:type="xsd:double"&gt;-0.7702768&lt;/D&gt;&lt;D xsi:type="xsd:double"&gt;1.9607902&lt;/D&gt;&lt;D xsi:type="xsd:double"&gt;3.1674147&lt;/D&gt;&lt;D xsi:type="xsd:double"&gt;0.20631552&lt;/D&gt;&lt;D xsi:type="xsd:double"&gt;12.093222&lt;/D&gt;&lt;D xsi:type="xsd:double"&gt;-3.6681056&lt;/D&gt;&lt;D xsi:type="xsd:double"&gt;-3.7902653&lt;/D&gt;&lt;D xsi:type="xsd:double"&gt;-2.9898226&lt;/D&gt;&lt;D xsi:type="xsd:double"&gt;-1.267761&lt;/D&gt;&lt;D xsi:type="xsd:double"&gt;-6.28776&lt;/D&gt;&lt;D xsi:type="xsd:double"&gt;3.8516402&lt;/D&gt;&lt;D xsi:type="xsd:double"&gt;-3.434068&lt;/D&gt;&lt;D xsi:type="xsd:double"&gt;-1.3404429&lt;/D&gt;&lt;D xsi:type="xsd:double"&gt;-9.0666&lt;/D&gt;&lt;D xsi:type="xsd:double"&gt;3.8759708&lt;/D&gt;&lt;D xsi:type="xsd:double"&gt;-1.5859902&lt;/D&gt;&lt;D xsi:type="xsd:double"&gt;7.9515576&lt;/D&gt;&lt;D xsi:type="xsd:double"&gt;3.097558&lt;/D&gt;&lt;D xsi:type="xsd:double"&gt;-0.20848513&lt;/D&gt;&lt;D xsi:type="xsd:double"&gt;3.2304049&lt;/D&gt;&lt;D xsi:type="xsd:double"&gt;-8.306492&lt;/D&gt;&lt;D xsi:type="xsd:double"&gt;6.927657&lt;/D&gt;&lt;D xsi:type="xsd:double"&gt;0.70887804&lt;/D&gt;&lt;D xsi:type="xsd:double"&gt;-7.2735786&lt;/D&gt;&lt;D xsi:type="xsd:double"&gt;4.172194&lt;/D&gt;&lt;D xsi:type="xsd:double"&gt;3.14883&lt;/D&gt;&lt;D xsi:type="xsd:double"&gt;1.2163043&lt;/D&gt;&lt;D xsi:type="xsd:double"&gt;6.2989473&lt;/D&gt;&lt;D xsi:type="xsd:double"&gt;-0.5836129&lt;/D&gt;&lt;D xsi:type="xsd:double"&gt;-6.0058713&lt;/D&gt;&lt;D xsi:type="xsd:double"&gt;-16.271055&lt;/D&gt;&lt;D xsi:type="xsd:double"&gt;0.8623123&lt;/D&gt;&lt;D xsi:type="xsd:double"&gt;5.215156&lt;/D&gt;&lt;D xsi:type="xsd:double"&gt;7.5779915&lt;/D&gt;&lt;D xsi:type="xsd:double"&gt;8.419728&lt;/D&gt;&lt;D xsi:type="xsd:double"&gt;4.617536&lt;/D&gt;&lt;D xsi:type="xsd:double"&gt;-5.118126&lt;/D&gt;&lt;D xsi:type="xsd:double"&gt;6.215894&lt;/D&gt;&lt;D xsi:type="xsd:double"&gt;7.9070807&lt;/D&gt;&lt;D xsi:type="xsd:double"&gt;1.8837452&lt;/D&gt;&lt;D xsi:type="xsd:double"&gt;10.241211&lt;/D&gt;&lt;D xsi:type="xsd:double"&gt;-2.6701272&lt;/D&gt;&lt;D xsi:type="xsd:double"&gt;-0.9955168&lt;/D&gt;&lt;D xsi:type="xsd:double"&gt;2.8516412&lt;/D&gt;&lt;D xsi:type="xsd:double"&gt;0.22480488&lt;/D&gt;&lt;D xsi:type="xsd:double"&gt;2.5142193&lt;/D&gt;&lt;D xsi:type="xsd:double"&gt;-6.5799117&lt;/D&gt;&lt;D xsi:type="xsd:double"&gt;-0.31390786&lt;/D&gt;&lt;D xsi:type="xsd:double"&gt;0.11872053&lt;/D&gt;&lt;D xsi:type="xsd:double"&gt;2.4409652&lt;/D&gt;&lt;D xsi:type="xsd:double"&gt;-4.9980583&lt;/D&gt;&lt;D xsi:type="xsd:double"&gt;1.288116&lt;/D&gt;&lt;D xsi:type="xsd:double"&gt;-1.423347&lt;/D&gt;&lt;D xsi:type="xsd:double"&gt;-0.226897&lt;/D&gt;&lt;D xsi:type="xsd:double"&gt;-4.4349613&lt;/D&gt;&lt;D xsi:type="xsd:double"&gt;-8.309835&lt;/D&gt;&lt;D xsi:type="xsd:double"&gt;0.7572293&lt;/D&gt;&lt;D xsi:type="xsd:double"&gt;-0.19128919&lt;/D&gt;&lt;D xsi:type="xsd:double"&gt;-3.8160622&lt;/D&gt;&lt;D xsi:type="xsd:double"&gt;2.932477&lt;/D&gt;&lt;D xsi:type="xsd:double"&gt;-10.226435&lt;/D&gt;&lt;D xsi:type="xsd:double"&gt;-2.4594605&lt;/D&gt;&lt;D xsi:type="xsd:double"&gt;7.4535847&lt;/D&gt;&lt;D xsi:type="xsd:double"&gt;1.5509129&lt;/D&gt;&lt;D xsi:type="xsd:double"&gt;11.432255&lt;/D&gt;&lt;D xsi:type="xsd:double"&gt;-8.615101&lt;/D&gt;&lt;D xsi:type="xsd:double"&gt;0.70647&lt;/D&gt;&lt;D xsi:type="xsd:double"&gt;-0.5540073&lt;/D&gt;&lt;D xsi:type="xsd:double"&gt;0.9116173&lt;/D&gt;&lt;D xsi:type="xsd:double"&gt;1.6383529&lt;/D&gt;&lt;D xsi:type="xsd:double"&gt;5.436945&lt;/D&gt;&lt;D xsi:type="xsd:double"&gt;-5.274314&lt;/D&gt;&lt;D xsi:type="xsd:double"&gt;-2.1664262&lt;/D&gt;&lt;D xsi:type="xsd:double"&gt;-3.3299148&lt;/D&gt;&lt;D xsi:type="xsd:double"&gt;7.5781584&lt;/D&gt;&lt;D xsi:type="xsd:double"&gt;1.9502163&lt;/D&gt;&lt;D xsi:type="xsd:double"&gt;-0.88844895&lt;/D&gt;&lt;/FQL&gt;&lt;FQL&gt;&lt;Q&gt;CPALM-FDS^FG_PRICE_CHANGE(0,-3AM)&lt;/Q&gt;&lt;R&gt;1&lt;/R&gt;&lt;C&gt;1&lt;/C&gt;&lt;D xsi:type="xsd:double"&gt;9.47970580223372&lt;/D&gt;&lt;/FQL&gt;&lt;FQL&gt;&lt;Q&gt;W-FDS^FG_PRICE_CHANGE(0,-1AY)&lt;/Q&gt;&lt;R&gt;1&lt;/R&gt;&lt;C&gt;1&lt;/C&gt;&lt;D xsi:type="xsd:double"&gt;-20.2325581395349&lt;/D&gt;&lt;/FQL&gt;&lt;FQL&gt;&lt;Q&gt;PASP-FDS^MAX(FG_PRICE(0,-5AY))&lt;/Q&gt;&lt;R&gt;1&lt;/R&gt;&lt;C&gt;1&lt;/C&gt;&lt;D xsi:type="xsd:double"&gt;3158.12&lt;/D&gt;&lt;/FQL&gt;&lt;FQL&gt;&lt;Q&gt;URTH^P_PRICE(0,-200D)&lt;/Q&gt;&lt;R&gt;201&lt;/R&gt;&lt;C&gt;1&lt;/C&gt;&lt;D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xsi:type="xsd:double"&gt;123.18&lt;/D&gt;&lt;D xsi:type="xsd:double"&gt;122.95&lt;/D&gt;&lt;D xsi:type="xsd:double"&gt;122.03&lt;/D&gt;&lt;D xsi:type="xsd:double"&gt;121.09&lt;/D&gt;&lt;D xsi:type="xsd:double"&gt;120.95&lt;/D&gt;&lt;D xsi:type="xsd:double"&gt;120.16&lt;/D&gt;&lt;D xsi:type="xsd:double"&gt;121.98&lt;/D&gt;&lt;D xsi:type="xsd:double"&gt;121.46&lt;/D&gt;&lt;D xsi:type="xsd:double"&gt;121.83&lt;/D&gt;&lt;D xsi:type="xsd:double"&gt;120.03&lt;/D&gt;&lt;D xsi:type="xsd:double"&gt;118.6&lt;/D&gt;&lt;D xsi:type="xsd:double"&gt;119.52&lt;/D&gt;&lt;D xsi:type="xsd:double"&gt;119.91&lt;/D&gt;&lt;D xsi:type="xsd:double"&gt;118.41&lt;/D&gt;&lt;D xsi:type="xsd:double"&gt;117.91&lt;/D&gt;&lt;D xsi:type="xsd:double"&gt;119.03&lt;/D&gt;&lt;D xsi:type="xsd:double"&gt;120.47&lt;/D&gt;&lt;D xsi:type="xsd:double"&gt;120.39&lt;/D&gt;&lt;D xsi:type="xsd:double"&gt;120.33&lt;/D&gt;&lt;D xsi:type="xsd:double"&gt;119.56&lt;/D&gt;&lt;D xsi:type="xsd:double"&gt;118.43&lt;/D&gt;&lt;D xsi:type="xsd:double"&gt;119.46&lt;/D&gt;&lt;D xsi:type="xsd:double"&gt;118.75&lt;/D&gt;&lt;D xsi:type="xsd:double"&gt;118.92&lt;/D&gt;&lt;D xsi:type="xsd:double"&gt;119.2&lt;/D&gt;&lt;D xsi:type="xsd:double"&gt;118.91&lt;/D&gt;&lt;D xsi:type="xsd:double"&gt;119.4&lt;/D&gt;&lt;D xsi:type="xsd:double"&gt;119.35&lt;/D&gt;&lt;D xsi:type="xsd:double"&gt;117.29&lt;/D&gt;&lt;D xsi:type="xsd:double"&gt;117.86&lt;/D&gt;&lt;D xsi:type="xsd:double"&gt;118.37&lt;/D&gt;&lt;D xsi:type="xsd:double"&gt;119.67&lt;/D&gt;&lt;D xsi:type="xsd:double"&gt;119.79&lt;/D&gt;&lt;D xsi:type="xsd:double"&gt;119.18&lt;/D&gt;&lt;D xsi:type="xsd:double"&gt;117.11&lt;/D&gt;&lt;D xsi:type="xsd:double"&gt;117.49&lt;/D&gt;&lt;D xsi:type="xsd:double"&gt;119.36&lt;/D&gt;&lt;D xsi:type="xsd:double"&gt;119.22&lt;/D&gt;&lt;D xsi:type="xsd:double"&gt;118.97&lt;/D&gt;&lt;D xsi:type="xsd:double"&gt;119.44&lt;/D&gt;&lt;D xsi:type="xsd:double"&gt;119.62&lt;/D&gt;&lt;D xsi:type="xsd:double"&gt;119.31&lt;/D&gt;&lt;D xsi:type="xsd:double"&gt;119.14&lt;/D&gt;&lt;D xsi:type="xsd:double"&gt;119.42&lt;/D&gt;&lt;D xsi:type="xsd:double"&gt;117.84&lt;/D&gt;&lt;D xsi:type="xsd:double"&gt;117.94&lt;/D&gt;&lt;/FQL&gt;&lt;FQL&gt;&lt;Q&gt;DBA^P_PRICE(0,-200D)&lt;/Q&gt;&lt;R&gt;201&lt;/R&gt;&lt;C&gt;1&lt;/C&gt;&lt;D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xsi:type="xsd:double"&gt;21.24&lt;/D&gt;&lt;D xsi:type="xsd:double"&gt;21.19&lt;/D&gt;&lt;D xsi:type="xsd:double"&gt;21.24&lt;/D&gt;&lt;D xsi:type="xsd:double"&gt;20.89&lt;/D&gt;&lt;D xsi:type="xsd:double"&gt;21.02&lt;/D&gt;&lt;D xsi:type="xsd:double"&gt;20.85&lt;/D&gt;&lt;D xsi:type="xsd:double"&gt;20.88&lt;/D&gt;&lt;D xsi:type="xsd:double"&gt;20.76&lt;/D&gt;&lt;D xsi:type="xsd:double"&gt;20.46&lt;/D&gt;&lt;D xsi:type="xsd:double"&gt;20.44&lt;/D&gt;&lt;D xsi:type="xsd:double"&gt;20.57&lt;/D&gt;&lt;D xsi:type="xsd:double"&gt;20.4&lt;/D&gt;&lt;D xsi:type="xsd:double"&gt;20.63&lt;/D&gt;&lt;D xsi:type="xsd:double"&gt;20.74&lt;/D&gt;&lt;D xsi:type="xsd:double"&gt;20.76&lt;/D&gt;&lt;D xsi:type="xsd:double"&gt;20.78&lt;/D&gt;&lt;D xsi:type="xsd:double"&gt;20.7&lt;/D&gt;&lt;D xsi:type="xsd:double"&gt;20.78&lt;/D&gt;&lt;D xsi:type="xsd:double"&gt;20.94&lt;/D&gt;&lt;D xsi:type="xsd:double"&gt;21.09&lt;/D&gt;&lt;D xsi:type="xsd:double"&gt;20.83&lt;/D&gt;&lt;D xsi:type="xsd:double"&gt;20.78&lt;/D&gt;&lt;D xsi:type="xsd:double"&gt;21.03&lt;/D&gt;&lt;D xsi:type="xsd:double"&gt;20.96&lt;/D&gt;&lt;D xsi:type="xsd:double"&gt;20.91&lt;/D&gt;&lt;D xsi:type="xsd:double"&gt;21.03&lt;/D&gt;&lt;D xsi:type="xsd:double"&gt;20.7&lt;/D&gt;&lt;D xsi:type="xsd:double"&gt;20.6&lt;/D&gt;&lt;D xsi:type="xsd:double"&gt;20.54&lt;/D&gt;&lt;D xsi:type="xsd:double"&gt;20.73&lt;/D&gt;&lt;D xsi:type="xsd:double"&gt;20.95&lt;/D&gt;&lt;D xsi:type="xsd:double"&gt;20.98&lt;/D&gt;&lt;D xsi:type="xsd:double"&gt;21.02&lt;/D&gt;&lt;D xsi:type="xsd:double"&gt;20.99&lt;/D&gt;&lt;D xsi:type="xsd:double"&gt;21.06&lt;/D&gt;&lt;D xsi:type="xsd:double"&gt;20.94&lt;/D&gt;&lt;D xsi:type="xsd:double"&gt;21.08&lt;/D&gt;&lt;D xsi:type="xsd:double"&gt;21.11&lt;/D&gt;&lt;D xsi:type="xsd:double"&gt;21.3&lt;/D&gt;&lt;D xsi:type="xsd:double"&gt;21.2&lt;/D&gt;&lt;D xsi:type="xsd:double"&gt;20.91&lt;/D&gt;&lt;D xsi:type="xsd:double"&gt;20.87&lt;/D&gt;&lt;D xsi:type="xsd:double"&gt;20.77&lt;/D&gt;&lt;D xsi:type="xsd:double"&gt;20.84&lt;/D&gt;&lt;/FQL&gt;&lt;FQL&gt;&lt;Q&gt;VWO^JULIAN(P_PRICE(0,-200D).DATES)&lt;/Q&gt;&lt;R&gt;201&lt;/R&gt;&lt;C&gt;1&lt;/C&gt;&lt;D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xsi:type="xsd:long"&gt;45061&lt;/D&gt;&lt;D xsi:type="xsd:long"&gt;45058&lt;/D&gt;&lt;D xsi:type="xsd:long"&gt;45057&lt;/D&gt;&lt;D xsi:type="xsd:long"&gt;45056&lt;/D&gt;&lt;D xsi:type="xsd:long"&gt;45055&lt;/D&gt;&lt;D xsi:type="xsd:long"&gt;45054&lt;/D&gt;&lt;D xsi:type="xsd:long"&gt;45051&lt;/D&gt;&lt;D xsi:type="xsd:long"&gt;45050&lt;/D&gt;&lt;D xsi:type="xsd:long"&gt;45049&lt;/D&gt;&lt;D xsi:type="xsd:long"&gt;45048&lt;/D&gt;&lt;D xsi:type="xsd:long"&gt;45047&lt;/D&gt;&lt;D xsi:type="xsd:long"&gt;45044&lt;/D&gt;&lt;D xsi:type="xsd:long"&gt;45043&lt;/D&gt;&lt;D xsi:type="xsd:long"&gt;45042&lt;/D&gt;&lt;D xsi:type="xsd:long"&gt;45041&lt;/D&gt;&lt;D xsi:type="xsd:long"&gt;45040&lt;/D&gt;&lt;D xsi:type="xsd:long"&gt;45037&lt;/D&gt;&lt;D xsi:type="xsd:long"&gt;45036&lt;/D&gt;&lt;D xsi:type="xsd:long"&gt;45035&lt;/D&gt;&lt;D xsi:type="xsd:long"&gt;45034&lt;/D&gt;&lt;D xsi:type="xsd:long"&gt;45033&lt;/D&gt;&lt;D xsi:type="xsd:long"&gt;45030&lt;/D&gt;&lt;D xsi:type="xsd:long"&gt;45029&lt;/D&gt;&lt;D xsi:type="xsd:long"&gt;45028&lt;/D&gt;&lt;D xsi:type="xsd:long"&gt;45027&lt;/D&gt;&lt;/FQL&gt;&lt;FQL&gt;&lt;Q&gt;VGK^P_PRICE_RETURNS_PR('52W',2,-10AY,0,AM)&lt;/Q&gt;&lt;R&gt;121&lt;/R&gt;&lt;C&gt;1&lt;/C&gt;&lt;D xsi:type="xsd:double"&gt;17.133057&lt;/D&gt;&lt;D xsi:type="xsd:double"&gt;26.585854&lt;/D&gt;&lt;D xsi:type="xsd:double"&gt;23.042858&lt;/D&gt;&lt;D xsi:type="xsd:double"&gt;22.912645&lt;/D&gt;&lt;D xsi:type="xsd:double"&gt;21.152449&lt;/D&gt;&lt;D xsi:type="xsd:double"&gt;29.258717&lt;/D&gt;&lt;D xsi:type="xsd:double"&gt;17.826675&lt;/D&gt;&lt;D xsi:type="xsd:double"&gt;13.857019&lt;/D&gt;&lt;D xsi:type="xsd:double"&gt;5.8058143&lt;/D&gt;&lt;D xsi:</t>
        </r>
      </text>
    </comment>
    <comment ref="A5" authorId="0" shapeId="0" xr:uid="{BA429A82-44BB-4659-AEE1-42A2BF36DCF4}">
      <text>
        <r>
          <rPr>
            <b/>
            <sz val="9"/>
            <color indexed="81"/>
            <rFont val="Tahoma"/>
            <family val="2"/>
          </rPr>
          <t>type="xsd:double"&gt;-3.5480082&lt;/D&gt;&lt;D xsi:type="xsd:double"&gt;2.0280123&lt;/D&gt;&lt;D xsi:type="xsd:double"&gt;-3.5290062&lt;/D&gt;&lt;D xsi:type="xsd:double"&gt;-2.2045374&lt;/D&gt;&lt;D xsi:type="xsd:double"&gt;-2.5788844&lt;/D&gt;&lt;D xsi:type="xsd:double"&gt;-2.4458766&lt;/D&gt;&lt;D xsi:type="xsd:double"&gt;-1.8079817&lt;/D&gt;&lt;D xsi:type="xsd:double"&gt;-3.2986283&lt;/D&gt;&lt;D xsi:type="xsd:double"&gt;-2.9063404&lt;/D&gt;&lt;D xsi:type="xsd:double"&gt;-4.9546423&lt;/D&gt;&lt;D xsi:type="xsd:double"&gt;-8.499986&lt;/D&gt;&lt;D xsi:type="xsd:double"&gt;-8.801055&lt;/D&gt;&lt;D xsi:type="xsd:double"&gt;1.637125&lt;/D&gt;&lt;D xsi:type="xsd:double"&gt;-5.0110936&lt;/D&gt;&lt;D xsi:type="xsd:double"&gt;-2.7092576&lt;/D&gt;&lt;D xsi:type="xsd:double"&gt;-10.410768&lt;/D&gt;&lt;D xsi:type="xsd:double"&gt;-15.523535&lt;/D&gt;&lt;D xsi:type="xsd:double"&gt;-12.097555&lt;/D&gt;&lt;D xsi:type="xsd:double"&gt;-9.232879&lt;/D&gt;&lt;D xsi:type="xsd:double"&gt;-8.771568&lt;/D&gt;&lt;D xsi:type="xsd:double"&gt;-18.043678&lt;/D&gt;&lt;D xsi:type="xsd:double"&gt;-10.040915&lt;/D&gt;&lt;D xsi:type="xsd:double"&gt;-2.0806968&lt;/D&gt;&lt;D xsi:type="xsd:double"&gt;2.0971537&lt;/D&gt;&lt;D xsi:type="xsd:double"&gt;-7.069671&lt;/D&gt;&lt;D xsi:type="xsd:double"&gt;-6.581056&lt;/D&gt;&lt;D xsi:type="xsd:double"&gt;-2.6746154&lt;/D&gt;&lt;D xsi:type="xsd:double"&gt;10.065079&lt;/D&gt;&lt;D xsi:type="xsd:double"&gt;13.486052&lt;/D&gt;&lt;D xsi:type="xsd:double"&gt;11.964512&lt;/D&gt;&lt;D xsi:type="xsd:double"&gt;11.125755&lt;/D&gt;&lt;D xsi:type="xsd:double"&gt;16.09174&lt;/D&gt;&lt;D xsi:type="xsd:double"&gt;27.682793&lt;/D&gt;&lt;D xsi:type="xsd:double"&gt;23.013222&lt;/D&gt;&lt;D xsi:type="xsd:double"&gt;19.438244&lt;/D&gt;&lt;D xsi:type="xsd:double"&gt;22.406555&lt;/D&gt;&lt;D xsi:type="xsd:double"&gt;26.885927&lt;/D&gt;&lt;D xsi:type="xsd:double"&gt;32.119705&lt;/D&gt;&lt;D xsi:type="xsd:double"&gt;27.144634&lt;/D&gt;&lt;D xsi:type="xsd:double"&gt;31.899225&lt;/D&gt;&lt;D xsi:type="xsd:double"&gt;25.150251&lt;/D&gt;&lt;D xsi:type="xsd:double"&gt;16.268467&lt;/D&gt;&lt;D xsi:type="xsd:double"&gt;14.467394&lt;/D&gt;&lt;D xsi:type="xsd:double"&gt;7.2509646&lt;/D&gt;&lt;D xsi:type="xsd:double"&gt;4.8626065&lt;/D&gt;&lt;D xsi:type="xsd:double"&gt;4.9856663&lt;/D&gt;&lt;D xsi:type="xsd:double"&gt;4.2276144&lt;/D&gt;&lt;D xsi:type="xsd:double"&gt;2.6526213&lt;/D&gt;&lt;D xsi:type="xsd:double"&gt;-9.418678&lt;/D&gt;&lt;D xsi:type="xsd:double"&gt;-9.168988&lt;/D&gt;&lt;D xsi:type="xsd:double"&gt;-15.183335&lt;/D&gt;&lt;D xsi:type="xsd:double"&gt;-15.394515&lt;/D&gt;&lt;D xsi:type="xsd:double"&gt;-7.898271&lt;/D&gt;&lt;D xsi:type="xsd:double"&gt;-4.5366707&lt;/D&gt;&lt;D xsi:type="xsd:double"&gt;-4.0105524&lt;/D&gt;&lt;D xsi:type="xsd:double"&gt;-5.9417605&lt;/D&gt;&lt;D xsi:type="xsd:double"&gt;0.8923769&lt;/D&gt;&lt;D xsi:type="xsd:double"&gt;-1.9610047&lt;/D&gt;&lt;D xsi:type="xsd:double"&gt;-5.210674&lt;/D&gt;&lt;D xsi:type="xsd:double"&gt;-3.065461&lt;/D&gt;&lt;D xsi:type="xsd:double"&gt;12.2676735&lt;/D&gt;&lt;D xsi:type="xsd:double"&gt;13.8582115&lt;/D&gt;&lt;D xsi:type="xsd:double"&gt;25.573242&lt;/D&gt;&lt;D xsi:type="xsd:double"&gt;18.572224&lt;/D&gt;&lt;D xsi:type="xsd:double"&gt;4.9422503&lt;/D&gt;&lt;D xsi:type="xsd:double"&gt;-14.632016&lt;/D&gt;&lt;D xsi:type="xsd:double"&gt;-15.980297&lt;/D&gt;&lt;D xsi:type="xsd:double"&gt;-8.242869&lt;/D&gt;&lt;D xsi:type="xsd:double"&gt;-6.376922&lt;/D&gt;&lt;D xsi:type="xsd:double"&gt;-0.93744993&lt;/D&gt;&lt;D xsi:type="xsd:double"&gt;8.93898&lt;/D&gt;&lt;D xsi:type="xsd:double"&gt;-0.3013432&lt;/D&gt;&lt;D xsi:type="xsd:double"&gt;-3.2104194&lt;/D&gt;&lt;D xsi:type="xsd:double"&gt;5.9221745&lt;/D&gt;&lt;D xsi:type="xsd:double"&gt;6.291008&lt;/D&gt;&lt;D xsi:type="xsd:double"&gt;8.869612&lt;/D&gt;&lt;D xsi:type="xsd:double"&gt;15.608335&lt;/D&gt;&lt;D xsi:type="xsd:double"&gt;47.022915&lt;/D&gt;&lt;D xsi:type="xsd:double"&gt;52.7161&lt;/D&gt;&lt;D xsi:type="xsd:double"&gt;47.339104&lt;/D&gt;&lt;D xsi:type="xsd:double"&gt;38.684906&lt;/D&gt;&lt;D xsi:type="xsd:double"&gt;31.987583&lt;/D&gt;&lt;D xsi:type="xsd:double"&gt;28.88844&lt;/D&gt;&lt;D xsi:type="xsd:double"&gt;35.116257&lt;/D&gt;&lt;D xsi:type="xsd:double"&gt;35.50912&lt;/D&gt;&lt;D xsi:type="xsd:double"&gt;15.29417&lt;/D&gt;&lt;D xsi:type="xsd:double"&gt;16.223394&lt;/D&gt;&lt;D xsi:type="xsd:double"&gt;7.9699874&lt;/D&gt;&lt;D xsi:type="xsd:double"&gt;6.3448787&lt;/D&gt;&lt;D xsi:type="xsd:double"&gt;2.3590088&lt;/D&gt;&lt;D xsi:type="xsd:double"&gt;-10.387909&lt;/D&gt;&lt;D xsi:type="xsd:double"&gt;-11.041439&lt;/D&gt;&lt;D xsi:type="xsd:double"&gt;-17.57536&lt;/D&gt;&lt;D xsi:type="xsd:double"&gt;-19.174744&lt;/D&gt;&lt;D xsi:type="xsd:double"&gt;-21.795303&lt;/D&gt;&lt;D xsi:type="xsd:double"&gt;-30.00983&lt;/D&gt;&lt;D xsi:type="xsd:double"&gt;-23.920887&lt;/D&gt;&lt;D xsi:type="xsd:double"&gt;-12.836498&lt;/D&gt;&lt;D xsi:type="xsd:double"&gt;-14.958036&lt;/D&gt;&lt;D xsi:type="xsd:double"&gt;-2.7026355&lt;/D&gt;&lt;D xsi:type="xsd:double"&gt;-0.8678019&lt;/D&gt;&lt;D xsi:type="xsd:double"&gt;-2.707708&lt;/D&gt;&lt;D xsi:type="xsd:double"&gt;11.641752&lt;/D&gt;&lt;D xsi:type="xsd:double"&gt;7.5009584&lt;/D&gt;&lt;D xsi:type="xsd:double"&gt;15.132082&lt;/D&gt;&lt;D xsi:type="xsd:double"&gt;23.533499&lt;/D&gt;&lt;D xsi:type="xsd:double"&gt;15.556049&lt;/D&gt;&lt;D xsi:type="xsd:double"&gt;30.046581&lt;/D&gt;&lt;D xsi:type="xsd:double"&gt;13.6635895&lt;/D&gt;&lt;D xsi:type="xsd:double"&gt;13.6164665&lt;/D&gt;&lt;D xsi:type="xsd:double"&gt;19.834959&lt;/D&gt;&lt;D xsi:type="xsd:double"&gt;8.533276&lt;/D&gt;&lt;/FQL&gt;&lt;FQL&gt;&lt;Q&gt;GLD^P_PRICE_RETURNS_PR('52W',2,-10AY,0,AM)&lt;/Q&gt;&lt;R&gt;121&lt;/R&gt;&lt;C&gt;1&lt;/C&gt;&lt;D xsi:type="xsd:double"&gt;-24.241108&lt;/D&gt;&lt;D xsi:type="xsd:double"&gt;-17.993855&lt;/D&gt;&lt;D xsi:type="xsd:double"&gt;-18.9439&lt;/D&gt;&lt;D xsi:type="xsd:double"&gt;-11.438256&lt;/D&gt;&lt;D xsi:type="xsd:double"&gt;-7.5031576&lt;/D&gt;&lt;D xsi:type="xsd:double"&gt;7.1440697&lt;/D&gt;&lt;D xsi:type="xsd:double"&gt;-2.2375047&lt;/D&gt;&lt;D xsi:type="xsd:double"&gt;-8.933187&lt;/D&gt;&lt;D xsi:type="xsd:double"&gt;-8.396589&lt;/D&gt;&lt;D xsi:type="xsd:double"&gt;-8.891451&lt;/D&gt;&lt;D xsi:type="xsd:double"&gt;-3.8891613&lt;/D&gt;&lt;D xsi:type="xsd:double"&gt;-1.6361117&lt;/D&gt;&lt;D xsi:type="xsd:double"&gt;0.57240725&lt;/D&gt;&lt;D xsi:type="xsd:double"&gt;-9.398174&lt;/D&gt;&lt;D xsi:type="xsd:double"&gt;-7.91803&lt;/D&gt;&lt;D xsi:type="xsd:double"&gt;-9.2405205&lt;/D&gt;&lt;D xsi:type="xsd:double"&gt;-8.513373&lt;/D&gt;&lt;D xsi:type="xsd:double"&gt;-11.181253&lt;/D&gt;&lt;D xsi:type="xsd:double"&gt;-15.279454&lt;/D&gt;&lt;D xsi:type="xsd:double"&gt;-12.711793&lt;/D&gt;&lt;D xsi:type="xsd:double"&gt;-6.4571085&lt;/D&gt;&lt;D xsi:type="xsd:double"&gt;-5.8470607&lt;/D&gt;&lt;D xsi:type="xsd:double"&gt;-11.197782&lt;/D&gt;&lt;D xsi:type="xsd:double"&gt;-8.619308&lt;/D&gt;&lt;D xsi:type="xsd:double"&gt;-12.7652645&lt;/D&gt;&lt;D xsi:type="xsd:double"&gt;0.8960128&lt;/D&gt;&lt;D xsi:type="xsd:double"&gt;1.5361786&lt;/D&gt;&lt;D xsi:type="xsd:double"&gt;4.997778&lt;/D&gt;&lt;D xsi:type="xsd:double"&gt;2.3439527&lt;/D&gt;&lt;D xsi:type="xsd:double"&gt;11.919355&lt;/D&gt;&lt;D xsi:type="xsd:double"&gt;19.601334&lt;/D&gt;&lt;D xsi:type="xsd:double"&gt;17.070686&lt;/D&gt;&lt;D xsi:type="xsd:double"&gt;16.155184&lt;/D&gt;&lt;D xsi:type="xsd:double"&gt;8.399892&lt;/D&gt;&lt;D xsi:type="xsd:double"&gt;9.906303&lt;/D&gt;&lt;D xsi:type="xsd:double"&gt;5.4931164&lt;/D&gt;&lt;D xsi:type="xsd:double"&gt;5.564356&lt;/D&gt;&lt;D xsi:type="xsd:double"&gt;1.7770529&lt;/D&gt;&lt;D xsi:type="xsd:double"&gt;2.1748424&lt;/D&gt;&lt;D xsi:type="xsd:double"&gt;1.8028617&lt;/D&gt;&lt;D xsi:type="xsd:double"&gt;3.396809&lt;/D&gt;&lt;D xsi:type="xsd:double"&gt;-6.0709476&lt;/D&gt;&lt;D xsi:type="xsd:double"&gt;-4.8571467&lt;/D&gt;&lt;D xsi:type="xsd:double"&gt;-2.7647972&lt;/D&gt;&lt;D xsi:type="xsd:double"&gt;-3.4574687&lt;/D&gt;&lt;D xsi:type="xsd:double"&gt;-0.380826&lt;/D&gt;&lt;D xsi:type="xsd:double"&gt;8.008825&lt;/D&gt;&lt;D xsi:type="xsd:double"&gt;12.823116&lt;/D&gt;&lt;D xsi:type="xsd:double"&gt;13.076115&lt;/D&gt;&lt;D xsi:type="xsd:double"&gt;5.6391&lt;/D&gt;&lt;D xsi:type="xsd:double"&gt;7.925284&lt;/D&gt;&lt;D xsi:type="xsd:double"&gt;3.4177423&lt;/D&gt;&lt;D xsi:type="xsd:double"&gt;3.1218529&lt;/D&gt;&lt;D xsi:type="xsd:double"&gt;0.7603884&lt;/D&gt;&lt;D xsi:type="xsd:double"&gt;-3.4284294&lt;/D&gt;&lt;D xsi:type="xsd:double"&gt;-6.6481295&lt;/D&gt;&lt;D xsi:type="xsd:double"&gt;-8.193922&lt;/D&gt;&lt;D xsi:type="xsd:double"&gt;-2.9585361&lt;/D&gt;&lt;D xsi:type="xsd:double"&gt;-5.461085&lt;/D&gt;&lt;D xsi:type="xsd:double"&gt;-1.7327666&lt;/D&gt;&lt;D xsi:type="xsd:double"&gt;-3.9931238&lt;/D&gt;&lt;D xsi:type="xsd:double"&gt;-0.6880164&lt;/D&gt;&lt;D xsi:type="xsd:double"&gt;-3.1025827&lt;/D&gt;&lt;D xsi:type="xsd:double"&gt;-2.8806925&lt;/D&gt;&lt;D xsi:type="xsd:double"&gt;-1.8528938&lt;/D&gt;&lt;D xsi:type="xsd:double"&gt;11.495888&lt;/D&gt;&lt;D xsi:type="xsd:double"&gt;15.43578&lt;/D&gt;&lt;D xsi:type="xsd:double"&gt;26.305187&lt;/D&gt;&lt;D xsi:type="xsd:double"&gt;25.42237&lt;/D&gt;&lt;D xsi:type="xsd:double"&gt;21.872854&lt;/D&gt;&lt;D xsi:type="xsd:double"&gt;19.111038&lt;/D&gt;&lt;D xsi:type="xsd:double"&gt;18.987131&lt;/D&gt;&lt;D xsi:type="xsd:double"&gt;22.206629&lt;/D&gt;&lt;D xsi:type="xsd:double"&gt;22.6071&lt;/D&gt;&lt;D xsi:type="xsd:double"&gt;23.282385&lt;/D&gt;&lt;D xsi:type="xsd:double"&gt;35.00457&lt;/D&gt;&lt;D xsi:type="xsd:double"&gt;32.638084&lt;/D&gt;&lt;D xsi:type="xsd:double"&gt;25.246286&lt;/D&gt;&lt;D xsi:type="xsd:double"&gt;32.990993&lt;/D&gt;&lt;D xsi:type="xsd:double"&gt;27.165545&lt;/D&gt;&lt;D xsi:type="xsd:double"&gt;23.34485&lt;/D&gt;&lt;D xsi:type="xsd:double"&gt;25.86353&lt;/D&gt;&lt;D xsi:type="xsd:double"&gt;23.657715&lt;/D&gt;&lt;D xsi:type="xsd:double"&gt;24.831879&lt;/D&gt;&lt;D xsi:type="xsd:double"&gt;17.326664&lt;/D&gt;&lt;D xsi:type="xsd:double"&gt;5.0918937&lt;/D&gt;&lt;D xsi:type="xsd:double"&gt;5.8731437&lt;/D&gt;&lt;D xsi:type="xsd:double"&gt;2.5823832&lt;/D&gt;&lt;D xsi:type="xsd:double"&gt;10.410845&lt;/D&gt;&lt;D xsi:type="xsd:double"&gt;0.47647953&lt;/D&gt;&lt;D xsi:type="xsd:double"&gt;-5.8981476&lt;/D&gt;&lt;D xsi:type="xsd:double"&gt;-8.556938&lt;/D&gt;&lt;D xsi:type="xsd:double"&gt;-6.9197416&lt;/D&gt;&lt;D xsi:type="xsd:double"&gt;-6.087935&lt;/D&gt;&lt;D xsi:type="xsd:double"&gt;-1.5692234&lt;/D&gt;&lt;D xsi:type="xsd:double"&gt;-3.8030148&lt;/D&gt;&lt;D xsi:type="xsd:double"&gt;-2.205968&lt;/D&gt;&lt;D xsi:type="xsd:double"&gt;6.470871&lt;/D&gt;&lt;D xsi:type="xsd:double"&gt;12.73334&lt;/D&gt;&lt;D xsi:type="xsd:double"&gt;6.2814713&lt;/D&gt;&lt;D xsi:type="xsd:double"&gt;-2.7471304&lt;/D&gt;&lt;D xsi:type="xsd:double"&gt;2.439177&lt;/D&gt;&lt;D xsi:type="xsd:double"&gt;-4.828739&lt;/D&gt;&lt;D xsi:type="xsd:double"&gt;-3.5247803&lt;/D&gt;&lt;D xsi:type="xsd:double"&gt;-7.3913097&lt;/D&gt;&lt;D xsi:type="xsd:double"&gt;-7.5739503&lt;/D&gt;&lt;D xsi:type="xsd:double"&gt;-2.333647&lt;/D&gt;&lt;D xsi:type="xsd:double"&gt;-1.0120153&lt;/D&gt;&lt;D xsi:type="xsd:double"&gt;5.7011604&lt;/D&gt;&lt;D xsi:type="xsd:double"&gt;-4.96217&lt;/D&gt;&lt;D xsi:type="xsd:double"&gt;0.2839446&lt;/D&gt;&lt;D xsi:type="xsd:double"&gt;4.1845202&lt;/D&gt;&lt;D xsi:type="xsd:double"&gt;4.7233224&lt;/D&gt;&lt;D xsi:type="xsd:double"&gt;4.9503207&lt;/D&gt;&lt;D xsi:type="xsd:double"&gt;14.533877&lt;/D&gt;&lt;D xsi:type="xsd:double"&gt;8.470225&lt;/D&gt;&lt;D xsi:type="xsd:double"&gt;16.564178&lt;/D&gt;&lt;D xsi:type="xsd:double"&gt;18.731451&lt;/D&gt;&lt;D xsi:type="xsd:double"&gt;13.760114&lt;/D&gt;&lt;D xsi:type="xsd:double"&gt;14.6239395&lt;/D&gt;&lt;D xsi:type="xsd:double"&gt;4.201257&lt;/D&gt;&lt;/FQL&gt;&lt;FQL&gt;&lt;Q&gt;EWD^FG_TOTAL_RETURNC(-10AY,0,AM)&lt;/Q&gt;&lt;R&gt;121&lt;/R&gt;&lt;C&gt;1&lt;/C&gt;&lt;D xsi:type="xsd:double"&gt;-0.6835699&lt;/D&gt;&lt;D xsi:type="xsd:double"&gt;3.383994&lt;/D&gt;&lt;D xsi:type="xsd:double"&gt;-0.2773881&lt;/D&gt;&lt;D xsi:type="xsd:double"&gt;0.22252798&lt;/D&gt;&lt;D xsi:type="xsd:double"&gt;2.6921988&lt;/D&gt;&lt;D xsi:type="xsd:double"&gt;-2.5579393&lt;/D&gt;&lt;D xsi:type="xsd:double"&gt;0.94151497&lt;/D&gt;&lt;D xsi:type="xsd:double"&gt;-2.8547287&lt;/D&gt;&lt;D xsi:type="xsd:double"&gt;-4.189694&lt;/D&gt;&lt;D xsi:type="xsd:double"&gt;-2.064985&lt;/D&gt;&lt;D xsi:type="xsd:double"&gt;5.023253&lt;/D&gt;&lt;D xsi:type="xsd:double"&gt;-4.440689&lt;/D&gt;&lt;D xsi:type="xsd:double"&gt;-0.09337664&lt;/D&gt;&lt;D xsi:type="xsd:double"&gt;6.8535805&lt;/D&gt;&lt;D xsi:type="xsd:double"&gt;-1.6326487&lt;/D&gt;&lt;D xsi:type="xsd:double"&gt;2.0450473&lt;/D&gt;&lt;D xsi:type="xsd:double"&gt;-0.8713305&lt;/D&gt;&lt;D xsi:type="xsd:double"&gt;0.42470694&lt;/D&gt;&lt;D xsi:type="xsd:double"&gt;-3.563881&lt;/D&gt;&lt;D xsi:type="xsd:double"&gt;-6.6395283&lt;/D&gt;&lt;D xsi:type="xsd:double"&gt;-3.8577676&lt;/D&gt;&lt;D xsi:type="xsd:double"&gt;5.7222605&lt;/D&gt;&lt;D xsi:type="xsd:double"&gt;-2.178216&lt;/D&gt;&lt;D xsi:type="xsd:double"&gt;0.39266348&lt;/D&gt;&lt;D xsi:type="xsd:double"&gt;-6.659937&lt;/D&gt;&lt;D xsi:type="xsd:double"&gt;-0.7207215&lt;/D&gt;&lt;D xsi:type="xsd:double"&gt;3.7023664&lt;/D&gt;&lt;D xsi:type="xsd:double"&gt;6.6853285&lt;/D&gt;&lt;D xsi:type="xsd:double"&gt;-2.2637725&lt;/D&gt;&lt;D xsi:type="xsd:double"&gt;-9.581083&lt;/D&gt;&lt;D xsi:type="xsd:double"&gt;6.985712&lt;/D&gt;&lt;D xsi:type="xsd:double"&gt;3.282833&lt;/D&gt;&lt;D xsi:type="xsd:double"&gt;0.34928322&lt;/D&gt;&lt;D xsi:type="xsd:double"&gt;-2.436471&lt;/D&gt;&lt;D xsi:type="xsd:double"&gt;-1.3200164&lt;/D&gt;&lt;D xsi:type="xsd:double"&gt;3.05444&lt;/D&gt;&lt;D xsi:type="xsd:double"&gt;6.736839&lt;/D&gt;&lt;D xsi:type="xsd:double"&gt;0.16436577&lt;/D&gt;&lt;D xsi:type="xsd:double"&gt;3.6429286&lt;/D&gt;&lt;D xsi:type="xsd:double"&gt;5.098164&lt;/D&gt;&lt;D xsi:type="xsd:double"&gt;2.7116656&lt;/D&gt;&lt;D xsi:type="xsd:double"&gt;0.4411459&lt;/D&gt;&lt;D xsi:type="xsd:double"&gt;2.299881&lt;/D&gt;&lt;D xsi:type="xsd:double"&gt;0.4963398&lt;/D&gt;&lt;D xsi:type="xsd:double"&gt;2.5566578&lt;/D&gt;&lt;D xsi:type="xsd:double"&gt;0.28328896&lt;/D&gt;&lt;D xsi:type="xsd:double"&gt;-1.6666651&lt;/D&gt;&lt;D xsi:type="xsd:double"&gt;-1.4652908&lt;/D&gt;&lt;D xsi:type="xsd:double"&gt;7.5088263&lt;/D&gt;&lt;D xsi:type="xsd:double"&gt;-4.2727947&lt;/D&gt;&lt;D xsi:type="xsd:double"&gt;-4.406297&lt;/D&gt;&lt;D xsi:type="xsd:double"&gt;-0.11972785&lt;/D&gt;&lt;D xsi:type="xsd:double"&gt;-0.029963255&lt;/D&gt;&lt;D xsi:type="xsd:double"&gt;-4.752117&lt;/D&gt;&lt;D xsi:type="xsd:double"&gt;5.6324124&lt;/D&gt;&lt;D xsi:type="xsd:double"&gt;-1.3408184&lt;/D&gt;&lt;D xsi:type="xsd:double"&gt;4.456389&lt;/D&gt;&lt;D xsi:type="xsd:double"&gt;-13.43419&lt;/D&gt;&lt;D xsi:type="xsd:double"&gt;1.0485768&lt;/D&gt;&lt;D xsi:type="xsd:double"&gt;-5.3049326&lt;/D&gt;&lt;D xsi:type="xsd:double"&gt;7.7119827&lt;/D&gt;&lt;D xsi:type="xsd:double"&gt;2.3413658&lt;/D&gt;&lt;D xsi:type="xsd:double"&gt;0.8289099&lt;/D&gt;&lt;D xsi:type="xsd:double"&gt;6.2479496&lt;/D&gt;&lt;D xsi:type="xsd:double"&gt;-6.5304875&lt;/D&gt;&lt;D xsi:type="xsd:double"&gt;4.9443603&lt;/D&gt;&lt;D xsi:type="xsd:double"&gt;-2.311945&lt;/D&gt;&lt;D xsi:type="xsd:double"&gt;-7.5666666&lt;/D&gt;&lt;D xsi:type="xsd:double"&gt;6.022358&lt;/D&gt;&lt;D xsi:type="xsd:double"&gt;7.176876&lt;/D&gt;&lt;D xsi:type="xsd:double"&gt;1.2059689&lt;/D&gt;&lt;D xsi:type="xsd:double"&gt;5.603385&lt;/D&gt;&lt;D xsi:type="xsd:double"&gt;-0.9019792&lt;/D&gt;&lt;D xsi:type="xsd:double"&gt;-4.5813084&lt;/D&gt;&lt;D xsi:type="xsd:double"&gt;-18.855328&lt;/D&gt;&lt;D xsi:type="xsd:double"&gt;3.095603&lt;/D&gt;&lt;D xsi:type="xsd:double"&gt;9.578109&lt;/D&gt;&lt;D xsi:type="xsd:double"&gt;7.308233&lt;/D&gt;&lt;D xsi:type="xsd:double"&gt;11.4137535&lt;/D&gt;&lt;D xsi:type="xsd:double"&gt;5.0058246&lt;/D&gt;&lt;D xsi:type="xsd:double"&gt;-5.238366&lt;/D&gt;&lt;D xsi:type="xsd:double"&gt;3.9485335&lt;/D&gt;&lt;D xsi:type="xsd:double"&gt;12.324131&lt;/D&gt;&lt;D xsi:type="xsd:double"&gt;0.5717397&lt;/D&gt;&lt;D xsi:type="xsd:double"&gt;6.047678&lt;/D&gt;&lt;D xsi:type="xsd:double"&gt;-0.5679071&lt;/D&gt;&lt;D xsi:type="xsd:double"&gt;7.5202227&lt;/D&gt;&lt;D xsi:type="xsd:double"&gt;5.422759&lt;/D&gt;&lt;D xsi:type="xsd:double"&gt;0.5248785&lt;/D&gt;&lt;D xsi:type="xsd:double"&gt;0.51208735&lt;/D&gt;&lt;D xsi:type="xsd:double"&gt;3.529656&lt;/D&gt;&lt;D xsi:type="xsd:double"&gt;-2.3208022&lt;/D&gt;&lt;D xsi:type="xsd:double"&gt;-1.9344032&lt;/D&gt;&lt;D xsi:type="xsd:double"&gt;3.5377383&lt;/D&gt;&lt;D xsi:type="xsd:double"&gt;-7.7034593&lt;/D&gt;&lt;D xsi:type="xsd:double"&gt;5.4131627&lt;/D&gt;&lt;D xsi:type="xsd:double"&gt;-8.892298&lt;/D&gt;&lt;D xsi:type="xsd:double"&gt;-6.3132524&lt;/D&gt;&lt;D xsi:type="xsd:double"&gt;-0.07717013&lt;/D&gt;&lt;D xsi:type="xsd:double"&gt;-9.060478&lt;/D&gt;&lt;D xsi:type="xsd:double"&gt;1.3869166&lt;/D&gt;&lt;D xsi:type="xsd:double"&gt;-8.825434&lt;/D&gt;&lt;D xsi:type="xsd:double"&gt;-0.34656525&lt;/D&gt;&lt;D xsi:type="xsd:double"&gt;-3.9203286&lt;/D&gt;&lt;D xsi:type="xsd:double"&gt;-12.339586&lt;/D&gt;&lt;D xsi:type="xsd:double"&gt;12.199699&lt;/D&gt;&lt;D xsi:type="xsd:double"&gt;13.282037&lt;/D&gt;&lt;D xsi:type="xsd:double"&gt;-3.824228&lt;/D&gt;&lt;D xsi:type="xsd:double"&gt;9.944403&lt;/D&gt;&lt;D xsi:type="xsd:double"&gt;-1.9662857&lt;/D&gt;&lt;D xsi:type="xsd:double"&gt;-4.3266535&lt;/D&gt;&lt;D xsi:type="xsd:double"&gt;8.056307&lt;/D&gt;&lt;D xsi:type="xsd:double"&gt;-3.1042218&lt;/D&gt;&lt;D xsi:type="xsd:double"&gt;-1.4015973&lt;/D&gt;&lt;D xsi:type="xsd:double"&gt;4.699731&lt;/D&gt;&lt;D xsi:type="xsd:double"&gt;-9.531725&lt;/D&gt;&lt;D xsi:type="xsd:double"&gt;-0.88821054&lt;/D&gt;&lt;D xsi:type="xsd:double"&gt;-4.1409135&lt;/D&gt;&lt;D xsi:type="xsd:double"&gt;16.441&lt;/D&gt;&lt;D xsi:type="xsd:double"&gt;12.341892&lt;/D&gt;&lt;D xsi:type="xsd:double"&gt;-5.858588&lt;/D&gt;&lt;/FQL&gt;&lt;FQL&gt;&lt;Q&gt;DBA^FG_TOTAL_RETURNC(-10AY,0,AM)&lt;/Q&gt;&lt;R&gt;121&lt;/R&gt;&lt;C&gt;1&lt;/C&gt;&lt;D xsi:type="xsd:double"&gt;-1.0607898&lt;/D&gt;&lt;D xsi:type="xsd:double"&gt;11.793816&lt;/D&gt;&lt;D xsi:type="xsd:double"&gt;3.7624478&lt;/D&gt;&lt;D xsi:type="xsd:double"&gt;3.483832&lt;/D&gt;&lt;D xsi:type="xsd:double"&gt;-3.400892&lt;/D&gt;&lt;D xsi:type="xsd:double"&gt;-0.2489388&lt;/D&gt;&lt;D xsi:type="xsd:double"&gt;-4.7415314&lt;/D&gt;&lt;D xsi:type="xsd:double"&gt;-2.0583808&lt;/D&gt;&lt;D xsi:type="xsd:double"&gt;-3.2479942&lt;/D&gt;&lt;D xsi:type="xsd:double"&gt;1.5402794&lt;/D&gt;&lt;D xsi:type="xsd:double"&gt;0.19447803&lt;/D&gt;&lt;D xsi:type="xsd:double"&gt;-2.135098&lt;/D&gt;&lt;D xsi:type="xsd:double"&gt;-6.7036867&lt;/D&gt;&lt;D xsi:type="xsd:double"&gt;-2.3809552&lt;/D&gt;&lt;D xsi:type="xsd:double"&gt;-2.4825752&lt;/D&gt;&lt;D xsi:type="xsd:double"&gt;-0.17864704&lt;/D&gt;&lt;D xsi:type="xsd:double"&gt;-1.6554832&lt;/D&gt;&lt;D xsi:type="xsd:double"&gt;3.3211946&lt;/D&gt;&lt;D xsi:type="xsd:double"&gt;-4.4473705&lt;/D&gt;&lt;D xsi:type="xsd:double"&gt;-4.7004642&lt;/D&gt;&lt;D xsi:type="xsd:double"&gt;2.1760106&lt;/D&gt;&lt;D xsi:type="xsd:double"&gt;0.28396845&lt;/D&gt;&lt;D xsi:type="xsd:double"&gt;-2.218032&lt;/D&gt;&lt;D xsi:type="xsd:double"&gt;-1.158303&lt;/D&gt;&lt;D xsi:type="xsd:double"&gt;-1.7089844&lt;/D&gt;&lt;D xsi:type="xsd:double"&gt;-0.7948339&lt;/D&gt;&lt;D xsi:type="xsd:double"&gt;4.106164&lt;/D&gt;&lt;D xsi:type="xsd:double"&gt;1.2986898&lt;/D&gt;&lt;D xsi:type="xsd:double"&gt;1.139605&lt;/D&gt;&lt;D xsi:type="xsd:double"&gt;1.5492916&lt;/D&gt;&lt;D xsi:type="xsd:double"&gt;-4.207116&lt;/D&gt;&lt;D xsi:type="xsd:double"&gt;-0.9169817&lt;/D&gt;&lt;D xsi:type="xsd:double"&gt;-0.58451295&lt;/D&gt;&lt;D xsi:type="xsd:double"&gt;1.0289073&lt;/D&gt;&lt;D xsi:type="xsd:double"&gt;-1.5518963&lt;/D&gt;&lt;D xsi:type="xsd:double"&gt;-2.709353&lt;/D&gt;&lt;D xsi:type="xsd:double"&gt;4.3544292&lt;/D&gt;&lt;D xsi:type="xsd:double"&gt;-1.5526414&lt;/D&gt;&lt;D xsi:type="xsd:double"&gt;-1.4292777&lt;/D&gt;&lt;D xsi:type="xsd:double"&gt;-3.2999992&lt;/D&gt;&lt;D xsi:type="xsd:double"&gt;2.5336027&lt;/D&gt;&lt;D xsi:type="xsd:double"&gt;-3.6812901&lt;/D&gt;&lt;D xsi:type="xsd:double"&gt;3.1937122&lt;/D&gt;&lt;D xsi:type="xsd:double"&gt;-5.3779783&lt;/D&gt;&lt;D xsi:type="xsd:double"&gt;0.9651542&lt;/D&gt;&lt;D xsi:type="xsd:double"&gt;2.071154&lt;/D&gt;&lt;D xsi:type="xsd:double"&gt;-0.41623116&lt;/D&gt;&lt;D xsi:type="xsd:double"&gt;-2.9780567&lt;/D&gt;&lt;D xsi:type="xsd:double"&gt;1.723206&lt;/D&gt;&lt;D xsi:type="xsd:double"&gt;1.3234496&lt;/D&gt;&lt;D xsi:type="xsd:double"&gt;-1.7241359&lt;/D&gt;&lt;D xsi:type="xsd:double"&gt;0.85060596&lt;/D&gt;&lt;D xsi:type="xsd:double"&gt;2.0558834&lt;/D&gt;&lt;D xsi:type="xsd:double"&gt;-7.5929823&lt;/D&gt;&lt;D xsi:type="xsd:double"&gt;-1.900506&lt;/D&gt;&lt;D xsi:type="xsd:double"&gt;-2.9059708&lt;/D&gt;&lt;D xsi:type="xsd:double"&gt;-0.46949387&lt;/D&gt;&lt;D xsi:type="xsd:double"&gt;4.481137&lt;/D&gt;&lt;D xsi:type="xsd:double"&gt;-3.6117375&lt;/D&gt;&lt;D xsi:type="xsd:double"&gt;0.3515482&lt;/D&gt;&lt;D xsi:type="xsd:double"&gt;0.7075548&lt;/D&gt;&lt;D xsi:type="xsd:double"&gt;-3.1615853&lt;/D&gt;&lt;D xsi:type="xsd:double"&gt;1.6323924&lt;/D&gt;&lt;D xsi:type="xsd:double"&gt;-3.6287844&lt;/D&gt;&lt;D xsi:type="xsd:double"&gt;0.4320979&lt;/D&gt;&lt;D xsi:type="xsd:double"&gt;2.5814414&lt;/D&gt;&lt;D xsi:type="xsd:double"&gt;-2.0371497&lt;/D&gt;&lt;D xsi:type="xsd:double"&gt;-7.4617743&lt;/D&gt;&lt;D xsi:type="xsd:double"&gt;4.031718&lt;/D&gt;&lt;D xsi:type="xsd:double"&gt;0.8894563&lt;/D&gt;&lt;D xsi:type="xsd:double"&gt;1.5743017&lt;/D&gt;&lt;D xsi:type="xsd:double"&gt;3.0930758&lt;/D&gt;&lt;D xsi:type="xsd:double"&gt;-0.8552313&lt;/D&gt;&lt;D xsi:type="xsd:double"&gt;-4.0665445&lt;/D&gt;&lt;D xsi:type="xsd:double"&gt;-7.064867&lt;/D&gt;&lt;D xsi:type="xsd:double"&gt;-7.9474807&lt;/D&gt;&lt;D xsi:type="xsd:double"&gt;3.2282352&lt;/D&gt;&lt;D xsi:type="xsd:double"&gt;-4.290909&lt;/D&gt;&lt;D xsi:type="xsd:double"&gt;4.4832826&lt;/D&gt;&lt;D xsi:type="xsd:double"&gt;4.8727274&lt;/D&gt;&lt;D xsi:type="xsd:double"&gt;1.4563084&lt;/D&gt;&lt;D xsi:type="xsd:double"&gt;1.7771721&lt;/D&gt;&lt;D xsi:type="xsd:double"&gt;3.9623857&lt;/D&gt;&lt;D xsi:type="xsd:double"&gt;2.260983&lt;/D&gt;&lt;D xsi:type="xsd:double"&gt;4.169297&lt;/D&gt;&lt;D xsi:type="xsd:double"&gt;4.9120665&lt;/D&gt;&lt;D xsi:type="xsd:double"&gt;-2.1965265&lt;/D&gt;&lt;D xsi:type="xsd:double"&gt;9.810877&lt;/D&gt;&lt;D xsi:type="xsd:double"&gt;-1.9375682&lt;/D&gt;&lt;D xsi:type="xsd:double"&gt;-2.1405041&lt;/D&gt;&lt;D xsi:type="xsd:double"&gt;8.076275&lt;/D&gt;&lt;D xsi:type="xsd:double"&gt;-0.5189419&lt;/D&gt;&lt;D xsi:type="xsd:double"&gt;-1.9301057&lt;/D&gt;&lt;D xsi:type="xsd:double"&gt;2.3936152&lt;/D&gt;&lt;D xsi:type="xsd:double"&gt;3.740251&lt;/D&gt;&lt;D xsi:type="xsd:double"&gt;-0.20029545&lt;/D&gt;&lt;D xsi:type="xsd:double"&gt;1.2042165&lt;/D&gt;&lt;D xsi:type="xsd:double"&gt;2.5780916&lt;/D&gt;&lt;D xsi:type="xsd:double"&gt;7.5398684&lt;/D&gt;&lt;D xsi:type="xsd:double"&gt;-0.17977953&lt;/D&gt;&lt;D xsi:type="xsd:double"&gt;0.31517744&lt;/D&gt;&lt;D xsi:type="xsd:double"&gt;-6.956917&lt;/D&gt;&lt;D xsi:type="xsd:double"&gt;-4.486251&lt;/D&gt;&lt;D xsi:type="xsd:double"&gt;4.848492&lt;/D&gt;&lt;D xsi:type="xsd:double"&gt;-3.998071&lt;/D&gt;&lt;D xsi:type="xsd:double"&gt;-0.45158267&lt;/D&gt;&lt;D xsi:type="xsd:double"&gt;0.15121698&lt;/D&gt;&lt;D xsi:type="xsd:double"&gt;2.1591783&lt;/D&gt;&lt;D xsi:type="xsd:double"&gt;-1.8316865&lt;/D&gt;&lt;D xsi:type="xsd:double"&gt;2.168429&lt;/D&gt;&lt;D xsi:type="xsd:double"&gt;-1.4807582&lt;/D&gt;&lt;D xsi:type="xsd:double"&gt;5.310631&lt;/D&gt;&lt;D xsi:type="xsd:double"&gt;-2.14082&lt;/D&gt;&lt;D xsi:type="xsd:double"&gt;4.569769&lt;/D&gt;&lt;D xsi:type="xsd:double"&gt;3.7191987&lt;/D&gt;&lt;D xsi:type="xsd:double"&gt;-3.0927777&lt;/D&gt;&lt;D xsi:type="xsd:double"&gt;0.23126602&lt;/D&gt;&lt;D xsi:type="xsd:double"&gt;0.8306384&lt;/D&gt;&lt;D xsi:type="xsd:double"&gt;-0.50343275&lt;/D&gt;&lt;D xsi:type="xsd:double"&gt;0.91362&lt;/D&gt;&lt;D xsi:type="xsd:double"&gt;2.2402406&lt;/D&gt;&lt;/FQL&gt;&lt;FQL&gt;&lt;Q&gt;VWO^JULIAN(FG_TOTAL_RETURNC(-10AY,0,AM).DATES)&lt;/Q&gt;&lt;R&gt;121&lt;/R&gt;&lt;C&gt;1&lt;/C&gt;&lt;D xsi:type="xsd:long"&gt;41663&lt;/D&gt;&lt;D xsi:type="xsd:long"&gt;41696&lt;/D&gt;&lt;D xsi:type="xsd:long"&gt;41724&lt;/D&gt;&lt;D xsi:type="xsd:long"&gt;41754&lt;/D&gt;&lt;D xsi:type="xsd:long"&gt;41782&lt;/D&gt;&lt;D xsi:type="xsd:long"&gt;41816&lt;/D&gt;&lt;D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xsi:type="xsd:long"&gt;45317&lt;/D&gt;&lt;/FQL&gt;&lt;FQL&gt;&lt;Q&gt;CPALM-FDS^FG_PRICE_CHANGE(0,-1AM)&lt;/Q&gt;&lt;R&gt;1&lt;/R&gt;&lt;C&gt;1&lt;/C&gt;&lt;D xsi:type="xsd:double"&gt;8.65098675317653&lt;/D&gt;&lt;/FQL&gt;&lt;FQL&gt;&lt;Q&gt;W-FDS^FG_PRICE_CHANGE(0,-6AM)&lt;/Q&gt;&lt;R&gt;1&lt;/R&gt;&lt;C&gt;1&lt;/C&gt;&lt;D xsi:type="xsd:double"&gt;-16.6319444444444&lt;/D&gt;&lt;/FQL&gt;&lt;FQL&gt;&lt;Q&gt;PASP-FDS^FG_PRICE(0)/MAX(FG_PRICE(0,-1AY))&lt;/Q&gt;&lt;R&gt;1&lt;/R&gt;&lt;C&gt;1&lt;/C&gt;&lt;D xsi:type="xsd:double"&gt;0.564327485380117&lt;/D&gt;&lt;/FQL&gt;&lt;FQL&gt;&lt;Q&gt;PASP-FDS^FG_PRICE(0)&lt;/Q&gt;&lt;R&gt;1&lt;/R&gt;&lt;C&gt;1&lt;/C&gt;&lt;D xsi:type="xsd:double"&gt;965&lt;/D&gt;&lt;/FQL&gt;&lt;FQL&gt;&lt;Q&gt;NI-FDS^FG_PRICE_CHANGE(0,-1AM)&lt;/Q&gt;&lt;R&gt;1&lt;/R&gt;&lt;C&gt;1&lt;/C&gt;&lt;D xsi:type="xsd:double"&gt;1.06968215158925&lt;/D&gt;&lt;/FQL&gt;&lt;FQL&gt;&lt;Q&gt;PLATI-FDS^FG_PRICE_CHANGE(0,-6AM)&lt;/Q&gt;&lt;R&gt;1&lt;/R&gt;&lt;C&gt;1&lt;/C&gt;&lt;D xsi:type="xsd:double"&gt;-6.41158221302999&lt;/D&gt;&lt;/FQL&gt;&lt;FQL&gt;&lt;Q&gt;BRENT-FDS^FG_PRICE(0)/MAX(FG_PRICE(0,-1AY))&lt;/Q&gt;&lt;R&gt;1&lt;/R&gt;&lt;C&gt;1&lt;/C&gt;&lt;D xsi:type="xsd:double"&gt;0.870614479821537&lt;/D&gt;&lt;/FQL&gt;&lt;FQL&gt;&lt;Q&gt;BRENT-FDS^FG_PRICE(0)&lt;/Q&gt;&lt;R&gt;1&lt;/R&gt;&lt;C&gt;1&lt;/C&gt;&lt;D xsi:type="xsd:double"&gt;85.86&lt;/D&gt;&lt;/FQL&gt;&lt;FQL&gt;&lt;Q&gt;COPP-FDS^FG_PRICE_CHANGE(0,-1AM)&lt;/Q&gt;&lt;R&gt;1&lt;/R&gt;&lt;C&gt;1&lt;/C&gt;&lt;D xsi:type="xsd:double"&gt;-1.15517905275319&lt;/D&gt;&lt;/FQL&gt;&lt;FQL&gt;&lt;Q&gt;TIOS-FDS^FG_PRICE_CHANGE(0,-6AM)&lt;/Q&gt;&lt;R&gt;1&lt;/R&gt;&lt;C&gt;1&lt;/C&gt;&lt;D xsi:type="xsd:double"&gt;20.063778899814&lt;/D&gt;&lt;/FQL&gt;&lt;FQL&gt;&lt;Q&gt;EWJ^P_PRICE(0,-200D)&lt;/Q&gt;&lt;R&gt;201&lt;/R&gt;&lt;C&gt;1&lt;/C&gt;&lt;D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xsi:type="xsd:double"&gt;62.61&lt;/D&gt;&lt;D xsi:type="xsd:double"&gt;62.22&lt;/D&gt;&lt;D xsi:type="xsd:double"&gt;61.52&lt;/D&gt;&lt;D xsi:type="xsd:double"&gt;61&lt;/D&gt;&lt;D xsi:type="xsd:double"&gt;63.04&lt;/D&gt;&lt;D xsi:type="xsd:double"&gt;61.78&lt;/D&gt;&lt;D xsi:type="xsd:double"&gt;62&lt;/D&gt;&lt;D xsi:type="xsd:double"&gt;60.83&lt;/D&gt;&lt;D xsi:type="xsd:double"&gt;59.34&lt;/D&gt;&lt;D xsi:type="xsd:double"&gt;59.86&lt;/D&gt;&lt;D xsi:type="xsd:double"&gt;60.25&lt;/D&gt;&lt;D xsi:type="xsd:double"&gt;60.05&lt;/D&gt;&lt;D xsi:type="xsd:double"&gt;59.71&lt;/D&gt;&lt;D xsi:type="xsd:double"&gt;60.35&lt;/D&gt;&lt;D xsi:type="xsd:double"&gt;61.23&lt;/D&gt;&lt;D xsi:type="xsd:double"&gt;60.96&lt;/D&gt;&lt;D xsi:type="xsd:double"&gt;60.86&lt;/D&gt;&lt;D xsi:type="xsd:double"&gt;60.85&lt;/D&gt;&lt;D xsi:type="xsd:double"&gt;60.44&lt;/D&gt;&lt;D xsi:type="xsd:double"&gt;60.56&lt;/D&gt;&lt;D xsi:type="xsd:double"&gt;60.2&lt;/D&gt;&lt;D xsi:type="xsd:double"&gt;59.91&lt;/D&gt;&lt;D xsi:type="xsd:double"&gt;59.74&lt;/D&gt;&lt;D xsi:type="xsd:double"&gt;60.04&lt;/D&gt;&lt;D xsi:type="xsd:double"&gt;59.4&lt;/D&gt;&lt;D xsi:type="xsd:double"&gt;59.53&lt;/D&gt;&lt;D xsi:type="xsd:double"&gt;58.74&lt;/D&gt;&lt;D xsi:type="xsd:double"&gt;58.63&lt;/D&gt;&lt;D xsi:type="xsd:double"&gt;58.28&lt;/D&gt;&lt;D xsi:type="xsd:double"&gt;58.77&lt;/D&gt;&lt;D xsi:type="xsd:double"&gt;58.84&lt;/D&gt;&lt;D xsi:type="xsd:double"&gt;59.31&lt;/D&gt;&lt;D xsi:type="xsd:double"&gt;58.36&lt;/D&gt;&lt;D xsi:type="xsd:double"&gt;58.57&lt;/D&gt;&lt;D xsi:type="xsd:double"&gt;58.98&lt;/D&gt;&lt;D xsi:type="xsd:double"&gt;59.01&lt;/D&gt;&lt;D xsi:type="xsd:double"&gt;58.68&lt;/D&gt;&lt;D xsi:type="xsd:double"&gt;58.49&lt;/D&gt;&lt;D xsi:type="xsd:double"&gt;58.96&lt;/D&gt;&lt;D xsi:type="xsd:double"&gt;58.61&lt;/D&gt;&lt;D xsi:type="xsd:double"&gt;58.44&lt;/D&gt;&lt;D xsi:type="xsd:double"&gt;58.88&lt;/D&gt;&lt;D xsi:type="xsd:double"&gt;58.07&lt;/D&gt;&lt;D xsi:type="xsd:double"&gt;57.88&lt;/D&gt;&lt;/FQL&gt;&lt;FQL&gt;&lt;Q&gt;QQQ^P_PRICE(0,-200D)&lt;/Q&gt;&lt;R&gt;201&lt;/R&gt;&lt;C&gt;1&lt;/C&gt;&lt;D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</t>
        </r>
      </text>
    </comment>
    <comment ref="A6" authorId="0" shapeId="0" xr:uid="{AFA4BE28-E5DA-4475-9526-41CDD99EC660}">
      <text>
        <r>
          <rPr>
            <b/>
            <sz val="9"/>
            <color indexed="81"/>
            <rFont val="Tahoma"/>
            <family val="2"/>
          </rPr>
          <t>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xsi:type="xsd:double"&gt;360.49&lt;/D&gt;&lt;D xsi:type="xsd:double"&gt;354.5&lt;/D&gt;&lt;D xsi:type="xsd:double"&gt;353.15&lt;/D&gt;&lt;D xsi:type="xsd:double"&gt;348.82&lt;/D&gt;&lt;D xsi:type="xsd:double"&gt;354.84&lt;/D&gt;&lt;D xsi:type="xsd:double"&gt;354.9&lt;/D&gt;&lt;D xsi:type="xsd:double"&gt;354.65&lt;/D&gt;&lt;D xsi:type="xsd:double"&gt;352.01&lt;/D&gt;&lt;D xsi:type="xsd:double"&gt;347.99&lt;/D&gt;&lt;D xsi:type="xsd:double"&gt;349.98&lt;/D&gt;&lt;D xsi:type="xsd:double"&gt;348.4&lt;/D&gt;&lt;D xsi:type="xsd:double"&gt;339.72&lt;/D&gt;&lt;D xsi:type="xsd:double"&gt;331.65&lt;/D&gt;&lt;D xsi:type="xsd:double"&gt;333.36&lt;/D&gt;&lt;D xsi:type="xsd:double"&gt;337.64&lt;/D&gt;&lt;D xsi:type="xsd:double"&gt;336.51&lt;/D&gt;&lt;D xsi:type="xsd:double"&gt;337.27&lt;/D&gt;&lt;D xsi:type="xsd:double"&gt;331.12&lt;/D&gt;&lt;D xsi:type="xsd:double"&gt;327.16&lt;/D&gt;&lt;D xsi:type="xsd:double"&gt;326.79&lt;/D&gt;&lt;D xsi:type="xsd:double"&gt;325.03&lt;/D&gt;&lt;D xsi:type="xsd:double"&gt;326.2&lt;/D&gt;&lt;D xsi:type="xsd:double"&gt;325.14&lt;/D&gt;&lt;D xsi:type="xsd:double"&gt;321.64&lt;/D&gt;&lt;D xsi:type="xsd:double"&gt;323.69&lt;/D&gt;&lt;D xsi:type="xsd:double"&gt;322.89&lt;/D&gt;&lt;D xsi:type="xsd:double"&gt;316.17&lt;/D&gt;&lt;D xsi:type="xsd:double"&gt;317.29&lt;/D&gt;&lt;D xsi:type="xsd:double"&gt;319.38&lt;/D&gt;&lt;D xsi:type="xsd:double"&gt;322.19&lt;/D&gt;&lt;D xsi:type="xsd:double"&gt;322.56&lt;/D&gt;&lt;D xsi:type="xsd:double"&gt;320.35&lt;/D&gt;&lt;D xsi:type="xsd:double"&gt;311.87&lt;/D&gt;&lt;D xsi:type="xsd:double"&gt;309.99&lt;/D&gt;&lt;D xsi:type="xsd:double"&gt;315.95&lt;/D&gt;&lt;D xsi:type="xsd:double"&gt;316.61&lt;/D&gt;&lt;D xsi:type="xsd:double"&gt;316.28&lt;/D&gt;&lt;D xsi:type="xsd:double"&gt;318.71&lt;/D&gt;&lt;D xsi:type="xsd:double"&gt;318.86&lt;/D&gt;&lt;D xsi:type="xsd:double"&gt;318.84&lt;/D&gt;&lt;D xsi:type="xsd:double"&gt;318.57&lt;/D&gt;&lt;D xsi:type="xsd:double"&gt;319.17&lt;/D&gt;&lt;D xsi:type="xsd:double"&gt;313.04&lt;/D&gt;&lt;D xsi:type="xsd:double"&gt;315.83&lt;/D&gt;&lt;/FQL&gt;&lt;FQL&gt;&lt;Q&gt;URTH^P_PRICE_RETURNS_PR('52W',2,-10AY,0,AM)&lt;/Q&gt;&lt;R&gt;121&lt;/R&gt;&lt;C&gt;1&lt;/C&gt;&lt;D xsi:type="xsd:double"&gt;18.422043&lt;/D&gt;&lt;D xsi:type="xsd:double"&gt;22.0693&lt;/D&gt;&lt;D xsi:type="xsd:double"&gt;18.680143&lt;/D&gt;&lt;D xsi:type="xsd:double"&gt;12.119174&lt;/D&gt;&lt;D xsi:type="xsd:double"&gt;13.549864&lt;/D&gt;&lt;D xsi:type="xsd:double"&gt;20.122742&lt;/D&gt;&lt;D xsi:type="xsd:double"&gt;16.561926&lt;/D&gt;&lt;D xsi:type="xsd:double"&gt;16.55444&lt;/D&gt;&lt;D xsi:type="xsd:double"&gt;9.959102&lt;/D&gt;&lt;D xsi:type="xsd:double"&gt;5.260384&lt;/D&gt;&lt;D xsi:type="xsd:double"&gt;9.026074&lt;/D&gt;&lt;D xsi:type="xsd:double"&gt;7.3597193&lt;/D&gt;&lt;D xsi:type="xsd:double"&gt;8.073175&lt;/D&gt;&lt;D xsi:type="xsd:double"&gt;8.666515&lt;/D&gt;&lt;D xsi:type="xsd:double"&gt;5.945146&lt;/D&gt;&lt;D xsi:type="xsd:double"&gt;8.491409&lt;/D&gt;&lt;D xsi:type="xsd:double"&gt;7.5877905&lt;/D&gt;&lt;D xsi:type="xsd:double"&gt;4.0584445&lt;/D&gt;&lt;D xsi:type="xsd:double"&gt;0.79710484&lt;/D&gt;&lt;D xsi:type="xsd:double"&gt;-5.5594683&lt;/D&gt;&lt;D xsi:type="xsd:double"&gt;-3.907591&lt;/D&gt;&lt;D xsi:type="xsd:double"&gt;4.19122&lt;/D&gt;&lt;D xsi:type="xsd:double"&gt;-0.2141118&lt;/D&gt;&lt;D xsi:type="xsd:double"&gt;-1.7270982&lt;/D&gt;&lt;D xsi:type="xsd:double"&gt;-8.492762&lt;/D&gt;&lt;D xsi:type="xsd:double"&gt;-10.681248&lt;/D&gt;&lt;D xsi:type="xsd:double"&gt;-6.3678083&lt;/D&gt;&lt;D xsi:type="xsd:double"&gt;-3.8263083&lt;/D&gt;&lt;D xsi:type="xsd:double"&gt;-4.2508783&lt;/D&gt;&lt;D xsi:type="xsd:double"&gt;-6.828153&lt;/D&gt;&lt;D xsi:type="xsd:double"&gt;0.60515404&lt;/D&gt;&lt;D xsi:type="xsd:double"&gt;8.703828&lt;/D&gt;&lt;D xsi:type="xsd:double"&gt;8.723867&lt;/D&gt;&lt;D xsi:type="xsd:double"&gt;2.2891521&lt;/D&gt;&lt;D xsi:type="xsd:double"&gt;3.1836271&lt;/D&gt;&lt;D xsi:type="xsd:double"&gt;6.832373&lt;/D&gt;&lt;D xsi:type="xsd:double"&gt;20.119202&lt;/D&gt;&lt;D xsi:type="xsd:double"&gt;22.648012&lt;/D&gt;&lt;D xsi:type="xsd:double"&gt;15.678763&lt;/D&gt;&lt;D xsi:type="xsd:double"&gt;13.93249&lt;/D&gt;&lt;D xsi:type="xsd:double"&gt;16.88416&lt;/D&gt;&lt;D xsi:type="xsd:double"&gt;21.984089&lt;/D&gt;&lt;D xsi:type="xsd:double"&gt;17.29462&lt;/D&gt;&lt;D xsi:type="xsd:double"&gt;14.828194&lt;/D&gt;&lt;D xsi:type="xsd:double"&gt;18.604982&lt;/D&gt;&lt;D xsi:type="xsd:double"&gt;21.848059&lt;/D&gt;&lt;D xsi:type="xsd:double"&gt;23.00266&lt;/D&gt;&lt;D xsi:type="xsd:double"&gt;21.955072&lt;/D&gt;&lt;D xsi:type="xsd:double"&gt;26.867508&lt;/D&gt;&lt;D xsi:type="xsd:double"&gt;19.93798&lt;/D&gt;&lt;D xsi:type="xsd:double"&gt;14.698052&lt;/D&gt;&lt;D xsi:type="xsd:double"&gt;13.515341&lt;/D&gt;&lt;D xsi:type="xsd:double"&gt;12.387705&lt;/D&gt;&lt;D xsi:type="xsd:double"&gt;10.766172&lt;/D&gt;&lt;D xsi:type="xsd:double"&gt;12.2068405&lt;/D&gt;&lt;D xsi:type="xsd:double"&gt;13.865685&lt;/D&gt;&lt;D xsi:type="xsd:double"&gt;12.690926&lt;/D&gt;&lt;D xsi:type="xsd:double"&gt;-0.1440525&lt;/D&gt;&lt;D xsi:type="xsd:double"&gt;-0.89175105&lt;/D&gt;&lt;D xsi:type="xsd:double"&gt;-10.10291&lt;/D&gt;&lt;D xsi:type="xsd:double"&gt;-8.182693&lt;/D&gt;&lt;D xsi:type="xsd:double"&gt;-1.0737658&lt;/D&gt;&lt;D xsi:type="xsd:double"&gt;3.6440134&lt;/D&gt;&lt;D xsi:type="xsd:double"&gt;6.2320232&lt;/D&gt;&lt;D xsi:type="xsd:double"&gt;1.4469743&lt;/D&gt;&lt;D xsi:type="xsd:double"&gt;5.630362&lt;/D&gt;&lt;D xsi:type="xsd:double"&gt;5.1909924&lt;/D&gt;&lt;D xsi:type="xsd:double"&gt;-0.22993684&lt;/D&gt;&lt;D xsi:type="xsd:double"&gt;2.2197366&lt;/D&gt;&lt;D xsi:type="xsd:double"&gt;13.333189&lt;/D&gt;&lt;D xsi:type="xsd:double"&gt;17.516624&lt;/D&gt;&lt;D xsi:type="xsd:double"&gt;30.661308&lt;/D&gt;&lt;D xsi:type="xsd:double"&gt;23.353624&lt;/D&gt;&lt;D xsi:type="xsd:double"&gt;9.966743&lt;/D&gt;&lt;D xsi:type="xsd:double"&gt;-8.577186&lt;/D&gt;&lt;D xsi:type="xsd:double"&gt;-6.1208606&lt;/D&gt;&lt;D xsi:type="xsd:double"&gt;2.678609&lt;/D&gt;&lt;D xsi:type="xsd:double"&gt;1.8135667&lt;/D&gt;&lt;D xsi:type="xsd:double"&gt;5.137384&lt;/D&gt;&lt;D xsi:type="xsd:double"&gt;18.548656&lt;/D&gt;&lt;D xsi:type="xsd:double"&gt;8.636272&lt;/D&gt;&lt;D xsi:type="xsd:double"&gt;9.283102&lt;/D&gt;&lt;D xsi:type="xsd:double"&gt;14.954889&lt;/D&gt;&lt;D xsi:type="xsd:double"&gt;15.067458&lt;/D&gt;&lt;D xsi:type="xsd:double"&gt;17.395365&lt;/D&gt;&lt;D xsi:type="xsd:double"&gt;23.021294&lt;/D&gt;&lt;D xsi:type="xsd:double"&gt;52.56722&lt;/D&gt;&lt;D xsi:type="xsd:double"&gt;51.01031&lt;/D&gt;&lt;D xsi:type="xsd:double"&gt;43.01907&lt;/D&gt;&lt;D xsi:type="xsd:double"&gt;39.65328&lt;/D&gt;&lt;D xsi:type="xsd:double"&gt;36.759937&lt;/D&gt;&lt;D xsi:type="xsd:double"&gt;29.022335&lt;/D&gt;&lt;D xsi:type="xsd:double"&gt;36.9895&lt;/D&gt;&lt;D xsi:type="xsd:double"&gt;34.696327&lt;/D&gt;&lt;D xsi:type="xsd:double"&gt;22.862673&lt;/D&gt;&lt;D xsi:type="xsd:double"&gt;22.847116&lt;/D&gt;&lt;D xsi:type="xsd:double"&gt;9.456718&lt;/D&gt;&lt;D xsi:type="xsd:double"&gt;10.289705&lt;/D&gt;&lt;D xsi:type="xsd:double"&gt;11.477399&lt;/D&gt;&lt;D xsi:type="xsd:double"&gt;-3.6896884&lt;/D&gt;&lt;D xsi:type="xsd:double"&gt;-5.7007194&lt;/D&gt;&lt;D xsi:type="xsd:double"&gt;-11.487526&lt;/D&gt;&lt;D xsi:type="xsd:double"&gt;-13.611979&lt;/D&gt;&lt;D xsi:type="xsd:double"&gt;-12.169045&lt;/D&gt;&lt;D xsi:type="xsd:double"&gt;-21.244658&lt;/D&gt;&lt;D xsi:type="xsd:double"&gt;-18.536228&lt;/D&gt;&lt;D xsi:type="xsd:double"&gt;-14.014233&lt;/D&gt;&lt;D xsi:type="xsd:double"&gt;-17.25486&lt;/D&gt;&lt;D xsi:type="xsd:double"&gt;-4.6200395&lt;/D&gt;&lt;D xsi:type="xsd:double"&gt;-5.65998&lt;/D&gt;&lt;D xsi:type="xsd:double"&gt;-9.990382&lt;/D&gt;&lt;D xsi:type="xsd:double"&gt;0.8449197&lt;/D&gt;&lt;D xsi:type="xsd:double"&gt;4.801297&lt;/D&gt;&lt;D xsi:type="xsd:double"&gt;12.317812&lt;/D&gt;&lt;D xsi:type="xsd:double"&gt;18.533802&lt;/D&gt;&lt;D xsi:type="xsd:double"&gt;7.0757627&lt;/D&gt;&lt;D xsi:type="xsd:double"&gt;20.331203&lt;/D&gt;&lt;D xsi:type="xsd:double"&gt;10.070348&lt;/D&gt;&lt;D xsi:type="xsd:double"&gt;13.721323&lt;/D&gt;&lt;D xsi:type="xsd:double"&gt;23.715508&lt;/D&gt;&lt;D xsi:type="xsd:double"&gt;17.761791&lt;/D&gt;&lt;/FQL&gt;&lt;FQL&gt;&lt;Q&gt;TLT^P_PRICE_RETURNS_PR('52W',2,-10AY,0,AM)&lt;/Q&gt;&lt;R&gt;121&lt;/R&gt;&lt;C&gt;1&lt;/C&gt;&lt;D xsi:type="xsd:double"&gt;-7.4387608&lt;/D&gt;&lt;D xsi:type="xsd:double"&gt;-6.2278214&lt;/D&gt;&lt;D xsi:type="xsd:double"&gt;-3.8431048&lt;/D&gt;&lt;D xsi:type="xsd:double"&gt;-6.06913&lt;/D&gt;&lt;D xsi:type="xsd:double"&gt;-0.29343963&lt;/D&gt;&lt;D xsi:type="xsd:double"&gt;7.804644&lt;/D&gt;&lt;D xsi:type="xsd:double"&gt;11.113715&lt;/D&gt;&lt;D xsi:type="xsd:double"&gt;15.605545&lt;/D&gt;&lt;D xsi:type="xsd:double"&gt;12.63386&lt;/D&gt;&lt;D xsi:type="xsd:double"&gt;14.512491&lt;/D&gt;&lt;D xsi:type="xsd:double"&gt;19.867336&lt;/D&gt;&lt;D xsi:type="xsd:double"&gt;25.475323&lt;/D&gt;&lt;D xsi:type="xsd:double"&gt;28.727436&lt;/D&gt;&lt;D xsi:type="xsd:double"&gt;22.503399&lt;/D&gt;&lt;D xsi:type="xsd:double"&gt;21.690464&lt;/D&gt;&lt;D xsi:type="xsd:double"&gt;19.381916&lt;/D&gt;&lt;D xsi:type="xsd:double"&gt;11.694384&lt;/D&gt;&lt;D xsi:type="xsd:double"&gt;4.398358&lt;/D&gt;&lt;D xsi:type="xsd:double"&gt;9.0640545&lt;/D&gt;&lt;D xsi:type="xsd:double"&gt;6.672466&lt;/D&gt;&lt;D xsi:type="xsd:double"&gt;7.3931932&lt;/D&gt;&lt;D xsi:type="xsd:double"&gt;6.2950134&lt;/D&gt;&lt;D xsi:type="xsd:double"&gt;2.4907112&lt;/D&gt;&lt;D xsi:type="xsd:double"&gt;0.80806017&lt;/D&gt;&lt;D xsi:type="xsd:double"&gt;-3.75821&lt;/D&gt;&lt;D xsi:type="xsd:double"&gt;4.1140795&lt;/D&gt;&lt;D xsi:type="xsd:double"&gt;0.16235113&lt;/D&gt;&lt;D xsi:type="xsd:double"&gt;1.0981202&lt;/D&gt;&lt;D xsi:type="xsd:double"&gt;8.886349&lt;/D&gt;&lt;D xsi:type="xsd:double"&gt;19.033348&lt;/D&gt;&lt;D xsi:type="xsd:double"&gt;17.282688&lt;/D&gt;&lt;D xsi:type="xsd:double"&gt;16.255749&lt;/D&gt;&lt;D xsi:type="xsd:double"&gt;16.025352&lt;/D&gt;&lt;D xsi:type="xsd:double"&gt;9.12627&lt;/D&gt;&lt;D xsi:type="xsd:double"&gt;2.1327376&lt;/D&gt;&lt;D xsi:type="xsd:double"&gt;-0.199157&lt;/D&gt;&lt;D xsi:type="xsd:double"&gt;-3.1774342&lt;/D&gt;&lt;D xsi:type="xsd:double"&gt;-4.7437725&lt;/D&gt;&lt;D xsi:type="xsd:double"&gt;-4.407078&lt;/D&gt;&lt;D xsi:type="xsd:double"&gt;-1.6862512&lt;/D&gt;&lt;D xsi:type="xsd:double"&gt;-2.717483&lt;/D&gt;&lt;D xsi:type="xsd:double"&gt;-3.2167077&lt;/D&gt;&lt;D xsi:type="xsd:double"&gt;-8.692593&lt;/D&gt;&lt;D xsi:type="xsd:double"&gt;-6.213546&lt;/D&gt;&lt;D xsi:type="xsd:double"&gt;-5.598503&lt;/D&gt;&lt;D xsi:type="xsd:double"&gt;-5.00108&lt;/D&gt;&lt;D xsi:type="xsd:double"&gt;7.8231096&lt;/D&gt;&lt;D xsi:type="xsd:double"&gt;8.686376&lt;/D&gt;&lt;D xsi:type="xsd:double"&gt;6.30461&lt;/D&gt;&lt;D xsi:type="xsd:double"&gt;-0.7049203&lt;/D&gt;&lt;D xsi:type="xsd:double"&gt;1.534009&lt;/D&gt;&lt;D xsi:type="xsd:double"&gt;-0.944978&lt;/D&gt;&lt;D xsi:type="xsd:double"&gt;-0.4941702&lt;/D&gt;&lt;D xsi:type="xsd:double"&gt;-3.2654285&lt;/D&gt;&lt;D xsi:type="xsd:double"&gt;-1.1539161&lt;/D&gt;&lt;D xsi:type="xsd:double"&gt;-1.0784447&lt;/D&gt;&lt;D xsi:type="xsd:double"&gt;-4.881954&lt;/D&gt;&lt;D xsi:type="xsd:double"&gt;-3.600943&lt;/D&gt;&lt;D xsi:type="xsd:double"&gt;-6.983173&lt;/D&gt;&lt;D xsi:type="xsd:double"&gt;-1.4784455&lt;/D&gt;&lt;D xsi:type="xsd:double"&gt;-0.1904428&lt;/D&gt;&lt;D xsi:type="xsd:double"&gt;5.905926&lt;/D&gt;&lt;D xsi:type="xsd:double"&gt;7.2696686&lt;/D&gt;&lt;D xsi:type="xsd:double"&gt;7.8430653&lt;/D&gt;&lt;D xsi:type="xsd:double"&gt;10.444832&lt;/D&gt;&lt;D xsi:type="xsd:double"&gt;12.062335&lt;/D&gt;&lt;D xsi:type="xsd:double"&gt;13.204754&lt;/D&gt;&lt;D xsi:type="xsd:double"&gt;22.035515&lt;/D&gt;&lt;D xsi:type="xsd:double"&gt;24.335802&lt;/D&gt;&lt;D xsi:type="xsd:double"&gt;24.289501&lt;/D&gt;&lt;D xsi:type="xsd:double"&gt;25.907278&lt;/D&gt;&lt;D xsi:type="xsd:double"&gt;16.978645&lt;/D&gt;&lt;D xsi:type="xsd:double"&gt;20.07538&lt;/D&gt;&lt;D xsi:type="xsd:double"&gt;26.173569&lt;/D&gt;&lt;D xsi:type="xsd:double"&gt;33.61149&lt;/D&gt;&lt;D xsi:type="xsd:double"&gt;41.21524&lt;/D&gt;&lt;D xsi:type="xsd:double"&gt;30.454885&lt;/D&gt;&lt;D xsi:type="xsd:double"&gt;27.703476&lt;/D&gt;&lt;D xsi:type="xsd:double"&gt;31.248295&lt;/D&gt;&lt;D xsi:type="xsd:double"&gt;14.889229&lt;/D&gt;&lt;D xsi:type="xsd:double"&gt;18.76371&lt;/D&gt;&lt;D xsi:type="xsd:double"&gt;17.066849&lt;/D&gt;&lt;D xsi:type="xsd:double"&gt;14.9156685&lt;/D&gt;&lt;D xsi:type="xsd:double"&gt;16.651476&lt;/D&gt;&lt;D xsi:type="xsd:double"&gt;9.55646&lt;/D&gt;&lt;D xsi:type="xsd:double"&gt;-3.3796608&lt;/D&gt;&lt;D xsi:type="xsd:double"&gt;-15.157443&lt;/D&gt;&lt;D xsi:type="xsd:double"&gt;-16.98922&lt;/D&gt;&lt;D xsi:type="xsd:double"&gt;-13.554251&lt;/D&gt;&lt;D xsi:type="xsd:double"&gt;-11.900645&lt;/D&gt;&lt;D xsi:type="xsd:double"&gt;-11.51278&lt;/D&gt;&lt;D xsi:type="xsd:double"&gt;-8.183277&lt;/D&gt;&lt;D xsi:type="xsd:double"&gt;-9.721565&lt;/D&gt;&lt;D xsi:type="xsd:double"&gt;-7.659757&lt;/D&gt;&lt;D xsi:type="xsd:double"&gt;-3.7003458&lt;/D&gt;&lt;D xsi:type="xsd:double"&gt;-3.742987&lt;/D&gt;&lt;D xsi:type="xsd:double"&gt;-6.9876013&lt;/D&gt;&lt;D xsi:type="xsd:double"&gt;0.33932924&lt;/D&gt;&lt;D xsi:type="xsd:double"&gt;-4.707986&lt;/D&gt;&lt;D xsi:type="xsd:double"&gt;-11.0844555&lt;/D&gt;&lt;D xsi:type="xsd:double"&gt;-13.294119&lt;/D&gt;&lt;D xsi:type="xsd:double"&gt;-20.264603&lt;/D&gt;&lt;D xsi:type="xsd:double"&gt;-19.28934&lt;/D&gt;&lt;D xsi:type="xsd:double"&gt;-22.102076&lt;/D&gt;&lt;D xsi:type="xsd:double"&gt;-28.10849&lt;/D&gt;&lt;D xsi:type="xsd:double"&gt;-32.206665&lt;/D&gt;&lt;D xsi:type="xsd:double"&gt;-28.44571&lt;/D&gt;&lt;D xsi:type="xsd:double"&gt;-29.605902&lt;/D&gt;&lt;D xsi:type="xsd:double"&gt;-22.076834&lt;/D&gt;&lt;D xsi:type="xsd:double"&gt;-24.362064&lt;/D&gt;&lt;D xsi:type="xsd:double"&gt;-15.993285&lt;/D&gt;&lt;D xsi:type="xsd:double"&gt;-11.236745&lt;/D&gt;&lt;D xsi:type="xsd:double"&gt;-12.544805&lt;/D&gt;&lt;D xsi:type="xsd:double"&gt;-5.4773865&lt;/D&gt;&lt;D xsi:type="xsd:double"&gt;-11.268473&lt;/D&gt;&lt;D xsi:type="xsd:double"&gt;-12.995428&lt;/D&gt;&lt;D xsi:type="xsd:double"&gt;-11.599994&lt;/D&gt;&lt;D xsi:type="xsd:double"&gt;-9.330988&lt;/D&gt;&lt;D xsi:type="xsd:double"&gt;-10.141831&lt;/D&gt;&lt;D xsi:type="xsd:double"&gt;0.030183792&lt;/D&gt;&lt;D xsi:type="xsd:double"&gt;-9.29349&lt;/D&gt;&lt;/FQL&gt;&lt;FQL&gt;&lt;Q&gt;EMXC^P_PRICE(0,-200D)&lt;/Q&gt;&lt;R&gt;201&lt;/R&gt;&lt;C&gt;1&lt;/C&gt;&lt;D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xsi:type="xsd:double"&gt;52.35&lt;/D&gt;&lt;D xsi:type="xsd:double"&gt;52.19&lt;/D&gt;&lt;D xsi:type="xsd:double"&gt;51.85&lt;/D&gt;&lt;D xsi:type="xsd:double"&gt;51.53&lt;/D&gt;&lt;D xsi:type="xsd:double"&gt;51.98&lt;/D&gt;&lt;D xsi:type="xsd:double"&gt;51.64&lt;/D&gt;&lt;D xsi:type="xsd:double"&gt;51.63&lt;/D&gt;&lt;D xsi:type="xsd:double"&gt;50.96&lt;/D&gt;&lt;D xsi:type="xsd:double"&gt;50.33&lt;/D&gt;&lt;D xsi:type="xsd:double"&gt;50.89&lt;/D&gt;&lt;D xsi:type="xsd:double"&gt;51.19&lt;/D&gt;&lt;D xsi:type="xsd:double"&gt;50.32&lt;/D&gt;&lt;D xsi:type="xsd:double"&gt;50.05&lt;/D&gt;&lt;D xsi:type="xsd:double"&gt;50.14&lt;/D&gt;&lt;D xsi:type="xsd:double"&gt;50.61&lt;/D&gt;&lt;D xsi:type="xsd:double"&gt;50.38&lt;/D&gt;&lt;D xsi:type="xsd:double"&gt;50.26&lt;/D&gt;&lt;D xsi:type="xsd:double"&gt;50.22&lt;/D&gt;&lt;D xsi:type="xsd:double"&gt;49.7&lt;/D&gt;&lt;D xsi:type="xsd:double"&gt;50.02&lt;/D&gt;&lt;D xsi:type="xsd:double"&gt;49.57&lt;/D&gt;&lt;D xsi:type="xsd:double"&gt;49.9&lt;/D&gt;&lt;D xsi:type="xsd:double"&gt;50.33&lt;/D&gt;&lt;D xsi:type="xsd:double"&gt;50.2&lt;/D&gt;&lt;D xsi:type="xsd:double"&gt;50.32&lt;/D&gt;&lt;D xsi:type="xsd:double"&gt;50.32&lt;/D&gt;&lt;D xsi:type="xsd:double"&gt;49.67&lt;/D&gt;&lt;D xsi:type="xsd:double"&gt;49.43&lt;/D&gt;&lt;D xsi:type="xsd:double"&gt;49.45&lt;/D&gt;&lt;D xsi:type="xsd:double"&gt;49.75&lt;/D&gt;&lt;D xsi:type="xsd:double"&gt;49.9&lt;/D&gt;&lt;D xsi:type="xsd:double"&gt;49.67&lt;/D&gt;&lt;D xsi:type="xsd:double"&gt;48.97&lt;/D&gt;&lt;D xsi:type="xsd:double"&gt;48.83&lt;/D&gt;&lt;D xsi:type="xsd:double"&gt;49.6&lt;/D&gt;&lt;D xsi:type="xsd:double"&gt;49.53&lt;/D&gt;&lt;D xsi:type="xsd:double"&gt;49.77&lt;/D&gt;&lt;D xsi:type="xsd:double"&gt;49.715&lt;/D&gt;&lt;D xsi:type="xsd:double"&gt;50.23&lt;/D&gt;&lt;D xsi:type="xsd:double"&gt;50.28&lt;/D&gt;&lt;D xsi:type="xsd:double"&gt;50.4&lt;/D&gt;&lt;D xsi:type="xsd:double"&gt;50.64&lt;/D&gt;&lt;D xsi:type="xsd:double"&gt;50.07&lt;/D&gt;&lt;D xsi:type="xsd:double"&gt;49.99&lt;/D&gt;&lt;/FQL&gt;&lt;FQL&gt;&lt;Q&gt;VWO^JULIAN(P_PRICE_RETURNS_PR('52W',2,-10AY,0,AM).DATES)&lt;/Q&gt;&lt;R&gt;121&lt;/R&gt;&lt;C&gt;1&lt;/C&gt;&lt;D xsi:type="xsd:long"&gt;41663&lt;/D&gt;&lt;D xsi:type="xsd:long"&gt;41696&lt;/D&gt;&lt;D xsi:type="xsd:long"&gt;41724&lt;/D&gt;&lt;D xsi:type="xsd:long"&gt;41754&lt;/D&gt;&lt;D xsi:type="xsd:long"&gt;41782&lt;/D&gt;&lt;D xsi:type="xsd:long"&gt;41816&lt;/D&gt;&lt;D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xsi:type="xsd:long"&gt;45317&lt;/D&gt;&lt;/FQL&gt;&lt;FQL&gt;&lt;Q&gt;CPALM-FDS^FG_PRICE_CHANGE(0,-1AY)&lt;/Q&gt;&lt;R&gt;1&lt;/R&gt;&lt;C&gt;1&lt;/C&gt;&lt;D xsi:type="xsd:double"&gt;6.3790365272631&lt;/D&gt;&lt;/FQL&gt;&lt;FQL&gt;&lt;Q&gt;PASP-FDS^FG_PRICE_CHANGE(0,-3AM)&lt;/Q&gt;&lt;R&gt;1&lt;/R&gt;&lt;C&gt;1&lt;/C&gt;&lt;D xsi:type="xsd:double"&gt;-14.9779735682819&lt;/D&gt;&lt;/FQL&gt;&lt;FQL&gt;&lt;Q&gt;PLATI-FDS^FG_PRICE_CHANGE(0,-1AY)&lt;/Q&gt;&lt;R&gt;1&lt;/R&gt;&lt;C&gt;1&lt;/C&gt;&lt;D xsi:type="xsd:double"&gt;-12.9807692307692&lt;/D&gt;&lt;/FQL&gt;&lt;FQL&gt;&lt;Q&gt;COPP-FDS^MAX(FG_PRICE(0,-5AY))&lt;/Q&gt;&lt;R&gt;1&lt;/R&gt;&lt;C&gt;1&lt;/C&gt;&lt;D xsi:type="xsd:double"&gt;4.929&lt;/D&gt;&lt;/FQL&gt;&lt;FQL&gt;&lt;Q&gt;TIOS-FDS^FG_PRICE_CHANGE(0,-3AM)&lt;/Q&gt;&lt;R&gt;1&lt;/R&gt;&lt;C&gt;1&lt;/C&gt;&lt;D xsi:type="xsd:double"&gt;14.4280287040945&lt;/D&gt;&lt;/FQL&gt;&lt;FQL&gt;&lt;Q&gt;FC0000US^FG_PRICE(0)&lt;/Q&gt;&lt;R&gt;1&lt;/R&gt;&lt;C&gt;1&lt;/C&gt;&lt;D xsi:type="xsd:double"&gt;368.2897&lt;/D&gt;&lt;/FQL&gt;&lt;FQL&gt;&lt;Q&gt;FC0000GB^FG_PRICE(0)&lt;/Q&gt;&lt;R&gt;1&lt;/R&gt;&lt;C&gt;1&lt;/C&gt;&lt;D xsi:type="xsd:double"&gt;119.17794&lt;/D&gt;&lt;/FQL&gt;&lt;FQL&gt;&lt;Q&gt;FC0000GR^FG_PRICE(0)&lt;/Q&gt;&lt;R&gt;1&lt;/R&gt;&lt;C&gt;1&lt;/C&gt;&lt;D xsi:type="xsd:double"&gt;9.324532&lt;/D&gt;&lt;/FQL&gt;&lt;FQL&gt;&lt;Q&gt;FC0000AU^FG_PRICE(0)&lt;/Q&gt;&lt;R&gt;1&lt;/R&gt;&lt;C&gt;1&lt;/C&gt;&lt;D xsi:type="xsd:double"&gt;347.62616&lt;/D&gt;&lt;/FQL&gt;&lt;FQL&gt;&lt;Q&gt;EWD^FG_PRICE_MAVG(0,,,,30)&lt;/Q&gt;&lt;R&gt;1&lt;/R&gt;&lt;C&gt;1&lt;/C&gt;&lt;D xsi:type="xsd:double"&gt;38.146667&lt;/D&gt;&lt;/FQL&gt;&lt;FQL&gt;&lt;Q&gt;SPY^FG_PRICE_MAVG(0,,,,200)&lt;/Q&gt;&lt;R&gt;1&lt;/R&gt;&lt;C&gt;1&lt;/C&gt;&lt;D xsi:type="xsd:double"&gt;441.196&lt;/D&gt;&lt;/FQL&gt;&lt;FQL&gt;&lt;Q&gt;EWU^FG_PRICE_MAVG(0,,,,30)&lt;/Q&gt;&lt;R&gt;1&lt;/R&gt;&lt;C&gt;1&lt;/C&gt;&lt;D xsi:type="xsd:double"&gt;32.683666&lt;/D&gt;&lt;/FQL&gt;&lt;FQL&gt;&lt;Q&gt;EWA^FG_PRICE(0)&lt;/Q&gt;&lt;R&gt;1&lt;/R&gt;&lt;C&gt;1&lt;/C&gt;&lt;D xsi:type="xsd:double"&gt;23.69&lt;/D&gt;&lt;/FQL&gt;&lt;FQL&gt;&lt;Q&gt;EWD^FG_COMPANY_NAME&lt;/Q&gt;&lt;R&gt;1&lt;/R&gt;&lt;C&gt;1&lt;/C&gt;&lt;D xsi:type="xsd:string"&gt;iShares MSCI Sweden ETF&lt;/D&gt;&lt;/FQL&gt;&lt;FQL&gt;&lt;Q&gt;EWA^FG_COMPANY_NAME&lt;/Q&gt;&lt;R&gt;1&lt;/R&gt;&lt;C&gt;1&lt;/C&gt;&lt;D xsi:type="xsd:string"&gt;iShares MSCI Australia ETF&lt;/D&gt;&lt;/FQL&gt;&lt;FQL&gt;&lt;Q&gt;EWG^FG_COMPANY_NAME&lt;/Q&gt;&lt;R&gt;1&lt;/R&gt;&lt;C&gt;1&lt;/C&gt;&lt;D xsi:type="xsd:string"&gt;iShares MSCI Germany ETF&lt;/D&gt;&lt;/FQL&gt;&lt;FQL&gt;&lt;Q&gt;IWM^FG_TOTAL_RETURNC(0,-6AM)&lt;/Q&gt;&lt;R&gt;1&lt;/R&gt;&lt;C&gt;1&lt;/C&gt;&lt;D xsi:type="xsd:double"&gt;0.60464144&lt;/D&gt;&lt;/FQL&gt;&lt;FQL&gt;&lt;Q&gt;INDA^P_PRICE(0)/P_PRICE_LOW_PR(0,,,USD,,,"PRICE","INTRA","52W")-1&lt;/Q&gt;&lt;R&gt;1&lt;/R&gt;&lt;C&gt;1&lt;/C&gt;&lt;D xsi:type="xsd:double"&gt;0.30252874&lt;/D&gt;&lt;/FQL&gt;&lt;FQL&gt;&lt;Q&gt;VGK^P_PRICE(0)/P_PRICE_HIGH_PR(0,,,USD,,,"PRICE","INTRA","52W")&lt;/Q&gt;&lt;R&gt;1&lt;/R&gt;&lt;C&gt;1&lt;/C&gt;&lt;D xsi:type="xsd:double"&gt;0.9848263&lt;/D&gt;&lt;/FQL&gt;&lt;FQL&gt;&lt;Q&gt;EWD^FG_TOTAL_RETURNC(0,-3AM)&lt;/Q&gt;&lt;R&gt;1&lt;/R&gt;&lt;C&gt;1&lt;/C&gt;&lt;D xsi:type="xsd:double"&gt;23.148298&lt;/D&gt;&lt;/FQL&gt;&lt;FQL&gt;&lt;Q&gt;SPY^P_PRICE(0)/P_PRICE_HIGH_PR(0,,,USD,,,"PRICE","INTRA","52W")&lt;/Q&gt;&lt;R&gt;1&lt;/R&gt;&lt;C&gt;1&lt;/C&gt;&lt;D xsi:type="xsd:double"&gt;0.99650395&lt;/D&gt;&lt;/FQL&gt;&lt;FQL&gt;&lt;Q&gt;EWL^P_PRICE(0)/P_PRICE_LOW_PR(0,,,USD,,,"PRICE","INTRA","52W")-1&lt;/Q&gt;&lt;R&gt;1&lt;/R&gt;&lt;C&gt;1&lt;/C&gt;&lt;D xsi:type="xsd:double"&gt;0.15090251&lt;/D&gt;&lt;/FQL&gt;&lt;FQL&gt;&lt;Q&gt;EWG^FG_TOTAL_RETURNC(0,-6AM)&lt;/Q&gt;&lt;R&gt;1&lt;/R&gt;&lt;C&gt;1&lt;/C&gt;&lt;D xsi:type="xsd:double"&gt;1.4901161&lt;/D&gt;&lt;/FQL&gt;&lt;FQL&gt;&lt;Q&gt;ENZL^P_PRICE(0)/P_PRICE_LOW_PR(0,,,USD,,,"PRICE","INTRA","52W")-1&lt;/Q&gt;&lt;R&gt;1&lt;/R&gt;&lt;C&gt;1&lt;/C&gt;&lt;D xsi:type="xsd:double"&gt;0.1430633&lt;/D&gt;&lt;/FQL&gt;&lt;FQL&gt;&lt;Q&gt;SPY^FMA_PCT_ABOVE_MAVG(200,0,,,,"PORTAGG")&lt;/Q&gt;&lt;R&gt;1&lt;/R&gt;&lt;C&gt;1&lt;/C&gt;&lt;D xsi:type="xsd:double"&gt;70.1195219123506&lt;/D&gt;&lt;/FQL&gt;&lt;FQL&gt;&lt;Q&gt;VGK^PERCENT_CHANGE(FMA_EPS(+1,0,,,,"PORTAGG","MEAN"),FMA_EPS(+1,-3AM,,,,"PORTAGG","MEAN"))&lt;/Q&gt;&lt;R&gt;1&lt;/R&gt;&lt;C&gt;1&lt;/C&gt;&lt;D xsi:type="xsd:double"&gt;2.13812512841139&lt;/D&gt;&lt;/FQL&gt;&lt;FQL&gt;&lt;Q&gt;EWN^PERCENT_CHANGE(FMA_EPS(+1,0,,,,"PORTAGG","MEAN"),FMA_EPS(+1,-1AM,,,,"PORTAGG","MEAN"))&lt;/Q&gt;&lt;R&gt;1&lt;/R&gt;&lt;C&gt;1&lt;/C&gt;&lt;D xsi:type="xsd:double"&gt;-2.81773580255581&lt;/D&gt;&lt;/FQL&gt;&lt;FQL&gt;&lt;Q&gt;EWU^PERCENT_CHANGE(FMA_EPS(+1,0,,,,"PORTAGG","MEAN"),FMA_EPS(+1,-3AM,,,,"PORTAGG","MEAN"))&lt;/Q&gt;&lt;R&gt;1&lt;/R&gt;&lt;C&gt;1&lt;/C&gt;&lt;D xsi:type="xsd:double"&gt;-5.146670697028&lt;/D&gt;&lt;/FQL&gt;&lt;FQL&gt;&lt;Q&gt;EWG^PERCENT_CHANGE(FMA_EPS(+1,0,,,,"PORTAGG","MEAN"),FMA_EPS(+1,-1AM,,,,"PORTAGG","MEAN"))&lt;/Q&gt;&lt;R&gt;1&lt;/R&gt;&lt;C&gt;1&lt;/C&gt;&lt;D xsi:type="xsd:double"&gt;-3.77328064175356&lt;/D&gt;&lt;/FQL&gt;&lt;FQL&gt;&lt;Q&gt;ENZL^FMA_PCT_ABOVE_MAVG(200,0,,,,"PORTAGG")&lt;/Q&gt;&lt;R&gt;1&lt;/R&gt;&lt;C&gt;1&lt;/C&gt;&lt;D xsi:type="xsd:double"&gt;50&lt;/D&gt;&lt;/FQL&gt;&lt;FQL&gt;&lt;Q&gt;EWJ^FMA_COS_UP("EPS","1M",+1,0,,,"PORTAGG","MEANR")&lt;/Q&gt;&lt;R&gt;1&lt;/R&gt;&lt;C&gt;1&lt;/C&gt;&lt;D xsi:type="xsd:double"&gt;87&lt;/D&gt;&lt;/FQL&gt;&lt;FQL&gt;&lt;Q&gt;EWI^SIZE(FG_CONSTITUENTS)&lt;/Q&gt;&lt;R&gt;1&lt;/R&gt;&lt;C&gt;1&lt;/C&gt;&lt;D xsi:type="xsd:long"&gt;26&lt;/D&gt;&lt;/FQL&gt;&lt;FQL&gt;&lt;Q&gt;EWQ^FMA_COS_DOWN("EPS","1M",+1,0,,,"PORTAGG","MEANR")&lt;/Q&gt;&lt;R&gt;1&lt;/R&gt;&lt;C&gt;1&lt;/C&gt;&lt;D xsi:type="xsd:double"&gt;33&lt;/D&gt;&lt;/FQL&gt;&lt;FQL&gt;&lt;Q&gt;EWL^SIZE(FG_CONSTITUENTS)&lt;/Q&gt;&lt;R&gt;1&lt;/R&gt;&lt;C&gt;1&lt;/C&gt;&lt;D xsi:type="xsd:long"&gt;47&lt;/D&gt;&lt;/FQL&gt;&lt;FQL&gt;&lt;Q&gt;EWC^FMA_COS_DOWN("EPS","1M",+1,0,,,"PORTAGG","MEANR")&lt;/Q&gt;&lt;R&gt;1&lt;/R&gt;&lt;C&gt;1&lt;/C&gt;&lt;D xsi:type="xsd:double"&gt;34&lt;/D&gt;&lt;/FQL&gt;&lt;FQL&gt;&lt;Q&gt;EWN^FG_COMPANY_NAME&lt;/Q&gt;&lt;R&gt;1&lt;/R&gt;&lt;C&gt;1&lt;/C&gt;&lt;D xsi:type="xsd:string"&gt;iShares MSCI Netherlands ETF&lt;/D&gt;&lt;/FQL&gt;&lt;FQL&gt;&lt;Q&gt;PLATI-FDS^FG_PRICE_CHANGE(0,-3AM)&lt;/Q&gt;&lt;R&gt;1&lt;/R&gt;&lt;C&gt;1&lt;/C&gt;&lt;D xsi:type="xsd:double"&gt;-1.4161220043573&lt;/D&gt;&lt;/FQL&gt;&lt;FQL&gt;&lt;Q&gt;COPP-FDS^FG_PRICE(0)/MAX(FG_PRICE(0,-1AY))&lt;/Q&gt;&lt;R&gt;1&lt;/R&gt;&lt;C&gt;1&lt;/C&gt;&lt;D xsi:type="xsd:double"&gt;0.902390438247012&lt;/D&gt;&lt;/FQL&gt;&lt;FQL&gt;&lt;Q&gt;TIOS-FDS^FG_PRICE_CHANGE(0,-1AM)&lt;/Q&gt;&lt;R&gt;1&lt;/R&gt;&lt;C&gt;1&lt;/C&gt;&lt;D xsi:type="xsd:double"&gt;-0.154696132596688&lt;/D&gt;&lt;/FQL&gt;&lt;FQL&gt;&lt;Q&gt;FC0000CH^FG_PRICE(0)&lt;/Q&gt;&lt;R&gt;1&lt;/R&gt;&lt;C&gt;1&lt;/C&gt;&lt;D xsi:type="xsd:double"&gt;330.17142&lt;/D&gt;&lt;/FQL&gt;&lt;FQL&gt;&lt;Q&gt;FC0000NZ^FG_PRICE(0)&lt;/Q&gt;&lt;R&gt;1&lt;/R&gt;&lt;C&gt;1&lt;/C&gt;&lt;D xsi:type="xsd:double"&gt;394.01794&lt;/D&gt;&lt;/FQL&gt;&lt;FQL&gt;&lt;Q&gt;SPY^FG_PRICE_MAVG(0,,,,60)&lt;/Q&gt;&lt;R&gt;1&lt;/R&gt;&lt;C&gt;1&lt;/C&gt;&lt;D xsi:type="xsd:double"&gt;461.79333&lt;/D&gt;&lt;/FQL&gt;&lt;FQL&gt;&lt;Q&gt;EWU^FG_PRICE(0)&lt;/Q&gt;&lt;R&gt;1&lt;/R&gt;&lt;C&gt;1&lt;/C&gt;&lt;D xsi:type="xsd:double"&gt;32.64&lt;/D&gt;&lt;/FQL&gt;&lt;FQL&gt;&lt;Q&gt;EWG^FG_PRICE_MAVG(0,,,,60)&lt;/Q&gt;&lt;R&gt;1&lt;/R&gt;&lt;C&gt;1&lt;/C&gt;&lt;D xsi:type="xsd:double"&gt;28.4035&lt;/D&gt;&lt;/FQL&gt;&lt;FQL&gt;&lt;Q&gt;ENZL^FG_PRICE_MAVG(0,,,,200)&lt;/Q&gt;&lt;R&gt;1&lt;/R&gt;&lt;C&gt;1&lt;/C&gt;&lt;D xsi:type="xsd:double"&gt;46.927845&lt;/D&gt;&lt;/FQL&gt;&lt;FQL&gt;&lt;Q&gt;ENZL^FG_COMPANY_NAME&lt;/Q&gt;&lt;R&gt;1&lt;/R&gt;&lt;C&gt;1&lt;/C&gt;&lt;D xsi:type="xsd:string"&gt;iShares MSCI New Zealand ETF&lt;/D&gt;&lt;/FQL&gt;&lt;FQL&gt;&lt;Q&gt;IWM^FG_TOTAL_RETURNC(0,-3AM)&lt;/Q&gt;&lt;R&gt;1&lt;/R&gt;&lt;C&gt;1&lt;/C&gt;&lt;D xsi:type="xsd:double"&gt;19.844496&lt;/D&gt;&lt;/FQL&gt;&lt;FQL&gt;&lt;Q&gt;INDA^P_PRICE(0)/P_PRICE_HIGH_PR(0,,,USD,,,"PRICE","INTRA","52W")&lt;/Q&gt;&lt;R&gt;1&lt;/R&gt;&lt;C&gt;1&lt;/C&gt;&lt;D xsi:type="xsd:double"&gt;0.97988045&lt;/D&gt;&lt;/FQL&gt;&lt;FQL&gt;&lt;Q&gt;EWJ^FG_TOTAL_RETURNC(0,-3AM)&lt;/Q&gt;&lt;R&gt;1&lt;/R&gt;&lt;C&gt;1&lt;/C&gt;&lt;D xsi:type="xsd:double"&gt;15.646446&lt;/D&gt;&lt;/FQL&gt;&lt;FQL&gt;&lt;Q&gt;VGK^FG_TOTAL_RETURNC(0,-6AM)&lt;/Q&gt;&lt;R&gt;1&lt;/R&gt;&lt;C&gt;1&lt;/C&gt;&lt;D xsi:type="xsd:double"&gt;2.1065354&lt;/D&gt;&lt;/FQL&gt;&lt;FQL&gt;&lt;Q&gt;EWN^P_PRICE(0)/P_PRICE_LOW_PR(0,,,USD,,,"PRICE","INTRA","52W")-1&lt;/Q&gt;&lt;R&gt;1&lt;/R&gt;&lt;C&gt;1&lt;/C&gt;&lt;D xsi:type="xsd:double"&gt;0.26591337&lt;/D&gt;&lt;/FQL&gt;&lt;FQL&gt;&lt;Q&gt;SPY^FG_TOTAL_RETURNC(0,-6AM)&lt;/Q&gt;&lt;R&gt;1&lt;/R&gt;&lt;C&gt;1&lt;/C&gt;&lt;D xsi:type="xsd:double"&gt;7.8213453&lt;/D&gt;&lt;/FQL&gt;&lt;FQL&gt;&lt;Q&gt;EWG^FG_TOTAL_RETURNC(0,-3AM)&lt;/Q&gt;&lt;R&gt;1&lt;/R&gt;&lt;C&gt;1&lt;/C&gt;&lt;D xsi:type="xsd:double"&gt;18.418766&lt;/D&gt;&lt;/FQL&gt;&lt;FQL&gt;&lt;Q&gt;ENZL^P_PRICE(0)/P_PRICE_HIGH_PR(0,,,USD,,,"PRICE","INTRA","52W")&lt;/Q&gt;&lt;R&gt;1&lt;/R&gt;&lt;C&gt;1&lt;/C&gt;&lt;D xsi:type="xsd:double"&gt;0.8791003&lt;/D&gt;&lt;/FQL&gt;&lt;FQL&gt;&lt;Q&gt;QQQ^PERCENT_CHANGE(FMA_EPS(+1,0,,,,"PORTAGG","MEAN"),FMA_EPS(+1,-1AM,,,,"PORTAGG","MEAN"))&lt;/Q&gt;&lt;R&gt;1&lt;/R&gt;&lt;C&gt;1&lt;/C&gt;&lt;D xsi:type="xsd:double"&gt;-0.894138850610147&lt;/D&gt;&lt;/FQL&gt;&lt;FQL&gt;&lt;Q&gt;EWJ^PERCENT_CHANGE(FMA_EPS(+1,0,,,,"PORTAGG","MEAN"),FMA_EPS(+1,-3AM,,,,"PORTAGG","MEAN"))&lt;/Q&gt;&lt;R&gt;1&lt;/R&gt;&lt;C&gt;1&lt;/C&gt;&lt;D xsi:type="xsd:double"&gt;3.14053455069197&lt;/D&gt;&lt;/FQL&gt;&lt;FQL&gt;&lt;Q&gt;VGK^PERCENT_CHANGE(FMA_EPS(+1,0,,,,"PORTAGG","MEAN"),FMA_EPS(+1,-1AM,,,,"PORTAGG","MEAN"))&lt;/Q&gt;&lt;R&gt;1&lt;/R&gt;&lt;C&gt;1&lt;/C&gt;&lt;D xsi:type="xsd:double"&gt;-0.27643832895587&lt;/D&gt;&lt;/FQL&gt;&lt;FQL&gt;&lt;Q&gt;EWN^FMA_PCT_ABOVE_MAVG(200,0,,,,"PORTAGG")&lt;/Q&gt;&lt;R&gt;1&lt;/R&gt;&lt;C&gt;1&lt;/C&gt;&lt;D xsi:type="xsd:double"&gt;53.7037037037037&lt;/D&gt;&lt;/FQL&gt;&lt;FQL&gt;&lt;Q&gt;EWG^FMA_PCT_ABOVE_MAVG(200,0,,,,"PORTAGG")&lt;/Q&gt;&lt;R&gt;1&lt;/R&gt;&lt;C&gt;1&lt;/C&gt;&lt;D xsi:type="xsd:double"&gt;52.5423728813559&lt;/D&gt;&lt;/FQL&gt;&lt;FQL&gt;&lt;Q&gt;FXI^SIZE(FG_CONSTITUENTS)&lt;/Q&gt;&lt;R&gt;1&lt;/R&gt;&lt;C&gt;1&lt;/C&gt;&lt;D xsi:type="xsd:long"&gt;51&lt;/D&gt;&lt;/FQL&gt;&lt;FQL&gt;&lt;Q&gt;EMXC^FMA_COS_DOWN("EPS","1M",+1,0,,,"PORTAGG","MEANR")&lt;/Q&gt;&lt;R&gt;1&lt;/R&gt;&lt;C&gt;1&lt;/C&gt;&lt;D xsi:type="xsd:double"&gt;283&lt;/D&gt;&lt;/FQL&gt;&lt;FQL&gt;&lt;Q&gt;URTH^SIZE(FG_CONSTITUENTS)&lt;/Q&gt;&lt;R&gt;1&lt;/R&gt;&lt;C&gt;1&lt;/C&gt;&lt;D xsi:type="xsd:long"&gt;1484&lt;/D&gt;&lt;/FQL&gt;&lt;FQL&gt;&lt;Q&gt;EWI^FMA_COS_DOWN("EPS","1M",+1,0,,,"PORTAGG","MEANR")&lt;/Q&gt;&lt;R&gt;1&lt;/R&gt;&lt;C&gt;1&lt;/C&gt;&lt;D xsi:type="xsd:double"&gt;13&lt;/D&gt;&lt;/FQL&gt;&lt;FQL&gt;&lt;Q&gt;EWQ^FMA_COS_UP("EPS","1M",+1,0,,,"PORTAGG","MEANR")&lt;/Q&gt;&lt;R&gt;1&lt;/R&gt;&lt;C&gt;1&lt;/C&gt;&lt;D xsi:type="xsd:double"&gt;20&lt;/D&gt;&lt;/FQL&gt;&lt;FQL&gt;&lt;Q&gt;EWC^FMA_COS_UP("EPS","1M",+1,0,,,"PORTAGG","MEANR")&lt;/Q&gt;&lt;R&gt;1&lt;/R&gt;&lt;C&gt;1&lt;/C&gt;&lt;D xsi:type="xsd:double"&gt;24&lt;/D&gt;&lt;/FQL&gt;&lt;FQL&gt;&lt;Q&gt;EWQ^FG_COMPANY_NAME&lt;/Q&gt;&lt;R&gt;1&lt;/R&gt;&lt;C&gt;1&lt;/C&gt;&lt;D xsi:type="xsd:string"&gt;iShares MSCI France ETF&lt;/D&gt;&lt;/FQL&gt;&lt;FQL&gt;&lt;Q&gt;FXI^P_PRICE(0)/P_PRICE_HIGH_PR(0,,,USD,,,"PRICE","INTRA","52W")&lt;/Q&gt;&lt;R&gt;1&lt;/R&gt;&lt;C&gt;1&lt;/C&gt;&lt;D xsi:type="xsd:double"&gt;0.6771536&lt;/D&gt;&lt;/FQL&gt;&lt;FQL&gt;&lt;Q&gt;EWD^FG_PRICE_MAVG(0,,,,60)&lt;/Q&gt;&lt;R&gt;1&lt;/R&gt;&lt;C&gt;1&lt;/C&gt;&lt;D xsi:type="xsd:double"&gt;36.580666&lt;/D&gt;&lt;/FQL&gt;&lt;FQL&gt;&lt;Q&gt;EWG^FG_PRICE_MAVG(0,,,,200)&lt;/Q&gt;&lt;R&gt;1&lt;/R&gt;&lt;C&gt;1&lt;/C&gt;&lt;D xsi:type="xsd:double"&gt;28.03795&lt;/D&gt;&lt;/FQL&gt;&lt;FQL&gt;&lt;Q&gt;IWM^P_PRICE(0)/P_PRICE_HIGH_PR(0,,,USD,,,"PRICE","INTRA","52W"</t>
        </r>
      </text>
    </comment>
    <comment ref="A7" authorId="0" shapeId="0" xr:uid="{C3C15027-4329-4F50-8AA0-276EFFEE1D37}">
      <text>
        <r>
          <rPr>
            <b/>
            <sz val="9"/>
            <color indexed="81"/>
            <rFont val="Tahoma"/>
            <family val="2"/>
          </rPr>
          <t>)&lt;/Q&gt;&lt;R&gt;1&lt;/R&gt;&lt;C&gt;1&lt;/C&gt;&lt;D xsi:type="xsd:double"&gt;0.95372033&lt;/D&gt;&lt;/FQL&gt;&lt;FQL&gt;&lt;Q&gt;VGK^P_PRICE(0)/P_PRICE_LOW_PR(0,,,USD,,,"PRICE","INTRA","52W")-1&lt;/Q&gt;&lt;R&gt;1&lt;/R&gt;&lt;C&gt;1&lt;/C&gt;&lt;D xsi:type="xsd:double"&gt;0.16109693&lt;/D&gt;&lt;/FQL&gt;&lt;FQL&gt;&lt;Q&gt;EWD^FG_TOTAL_RETURNC(0,-6AM)&lt;/Q&gt;&lt;R&gt;1&lt;/R&gt;&lt;C&gt;1&lt;/C&gt;&lt;D xsi:type="xsd:double"&gt;5.8481574&lt;/D&gt;&lt;/FQL&gt;&lt;FQL&gt;&lt;Q&gt;UUP^P_PRICE(0,-200D)&lt;/Q&gt;&lt;R&gt;201&lt;/R&gt;&lt;C&gt;1&lt;/C&gt;&lt;D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xsi:type="xsd:double"&gt;28.49&lt;/D&gt;&lt;D xsi:type="xsd:double"&gt;28.48&lt;/D&gt;&lt;D xsi:type="xsd:double"&gt;28.39&lt;/D&gt;&lt;D xsi:type="xsd:double"&gt;28.62&lt;/D&gt;&lt;D xsi:type="xsd:double"&gt;28.61&lt;/D&gt;&lt;D xsi:type="xsd:double"&gt;28.52&lt;/D&gt;&lt;D xsi:type="xsd:double"&gt;28.57&lt;/D&gt;&lt;D xsi:type="xsd:double"&gt;28.27&lt;/D&gt;&lt;D xsi:type="xsd:double"&gt;28.61&lt;/D&gt;&lt;D xsi:type="xsd:double"&gt;28.56&lt;/D&gt;&lt;D xsi:type="xsd:double"&gt;28.59&lt;/D&gt;&lt;D xsi:type="xsd:double"&gt;28.6&lt;/D&gt;&lt;D xsi:type="xsd:double"&gt;28.47&lt;/D&gt;&lt;D xsi:type="xsd:double"&gt;28.37&lt;/D&gt;&lt;D xsi:type="xsd:double"&gt;28.29&lt;/D&gt;&lt;D xsi:type="xsd:double"&gt;28.27&lt;/D&gt;&lt;D xsi:type="xsd:double"&gt;28.35&lt;/D&gt;&lt;D xsi:type="xsd:double"&gt;28.14&lt;/D&gt;&lt;D xsi:type="xsd:double"&gt;28.09&lt;/D&gt;&lt;D xsi:type="xsd:double"&gt;28.02&lt;/D&gt;&lt;D xsi:type="xsd:double"&gt;28.1&lt;/D&gt;&lt;D xsi:type="xsd:double"&gt;27.92&lt;/D&gt;&lt;D xsi:type="xsd:double"&gt;27.74&lt;/D&gt;&lt;D xsi:type="xsd:double"&gt;27.79&lt;/D&gt;&lt;D xsi:type="xsd:double"&gt;27.7&lt;/D&gt;&lt;D xsi:type="xsd:double"&gt;27.66&lt;/D&gt;&lt;D xsi:type="xsd:double"&gt;27.7&lt;/D&gt;&lt;D xsi:type="xsd:double"&gt;27.67&lt;/D&gt;&lt;D xsi:type="xsd:double"&gt;27.82&lt;/D&gt;&lt;D xsi:type="xsd:double"&gt;27.89&lt;/D&gt;&lt;D xsi:type="xsd:double"&gt;27.75&lt;/D&gt;&lt;D xsi:type="xsd:double"&gt;27.71&lt;/D&gt;&lt;D xsi:type="xsd:double"&gt;27.7&lt;/D&gt;&lt;D xsi:type="xsd:double"&gt;27.79&lt;/D&gt;&lt;D xsi:type="xsd:double"&gt;27.66&lt;/D&gt;&lt;D xsi:type="xsd:double"&gt;27.75&lt;/D&gt;&lt;D xsi:type="xsd:double"&gt;27.78&lt;/D&gt;&lt;D xsi:type="xsd:double"&gt;27.78&lt;/D&gt;&lt;D xsi:type="xsd:double"&gt;27.72&lt;/D&gt;&lt;D xsi:type="xsd:double"&gt;27.82&lt;/D&gt;&lt;D xsi:type="xsd:double"&gt;27.68&lt;/D&gt;&lt;D xsi:type="xsd:double"&gt;27.52&lt;/D&gt;&lt;D xsi:type="xsd:double"&gt;27.65&lt;/D&gt;&lt;D xsi:type="xsd:double"&gt;27.8&lt;/D&gt;&lt;/FQL&gt;&lt;FQL&gt;&lt;Q&gt;EWJ^FG_TOTAL_RETURNC(-10AY,0,AM)&lt;/Q&gt;&lt;R&gt;121&lt;/R&gt;&lt;C&gt;1&lt;/C&gt;&lt;D xsi:type="xsd:double"&gt;-2.2594094&lt;/D&gt;&lt;D xsi:type="xsd:double"&gt;-1.1130154&lt;/D&gt;&lt;D xsi:type="xsd:double"&gt;-4.329002&lt;/D&gt;&lt;D xsi:type="xsd:double"&gt;-0.2714932&lt;/D&gt;&lt;D xsi:type="xsd:double"&gt;3.3575296&lt;/D&gt;&lt;D xsi:type="xsd:double"&gt;6.1650515&lt;/D&gt;&lt;D xsi:type="xsd:double"&gt;0.9991646&lt;/D&gt;&lt;D xsi:type="xsd:double"&gt;-1.896131&lt;/D&gt;&lt;D xsi:type="xsd:double"&gt;0.08403063&lt;/D&gt;&lt;D xsi:type="xsd:double"&gt;-5.4575977&lt;/D&gt;&lt;D xsi:type="xsd:double"&gt;3.5523891&lt;/D&gt;&lt;D xsi:type="xsd:double"&gt;-0.27419925&lt;/D&gt;&lt;D xsi:type="xsd:double"&gt;0.25951862&lt;/D&gt;&lt;D xsi:type="xsd:double"&gt;6.9887757&lt;/D&gt;&lt;D xsi:type="xsd:double"&gt;2.2580743&lt;/D&gt;&lt;D xsi:type="xsd:double"&gt;4.9684525&lt;/D&gt;&lt;D xsi:type="xsd:double"&gt;-1.5026331&lt;/D&gt;&lt;D xsi:type="xsd:double"&gt;0.274539&lt;/D&gt;&lt;D xsi:type="xsd:double"&gt;-2.5229335&lt;/D&gt;&lt;D xsi:type="xsd:double"&gt;-5.6470633&lt;/D&gt;&lt;D xsi:type="xsd:double"&gt;-3.4912705&lt;/D&gt;&lt;D xsi:type="xsd:double"&gt;7.665813&lt;/D&gt;&lt;D xsi:type="xsd:double"&gt;0.32000542&lt;/D&gt;&lt;D xsi:type="xsd:double"&gt;-2.6456714&lt;/D&gt;&lt;D xsi:type="xsd:double"&gt;-7.590759&lt;/D&gt;&lt;D xsi:type="xsd:double"&gt;-1.2499928&lt;/D&gt;&lt;D xsi:type="xsd:double"&gt;2.622056&lt;/D&gt;&lt;D xsi:type="xsd:double"&gt;6.4317107&lt;/D&gt;&lt;D xsi:type="xsd:double"&gt;-2.897352&lt;/D&gt;&lt;D xsi:type="xsd:double"&gt;-2.557677&lt;/D&gt;&lt;D xsi:type="xsd:double"&gt;4.320991&lt;/D&gt;&lt;D xsi:type="xsd:double"&gt;3.296709&lt;/D&gt;&lt;D xsi:type="xsd:double"&gt;2.5368214&lt;/D&gt;&lt;D xsi:type="xsd:double"&gt;0.39904118&lt;/D&gt;&lt;D xsi:type="xsd:double"&gt;-1.6494393&lt;/D&gt;&lt;D xsi:type="xsd:double"&gt;1.7248273&lt;/D&gt;&lt;D xsi:type="xsd:double"&gt;2.9943824&lt;/D&gt;&lt;D xsi:type="xsd:double"&gt;0.52683353&lt;/D&gt;&lt;D xsi:type="xsd:double"&gt;0.6793499&lt;/D&gt;&lt;D xsi:type="xsd:double"&gt;0.38558245&lt;/D&gt;&lt;D xsi:type="xsd:double"&gt;2.1317482&lt;/D&gt;&lt;D xsi:type="xsd:double"&gt;2.0068169&lt;/D&gt;&lt;D xsi:type="xsd:double"&gt;0.63079596&lt;/D&gt;&lt;D xsi:type="xsd:double"&gt;0.22124052&lt;/D&gt;&lt;D xsi:type="xsd:double"&gt;2.1891117&lt;/D&gt;&lt;D xsi:type="xsd:double"&gt;4.3744326&lt;/D&gt;&lt;D xsi:type="xsd:double"&gt;3.570199&lt;/D&gt;&lt;D xsi:type="xsd:double"&gt;0.6532788&lt;/D&gt;&lt;D xsi:type="xsd:double"&gt;7.711518&lt;/D&gt;&lt;D xsi:type="xsd:double"&gt;-3.4173489&lt;/D&gt;&lt;D xsi:type="xsd:double"&gt;-5.3634286&lt;/D&gt;&lt;D xsi:type="xsd:double"&gt;3.1128407&lt;/D&gt;&lt;D xsi:type="xsd:double"&gt;-1.3453662&lt;/D&gt;&lt;D xsi:type="xsd:double"&gt;-2.0829558&lt;/D&gt;&lt;D xsi:type="xsd:double"&gt;1.4207482&lt;/D&gt;&lt;D xsi:type="xsd:double"&gt;-2.7679324&lt;/D&gt;&lt;D xsi:type="xsd:double"&gt;5.0338387&lt;/D&gt;&lt;D xsi:type="xsd:double"&gt;-10.808128&lt;/D&gt;&lt;D xsi:type="xsd:double"&gt;1.5564203&lt;/D&gt;&lt;D xsi:type="xsd:double"&gt;-7.976323&lt;/D&gt;&lt;D xsi:type="xsd:double"&gt;7.73226&lt;/D&gt;&lt;D xsi:type="xsd:double"&gt;2.3368&lt;/D&gt;&lt;D xsi:type="xsd:double"&gt;-0.48930645&lt;/D&gt;&lt;D xsi:type="xsd:double"&gt;0.8923769&lt;/D&gt;&lt;D xsi:type="xsd:double"&gt;-2.9783428&lt;/D&gt;&lt;D xsi:type="xsd:double"&gt;1.6401052&lt;/D&gt;&lt;D xsi:type="xsd:double"&gt;1.2375355&lt;/D&gt;&lt;D xsi:type="xsd:double"&gt;-2.2806048&lt;/D&gt;&lt;D xsi:type="xsd:double"&gt;6.9828153&lt;/D&gt;&lt;D xsi:type="xsd:double"&gt;1.378715&lt;/D&gt;&lt;D xsi:type="xsd:double"&gt;3.081429&lt;/D&gt;&lt;D xsi:type="xsd:double"&gt;0.86649656&lt;/D&gt;&lt;D xsi:type="xsd:double"&gt;-0.268054&lt;/D&gt;&lt;D xsi:type="xsd:double"&gt;-7.77759&lt;/D&gt;&lt;D xsi:type="xsd:double"&gt;-8.48816&lt;/D&gt;&lt;D xsi:type="xsd:double"&gt;1.2937903&lt;/D&gt;&lt;D xsi:type="xsd:double"&gt;7.015133&lt;/D&gt;&lt;D xsi:type="xsd:double"&gt;2.6711702&lt;/D&gt;&lt;D xsi:type="xsd:double"&gt;0.6489992&lt;/D&gt;&lt;D xsi:type="xsd:double"&gt;4.4778824&lt;/D&gt;&lt;D xsi:type="xsd:double"&gt;0.7371783&lt;/D&gt;&lt;D xsi:type="xsd:double"&gt;-0.05105138&lt;/D&gt;&lt;D xsi:type="xsd:double"&gt;11.169767&lt;/D&gt;&lt;D xsi:type="xsd:double"&gt;1.2067914&lt;/D&gt;&lt;D xsi:type="xsd:double"&gt;5.6213856&lt;/D&gt;&lt;D xsi:type="xsd:double"&gt;-1.8699586&lt;/D&gt;&lt;D xsi:type="xsd:double"&gt;2.7704477&lt;/D&gt;&lt;D xsi:type="xsd:double"&gt;-1.8114448&lt;/D&gt;&lt;D xsi:type="xsd:double"&gt;-0.90063214&lt;/D&gt;&lt;D xsi:type="xsd:double"&gt;1.0293365&lt;/D&gt;&lt;D xsi:type="xsd:double"&gt;-1.1546373&lt;/D&gt;&lt;D xsi:type="xsd:double"&gt;0.044369698&lt;/D&gt;&lt;D xsi:type="xsd:double"&gt;7.389891&lt;/D&gt;&lt;D xsi:type="xsd:double"&gt;-5.780351&lt;/D&gt;&lt;D xsi:type="xsd:double"&gt;-2.1910608&lt;/D&gt;&lt;D xsi:type="xsd:double"&gt;1.9935966&lt;/D&gt;&lt;D xsi:type="xsd:double"&gt;-5.9198856&lt;/D&gt;&lt;D xsi:type="xsd:double"&gt;0.22078753&lt;/D&gt;&lt;D xsi:type="xsd:double"&gt;-1.2745857&lt;/D&gt;&lt;D xsi:type="xsd:double"&gt;-10.663056&lt;/D&gt;&lt;D xsi:type="xsd:double"&gt;3.461194&lt;/D&gt;&lt;D xsi:type="xsd:double"&gt;-6.4918814&lt;/D&gt;&lt;D xsi:type="xsd:double"&gt;0.72625875&lt;/D&gt;&lt;D xsi:type="xsd:double"&gt;0.647068&lt;/D&gt;&lt;D xsi:type="xsd:double"&gt;-9.570169&lt;/D&gt;&lt;D xsi:type="xsd:double"&gt;2.3359776&lt;/D&gt;&lt;D xsi:type="xsd:double"&gt;11.075819&lt;/D&gt;&lt;D xsi:type="xsd:double"&gt;-1.9089937&lt;/D&gt;&lt;D xsi:type="xsd:double"&gt;7.10243&lt;/D&gt;&lt;D xsi:type="xsd:double"&gt;-5.1824093&lt;/D&gt;&lt;D xsi:type="xsd:double"&gt;2.7148604&lt;/D&gt;&lt;D xsi:type="xsd:double"&gt;2.1529794&lt;/D&gt;&lt;D xsi:type="xsd:double"&gt;3.238523&lt;/D&gt;&lt;D xsi:type="xsd:double"&gt;1.809144&lt;/D&gt;&lt;D xsi:type="xsd:double"&gt;3.1521916&lt;/D&gt;&lt;D xsi:type="xsd:double"&gt;-4.5519648&lt;/D&gt;&lt;D xsi:type="xsd:double"&gt;1.3339996&lt;/D&gt;&lt;D xsi:type="xsd:double"&gt;-5.644232&lt;/D&gt;&lt;D xsi:type="xsd:double"&gt;9.190798&lt;/D&gt;&lt;D xsi:type="xsd:double"&gt;2.5432944&lt;/D&gt;&lt;D xsi:type="xsd:double"&gt;3.28542&lt;/D&gt;&lt;/FQL&gt;&lt;FQL&gt;&lt;Q&gt;CPALM-FDS^FG_PRICE_MAVG(0,,,,30)&lt;/Q&gt;&lt;R&gt;1&lt;/R&gt;&lt;C&gt;1&lt;/C&gt;&lt;D xsi:type="xsd:double"&gt;3758.4666&lt;/D&gt;&lt;/FQL&gt;&lt;FQL&gt;&lt;Q&gt;PASP-FDS^FG_PRICE_MAVG(0,,,,30)&lt;/Q&gt;&lt;R&gt;1&lt;/R&gt;&lt;C&gt;1&lt;/C&gt;&lt;D xsi:type="xsd:double"&gt;1064.4667&lt;/D&gt;&lt;/FQL&gt;&lt;FQL&gt;&lt;Q&gt;PLATI-FDS^FG_PRICE_CHANGE(0,-1AM)&lt;/Q&gt;&lt;R&gt;1&lt;/R&gt;&lt;C&gt;1&lt;/C&gt;&lt;D xsi:type="xsd:double"&gt;-8.3080040526849&lt;/D&gt;&lt;/FQL&gt;&lt;FQL&gt;&lt;Q&gt;COPP-FDS^FG_PRICE_CHANGE(0,-1AY)&lt;/Q&gt;&lt;R&gt;1&lt;/R&gt;&lt;C&gt;1&lt;/C&gt;&lt;D xsi:type="xsd:double"&gt;-9.76095617529882&lt;/D&gt;&lt;/FQL&gt;&lt;FQL&gt;&lt;Q&gt;TIOS-FDS^FG_PRICE_MAVG(0,,,,30)&lt;/Q&gt;&lt;R&gt;1&lt;/R&gt;&lt;C&gt;1&lt;/C&gt;&lt;D xsi:type="xsd:double"&gt;136.90466&lt;/D&gt;&lt;/FQL&gt;&lt;FQL&gt;&lt;Q&gt;EWD^FG_PRICE(0)&lt;/Q&gt;&lt;R&gt;1&lt;/R&gt;&lt;C&gt;1&lt;/C&gt;&lt;D xsi:type="xsd:double"&gt;37.28&lt;/D&gt;&lt;/FQL&gt;&lt;FQL&gt;&lt;Q&gt;SPY^FG_PRICE_MAVG(0,,,,30)&lt;/Q&gt;&lt;R&gt;1&lt;/R&gt;&lt;C&gt;1&lt;/C&gt;&lt;D xsi:type="xsd:double"&gt;475.58032&lt;/D&gt;&lt;/FQL&gt;&lt;FQL&gt;&lt;Q&gt;EWL^FG_PRICE_MAVG(0,,,,200)&lt;/Q&gt;&lt;R&gt;1&lt;/R&gt;&lt;C&gt;1&lt;/C&gt;&lt;D xsi:type="xsd:double"&gt;45.9677&lt;/D&gt;&lt;/FQL&gt;&lt;FQL&gt;&lt;Q&gt;EWG^FG_PRICE_MAVG(0,,,,30)&lt;/Q&gt;&lt;R&gt;1&lt;/R&gt;&lt;C&gt;1&lt;/C&gt;&lt;D xsi:type="xsd:double"&gt;29.250334&lt;/D&gt;&lt;/FQL&gt;&lt;FQL&gt;&lt;Q&gt;EWI^FG_COMPANY_NAME&lt;/Q&gt;&lt;R&gt;1&lt;/R&gt;&lt;C&gt;1&lt;/C&gt;&lt;D xsi:type="xsd:string"&gt;iShares MSCI Italy ETF&lt;/D&gt;&lt;/FQL&gt;&lt;FQL&gt;&lt;Q&gt;EWC^FG_COMPANY_NAME&lt;/Q&gt;&lt;R&gt;1&lt;/R&gt;&lt;C&gt;1&lt;/C&gt;&lt;D xsi:type="xsd:string"&gt;iShares MSCI Canada ETF&lt;/D&gt;&lt;/FQL&gt;&lt;FQL&gt;&lt;Q&gt;QQQ^P_PRICE(0)/P_PRICE_LOW_PR(0,,,USD,,,"PRICE","INTRA","52W")-1&lt;/Q&gt;&lt;R&gt;1&lt;/R&gt;&lt;C&gt;1&lt;/C&gt;&lt;D xsi:type="xsd:double"&gt;0.48606193&lt;/D&gt;&lt;/FQL&gt;&lt;FQL&gt;&lt;Q&gt;INDA^FG_TOTAL_RETURNC(0,-6AM)&lt;/Q&gt;&lt;R&gt;1&lt;/R&gt;&lt;C&gt;1&lt;/C&gt;&lt;D xsi:type="xsd:double"&gt;10.093999&lt;/D&gt;&lt;/FQL&gt;&lt;FQL&gt;&lt;Q&gt;URTH^P_PRICE(0)/P_PRICE_LOW_PR(0,,,USD,,,"PRICE","INTRA","52W")-1&lt;/Q&gt;&lt;R&gt;1&lt;/R&gt;&lt;C&gt;1&lt;/C&gt;&lt;D xsi:type="xsd:double"&gt;0.2337414&lt;/D&gt;&lt;/FQL&gt;&lt;FQL&gt;&lt;Q&gt;EWN^P_PRICE(0)/P_PRICE_HIGH_PR(0,,,USD,,,"PRICE","INTRA","52W")&lt;/Q&gt;&lt;R&gt;1&lt;/R&gt;&lt;C&gt;1&lt;/C&gt;&lt;D xsi:type="xsd:double"&gt;0.9965293&lt;/D&gt;&lt;/FQL&gt;&lt;FQL&gt;&lt;Q&gt;SPY^FG_TOTAL_RETURNC(0,-3AM)&lt;/Q&gt;&lt;R&gt;1&lt;/R&gt;&lt;C&gt;1&lt;/C&gt;&lt;D xsi:type="xsd:double"&gt;18.62551&lt;/D&gt;&lt;/FQL&gt;&lt;FQL&gt;&lt;Q&gt;EWL^P_PRICE(0)/P_PRICE_HIGH_PR(0,,,USD,,,"PRICE","INTRA","52W")&lt;/Q&gt;&lt;R&gt;1&lt;/R&gt;&lt;C&gt;1&lt;/C&gt;&lt;D xsi:type="xsd:double"&gt;0.97721463&lt;/D&gt;&lt;/FQL&gt;&lt;FQL&gt;&lt;Q&gt;EWC^P_PRICE(0)/P_PRICE_LOW_PR(0,,,USD,,,"PRICE","INTRA","52W")-1&lt;/Q&gt;&lt;R&gt;1&lt;/R&gt;&lt;C&gt;1&lt;/C&gt;&lt;D xsi:type="xsd:double"&gt;0.16109526&lt;/D&gt;&lt;/FQL&gt;&lt;FQL&gt;&lt;Q&gt;ENZL^FG_TOTAL_RETURNC(0,-6AM)&lt;/Q&gt;&lt;R&gt;1&lt;/R&gt;&lt;C&gt;1&lt;/C&gt;&lt;D xsi:type="xsd:double"&gt;-3.300351&lt;/D&gt;&lt;/FQL&gt;&lt;FQL&gt;&lt;Q&gt;QQQ^FMA_PCT_ABOVE_MAVG(200,0,,,,"PORTAGG")&lt;/Q&gt;&lt;R&gt;1&lt;/R&gt;&lt;C&gt;1&lt;/C&gt;&lt;D xsi:type="xsd:double"&gt;77.4509803921569&lt;/D&gt;&lt;/FQL&gt;&lt;FQL&gt;&lt;Q&gt;VGK^FMA_PCT_ABOVE_MAVG(200,0,,,,"PORTAGG")&lt;/Q&gt;&lt;R&gt;1&lt;/R&gt;&lt;C&gt;1&lt;/C&gt;&lt;D xsi:type="xsd:double"&gt;64.5440251572327&lt;/D&gt;&lt;/FQL&gt;&lt;FQL&gt;&lt;Q&gt;EWQ^PERCENT_CHANGE(FMA_EPS(+1,0,,,,"PORTAGG","MEAN"),FMA_EPS(+1,-3AM,,,,"PORTAGG","MEAN"))&lt;/Q&gt;&lt;R&gt;1&lt;/R&gt;&lt;C&gt;1&lt;/C&gt;&lt;D xsi:type="xsd:double"&gt;-1.12806063240472&lt;/D&gt;&lt;/FQL&gt;&lt;FQL&gt;&lt;Q&gt;EWU^PERCENT_CHANGE(FMA_EPS(+1,0,,,,"PORTAGG","MEAN"),FMA_EPS(+1,-1AM,,,,"PORTAGG","MEAN"))&lt;/Q&gt;&lt;R&gt;1&lt;/R&gt;&lt;C&gt;1&lt;/C&gt;&lt;D xsi:type="xsd:double"&gt;-4.21993710913714&lt;/D&gt;&lt;/FQL&gt;&lt;FQL&gt;&lt;Q&gt;EWC^PERCENT_CHANGE(FMA_EPS(+1,0,,,,"PORTAGG","MEAN"),FMA_EPS(+1,-3AM,,,,"PORTAGG","MEAN"))&lt;/Q&gt;&lt;R&gt;1&lt;/R&gt;&lt;C&gt;1&lt;/C&gt;&lt;D xsi:type="xsd:double"&gt;-2.67943761464201&lt;/D&gt;&lt;/FQL&gt;&lt;FQL&gt;&lt;Q&gt;FXI^FMA_COS_DOWN("EPS","1M",+1,0,,,"PORTAGG","MEANR")&lt;/Q&gt;&lt;R&gt;1&lt;/R&gt;&lt;C&gt;1&lt;/C&gt;&lt;D xsi:type="xsd:double"&gt;23&lt;/D&gt;&lt;/FQL&gt;&lt;FQL&gt;&lt;Q&gt;EMXC^FMA_COS_UP("EPS","1M",+1,0,,,"PORTAGG","MEANR")&lt;/Q&gt;&lt;R&gt;1&lt;/R&gt;&lt;C&gt;1&lt;/C&gt;&lt;D xsi:type="xsd:double"&gt;240&lt;/D&gt;&lt;/FQL&gt;&lt;FQL&gt;&lt;Q&gt;EWI^FMA_COS_UP("EPS","1M",+1,0,,,"PORTAGG","MEANR")&lt;/Q&gt;&lt;R&gt;1&lt;/R&gt;&lt;C&gt;1&lt;/C&gt;&lt;D xsi:type="xsd:double"&gt;6&lt;/D&gt;&lt;/FQL&gt;&lt;FQL&gt;&lt;Q&gt;SPY^SIZE(FG_CONSTITUENTS)&lt;/Q&gt;&lt;R&gt;1&lt;/R&gt;&lt;C&gt;1&lt;/C&gt;&lt;D xsi:type="xsd:long"&gt;504&lt;/D&gt;&lt;/FQL&gt;&lt;FQL&gt;&lt;Q&gt;EWL^FMA_COS_DOWN("EPS","1M",+1,0,,,"PORTAGG","MEANR")&lt;/Q&gt;&lt;R&gt;1&lt;/R&gt;&lt;C&gt;1&lt;/C&gt;&lt;D xsi:type="xsd:double"&gt;31&lt;/D&gt;&lt;/FQL&gt;&lt;FQL&gt;&lt;Q&gt;EWA^SIZE(FG_CONSTITUENTS)&lt;/Q&gt;&lt;R&gt;1&lt;/R&gt;&lt;C&gt;1&lt;/C&gt;&lt;D xsi:type="xsd:long"&gt;59&lt;/D&gt;&lt;/FQL&gt;&lt;FQL&gt;&lt;Q&gt;SPY^FG_COMPANY_NAME&lt;/Q&gt;&lt;R&gt;1&lt;/R&gt;&lt;C&gt;1&lt;/C&gt;&lt;D xsi:type="xsd:string"&gt;SPDR S&amp;amp;P 500 ETF Trust&lt;/D&gt;&lt;/FQL&gt;&lt;FQL&gt;&lt;Q&gt;FXI^FG_TOTAL_RETURNC(0,-6AM)&lt;/Q&gt;&lt;R&gt;1&lt;/R&gt;&lt;C&gt;1&lt;/C&gt;&lt;D xsi:type="xsd:double"&gt;-19.919842&lt;/D&gt;&lt;/FQL&gt;&lt;FQL&gt;&lt;Q&gt;EMXC^FG_TOTAL_RETURNC(0,-3AM)&lt;/Q&gt;&lt;R&gt;1&lt;/R&gt;&lt;C&gt;1&lt;/C&gt;&lt;D xsi:type="xsd:double"&gt;14.363348&lt;/D&gt;&lt;/FQL&gt;&lt;FQL&gt;&lt;Q&gt;TLT^FG_TOTAL_RETURNC(0,-3AM)&lt;/Q&gt;&lt;R&gt;1&lt;/R&gt;&lt;C&gt;1&lt;/C&gt;&lt;D xsi:type="xsd:double"&gt;11.747646&lt;/D&gt;&lt;/FQL&gt;&lt;FQL&gt;&lt;Q&gt;DBA^FG_TOTAL_RETURNC(0,-6AM)&lt;/Q&gt;&lt;R&gt;1&lt;/R&gt;&lt;C&gt;1&lt;/C&gt;&lt;D xsi:type="xsd:double"&gt;0.5383134&lt;/D&gt;&lt;/FQL&gt;&lt;FQL&gt;&lt;Q&gt;QQQ^FG_TOTAL_RETURNC(0,-1AM)&lt;/Q&gt;&lt;R&gt;1&lt;/R&gt;&lt;C&gt;1&lt;/C&gt;&lt;D xsi:type="xsd:double"&gt;3.2010078&lt;/D&gt;&lt;/FQL&gt;&lt;FQL&gt;&lt;Q&gt;GLD^FG_TOTAL_RETURNC(0,-6AM)&lt;/Q&gt;&lt;R&gt;1&lt;/R&gt;&lt;C&gt;1&lt;/C&gt;&lt;D xsi:type="xsd:double"&gt;2.023995&lt;/D&gt;&lt;/FQL&gt;&lt;FQL&gt;&lt;Q&gt;SPY^FG_TOTAL_RETURNC(0,-1AM)&lt;/Q&gt;&lt;R&gt;1&lt;/R&gt;&lt;C&gt;1&lt;/C&gt;&lt;D xsi:type="xsd:double"&gt;2.4724126&lt;/D&gt;&lt;/FQL&gt;&lt;FQL&gt;&lt;Q&gt;FXI^FG_TOTAL_RETURNC(0,-3AM)&lt;/Q&gt;&lt;R&gt;1&lt;/R&gt;&lt;C&gt;1&lt;/C&gt;&lt;D xsi:type="xsd:double"&gt;-9.307188&lt;/D&gt;&lt;/FQL&gt;&lt;FQL&gt;&lt;Q&gt;EMXC^FG_TOTAL_RETURNC(0,-1AM)&lt;/Q&gt;&lt;R&gt;1&lt;/R&gt;&lt;C&gt;1&lt;/C&gt;&lt;D xsi:type="xsd:double"&gt;-1.2015283&lt;/D&gt;&lt;/FQL&gt;&lt;FQL&gt;&lt;Q&gt;EWL^FG_TOTAL_RETURNC(0,-3AM)&lt;/Q&gt;&lt;R&gt;1&lt;/R&gt;&lt;C&gt;1&lt;/C&gt;&lt;D xsi:type="xsd:double"&gt;13.857138&lt;/D&gt;&lt;/FQL&gt;&lt;FQL&gt;&lt;Q&gt;EWC^P_PRICE(0)/P_PRICE_HIGH_PR(0,,,USD,,,"PRICE","INTRA","52W")&lt;/Q&gt;&lt;R&gt;1&lt;/R&gt;&lt;C&gt;1&lt;/C&gt;&lt;D xsi:type="xsd:double"&gt;0.9859421&lt;/D&gt;&lt;/FQL&gt;&lt;FQL&gt;&lt;Q&gt;FXI^PERCENT_CHANGE(FMA_EPS(+1,0,,,,"PORTAGG","MEAN"),FMA_EPS(+1,-3AM,,,,"PORTAGG","MEAN"))&lt;/Q&gt;&lt;R&gt;1&lt;/R&gt;&lt;C&gt;1&lt;/C&gt;&lt;D xsi:type="xsd:double"&gt;-4.29127385667383&lt;/D&gt;&lt;/FQL&gt;&lt;FQL&gt;&lt;Q&gt;EMXC^PERCENT_CHANGE(FMA_EPS(+1,0,,,,"PORTAGG","MEAN"),FMA_EPS(+1,-1AM,,,,"PORTAGG","MEAN"))&lt;/Q&gt;&lt;R&gt;1&lt;/R&gt;&lt;C&gt;1&lt;/C&gt;&lt;D xsi:type="xsd:double"&gt;-2.09908008561561&lt;/D&gt;&lt;/FQL&gt;&lt;FQL&gt;&lt;Q&gt;EWJ^FMA_PCT_ABOVE_MAVG(200,0,,,,"PORTAGG")&lt;/Q&gt;&lt;R&gt;1&lt;/R&gt;&lt;C&gt;1&lt;/C&gt;&lt;D xsi:type="xsd:double"&gt;75.2212389380531&lt;/D&gt;&lt;/FQL&gt;&lt;FQL&gt;&lt;Q&gt;EMXC^FG_TOTAL_RETURNC(-10AY,0,AM)&lt;/Q&gt;&lt;R&gt;121&lt;/R&gt;&lt;C&gt;1&lt;/C&gt;&lt;D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xsi:type="xsd:double"&gt;1.2050629&lt;/D&gt;&lt;D xsi:type="xsd:double"&gt;-1.0160387&lt;/D&gt;&lt;D xsi:type="xsd:double"&gt;2.2352934&lt;/D&gt;&lt;D xsi:type="xsd:double"&gt;2.7426124&lt;/D&gt;&lt;D xsi:type="xsd:double"&gt;-0.41196346&lt;/D&gt;&lt;D xsi:type="xsd:double"&gt;10.61182&lt;/D&gt;&lt;D xsi:type="xsd:double"&gt;-3.7119448&lt;/D&gt;&lt;D xsi:type="xsd:double"&gt;-2.6771724&lt;/D&gt;&lt;D xsi:type="xsd:double"&gt;-2.2013187&lt;/D&gt;&lt;D xsi:type="xsd:double"&gt;-2.773887&lt;/D&gt;&lt;D xsi:type="xsd:double"&gt;-6.525797&lt;/D&gt;&lt;D xsi:type="xsd:double"&gt;4.530406&lt;/D&gt;&lt;D xsi:type="xsd:double"&gt;-1.7811179&lt;/D&gt;&lt;D xsi:type="xsd:double"&gt;0.44327974&lt;/D&gt;&lt;D xsi:type="xsd:double"&gt;-9.388166&lt;/D&gt;&lt;D xsi:type="xsd:double"&gt;3.0108452&lt;/D&gt;&lt;D xsi:type="xsd:double"&gt;-2.133882&lt;/D&gt;&lt;D xsi:type="xsd:double"&gt;9.580601&lt;/D&gt;&lt;D xsi:type="xsd:double"&gt;1.025784&lt;/D&gt;&lt;D xsi:type="xsd:double"&gt;-1.4256835&lt;/D&gt;&lt;D xsi:type="xsd:double"&gt;2.0724177&lt;/D&gt;&lt;D xsi:type="xsd:double"&gt;-6.1384497&lt;/D&gt;&lt;D xsi:type="xsd:double"&gt;6.844604&lt;/D&gt;&lt;D xsi:type="xsd:double"&gt;-0.41652322&lt;/D&gt;&lt;D xsi:type="xsd:double"&gt;-8.632535&lt;/D&gt;&lt;D xsi:type="xsd:double"&gt;5.907917&lt;/D&gt;&lt;D xsi:type="xsd:double"&gt;3.8585901&lt;/D&gt;&lt;D xsi:type="xsd:double"&gt;0.15898943&lt;/D&gt;&lt;D xsi:type="xsd:double"&gt;5.7103634&lt;/D&gt;&lt;D xsi:type="xsd:double"&gt;0.6339431&lt;/D&gt;&lt;D xsi:type="xsd:double"&gt;-9.447628&lt;/D&gt;&lt;D xsi:type="xsd:double"&gt;-21.080124&lt;/D&gt;&lt;D xsi:type="xsd:double"&gt;1.6852379&lt;/D&gt;&lt;D xsi:type="xsd:double"&gt;6.960976&lt;/D&gt;&lt;D xsi:type="xsd:double"&gt;7.1751237&lt;/D&gt;&lt;D xsi:type="xsd:double"&gt;7.512927&lt;/D&gt;&lt;D xsi:type="xsd:double"&gt;3.1638265&lt;/D&gt;&lt;D xsi:type="xsd:double"&gt;-4.0372014&lt;/D&gt;&lt;D xsi:type="xsd:double"&gt;4.82378&lt;/D&gt;&lt;D xsi:type="xsd:double"&gt;11.599075&lt;/D&gt;&lt;D xsi:type="xsd:double"&gt;6.1194777&lt;/D&gt;&lt;D xsi:type="xsd:double"&gt;6.928313&lt;/D&gt;&lt;D xsi:type="xsd:double"&gt;-2.8010726&lt;/D&gt;&lt;D xsi:type="xsd:double"&gt;2.2260547&lt;/D&gt;&lt;D xsi:type="xsd:double"&gt;3.5280228&lt;/D&gt;&lt;D xsi:type="xsd:double"&gt;0.29349327&lt;/D&gt;&lt;D xsi:type="xsd:double"&gt;2.4454355&lt;/D&gt;&lt;D xsi:type="xsd:double"&gt;-2.4378538&lt;/D&gt;&lt;D xsi:type="xsd:double"&gt;-0.39196014&lt;/D&gt;&lt;D xsi:type="xsd:double"&gt;1.2133121&lt;/D&gt;&lt;D xsi:type="xsd:double"&gt;0.4373908&lt;/D&gt;&lt;D xsi:type="xsd:double"&gt;-5.5806456&lt;/D&gt;&lt;D xsi:type="xsd:double"&gt;4.282129&lt;/D&gt;&lt;D xsi:type="xsd:double"&gt;-1.8733025&lt;/D&gt;&lt;D xsi:type="xsd:double"&gt;0.28774738&lt;/D&gt;&lt;D xsi:type="xsd:double"&gt;-2.1265805&lt;/D&gt;&lt;D xsi:type="xsd:double"&gt;-6.742543&lt;/D&gt;&lt;D xsi:type="xsd:double"&gt;-1.8306255&lt;/D&gt;&lt;D xsi:type="xsd:double"&gt;-7.4433384&lt;/D&gt;&lt;D xsi:type="xsd:double"&gt;-1.1302888&lt;/D&gt;&lt;D xsi:type="xsd:double"&gt;3.9908528&lt;/D&gt;&lt;D xsi:type="xsd:double"&gt;-10.0939455&lt;/D&gt;&lt;D xsi:type="xsd:double"&gt;2.5122285&lt;/D&gt;&lt;D xsi:type="xsd:double"&gt;7.6339245&lt;/D&gt;&lt;D xsi:type="xsd:double"&gt;-2.2748768&lt;/D&gt;&lt;D xsi:type="xsd:double"&gt;8.789598&lt;/D&gt;&lt;D xsi:type="xsd:double"&gt;-7.1538744&lt;/D&gt;&lt;D xsi:type="xsd:double"&gt;0.68535805&lt;/D&gt;&lt;D xsi:type="xsd:double"&gt;1.0107279&lt;/D&gt;&lt;D xsi:type="xsd:double"&gt;4.533386&lt;/D&gt;&lt;D xsi:type="xsd:double"&gt;1.8709779&lt;/D&gt;&lt;D xsi:type="xsd:double"&gt;4.7517896&lt;/D&gt;&lt;D xsi:type="xsd:double"&gt;-5.273837&lt;/D&gt;&lt;D xsi:type="xsd:double"&gt;-3.2898545&lt;/D&gt;&lt;D xsi:type="xsd:double"&gt;-3.3413827&lt;/D&gt;&lt;D xsi:type="xsd:double"&gt;9.079552&lt;/D&gt;&lt;D xsi:type="xsd:double"&gt;6.1190367&lt;/D&gt;&lt;D xsi:type="xsd:double"&gt;-1.2015283&lt;/D&gt;&lt;/FQL&gt;&lt;FQL&gt;&lt;Q&gt;CPALM-FDS^FG_PRICE(0)&lt;/Q&gt;&lt;R&gt;1&lt;/R&gt;&lt;C&gt;1&lt;/C&gt;&lt;D xsi:type="xsd:double"&gt;4019&lt;/D&gt;&lt;/FQL&gt;&lt;FQL&gt;&lt;Q&gt;NI-FDS^MAX(FG_PRICE(0,-5AY))&lt;/Q&gt;&lt;R&gt;1&lt;/R&gt;&lt;C&gt;1&lt;/C&gt;&lt;D xsi:type="xsd:double"&gt;48241&lt;/D&gt;&lt;/FQL&gt;&lt;FQL&gt;&lt;Q&gt;PLATI-FDS^FG_PRICE_MAVG(0,,,,30)&lt;/Q&gt;&lt;R&gt;1&lt;/R&gt;&lt;C&gt;1&lt;/C&gt;&lt;D xsi:type="xsd:double"&gt;947.5333&lt;/D&gt;&lt;/FQL&gt;&lt;FQL&gt;&lt;Q&gt;FC0000CA^FG_PRICE(0)&lt;/Q&gt;&lt;R&gt;1&lt;/R&gt;&lt;C&gt;1&lt;/C&gt;&lt;D xsi:type="xsd:double"&gt;280.76566&lt;/D&gt;&lt;/FQL&gt;&lt;FQL&gt;&lt;Q&gt;EWN^FG_PRICE_MAVG(0,,,,200)&lt;/Q&gt;&lt;R&gt;1&lt;/R&gt;&lt;C&gt;1&lt;/C&gt;&lt;D xsi:type="xsd:double"&gt;41.73738&lt;/D&gt;&lt;/FQL&gt;&lt;FQL&gt;&lt;Q&gt;EWL^FG_PRICE_MAVG(0,,,,60)&lt;/Q&gt;&lt;R&gt;1&lt;/R&gt;&lt;C&gt;1&lt;/C&gt;&lt;D xsi:type="xsd:double"&gt;45.926&lt;/D&gt;&lt;/FQL&gt;&lt;FQL&gt;&lt;Q&gt;EWG^FG_PRICE(0)&lt;/Q&gt;&lt;R&gt;1&lt;/R&gt;&lt;C&gt;1&lt;/C&gt;&lt;D xsi:type="xsd:double"&gt;29.39&lt;/D&gt;&lt;/FQL&gt;&lt;FQL&gt;&lt;Q&gt;ENZL^FG_PRICE_MAVG(0,,,,60)&lt;/Q&gt;&lt;R&gt;1&lt;/R&gt;&lt;C&gt;1&lt;/C&gt;&lt;D xsi:type="xsd:double"&gt;46.217667&lt;/D&gt;&lt;/FQL&gt;&lt;FQL&gt;&lt;Q&gt;INDA^FG_TOTAL_RETURNC(0,-3AM)&lt;/Q&gt;&lt;R&gt;1&lt;/R&gt;&lt;C&gt;1&lt;/C&gt;&lt;D xsi:type="xsd:double"&gt;15.118181&lt;/D&gt;&lt;/FQL&gt;&lt;FQL&gt;&lt;Q&gt;URTH^P_PRICE(0)/P_PRICE_HIGH_PR(0,,,USD,,,"PRICE","INTRA","52W")&lt;/Q&gt;&lt;R&gt;1&lt;/R&gt;&lt;C&gt;1&lt;/C&gt;&lt;D xsi:type="xsd:double"&gt;0.9971946&lt;/D&gt;&lt;/FQL&gt;&lt;FQL&gt;&lt;Q&gt;VGK^FG_TOTAL_RETURNC(0,-3AM)&lt;/Q&gt;&lt;R&gt;1&lt;/R&gt;&lt;C&gt;1&lt;/C&gt;&lt;D xsi:type="xsd:double"&gt;15.876019&lt;/D&gt;&lt;/FQL&gt;&lt;FQL&gt;&lt;Q&gt;EWN^FG_TOTAL_RETURNC(0,-6AM)&lt;/Q&gt;&lt;R&gt;1&lt;/R&gt;&lt;C&gt;1&lt;/C&gt;&lt;D xsi:type="xsd:double"&gt;5.1609755&lt;/D&gt;&lt;/FQL&gt;&lt;FQL&gt;&lt;Q&gt;EWL^FG_TOTAL_RETURNC(0,-6AM)&lt;/Q&gt;&lt;R&gt;1&lt;/R&gt;&lt;C&gt;1&lt;/C&gt;&lt;D xsi:type="xsd:double"&gt;0.27259588&lt;/D&gt;&lt;/FQL&gt;&lt;FQL&gt;&lt;Q&gt;ENZL^FG_TOTAL_RETURNC(0,-3AM)&lt;/Q&gt;&lt;R&gt;1&lt;/R&gt;&lt;C&gt;1&lt;/C&gt;&lt;D xsi:type="xsd:double"&gt;15.336048&lt;/D&gt;&lt;/FQL&gt;&lt;FQL&gt;&lt;Q&gt;EMXC^PERCENT_CHANGE(FMA_EPS(+1,0,,,,"PORTAGG","MEAN"),FMA_EPS(+1,-3AM,,,,"PORTAGG","MEAN"))&lt;/Q&gt;&lt;R&gt;1&lt;/R&gt;&lt;C&gt;1&lt;/C&gt;&lt;D xsi:type="xsd:double"&gt;0.0247089731993381&lt;/D&gt;&lt;/FQL&gt;&lt;FQL&gt;&lt;Q&gt;EWJ^PERCENT_CHANGE(FMA_EPS(+1,0,,,,"PORTAGG","MEAN"),FMA_EPS(+1,-1AM,,,,"PORTAGG","MEAN"))&lt;/Q&gt;&lt;R&gt;1&lt;/R&gt;&lt;C&gt;1&lt;/C&gt;&lt;D xsi:type="xsd:double"&gt;-3.55077547740622&lt;/D&gt;&lt;/FQL&gt;&lt;FQL&gt;&lt;Q&gt;EWI^PERCENT_CHANGE(FMA_EPS(+1,0,,,,"PORTAGG","MEAN"),FMA_EPS(+1,-3AM,,,,"PORTAGG","MEAN"))&lt;/Q&gt;&lt;R&gt;1&lt;/R&gt;&lt;C&gt;1&lt;/C&gt;&lt;D xsi:type="xsd:double"&gt;-0.331049008113385&lt;/D&gt;&lt;/FQL&gt;&lt;FQL&gt;&lt;Q&gt;EWQ^PERCENT_CHANGE(FMA_EPS(+1,0,,,,"PORTAGG","MEAN"),FMA_EPS(+1,-1AM,,,,"PORTAGG","MEAN"))&lt;/Q&gt;&lt;R&gt;1&lt;/R&gt;&lt;C&gt;1&lt;/C&gt;&lt;D xsi:type="xsd:double"&gt;-3.18879833863257&lt;/D&gt;&lt;/FQL&gt;&lt;FQL&gt;&lt;Q&gt;EWU^FMA_PCT_ABOVE_MAVG(200,0,,,,"PORTAGG")&lt;/Q&gt;&lt;R&gt;1&lt;/R&gt;&lt;C&gt;1&lt;/C&gt;&lt;D xsi:type="xsd:double"&gt;53.5714285714286&lt;/D&gt;&lt;/FQL&gt;&lt;FQL&gt;&lt;Q&gt;FXI^FMA_COS_UP("EPS","1M",+1,0,,,"PORTAGG","MEANR")&lt;/Q&gt;&lt;R&gt;1&lt;/R&gt;&lt;C&gt;1&lt;/C&gt;&lt;D xsi:type="xsd:double"&gt;20&lt;/D&gt;&lt;/FQL&gt;&lt;FQL&gt;&lt;Q&gt;INDA^SIZE(FG_CONSTITUENTS)&lt;/Q&gt;&lt;R&gt;1&lt;/R&gt;&lt;C&gt;1&lt;/C&gt;&lt;D xsi:type="xsd:long"&gt;132&lt;/D&gt;&lt;/FQL&gt;&lt;FQL&gt;&lt;Q&gt;URTH^FMA_COS_DOWN("EPS","1M",+1,0,,,"PORTAGG","MEANR")&lt;/Q&gt;&lt;R&gt;1&lt;/R&gt;&lt;C&gt;1&lt;/C&gt;&lt;D xsi:type="xsd:double"&gt;595&lt;/D&gt;&lt;/FQL&gt;&lt;FQL&gt;&lt;Q&gt;EWD^SIZE(FG_CONSTITUENTS)&lt;/Q&gt;&lt;R&gt;1&lt;/R&gt;&lt;C&gt;1&lt;/C&gt;&lt;D xsi:type="xsd:long"&gt;45&lt;/D&gt;&lt;/FQL&gt;&lt;FQL&gt;&lt;Q&gt;SPY^FMA_COS_DOWN("EPS","1M",+1,0,,,"PORTAGG","MEANR")&lt;/Q&gt;&lt;R&gt;1&lt;/R&gt;&lt;C&gt;1&lt;/C&gt;&lt;D xsi:type="xsd:double"&gt;155&lt;/D&gt;&lt;/FQL&gt;&lt;FQL&gt;&lt;Q&gt;EWL^FMA_COS_UP("EPS","1M",+1,0,,,"PORTAGG","MEANR")&lt;/Q&gt;&lt;R&gt;1&lt;/R&gt;&lt;C&gt;1&lt;/C&gt;&lt;D xsi:type="xsd:double"&gt;13&lt;/D&gt;&lt;/FQL&gt;&lt;FQL&gt;&lt;Q&gt;QQQ^FG_COMPANY_NAME&lt;/Q&gt;&lt;R&gt;1&lt;/R&gt;&lt;C&gt;1&lt;/C&gt;&lt;D xsi:type="xsd:string"&gt;Invesco QQQ Trust Series I&lt;/D&gt;&lt;/FQL&gt;&lt;FQL&gt;&lt;Q&gt;SPY^FMA_COS_UP("EPS","1M",+1,0,,,"PORTAGG","MEANR")&lt;/Q&gt;&lt;R&gt;1&lt;/R&gt;&lt;C&gt;1&lt;/C&gt;&lt;D xsi:type="xsd:double"&gt;223&lt;/D&gt;&lt;/FQL&gt;&lt;FQL&gt;&lt;Q&gt;EWJ^SIZE(FG_CONSTITUENTS)&lt;/Q&gt;&lt;R&gt;1&lt;/R&gt;&lt;C&gt;1&lt;/C&gt;&lt;D xsi:type="xsd:long"&gt;227&lt;/D&gt;&lt;/FQL&gt;&lt;FQL&gt;&lt;Q&gt;EWA^FMA_COS_DOWN("EPS","1M",+1,0,,,"PORTAGG","MEANR")&lt;/Q&gt;&lt;R&gt;1&lt;/R&gt;&lt;C&gt;1&lt;/C&gt;&lt;D xsi:type="xsd:double"&gt;18&lt;/D&gt;&lt;/FQL&gt;&lt;FQL&gt;&lt;Q&gt;EWU^FG_COMPANY_NAME&lt;/Q&gt;&lt;R&gt;1&lt;/R&gt;&lt;C&gt;1&lt;/C&gt;&lt;D xsi:type="xsd:string"&gt;iShares MSCI United Kingdom ETF&lt;/D&gt;&lt;/FQL&gt;&lt;FQL&gt;&lt;Q&gt;TLT^FG_TOTAL_RETURNC(0,-1AM)&lt;/Q&gt;&lt;R&gt;1&lt;/R&gt;&lt;C&gt;1&lt;/C&gt;&lt;D xsi:type="xsd:double"&gt;-5.042529&lt;/D&gt;&lt;/FQL&gt;&lt;FQL&gt;&lt;Q&gt;DBA^FG_TOTAL_RETURNC(0,-3AM)&lt;/Q&gt;&lt;R&gt;1&lt;/R&gt;&lt;C&gt;1&lt;/C&gt;&lt;D xsi:type="xsd:double"&gt;2.65491&lt;/D&gt;&lt;/FQL&gt;&lt;FQL&gt;&lt;Q&gt;GLD^FG_TOTAL_RETURNC(0,-3AM)&lt;/Q&gt;&lt;R&gt;1&lt;/R&gt;&lt;C&gt;1&lt;/C&gt;&lt;D xsi:type="xsd:double"&gt;1.630342&lt;/D&gt;&lt;/FQL&gt;&lt;FQL&gt;&lt;Q&gt;VWO^P_PRICE(0)/P_PRICE_HIGH_PR(0,,,USD,,,"PRICE","INTRA","52W")&lt;/Q&gt;&lt;R&gt;1&lt;/R&gt;&lt;C&gt;1&lt;/C&gt;&lt;D xsi:type="xsd:double"&gt;0.9317866&lt;/D&gt;&lt;/FQL&gt;&lt;FQL&gt;&lt;Q&gt;USO^FG_TOTAL_RETURNC(0,-1AM)&lt;/Q&gt;&lt;R&gt;1&lt;/R&gt;&lt;C&gt;1&lt;/C&gt;&lt;D xsi:type="xsd:double"&gt;4.1162252&lt;/D&gt;&lt;/FQL&gt;&lt;FQL&gt;&lt;Q&gt;CPALM-FDS^FG_PRICE(0)/MAX(FG_PRICE(0,-1AY))&lt;/Q&gt;&lt;R&gt;1&lt;/R&gt;&lt;C&gt;1&lt;/C&gt;&lt;D xsi:type="xsd:double"&gt;0.928819043217009&lt;/D&gt;&lt;/FQL&gt;&lt;FQL&gt;&lt;Q&gt;EWU^FG_PRICE_MAVG(0,,,,60)&lt;/Q&gt;&lt;R&gt;1&lt;/R&gt;&lt;C&gt;1&lt;/C&gt;&lt;D xsi:type="xsd:double"&gt;32.29067&lt;/D&gt;&lt;/FQL&gt;&lt;FQL&gt;&lt;Q&gt;EWG^P_PRICE(0)/P_PRICE_HIGH_PR(0,,,USD,,,"PRICE","INTRA","52W")&lt;/Q&gt;&lt;R&gt;1&lt;/R&gt;&lt;C&gt;1&lt;/C&gt;&lt;D xsi:type="xsd:double"&gt;0.9829431&lt;/D&gt;&lt;/FQL&gt;&lt;FQL&gt;&lt;Q&gt;ENZL^PERCENT_CHANGE(FMA_EPS(+1,0,,,,"PORTAGG","MEAN"),FMA_EPS(+1,-1AM,,,,"PORTAGG","MEAN"))&lt;/Q&gt;&lt;R&gt;1&lt;/R&gt;&lt;C&gt;1&lt;/C&gt;&lt;D xsi:type="xsd:double"&gt;-2.33636420315115&lt;/D&gt;&lt;/FQL&gt;&lt;FQL&gt;&lt;Q&gt;VGK^FMA_COS_UP("EPS","1M",+1,0,,,"PORTAGG","MEANR")&lt;/Q&gt;&lt;R&gt;1&lt;/R&gt;&lt;C&gt;1&lt;/C&gt;&lt;D xsi:type="xsd:double"&gt;383&lt;/D&gt;&lt;/FQL&gt;&lt;FQL&gt;&lt;Q&gt;TLT^FG_TOTAL_RETURNC(0,-6AM)&lt;/Q&gt;&lt;R&gt;1&lt;/R&gt;&lt;C&gt;1&lt;/C&gt;&lt;D xsi:type="xsd:double"&gt;-5.6531787&lt;/D&gt;&lt;/FQL&gt;&lt;FQL&gt;&lt;Q&gt;QQQ^FG_TOTAL_RETURNC(0,-3AM)&lt;/Q&gt;&lt;R&gt;1&lt;/R&gt;&lt;C&gt;1&lt;/C&gt;&lt;D xsi:type="xsd:double"&gt;23.632133&lt;/D&gt;&lt;/FQL&gt;&lt;FQL&gt;&lt;Q&gt;EWI^P_PRICE_RETURNS_PR('52W',2,-10AY,0,AM)&lt;/Q&gt;&lt;R&gt;121&lt;/R&gt;&lt;C&gt;1&lt;/C&gt;&lt;D xsi:type="xsd:double"&gt;11.5750675&lt;/D&gt;&lt;D xsi:type="xsd:double"&gt;37.311424&lt;/D&gt;&lt;D xsi:type="xsd:double"&gt;47.578598&lt;/D&gt;&lt;D xsi:type="xsd:double"&gt;41.97004&lt;/D&gt;&lt;D xsi:type="xsd:double"&gt;30.626179&lt;/D&gt;&lt;D xsi:type="xsd:double"&gt;48.847626&lt;/D&gt;&lt;D xsi:type="xsd:double"&gt;32.309414&lt;/D&gt;&lt;D xsi:type="xsd:double"&gt;22.333347&lt;/D&gt;&lt;D xsi:type="xsd:double"&gt;11.902988&lt;/D&gt;&lt;D xsi:type="xsd:double"&gt;-3.5899103&lt;/D&gt;&lt;D xsi:type="xsd:double"&gt;0.64741373&lt;/D&gt;&lt;D xsi:type="xsd:double"&gt;-6.7184687&lt;/D&gt;&lt;D xsi:type="xsd:double"&gt;-8.818054&lt;/D&gt;&lt;D xsi:type="xsd:double"&gt;-8.0243&lt;/D&gt;&lt;D xsi:type="xsd:double"&gt;-11.631507&lt;/D&gt;&lt;D xsi:type="xsd:double"&gt;-13.506645&lt;/D&gt;&lt;D xsi:type="xsd:double"&gt;-7.6590595&lt;/D&gt;&lt;D xsi:type="xsd:double"&gt;-7.337493&lt;/D&gt;&lt;D xsi:type="xsd:double"&gt;-7.801914&lt;/D&gt;&lt;D xsi:type="xsd:double"&gt;-5.6089344&lt;/D&gt;&lt;D xsi:type="xsd:double"&gt;-6.009364&lt;/D&gt;&lt;D xsi:type="xsd:double"&gt;3.6420584&lt;/D&gt;&lt;D xsi:type="xsd:double"&gt;-2.8629363&lt;/D&gt;&lt;D xsi:type="xsd:double"&gt;2.3598552&lt;/D&gt;&lt;D xsi:type="xsd:double"&gt;-10.304981&lt;/D&gt;&lt;D xsi:type="xsd:double"&gt;-21.930801&lt;/D&gt;&lt;D xsi:type="xsd:double"&gt;-18.100912&lt;/D&gt;&lt;D xsi:type="xsd:double"&gt;-15.345711&lt;/D&gt;&lt;D xsi:type="xsd:double"&gt;-17.984808&lt;/D&gt;&lt;D xsi:type="xsd:double"&gt;-31.18961&lt;/D&gt;&lt;D xsi:type="xsd:double"&gt;-26.611942&lt;/D&gt;&lt;D xsi:type="xsd:double"&gt;-22.212952&lt;/D&gt;&lt;D xsi:type="xsd:double"&gt;-20.830727&lt;/D&gt;&lt;D xsi:type="xsd:double"&gt;-22.595692&lt;/D&gt;&lt;D xsi:type="xsd:double"&gt;-22.720772&lt;/D&gt;&lt;D xsi:type="xsd:double"&gt;-11.171997&lt;/D&gt;&lt;D xsi:type="xsd:double"&gt;3.5439968&lt;/D&gt;&lt;D xsi:type="xsd:double"&gt;8.084286&lt;/D&gt;&lt;D xsi:type="xsd:double"&gt;9.845936&lt;/D&gt;&lt;D xsi:type="xsd:double"&gt;9.899103&lt;/D&gt;&lt;D xsi:type="xsd:double"&gt;19.481743&lt;/D&gt;&lt;D xsi:type="xsd:double"&gt;37.509216&lt;/D&gt;&lt;D xsi:type="xsd:double"&gt;39.130093&lt;/D&gt;&lt;D xsi:type="xsd:double"&gt;38.812386&lt;/D&gt;&lt;D xsi:type="xsd:double"&gt;46.35457&lt;/D&gt;&lt;D xsi:type="xsd:double"&gt;41.10068&lt;/D&gt;&lt;D xsi:type="xsd:double"&gt;50.491833&lt;/D&gt;&lt;D xsi:type="xsd:double"&gt;30.53155&lt;/D&gt;&lt;D xsi:type="xsd:double"&gt;44.272923&lt;/D&gt;&lt;D xsi:type="xsd:double"&gt;43.555214&lt;/D&gt;&lt;D xsi:type="xsd:double"&gt;28.00728&lt;/D&gt;&lt;D xsi:type="xsd:double"&gt;30.300653&lt;/D&gt;&lt;D xsi:type="xsd:double"&gt;10.0389&lt;/D&gt;&lt;D xsi:type="xsd:double"&gt;6.951821&lt;/D&gt;&lt;D xsi:type="xsd:double"&gt;2.2507071&lt;/D&gt;&lt;D xsi:type="xsd:double"&gt;-4.471034&lt;/D&gt;&lt;D xsi:type="xsd:double"&gt;-2.495581&lt;/D&gt;&lt;D xsi:type="xsd:double"&gt;-16.736746&lt;/D&gt;&lt;D xsi:type="xsd:double"&gt;-15.612114&lt;/D&gt;&lt;D xsi:type="xsd:double"&gt;-19.2164&lt;/D&gt;&lt;D xsi:type="xsd:double"&gt;-20.660568&lt;/D&gt;&lt;D xsi:type="xsd:double"&gt;-13.871586&lt;/D&gt;&lt;D xsi:type="xsd:double"&gt;-10.093612&lt;/D&gt;&lt;D xsi:type="xsd:double"&gt;-14.295459&lt;/D&gt;&lt;D xsi:type="xsd:double"&gt;-10.601598&lt;/D&gt;&lt;D xsi:type="xsd:double"&gt;-0.09781122&lt;/D&gt;&lt;D xsi:type="xsd:double"&gt;-0.6439209&lt;/D&gt;&lt;D xsi:type="xsd:double"&gt;-0.9698272&lt;/D&gt;&lt;D xsi:type="xsd:double"&gt;-1.5016794&lt;/D&gt;&lt;D xsi:type="xsd:double"&gt;19.984257&lt;/D&gt;&lt;D xsi:type="xsd:double"&gt;20.957338&lt;/D&gt;&lt;D xsi:type="xsd:double"&gt;29.454458&lt;/D&gt;&lt;D xsi:type="xsd:double"&gt;19.732594&lt;/D&gt;&lt;D xsi:type="xsd:double"&gt;7.801497&lt;/D&gt;&lt;D xsi:type="xsd:double"&gt;-18.599342&lt;/D&gt;&lt;D xsi:type="xsd:double"&gt;-24.910046&lt;/D&gt;&lt;D xsi:type="xsd:double"&gt;-16.624249&lt;/D&gt;&lt;D xsi:type="xsd:double"&gt;-11.955953&lt;/D&gt;&lt;D xsi:type="xsd:double"&gt;-7.286668&lt;/D&gt;&lt;D xsi:type="xsd:double"&gt;1.4396191&lt;/D&gt;&lt;D xsi:type="xsd:double"&gt;-10.209883&lt;/D&gt;&lt;D xsi:type="xsd:double"&gt;-12.622923&lt;/D&gt;&lt;D xsi:type="xsd:double"&gt;1.1583447&lt;/D&gt;&lt;D xsi:type="xsd:double"&gt;1.4676094&lt;/D&gt;&lt;D xsi:type="xsd:double"&gt;1.2563825&lt;/D&gt;&lt;D xsi:type="xsd:double"&gt;9.492564&lt;/D&gt;&lt;D xsi:type="xsd:double"&gt;48.293137&lt;/D&gt;&lt;D xsi:type="xsd:double"&gt;63.65739&lt;/D&gt;&lt;D xsi:type="xsd:double"&gt;56.0315&lt;/D&gt;&lt;D xsi:type="xsd:double"&gt;39.99784&lt;/D&gt;&lt;D xsi:type="xsd:double"&gt;28.713&lt;/D&gt;&lt;D xsi:type="xsd:double"&gt;26.974415&lt;/D&gt;&lt;D xsi:type="xsd:double"&gt;36.42341&lt;/D&gt;&lt;D xsi:type="xsd:double"&gt;40.003204&lt;/D&gt;&lt;D xsi:type="xsd:double"&gt;11.004424&lt;/D&gt;&lt;D xsi:type="xsd:double"&gt;13.146055&lt;/D&gt;&lt;D xsi:type="xsd:double"&gt;12.086034&lt;/D&gt;&lt;D xsi:type="xsd:double"&gt;6.8855286&lt;/D&gt;&lt;D xsi:type="xsd:double"&gt;-4.4183674&lt;/D&gt;&lt;D xsi:type="xsd:double"&gt;-13.634282&lt;/D&gt;&lt;D xsi:type="xsd:double"&gt;-10.354519&lt;/D&gt;&lt;D xsi:type="xsd:double"&gt;-20.22589&lt;/D&gt;&lt;D xsi:type="xsd:double"&gt;-26.06467&lt;/D&gt;&lt;D xsi:type="xsd:double"&gt;-25.193083&lt;/D&gt;&lt;D xsi:type="xsd:double"&gt;-30.029942&lt;/D&gt;&lt;D xsi:type="xsd:double"&gt;-25.321781&lt;/D&gt;&lt;D xsi:type="xsd:double"&gt;-12.017292&lt;/D&gt;&lt;D xsi:type="xsd:double"&gt;-13.064199&lt;/D&gt;&lt;D xsi:type="xsd:double"&gt;-1.7491221&lt;/D&gt;&lt;D xsi:type="xsd:double"&gt;1.9693971&lt;/D&gt;&lt;D xsi:type="xsd:double"&gt;5.526507&lt;/D&gt;&lt;D xsi:type="xsd:double"&gt;20.471859&lt;/D&gt;&lt;D xsi:type="xsd:double"&gt;10.455645&lt;/D&gt;&lt;D xsi:type="xsd:double"&gt;26.810242&lt;/D&gt;&lt;D xsi:type="xsd:double"&gt;50.900852&lt;/D&gt;&lt;D xsi:type="xsd:double"&gt;35.40747&lt;/D&gt;&lt;D xsi:type="xsd:double"&gt;44.569313&lt;/D&gt;&lt;D xsi:type="xsd:double"&gt;27.036798&lt;/D&gt;&lt;D xsi:type="xsd:double"&gt;24.081982&lt;/D&gt;&lt;D xsi:type="xsd:double"&gt;30.691874&lt;/D&gt;&lt;D xsi:type="xsd:double"&gt;15.982306&lt;/D&gt;&lt;/FQL&gt;&lt;FQL&gt;&lt;Q&gt;VGK^FG_TOTAL_RETURNC(-10AY,0,AM)&lt;/Q&gt;&lt;R&gt;121&lt;/R&gt;&lt;C&gt;1&lt;/C&gt;&lt;D xsi:type="xsd:double"&gt;-1.46451&lt;/D&gt;&lt;D xsi:type="xsd:double"&gt;4.4063687&lt;/D&gt;&lt;D xsi:type="xsd:double"&gt;-1.3121903&lt;/D&gt;&lt;D xsi:type="xsd:double"&gt;2.3083568&lt;/D&gt;&lt;D xsi:type="xsd:double"&gt;1.7342925&lt;/D&gt;&lt;D xsi:type="xsd:double"&gt;0.5975604&lt;/D&gt;&lt;D xsi:type="xsd:double"&gt;-1.454848&lt;/D&gt;&lt;D xsi:type="xsd:double"&gt;-1.6969264&lt;/D&gt;&lt;D xsi:type="xsd:double"&gt;-3.3409595&lt;/D&gt;&lt;D xsi:type="xsd:double"&gt;-4.467964&lt;/D&gt;&lt;D xsi:type="xsd:double"&gt;4.6581507&lt;/D&gt;&lt;D xsi:type="xsd:double"&gt;-3.0649781&lt;/D&gt;&lt;D xsi:type="xsd:double"&gt;-0.111693144&lt;/D&gt;&lt;D xsi:type="xsd:double"&gt;4.0067077&lt;/D&gt;&lt;D xsi:type="xsd:double"&gt;-1.17746&lt;/D&gt;&lt;D xsi:type="xsd:double"&gt;3.4281611&lt;/D&gt;&lt;D xsi:type="xsd:double"&gt;-0.24682283&lt;/D&gt;&lt;D xsi:type="xsd:double"&gt;1.0056496&lt;/D&gt;&lt;D xsi:type="xsd:double"&gt;-2.8789759&lt;/D&gt;&lt;D xsi:type="xsd:double"&gt;-6.001836&lt;/D&gt;&lt;D xsi:type="xsd:double"&gt;-4.0393233&lt;/D&gt;&lt;D xsi:type="xsd:double"&gt;6.8881154&lt;/D&gt;&lt;D xsi:type="xsd:double"&gt;-2.5738835&lt;/D&gt;&lt;D xsi:type="xsd:double"&gt;-0.39664507&lt;/D&gt;&lt;D xsi:type="xsd:double"&gt;-7.950282&lt;/D&gt;&lt;D xsi:type="xsd:double"&gt;-1.928848&lt;/D&gt;&lt;D xsi:type="xsd:double"&gt;4.5030117&lt;/D&gt;&lt;D xsi:type="xsd:double"&gt;5.0893784&lt;/D&gt;&lt;D xsi:type="xsd:double"&gt;0.26015043&lt;/D&gt;&lt;D xsi:type="xsd:double"&gt;-9.417361&lt;/D&gt;&lt;D xsi:type="xsd:double"&gt;6.789565&lt;/D&gt;&lt;D xsi:type="xsd:double"&gt;2.3157835&lt;/D&gt;&lt;D xsi:type="xsd:double"&gt;0.054955482&lt;/D&gt;&lt;D xsi:type="xsd:double"&gt;-2.7088523&lt;/D&gt;&lt;D xsi:type="xsd:double"&gt;-2.0616293&lt;/D&gt;&lt;D xsi:type="xsd:double"&gt;3.747952&lt;/D&gt;&lt;D xsi:type="xsd:double"&gt;4.1193724&lt;/D&gt;&lt;D xsi:type="xsd:double"&gt;0.08074045&lt;/D&gt;&lt;D xsi:type="xsd:double"&gt;4.17186&lt;/D&gt;&lt;D xsi:type="xsd:double"&gt;4.302132&lt;/D&gt;&lt;D xsi:type="xsd:double"&gt;4.740572&lt;/D&gt;&lt;D xsi:type="xsd:double"&gt;-0.37323833&lt;/D&gt;&lt;D xsi:type="xsd:double"&gt;2.88409&lt;/D&gt;&lt;D xsi:type="xsd:double"&gt;-0.10578632&lt;/D&gt;&lt;D xsi:type="xsd:double"&gt;1.9750237&lt;/D&gt;&lt;D xsi:type="xsd:dou</t>
        </r>
      </text>
    </comment>
    <comment ref="A8" authorId="0" shapeId="0" xr:uid="{50A04AA2-829A-4555-9C22-6172C3493D25}">
      <text>
        <r>
          <rPr>
            <b/>
            <sz val="9"/>
            <color indexed="81"/>
            <rFont val="Tahoma"/>
            <family val="2"/>
          </rPr>
          <t>ble"&gt;0.8514404&lt;/D&gt;&lt;D xsi:type="xsd:double"&gt;1.1371493&lt;/D&gt;&lt;D xsi:type="xsd:double"&gt;0.6714344&lt;/D&gt;&lt;D xsi:type="xsd:double"&gt;8.0129385&lt;/D&gt;&lt;D xsi:type="xsd:double"&gt;-5.040163&lt;/D&gt;&lt;D xsi:type="xsd:double"&gt;-3.2210946&lt;/D&gt;&lt;D xsi:type="xsd:double"&gt;2.686417&lt;/D&gt;&lt;D xsi:type="xsd:double"&gt;-1.425463&lt;/D&gt;&lt;D xsi:type="xsd:double"&gt;-3.023821&lt;/D&gt;&lt;D xsi:type="xsd:double"&gt;3.004825&lt;/D&gt;&lt;D xsi:type="xsd:double"&gt;-1.6322255&lt;/D&gt;&lt;D xsi:type="xsd:double"&gt;1.2561321&lt;/D&gt;&lt;D xsi:type="xsd:double"&gt;-11.008054&lt;/D&gt;&lt;D xsi:type="xsd:double"&gt;1.4159322&lt;/D&gt;&lt;D xsi:type="xsd:double"&gt;-5.994487&lt;/D&gt;&lt;D xsi:type="xsd:double"&gt;6.8106294&lt;/D&gt;&lt;D xsi:type="xsd:double"&gt;4.276824&lt;/D&gt;&lt;D xsi:type="xsd:double"&gt;0.31120777&lt;/D&gt;&lt;D xsi:type="xsd:double"&gt;3.2523394&lt;/D&gt;&lt;D xsi:type="xsd:double"&gt;-2.5706053&lt;/D&gt;&lt;D xsi:type="xsd:double"&gt;3.127551&lt;/D&gt;&lt;D xsi:type="xsd:double"&gt;0.09170771&lt;/D&gt;&lt;D xsi:type="xsd:double"&gt;-4.8927965&lt;/D&gt;&lt;D xsi:type="xsd:double"&gt;3.5477042&lt;/D&gt;&lt;D xsi:type="xsd:double"&gt;3.5754442&lt;/D&gt;&lt;D xsi:type="xsd:double"&gt;2.3495436&lt;/D&gt;&lt;D xsi:type="xsd:double"&gt;3.6778808&lt;/D&gt;&lt;D xsi:type="xsd:double"&gt;-0.22268295&lt;/D&gt;&lt;D xsi:type="xsd:double"&gt;-6.7124486&lt;/D&gt;&lt;D xsi:type="xsd:double"&gt;-18.39925&lt;/D&gt;&lt;D xsi:type="xsd:double"&gt;1.5664101&lt;/D&gt;&lt;D xsi:type="xsd:double"&gt;6.459546&lt;/D&gt;&lt;D xsi:type="xsd:double"&gt;5.2247286&lt;/D&gt;&lt;D xsi:type="xsd:double"&gt;6.5086365&lt;/D&gt;&lt;D xsi:type="xsd:double"&gt;3.9984941&lt;/D&gt;&lt;D xsi:type="xsd:double"&gt;-5.7142735&lt;/D&gt;&lt;D xsi:type="xsd:double"&gt;1.0640383&lt;/D&gt;&lt;D xsi:type="xsd:double"&gt;11.868298&lt;/D&gt;&lt;D xsi:type="xsd:double"&gt;3.6502123&lt;/D&gt;&lt;D xsi:type="xsd:double"&gt;2.7080894&lt;/D&gt;&lt;D xsi:type="xsd:double"&gt;-0.9382069&lt;/D&gt;&lt;D xsi:type="xsd:double"&gt;3.7743568&lt;/D&gt;&lt;D xsi:type="xsd:double"&gt;5.499375&lt;/D&gt;&lt;D xsi:type="xsd:double"&gt;2.7112007&lt;/D&gt;&lt;D xsi:type="xsd:double"&gt;0.7353902&lt;/D&gt;&lt;D xsi:type="xsd:double"&gt;-0.3366053&lt;/D&gt;&lt;D xsi:type="xsd:double"&gt;1.5565395&lt;/D&gt;&lt;D xsi:type="xsd:double"&gt;-1.4452696&lt;/D&gt;&lt;D xsi:type="xsd:double"&gt;1.6528845&lt;/D&gt;&lt;D xsi:type="xsd:double"&gt;-4.8199773&lt;/D&gt;&lt;D xsi:type="xsd:double"&gt;4.2252064&lt;/D&gt;&lt;D xsi:type="xsd:double"&gt;-4.3471756&lt;/D&gt;&lt;D xsi:type="xsd:double"&gt;-1.3139606&lt;/D&gt;&lt;D xsi:type="xsd:double"&gt;-2.539295&lt;/D&gt;&lt;D xsi:type="xsd:double"&gt;-6.4110875&lt;/D&gt;&lt;D xsi:type="xsd:double"&gt;1.9621372&lt;/D&gt;&lt;D xsi:type="xsd:double"&gt;-6.854767&lt;/D&gt;&lt;D xsi:type="xsd:double"&gt;-2.0698547&lt;/D&gt;&lt;D xsi:type="xsd:double"&gt;-1.736182&lt;/D&gt;&lt;D xsi:type="xsd:double"&gt;-11.7973385&lt;/D&gt;&lt;D xsi:type="xsd:double"&gt;10.496389&lt;/D&gt;&lt;D xsi:type="xsd:double"&gt;11.775184&lt;/D&gt;&lt;D xsi:type="xsd:double"&gt;-0.79329014&lt;/D&gt;&lt;D xsi:type="xsd:double"&gt;9.437359&lt;/D&gt;&lt;D xsi:type="xsd:double"&gt;-2.398163&lt;/D&gt;&lt;D xsi:type="xsd:double"&gt;-1.5252888&lt;/D&gt;&lt;D xsi:type="xsd:double"&gt;7.461405&lt;/D&gt;&lt;D xsi:type="xsd:double"&gt;-1.8196404&lt;/D&gt;&lt;D xsi:type="xsd:double"&gt;-0.2426982&lt;/D&gt;&lt;D xsi:type="xsd:double"&gt;5.076313&lt;/D&gt;&lt;D xsi:type="xsd:double"&gt;-5.2573442&lt;/D&gt;&lt;D xsi:type="xsd:double"&gt;-3.69609&lt;/D&gt;&lt;D xsi:type="xsd:double"&gt;-3.4237087&lt;/D&gt;&lt;D xsi:type="xsd:double"&gt;10.977149&lt;/D&gt;&lt;D xsi:type="xsd:double"&gt;5.345273&lt;/D&gt;&lt;D xsi:type="xsd:double"&gt;-0.8837223&lt;/D&gt;&lt;/FQL&gt;&lt;FQL&gt;&lt;Q&gt;W-FDS^MAX(FG_PRICE(0,-5AY))&lt;/Q&gt;&lt;R&gt;1&lt;/R&gt;&lt;C&gt;1&lt;/C&gt;&lt;D xsi:type="xsd:double"&gt;14.2525&lt;/D&gt;&lt;/FQL&gt;&lt;FQL&gt;&lt;Q&gt;NI-FDS^FG_PRICE(0)/MAX(FG_PRICE(0,-1AY))&lt;/Q&gt;&lt;R&gt;1&lt;/R&gt;&lt;C&gt;1&lt;/C&gt;&lt;D xsi:type="xsd:double"&gt;0.550066533599468&lt;/D&gt;&lt;/FQL&gt;&lt;FQL&gt;&lt;Q&gt;COPP-FDS^FG_PRICE_CHANGE(0,-6AM)&lt;/Q&gt;&lt;R&gt;1&lt;/R&gt;&lt;C&gt;1&lt;/C&gt;&lt;D xsi:type="xsd:double"&gt;-1.02814548258578&lt;/D&gt;&lt;/FQL&gt;&lt;FQL&gt;&lt;Q&gt;TIOS-FDS^FG_PRICE(0)&lt;/Q&gt;&lt;R&gt;1&lt;/R&gt;&lt;C&gt;1&lt;/C&gt;&lt;D xsi:type="xsd:double"&gt;135.54&lt;/D&gt;&lt;/FQL&gt;&lt;FQL&gt;&lt;Q&gt;EWN^FG_PRICE_MAVG(0,,,,60)&lt;/Q&gt;&lt;R&gt;1&lt;/R&gt;&lt;C&gt;1&lt;/C&gt;&lt;D xsi:type="xsd:double"&gt;42.65445&lt;/D&gt;&lt;/FQL&gt;&lt;FQL&gt;&lt;Q&gt;SPY^FG_PRICE(0)&lt;/Q&gt;&lt;R&gt;1&lt;/R&gt;&lt;C&gt;1&lt;/C&gt;&lt;D xsi:type="xsd:double"&gt;487.41&lt;/D&gt;&lt;/FQL&gt;&lt;FQL&gt;&lt;Q&gt;EWL^FG_PRICE_MAVG(0,,,,30)&lt;/Q&gt;&lt;R&gt;1&lt;/R&gt;&lt;C&gt;1&lt;/C&gt;&lt;D xsi:type="xsd:double"&gt;47.42&lt;/D&gt;&lt;/FQL&gt;&lt;FQL&gt;&lt;Q&gt;EWC^FG_PRICE_MAVG(0,,,,200)&lt;/Q&gt;&lt;R&gt;1&lt;/R&gt;&lt;C&gt;1&lt;/C&gt;&lt;D xsi:type="xsd:double"&gt;34.61225&lt;/D&gt;&lt;/FQL&gt;&lt;FQL&gt;&lt;Q&gt;ENZL^FG_PRICE_MAVG(0,,,,30)&lt;/Q&gt;&lt;R&gt;1&lt;/R&gt;&lt;C&gt;1&lt;/C&gt;&lt;D xsi:type="xsd:double"&gt;47.466167&lt;/D&gt;&lt;/FQL&gt;&lt;FQL&gt;&lt;Q&gt;QQQ^P_PRICE(0)/P_PRICE_HIGH_PR(0,,,USD,,,"PRICE","INTRA","52W")&lt;/Q&gt;&lt;R&gt;1&lt;/R&gt;&lt;C&gt;1&lt;/C&gt;&lt;D xsi:type="xsd:double"&gt;0.98594856&lt;/D&gt;&lt;/FQL&gt;&lt;FQL&gt;&lt;Q&gt;SPY^P_PRICE(0)/P_PRICE_LOW_PR(0,,,USD,,,"PRICE","INTRA","52W")-1&lt;/Q&gt;&lt;R&gt;1&lt;/R&gt;&lt;C&gt;1&lt;/C&gt;&lt;D xsi:type="xsd:double"&gt;0.28046763&lt;/D&gt;&lt;/FQL&gt;&lt;FQL&gt;&lt;Q&gt;URTH^FG_TOTAL_RETURNC(0,-6AM)&lt;/Q&gt;&lt;R&gt;1&lt;/R&gt;&lt;C&gt;1&lt;/C&gt;&lt;D xsi:type="xsd:double"&gt;6.3951373&lt;/D&gt;&lt;/FQL&gt;&lt;FQL&gt;&lt;Q&gt;EWI^P_PRICE(0)/P_PRICE_LOW_PR(0,,,USD,,,"PRICE","INTRA","52W")-1&lt;/Q&gt;&lt;R&gt;1&lt;/R&gt;&lt;C&gt;1&lt;/C&gt;&lt;D xsi:type="xsd:double"&gt;0.2022996&lt;/D&gt;&lt;/FQL&gt;&lt;FQL&gt;&lt;Q&gt;EWQ^FMA_PCT_ABOVE_MAVG(200,0,,,,"PORTAGG")&lt;/Q&gt;&lt;R&gt;1&lt;/R&gt;&lt;C&gt;1&lt;/C&gt;&lt;D xsi:type="xsd:double"&gt;72.5806451612903&lt;/D&gt;&lt;/FQL&gt;&lt;FQL&gt;&lt;Q&gt;EWL^PERCENT_CHANGE(FMA_EPS(+1,0,,,,"PORTAGG","MEAN"),FMA_EPS(+1,-3AM,,,,"PORTAGG","MEAN"))&lt;/Q&gt;&lt;R&gt;1&lt;/R&gt;&lt;C&gt;1&lt;/C&gt;&lt;D xsi:type="xsd:double"&gt;-1.38681640694641&lt;/D&gt;&lt;/FQL&gt;&lt;FQL&gt;&lt;Q&gt;EWC^PERCENT_CHANGE(FMA_EPS(+1,0,,,,"PORTAGG","MEAN"),FMA_EPS(+1,-1AM,,,,"PORTAGG","MEAN"))&lt;/Q&gt;&lt;R&gt;1&lt;/R&gt;&lt;C&gt;1&lt;/C&gt;&lt;D xsi:type="xsd:double"&gt;-3.8460091058999&lt;/D&gt;&lt;/FQL&gt;&lt;FQL&gt;&lt;Q&gt;IWM^SIZE(FG_CONSTITUENTS)&lt;/Q&gt;&lt;R&gt;1&lt;/R&gt;&lt;C&gt;1&lt;/C&gt;&lt;D xsi:type="xsd:long"&gt;1953&lt;/D&gt;&lt;/FQL&gt;&lt;FQL&gt;&lt;Q&gt;INDA^FMA_COS_DOWN("EPS","1M",+1,0,,,"PORTAGG","MEANR")&lt;/Q&gt;&lt;R&gt;1&lt;/R&gt;&lt;C&gt;1&lt;/C&gt;&lt;D xsi:type="xsd:double"&gt;69&lt;/D&gt;&lt;/FQL&gt;&lt;FQL&gt;&lt;Q&gt;URTH^FMA_COS_UP("EPS","1M",+1,0,,,"PORTAGG","MEANR")&lt;/Q&gt;&lt;R&gt;1&lt;/R&gt;&lt;C&gt;1&lt;/C&gt;&lt;D xsi:type="xsd:double"&gt;555&lt;/D&gt;&lt;/FQL&gt;&lt;FQL&gt;&lt;Q&gt;FXI^FG_TOTAL_RETURNC(0,-1AM)&lt;/Q&gt;&lt;R&gt;1&lt;/R&gt;&lt;C&gt;1&lt;/C&gt;&lt;D xsi:type="xsd:double"&gt;-2.6701093&lt;/D&gt;&lt;/FQL&gt;&lt;FQL&gt;&lt;Q&gt;UUP^P_PRICE(0)/P_PRICE_HIGH_PR(0,,,USD,,,"PRICE","INTRA","52W")&lt;/Q&gt;&lt;R&gt;1&lt;/R&gt;&lt;C&gt;1&lt;/C&gt;&lt;D xsi:type="xsd:double"&gt;0.92093486&lt;/D&gt;&lt;/FQL&gt;&lt;FQL&gt;&lt;Q&gt;EWD^P_PRICE_RETURNS_PR('52W',2,-10AY,0,AM)&lt;/Q&gt;&lt;R&gt;121&lt;/R&gt;&lt;C&gt;1&lt;/C&gt;&lt;D xsi:type="xsd:double"&gt;17.450344&lt;/D&gt;&lt;D xsi:type="xsd:double"&gt;16.776478&lt;/D&gt;&lt;D xsi:type="xsd:double"&gt;15.446472&lt;/D&gt;&lt;D xsi:type="xsd:double"&gt;16.530346&lt;/D&gt;&lt;D xsi:type="xsd:double"&gt;15.851461&lt;/D&gt;&lt;D xsi:type="xsd:double"&gt;22.30766&lt;/D&gt;&lt;D xsi:type="xsd:double"&gt;9.675228&lt;/D&gt;&lt;D xsi:type="xsd:double"&gt;6.6081405&lt;/D&gt;&lt;D xsi:type="xsd:double"&gt;-1.6021252&lt;/D&gt;&lt;D xsi:type="xsd:double"&gt;-5.808723&lt;/D&gt;&lt;D xsi:type="xsd:double"&gt;2.0905733&lt;/D&gt;&lt;D xsi:type="xsd:double"&gt;-5.1761627&lt;/D&gt;&lt;D xsi:type="xsd:double"&gt;-4.612666&lt;/D&gt;&lt;D xsi:type="xsd:double"&gt;-1.411444&lt;/D&gt;&lt;D xsi:type="xsd:double"&gt;-2.7512968&lt;/D&gt;&lt;D xsi:type="xsd:double"&gt;-1.4478445&lt;/D&gt;&lt;D xsi:type="xsd:double"&gt;-4.4188557&lt;/D&gt;&lt;D xsi:type="xsd:double"&gt;-1.4931619&lt;/D&gt;&lt;D xsi:type="xsd:double"&gt;-5.4086566&lt;/D&gt;&lt;D xsi:type="xsd:double"&gt;-9.556448&lt;/D&gt;&lt;D xsi:type="xsd:double"&gt;-9.298193&lt;/D&gt;&lt;D xsi:type="xsd:double"&gt;-2.0266235&lt;/D&gt;&lt;D xsi:type="xsd:double"&gt;-8.825445&lt;/D&gt;&lt;D xsi:type="xsd:double"&gt;-4.15886&lt;/D&gt;&lt;D xsi:type="xsd:double"&gt;-10.430342&lt;/D&gt;&lt;D xsi:type="xsd:double"&gt;-16.779482&lt;/D&gt;&lt;D xsi:type="xsd:double"&gt;-13.572377&lt;/D&gt;&lt;D xsi:type="xsd:double"&gt;-8.276451&lt;/D&gt;&lt;D xsi:type="xsd:double"&gt;-9.564865&lt;/D&gt;&lt;D xsi:type="xsd:double"&gt;-18.894917&lt;/D&gt;&lt;D xsi:type="xsd:double"&gt;-9.6679325&lt;/D&gt;&lt;D xsi:type="xsd:double"&gt;-0.067442656&lt;/D&gt;&lt;D xsi:type="xsd:double"&gt;4.30547&lt;/D&gt;&lt;D xsi:type="xsd:double"&gt;-3.7439287&lt;/D&gt;&lt;D xsi:type="xsd:double"&gt;-2.899462&lt;/D&gt;&lt;D xsi:type="xsd:double"&gt;-0.123399496&lt;/D&gt;&lt;D xsi:type="xsd:double"&gt;13.981056&lt;/D&gt;&lt;D xsi:type="xsd:double"&gt;15.500296&lt;/D&gt;&lt;D xsi:type="xsd:double"&gt;14.931309&lt;/D&gt;&lt;D xsi:type="xsd:double"&gt;13.221455&lt;/D&gt;&lt;D xsi:type="xsd:double"&gt;18.985199&lt;/D&gt;&lt;D xsi:type="xsd:double"&gt;32.173775&lt;/D&gt;&lt;D xsi:type="xsd:double"&gt;26.384735&lt;/D&gt;&lt;D xsi:type="xsd:double"&gt;22.12187&lt;/D&gt;&lt;D xsi:type="xsd:double"&gt;25.680042&lt;/D&gt;&lt;D xsi:type="xsd:double"&gt;29.183626&lt;/D&gt;&lt;D xsi:type="xsd:double"&gt;29.71462&lt;/D&gt;&lt;D xsi:type="xsd:double"&gt;23.08402&lt;/D&gt;&lt;D xsi:type="xsd:double"&gt;23.97425&lt;/D&gt;&lt;D xsi:type="xsd:double"&gt;18.482315&lt;/D&gt;&lt;D xsi:type="xsd:double"&gt;9.2806225&lt;/D&gt;&lt;D xsi:type="xsd:double"&gt;3.8550973&lt;/D&gt;&lt;D xsi:type="xsd:double"&gt;0.9349108&lt;/D&gt;&lt;D xsi:type="xsd:double"&gt;-4.1435122&lt;/D&gt;&lt;D xsi:type="xsd:double"&gt;-1.0208786&lt;/D&gt;&lt;D xsi:type="xsd:double"&gt;-1.514113&lt;/D&gt;&lt;D xsi:type="xsd:double"&gt;-1.0303676&lt;/D&gt;&lt;D xsi:type="xsd:double"&gt;-14.568156&lt;/D&gt;&lt;D xsi:type="xsd:double"&gt;-12.209147&lt;/D&gt;&lt;D xsi:type="xsd:double"&gt;-15.630126&lt;/D&gt;&lt;D xsi:type="xsd:double"&gt;-14.793909&lt;/D&gt;&lt;D xsi:type="xsd:double"&gt;-9.630245&lt;/D&gt;&lt;D xsi:type="xsd:double"&gt;-4.6811285&lt;/D&gt;&lt;D xsi:type="xsd:double"&gt;1.39575&lt;/D&gt;&lt;D xsi:type="xsd:double"&gt;-5.7905254&lt;/D&gt;&lt;D xsi:type="xsd:double"&gt;4.453647&lt;/D&gt;&lt;D xsi:type="xsd:double"&gt;-3.4020603&lt;/D&gt;&lt;D xsi:type="xsd:double"&gt;-9.497833&lt;/D&gt;&lt;D xsi:type="xsd:double"&gt;-8.141059&lt;/D&gt;&lt;D xsi:type="xsd:double"&gt;12.355781&lt;/D&gt;&lt;D xsi:type="xsd:double"&gt;13.907409&lt;/D&gt;&lt;D xsi:type="xsd:double"&gt;27.028883&lt;/D&gt;&lt;D xsi:type="xsd:double"&gt;17.910374&lt;/D&gt;&lt;D xsi:type="xsd:double"&gt;8.964658&lt;/D&gt;&lt;D xsi:type="xsd:double"&gt;-12.307871&lt;/D&gt;&lt;D xsi:type="xsd:double"&gt;-15.198368&lt;/D&gt;&lt;D xsi:type="xsd:double"&gt;-0.24513602&lt;/D&gt;&lt;D xsi:type="xsd:double"&gt;2.0018458&lt;/D&gt;&lt;D xsi:type="xsd:double"&gt;14.916348&lt;/D&gt;&lt;D xsi:type="xsd:double"&gt;32.157005&lt;/D&gt;&lt;D xsi:type="xsd:double"&gt;18.645107&lt;/D&gt;&lt;D xsi:type="xsd:double"&gt;14.5625&lt;/D&gt;&lt;D xsi:type="xsd:double"&gt;27.227772&lt;/D&gt;&lt;D xsi:type="xsd:double"&gt;21.41837&lt;/D&gt;&lt;D xsi:type="xsd:double"&gt;29.581738&lt;/D&gt;&lt;D xsi:type="xsd:double"&gt;35.03207&lt;/D&gt;&lt;D xsi:type="xsd:double"&gt;78.92337&lt;/D&gt;&lt;D xsi:type="xsd:double"&gt;82.962166&lt;/D&gt;&lt;D xsi:type="xsd:double"&gt;67.84601&lt;/D&gt;&lt;D xsi:type="xsd:double"&gt;55.45162&lt;/D&gt;&lt;D xsi:type="xsd:double"&gt;46.09059&lt;/D&gt;&lt;D xsi:type="xsd:double"&gt;35.89734&lt;/D&gt;&lt;D xsi:type="xsd:double"&gt;41.671467&lt;/D&gt;&lt;D xsi:type="xsd:double"&gt;40.079773&lt;/D&gt;&lt;D xsi:type="xsd:double"&gt;15.103304&lt;/D&gt;&lt;D xsi:type="xsd:double"&gt;21.19168&lt;/D&gt;&lt;D xsi:type="xsd:double"&gt;3.6479235&lt;/D&gt;&lt;D xsi:type="xsd:double"&gt;-3.9637089&lt;/D&gt;&lt;D xsi:type="xsd:double"&gt;-7.834035&lt;/D&gt;&lt;D xsi:type="xsd:double"&gt;-21.710217&lt;/D&gt;&lt;D xsi:type="xsd:double"&gt;-21.038855&lt;/D&gt;&lt;D xsi:type="xsd:double"&gt;-28.20639&lt;/D&gt;&lt;D xsi:type="xsd:double"&gt;-31.056028&lt;/D&gt;&lt;D xsi:type="xsd:double"&gt;-32.185013&lt;/D&gt;&lt;D xsi:type="xsd:double"&gt;-39.380474&lt;/D&gt;&lt;D xsi:type="xsd:double"&gt;-34.309048&lt;/D&gt;&lt;D xsi:type="xsd:double"&gt;-22.166967&lt;/D&gt;&lt;D xsi:type="xsd:double"&gt;-26.43826&lt;/D&gt;&lt;D xsi:type="xsd:double"&gt;-11.229218&lt;/D&gt;&lt;D xsi:type="xsd:double"&gt;-4.7084513&lt;/D&gt;&lt;D xsi:type="xsd:double"&gt;-11.674571&lt;/D&gt;&lt;D xsi:type="xsd:double"&gt;5.6795716&lt;/D&gt;&lt;D xsi:type="xsd:double"&gt;0.99829435&lt;/D&gt;&lt;D xsi:type="xsd:double"&gt;9.222019&lt;/D&gt;&lt;D xsi:type="xsd:double"&gt;14.752853&lt;/D&gt;&lt;D xsi:type="xsd:double"&gt;3.7821174&lt;/D&gt;&lt;D xsi:type="xsd:double"&gt;22.16593&lt;/D&gt;&lt;D xsi:type="xsd:double"&gt;4.3738484&lt;/D&gt;&lt;D xsi:type="xsd:double"&gt;8.2757&lt;/D&gt;&lt;D xsi:type="xsd:double"&gt;25.317764&lt;/D&gt;&lt;D xsi:type="xsd:double"&gt;7.305062&lt;/D&gt;&lt;/FQL&gt;&lt;FQL&gt;&lt;Q&gt;NI-FDS^FG_PRICE_CHANGE(0,-1AY)&lt;/Q&gt;&lt;R&gt;1&lt;/R&gt;&lt;C&gt;1&lt;/C&gt;&lt;D xsi:type="xsd:double"&gt;-42.4869565217391&lt;/D&gt;&lt;/FQL&gt;&lt;FQL&gt;&lt;Q&gt;BRENT-FDS^MAX(FG_PRICE(0,-5AY))&lt;/Q&gt;&lt;R&gt;1&lt;/R&gt;&lt;C&gt;1&lt;/C&gt;&lt;D xsi:type="xsd:double"&gt;140.85&lt;/D&gt;&lt;/FQL&gt;&lt;FQL&gt;&lt;Q&gt;COPP-FDS^FG_PRICE_CHANGE(0,-3AM)&lt;/Q&gt;&lt;R&gt;1&lt;/R&gt;&lt;C&gt;1&lt;/C&gt;&lt;D xsi:type="xsd:double"&gt;7.90248003362757&lt;/D&gt;&lt;/FQL&gt;&lt;FQL&gt;&lt;Q&gt;EWI^FG_PRICE_MAVG(0,,,,200)&lt;/Q&gt;&lt;R&gt;1&lt;/R&gt;&lt;C&gt;1&lt;/C&gt;&lt;D xsi:type="xsd:double"&gt;31.768&lt;/D&gt;&lt;/FQL&gt;&lt;FQL&gt;&lt;Q&gt;EWN^FG_PRICE_MAVG(0,,,,30)&lt;/Q&gt;&lt;R&gt;1&lt;/R&gt;&lt;C&gt;1&lt;/C&gt;&lt;D xsi:type="xsd:double"&gt;44.092567&lt;/D&gt;&lt;/FQL&gt;&lt;FQL&gt;&lt;Q&gt;QQQ^FG_PRICE_MAVG(0,,,,200)&lt;/Q&gt;&lt;R&gt;1&lt;/R&gt;&lt;C&gt;1&lt;/C&gt;&lt;D xsi:type="xsd:double"&gt;368.2388&lt;/D&gt;&lt;/FQL&gt;&lt;FQL&gt;&lt;Q&gt;EWC^FG_PRICE_MAVG(0,,,,60)&lt;/Q&gt;&lt;R&gt;1&lt;/R&gt;&lt;C&gt;1&lt;/C&gt;&lt;D xsi:type="xsd:double"&gt;35.21417&lt;/D&gt;&lt;/FQL&gt;&lt;FQL&gt;&lt;Q&gt;ENZL^FG_PRICE(0)&lt;/Q&gt;&lt;R&gt;1&lt;/R&gt;&lt;C&gt;1&lt;/C&gt;&lt;D xsi:type="xsd:double"&gt;46.9&lt;/D&gt;&lt;/FQL&gt;&lt;FQL&gt;&lt;Q&gt;FXI^P_PRICE(0)/P_PRICE_LOW_PR(0,,,USD,,,"PRICE","INTRA","52W")-1&lt;/Q&gt;&lt;R&gt;1&lt;/R&gt;&lt;C&gt;1&lt;/C&gt;&lt;D xsi:type="xsd:double"&gt;0.08341324&lt;/D&gt;&lt;/FQL&gt;&lt;FQL&gt;&lt;Q&gt;QQQ^FG_TOTAL_RETURNC(0,-6AM)&lt;/Q&gt;&lt;R&gt;1&lt;/R&gt;&lt;C&gt;1&lt;/C&gt;&lt;D xsi:type="xsd:double"&gt;12.7061&lt;/D&gt;&lt;/FQL&gt;&lt;FQL&gt;&lt;Q&gt;URTH^FG_TOTAL_RETURNC(0,-3AM)&lt;/Q&gt;&lt;R&gt;1&lt;/R&gt;&lt;C&gt;1&lt;/C&gt;&lt;D xsi:type="xsd:double"&gt;17.837345&lt;/D&gt;&lt;/FQL&gt;&lt;FQL&gt;&lt;Q&gt;EWI^P_PRICE(0)/P_PRICE_HIGH_PR(0,,,USD,,,"PRICE","INTRA","52W")&lt;/Q&gt;&lt;R&gt;1&lt;/R&gt;&lt;C&gt;1&lt;/C&gt;&lt;D xsi:type="xsd:double"&gt;0.97607934&lt;/D&gt;&lt;/FQL&gt;&lt;FQL&gt;&lt;Q&gt;EWN^FG_TOTAL_RETURNC(0,-3AM)&lt;/Q&gt;&lt;R&gt;1&lt;/R&gt;&lt;C&gt;1&lt;/C&gt;&lt;D xsi:type="xsd:double"&gt;25.778818&lt;/D&gt;&lt;/FQL&gt;&lt;FQL&gt;&lt;Q&gt;EWJ^P_PRICE(0)/P_PRICE_LOW_PR(0,,,USD,,,"PRICE","INTRA","52W")-1&lt;/Q&gt;&lt;R&gt;1&lt;/R&gt;&lt;C&gt;1&lt;/C&gt;&lt;D xsi:type="xsd:double"&gt;0.19860685&lt;/D&gt;&lt;/FQL&gt;&lt;FQL&gt;&lt;Q&gt;EWC^FG_TOTAL_RETURNC(0,-6AM)&lt;/Q&gt;&lt;R&gt;1&lt;/R&gt;&lt;C&gt;1&lt;/C&gt;&lt;D xsi:type="xsd:double"&gt;3.0292988&lt;/D&gt;&lt;/FQL&gt;&lt;FQL&gt;&lt;Q&gt;EMXC^FMA_PCT_ABOVE_MAVG(200,0,,,,"PORTAGG")&lt;/Q&gt;&lt;R&gt;1&lt;/R&gt;&lt;C&gt;1&lt;/C&gt;&lt;D xsi:type="xsd:double"&gt;60.6824925816024&lt;/D&gt;&lt;/FQL&gt;&lt;FQL&gt;&lt;Q&gt;URTH^PERCENT_CHANGE(FMA_EPS(+1,0,,,,"PORTAGG","MEAN"),FMA_EPS(+1,-3AM,,,,"PORTAGG","MEAN"))&lt;/Q&gt;&lt;R&gt;1&lt;/R&gt;&lt;C&gt;1&lt;/C&gt;&lt;D xsi:type="xsd:double"&gt;-0.996110990164579&lt;/D&gt;&lt;/FQL&gt;&lt;FQL&gt;&lt;Q&gt;EWI^PERCENT_CHANGE(FMA_EPS(+1,0,,,,"PORTAGG","MEAN"),FMA_EPS(+1,-1AM,,,,"PORTAGG","MEAN"))&lt;/Q&gt;&lt;R&gt;1&lt;/R&gt;&lt;C&gt;1&lt;/C&gt;&lt;D xsi:type="xsd:double"&gt;-2.56266426664765&lt;/D&gt;&lt;/FQL&gt;&lt;FQL&gt;&lt;Q&gt;SPY^PERCENT_CHANGE(FMA_EPS(+1,0,,,,"PORTAGG","MEAN"),FMA_EPS(+1,-3AM,,,,"PORTAGG","MEAN"))&lt;/Q&gt;&lt;R&gt;1&lt;/R&gt;&lt;C&gt;1&lt;/C&gt;&lt;D xsi:type="xsd:double"&gt;-1.54372808415427&lt;/D&gt;&lt;/FQL&gt;&lt;FQL&gt;&lt;Q&gt;EWL^PERCENT_CHANGE(FMA_EPS(+1,0,,,,"PORTAGG","MEAN"),FMA_EPS(+1,-1AM,,,,"PORTAGG","MEAN"))&lt;/Q&gt;&lt;R&gt;1&lt;/R&gt;&lt;C&gt;1&lt;/C&gt;&lt;D xsi:type="xsd:double"&gt;-3.34099851178726&lt;/D&gt;&lt;/FQL&gt;&lt;FQL&gt;&lt;Q&gt;EWC^FMA_PCT_ABOVE_MAVG(200,0,,,,"PORTAGG")&lt;/Q&gt;&lt;R&gt;1&lt;/R&gt;&lt;C&gt;1&lt;/C&gt;&lt;D xsi:type="xsd:double"&gt;65.1685393258427&lt;/D&gt;&lt;/FQL&gt;&lt;FQL&gt;&lt;Q&gt;INDA^FMA_COS_UP("EPS","1M",+1,0,,,"PORTAGG","MEANR")&lt;/Q&gt;&lt;R&gt;1&lt;/R&gt;&lt;C&gt;1&lt;/C&gt;&lt;D xsi:type="xsd:double"&gt;44&lt;/D&gt;&lt;/FQL&gt;&lt;FQL&gt;&lt;Q&gt;VWO^SIZE(FG_CONSTITUENTS)&lt;/Q&gt;&lt;R&gt;1&lt;/R&gt;&lt;C&gt;1&lt;/C&gt;&lt;D xsi:type="xsd:long"&gt;4684&lt;/D&gt;&lt;/FQL&gt;&lt;FQL&gt;&lt;Q&gt;EWD^FMA_COS_DOWN("EPS","1M",+1,0,,,"PORTAGG","MEANR")&lt;/Q&gt;&lt;R&gt;1&lt;/R&gt;&lt;C&gt;1&lt;/C&gt;&lt;D xsi:type="xsd:double"&gt;21&lt;/D&gt;&lt;/FQL&gt;&lt;FQL&gt;&lt;Q&gt;QQQ^SIZE(FG_CONSTITUENTS)&lt;/Q&gt;&lt;R&gt;1&lt;/R&gt;&lt;C&gt;1&lt;/C&gt;&lt;D xsi:type="xsd:long"&gt;102&lt;/D&gt;&lt;/FQL&gt;&lt;FQL&gt;&lt;Q&gt;EWJ^FMA_COS_DOWN("EPS","1M",+1,0,,,"PORTAGG","MEANR")&lt;/Q&gt;&lt;R&gt;1&lt;/R&gt;&lt;C&gt;1&lt;/C&gt;&lt;D xsi:type="xsd:double"&gt;87&lt;/D&gt;&lt;/FQL&gt;&lt;FQL&gt;&lt;Q&gt;EWA^FMA_COS_UP("EPS","1M",+1,0,,,"PORTAGG","MEANR")&lt;/Q&gt;&lt;R&gt;1&lt;/R&gt;&lt;C&gt;1&lt;/C&gt;&lt;D xsi:type="xsd:double"&gt;28&lt;/D&gt;&lt;/FQL&gt;&lt;FQL&gt;&lt;Q&gt;EWJ^P_PRICE(0)/P_PRICE_HIGH_PR(0,,,USD,,,"PRICE","INTRA","52W")&lt;/Q&gt;&lt;R&gt;1&lt;/R&gt;&lt;C&gt;1&lt;/C&gt;&lt;D xsi:type="xsd:double"&gt;0.9781601&lt;/D&gt;&lt;/FQL&gt;&lt;FQL&gt;&lt;Q&gt;USO^P_PRICE(0)/P_PRICE_HIGH_PR(0,,,USD,,,"PRICE","INTRA","52W")&lt;/Q&gt;&lt;R&gt;1&lt;/R&gt;&lt;C&gt;1&lt;/C&gt;&lt;D xsi:type="xsd:double"&gt;0.87765634&lt;/D&gt;&lt;/FQL&gt;&lt;FQL&gt;&lt;Q&gt;ENZL^SIZE(FG_CONSTITUENTS)&lt;/Q&gt;&lt;R&gt;1&lt;/R&gt;&lt;C&gt;1&lt;/C&gt;&lt;D xsi:type="xsd:long"&gt;16&lt;/D&gt;&lt;/FQL&gt;&lt;FQL&gt;&lt;Q&gt;EWL^FG_COMPANY_NAME&lt;/Q&gt;&lt;R&gt;1&lt;/R&gt;&lt;C&gt;1&lt;/C&gt;&lt;D xsi:type="xsd:string"&gt;iShares MSCI Switzerland ETF&lt;/D&gt;&lt;/FQL&gt;&lt;FQL&gt;&lt;Q&gt;EWJ^FG_TOTAL_RETURNC(0,-6AM)&lt;/Q&gt;&lt;R&gt;1&lt;/R&gt;&lt;C&gt;1&lt;/C&gt;&lt;D xsi:type="xsd:double"&gt;5.541408&lt;/D&gt;&lt;/FQL&gt;&lt;FQL&gt;&lt;Q&gt;SPY^PERCENT_CHANGE(FMA_EPS(+1,0,,,,"PORTAGG","MEAN"),FMA_EPS(+1,-1AM,,,,"PORTAGG","MEAN"))&lt;/Q&gt;&lt;R&gt;1&lt;/R&gt;&lt;C&gt;1&lt;/C&gt;&lt;D xsi:type="xsd:double"&gt;-0.734568163547285&lt;/D&gt;&lt;/FQL&gt;&lt;FQL&gt;&lt;Q&gt;EWU^FMA_COS_UP("EPS","1M",+1,0,,,"PORTAGG","MEANR")&lt;/Q&gt;&lt;R&gt;1&lt;/R&gt;&lt;C&gt;1&lt;/C&gt;&lt;D xsi:type="xsd:double"&gt;39&lt;/D&gt;&lt;/FQL&gt;&lt;FQL&gt;&lt;Q&gt;TLT^P_PRICE(0)/P_PRICE_HIGH_PR(0,,,USD,,,"PRICE","INTRA","52W")&lt;/Q&gt;&lt;R&gt;1&lt;/R&gt;&lt;C&gt;1&lt;/C&gt;&lt;D xsi:type="xsd:double"&gt;0.8575975&lt;/D&gt;&lt;/FQL&gt;&lt;FQL&gt;&lt;Q&gt;EMXC^FG_TOTAL_RETURNC(0,-6AM)&lt;/Q&gt;&lt;R&gt;1&lt;/R&gt;&lt;C&gt;1&lt;/C&gt;&lt;D xsi:type="xsd:double"&gt;1.2673497&lt;/D&gt;&lt;/FQL&gt;&lt;FQL&gt;&lt;Q&gt;DBA^P_PRICE(0)/P_PRICE_HIGH_PR(0,,,USD,,,"PRICE","INTRA","52W")&lt;/Q&gt;&lt;R&gt;1&lt;/R&gt;&lt;C&gt;1&lt;/C&gt;&lt;D xsi:type="xsd:double"&gt;0.9537573&lt;/D&gt;&lt;/FQL&gt;&lt;FQL&gt;&lt;Q&gt;GLD^P_PRICE(0)/P_PRICE_HIGH_PR(0,,,USD,,,"PRICE","INTRA","52W")&lt;/Q&gt;&lt;R&gt;1&lt;/R&gt;&lt;C&gt;1&lt;/C&gt;&lt;D xsi:type="xsd:double"&gt;0.96804935&lt;/D&gt;&lt;/FQL&gt;&lt;FQL&gt;&lt;Q&gt;QQQ^FG_TOTAL_RETURNC(-10AY,0,AM)&lt;/Q&gt;&lt;R&gt;121&lt;/R&gt;&lt;C&gt;1&lt;/C&gt;&lt;D xsi:type="xsd:double"&gt;-1.1397302&lt;/D&gt;&lt;D xsi:type="xsd:double"&gt;4.023528&lt;/D&gt;&lt;D xsi:type="xsd:double"&gt;-2.5450766&lt;/D&gt;&lt;D xsi:type="xsd:double"&gt;-1.3505757&lt;/D&gt;&lt;D xsi:type="xsd:double"&gt;4.2812347&lt;/D&gt;&lt;D xsi:type="xsd:double"&gt;4.1284204&lt;/D&gt;&lt;D xsi:type="xsd:double"&gt;3.6425948&lt;/D&gt;&lt;D xsi:type="xsd:double"&gt;2.853012&lt;/D&gt;&lt;D xsi:type="xsd:double"&gt;-0.48749447&lt;/D&gt;&lt;D xsi:type="xsd:double"&gt;-0.16196966&lt;/D&gt;&lt;D xsi:type="xsd:double"&gt;6.996548&lt;/D&gt;&lt;D xsi:type="xsd:double"&gt;-0.085777044&lt;/D&gt;&lt;D xsi:type="xsd:double"&gt;-0.85681677&lt;/D&gt;&lt;D xsi:type="xsd:double"&gt;4.5515656&lt;/D&gt;&lt;D xsi:type="xsd:double"&gt;-3.2510817&lt;/D&gt;&lt;D xsi:type="xsd:double"&gt;5.1760197&lt;/D&gt;&lt;D xsi:type="xsd:double"&gt;-1.2122333&lt;/D&gt;&lt;D xsi:type="xsd:double"&gt;0.29553175&lt;/D&gt;&lt;D xsi:type="xsd:double"&gt;1.6747475&lt;/D&gt;&lt;D xsi:type="xsd:double"&gt;-7.263726&lt;/D&gt;&lt;D xsi:type="xsd:double"&gt;0.13978481&lt;/D&gt;&lt;D xsi:type="xsd:double"&gt;9.648275&lt;/D&gt;&lt;D xsi:type="xsd:double"&gt;1.151979&lt;/D&gt;&lt;D xsi:type="xsd:double"&gt;-1.0591984&lt;/D&gt;&lt;D xsi:type="xsd:double"&gt;-8.3844&lt;/D&gt;&lt;D xsi:type="xsd:double"&gt;0.27145147&lt;/D&gt;&lt;D xsi:type="xsd:double"&gt;4.0099382&lt;/D&gt;&lt;D xsi:type="xsd:double"&gt;1.1094451&lt;/D&gt;&lt;D xsi:type="xsd:double"&gt;1.023519&lt;/D&gt;&lt;D xsi:type="xsd:double"&gt;-4.553914&lt;/D&gt;&lt;D xsi:type="xsd:double"&gt;9.109211&lt;/D&gt;&lt;D xsi:type="xsd:double"&gt;2.627647&lt;/D&gt;&lt;D xsi:type="xsd:double"&gt;0.7312894&lt;/D&gt;&lt;D xsi:type="xsd:double"&gt;0.88630915&lt;/D&gt;&lt;D xsi:type="xsd:double"&gt;0.3547907&lt;/D&gt;&lt;D xsi:type="xsd:double"&gt;1.4787197&lt;/D&gt;&lt;D xsi:type="xsd:double"&gt;4.459238&lt;/D&gt;&lt;D xsi:type="xsd:double"&gt;3.7432313&lt;/D&gt;&lt;D xsi:type="xsd:double"&gt;0.49282312&lt;/D&gt;&lt;D xsi:type="xsd:double"&gt;3.2993913&lt;/D&gt;&lt;D xsi:type="xsd:double"&gt;4.6539187&lt;/D&gt;&lt;D xsi:type="xsd:double"&gt;-0.18051267&lt;/D&gt;&lt;D xsi:type="xsd:double"&gt;3.0516386&lt;/D&gt;&lt;D xsi:type="xsd:double"&gt;-2.0017922&lt;/D&gt;&lt;D xsi:type="xsd:double"&gt;1.0665298&lt;/D&gt;&lt;D xsi:type="xsd:double"&gt;2.6472092&lt;/D&gt;&lt;D xsi:type="xsd:double"&gt;6.328249&lt;/D&gt;&lt;D xsi:type="xsd:double"&gt;0.3743887&lt;/D&gt;&lt;D xsi:type="xsd:double"&gt;9.206486&lt;/D&gt;&lt;D xsi:type="xsd:double"&gt;-0.31006932&lt;/D&gt;&lt;D xsi:type="xsd:double"&gt;-3.3614576&lt;/D&gt;&lt;D xsi:type="xsd:double"&gt;-1.4659286&lt;/D&gt;&lt;D xsi:type="xsd:double"&gt;4.7719&lt;/D&gt;&lt;D xsi:type="xsd:double"&gt;1.6019821&lt;/D&gt;&lt;D xsi:type="xsd:double"&gt;4.6376467&lt;/D&gt;&lt;D xsi:type="xsd:double"&gt;1.349616&lt;/D&gt;&lt;D xsi:type="xsd:double"&gt;1.1620164&lt;/D&gt;&lt;D xsi:type="xsd:double"&gt;-9.556627&lt;/D&gt;&lt;D xsi:type="xsd:double"&gt;-2.2620916&lt;/D&gt;&lt;D xsi:type="xsd:double"&gt;-6.128746&lt;/D&gt;&lt;D xsi:type="xsd:double"&gt;8.32349&lt;/D&gt;&lt;D xsi:type="xsd:double"&gt;5.1771164&lt;/D&gt;&lt;D xsi:type="xsd:double"&gt;3.2673001&lt;/D&gt;&lt;D xsi:type="xsd:double"&gt;6.4786315&lt;/D&gt;&lt;D xsi:type="xsd:double"&gt;-6.5512657&lt;/D&gt;&lt;D xsi:type="xsd:double"&gt;4.5129895&lt;/D&gt;&lt;D xsi:type="xsd:double"&gt;5.1133037&lt;/D&gt;&lt;D xsi:type="xsd:double"&gt;-5.361253&lt;/D&gt;&lt;D xsi:type="xsd:double"&gt;2.6738882&lt;/D&gt;&lt;D xsi:type="xsd:double"&gt;3.3055186&lt;/D&gt;&lt;D xsi:type="xsd:double"&gt;4.584956&lt;/D&gt;&lt;D xsi:type="xsd:double"&gt;4.712355&lt;/D&gt;&lt;D xsi:type="xsd:double"&gt;4.16764&lt;/D&gt;&lt;D xsi:type="xsd:double"&gt;-2.7929962&lt;/D&gt;&lt;D xsi:type="xsd:double"&gt;-11.165786&lt;/D&gt;&lt;D xsi:type="xsd:double"&gt;11.433041&lt;/D&gt;&lt;D xsi:type="xsd:double"&gt;7.108116&lt;/D&gt;&lt;D xsi:type="xsd:double"&gt;5.0615788&lt;/D&gt;&lt;D xsi:type="xsd:double"&gt;6.385815&lt;/D&gt;&lt;D xsi:type="xsd:double"&gt;14.243233&lt;/D&gt;&lt;D xsi:type="xsd:double"&gt;-6.8522635&lt;/D&gt;&lt;D xsi:type="xsd:double"&gt;3.281045&lt;/D&gt;&lt;D xsi:type="xsd:double"&gt;5.636966&lt;/D&gt;&lt;D xsi:type="xsd:double"&gt;4.672098&lt;/D&gt;&lt;D xsi:type="xsd:double"&gt;6.1474323&lt;/D&gt;&lt;D xsi:type="xsd:double"&gt;-4.397571&lt;/D&gt;&lt;D xsi:type="xsd:double"&gt;0.71669817&lt;/D&gt;&lt;D xsi:type="xsd:double"&gt;8.110762&lt;/D&gt;&lt;D xsi:type="xsd:double"&gt;-2.1953583&lt;/D&gt;&lt;D xsi:type="xsd:double"&gt;4.7085404&lt;/D&gt;&lt;D xsi:type="xsd:double"&gt;5.44554&lt;/D&gt;&lt;D xsi:type="xsd:double"&gt;1.0665178&lt;/D&gt;&lt;D xsi:type="xsd:double"&gt;0.35779476&lt;/D&gt;&lt;D xsi:type="xsd:double"&gt;1.5509129&lt;/D&gt;&lt;D xsi:type="xsd:double"&gt;3.1863332&lt;/D&gt;&lt;D xsi:type="xsd:double"&gt;1.5931368&lt;/D&gt;&lt;D xsi:type="xsd:double"&gt;-13.189059&lt;/D&gt;&lt;D xsi:type="xsd:double"&gt;0.34825802&lt;/D&gt;&lt;D xsi:type="xsd:double"&gt;4.0562153&lt;/D&gt;&lt;D xsi:type="xsd:double"&gt;-11.746204&lt;/D&gt;&lt;D xsi:type="xsd:double"&gt;-5.6158247&lt;/D&gt;&lt;D xsi:type="xsd:double"&gt;-1.3921797&lt;/D&gt;&lt;D xsi:type="xsd:double"&gt;-0.08146167&lt;/D&gt;&lt;D xsi:type="xsd:double"&gt;4.4399977&lt;/D&gt;&lt;D xsi:type="xsd:double"&gt;-10.597574&lt;/D&gt;&lt;D xsi:type="xsd:double"&gt;1.2975216&lt;/D&gt;&lt;D xsi:type="xsd:double"&gt;3.2346368&lt;/D&gt;&lt;D xsi:type="xsd:double"&gt;-6.5908375&lt;/D&gt;&lt;D xsi:type="xsd:double"&gt;9.717237&lt;/D&gt;&lt;D xsi:type="xsd:double"&gt;-0.50793886&lt;/D&gt;&lt;D xsi:type="xsd:double"&gt;6.6883087&lt;/D&gt;&lt;D xsi:type="xsd:double"&gt;0.3152132&lt;/D&gt;&lt;D xsi:type="xsd:double"&gt;11.713219&lt;/D&gt;&lt;D xsi:type="xsd:double"&gt;2.804613&lt;/D&gt;&lt;D xsi:type="xsd:double"&gt;5.546856&lt;/D&gt;&lt;D xsi:type="xsd:double"&gt;-3.5759686999999998&lt;/D&gt;&lt;D xsi:type="xsd:double"&gt;-2.5543094&lt;/D&gt;&lt;D xsi:type="xsd:double"&gt;-2.978456&lt;/D&gt;&lt;D xsi:type="xsd:double"&gt;13.341677&lt;/D&gt;&lt;D xsi:type="xsd:double"&gt;5.69582&lt;/D&gt;&lt;D xsi:type="xsd:double"&gt;3.2010078&lt;/D&gt;&lt;/FQL&gt;&lt;FQL&gt;&lt;Q&gt;W-FDS^FG_PRICE_CHANGE(0,-3AM)&lt;/Q&gt;&lt;R&gt;1&lt;/R&gt;&lt;C&gt;1&lt;/C&gt;&lt;D xsi:type="xsd:double"&gt;3.58067299396032&lt;/D&gt;&lt;/FQL&gt;&lt;FQL&gt;&lt;Q&gt;BRENT-FDS^FG_PRICE_CHANGE(0,-1AY)&lt;/Q&gt;&lt;R&gt;1&lt;/R&gt;&lt;C&gt;1&lt;/C&gt;&lt;D xsi:type="xsd:double"&gt;-2.69718948322756&lt;/D&gt;&lt;/FQL&gt;&lt;FQL&gt;&lt;Q&gt;COPP-FDS^FG_PRICE_MAVG(0,,,,30)&lt;/Q&gt;&lt;R&gt;1&lt;/R&gt;&lt;C&gt;1&lt;/C&gt;&lt;D xsi:type="xsd:double"&gt;3.8337667&lt;/D&gt;&lt;/FQL&gt;&lt;FQL&gt;&lt;Q&gt;FC0000JP^FG_PRICE(0)&lt;/Q&gt;&lt;R&gt;1&lt;/R&gt;&lt;C&gt;1&lt;/C&gt;&lt;D xsi:type="xsd:double"&gt;167.85266&lt;/D&gt;&lt;/FQL&gt;&lt;FQL&gt;&lt;Q&gt;EWN^FG_PRICE(0)&lt;/Q&gt;&lt;R&gt;1&lt;/R&gt;&lt;C&gt;1&lt;/C&gt;&lt;D xsi:type="xsd:double"&gt;45.94&lt;/D&gt;&lt;/FQL&gt;&lt;FQL&gt;&lt;Q&gt;QQQ^FG_PRICE_MAVG(0,,,,60)&lt;/Q&gt;&lt;R&gt;1&lt;/R&gt;&lt;C&gt;1&lt;/C&gt;&lt;D xsi:type="xsd:double"&gt;395.9985&lt;/D&gt;&lt;/FQL&gt;&lt;FQL&gt;&lt;Q&gt;EWL^FG_PRICE(0)&lt;/Q&gt;&lt;R&gt;1&lt;/R&gt;&lt;C&gt;1&lt;/C&gt;&lt;D xsi:type="xsd:double"&gt;47.82&lt;/D&gt;&lt;/FQL&gt;&lt;FQL&gt;&lt;Q&gt;EWC^FG_PRICE_MAVG(0,,,,30)&lt;/Q&gt;&lt;R&gt;1&lt;/R&gt;&lt;C&gt;1&lt;/C&gt;&lt;D xsi:type="xsd:double"&gt;36.24967&lt;/D&gt;&lt;/FQL&gt;&lt;FQL&gt;&lt;Q&gt;VWO^P_PRICE(0)/P_PRICE_LOW_PR(0,,,USD,,,"PRICE","INTRA","52W")-1&lt;/Q&gt;&lt;R&gt;1&lt;/R&gt;&lt;C&gt;1&lt;/C&gt;&lt;D xsi:type="xsd:double"&gt;0.07221997&lt;/D&gt;&lt;/FQL&gt;&lt;FQL&gt;&lt;Q&gt;EWI^FG_TOTAL_RETURNC(0,-6AM)&lt;/Q&gt;&lt;R&gt;1&lt;/R&gt;&lt;C&gt;1&lt;/C&gt;&lt;D xsi:type="xsd:double"&gt;2.0546079&lt;/D&gt;&lt;/FQL&gt;&lt;FQL&gt;&lt;Q&gt;EWQ^P_PRICE(0)/P_PRICE_LOW_PR(0,,,USD,,,"PRICE","INTRA","52W")-1&lt;/Q&gt;&lt;R&gt;1&lt;/R&gt;&lt;C&gt;1&lt;/C&gt;&lt;D xsi:type="xsd:double"&gt;0.15894234&lt;/D&gt;&lt;/FQL&gt;&lt;FQL&gt;&lt;Q&gt;EWC^FG_TOTAL_RETURNC(0,-3AM)&lt;/Q&gt;&lt;R&gt;1&lt;/R&gt;&lt;C&gt;1&lt;/C&gt;&lt;D xsi:type="xsd:double"&gt;16.17509&lt;/D&gt;&lt;/FQL&gt;&lt;FQL&gt;&lt;Q&gt;FXI^PERCENT_CHANGE(FMA_EPS(+1,0,,,,"PORTAGG","MEAN"),FMA_EPS(+1,-1AM,,,,"PORTAGG","MEAN"))&lt;/Q&gt;&lt;R&gt;1&lt;/R&gt;&lt;C&gt;1&lt;/C&gt;&lt;D xsi:type="xsd:double"&gt;-1.93559033302675&lt;/D&gt;&lt;/FQL&gt;&lt;FQL&gt;&lt;Q&gt;INDA^PERCENT_CHANGE(FMA_EPS(+1,0,,,,"PORTAGG","MEAN"),FMA_EPS(+1,-3AM,,,,"PORTAGG","MEAN"))&lt;/Q&gt;&lt;R&gt;1&lt;/R&gt;&lt;C&gt;1&lt;/C&gt;&lt;D xsi:type="xsd:double"&gt;-1.02389000946144&lt;/D&gt;&lt;/FQL&gt;&lt;FQL&gt;&lt;Q&gt;URTH^PERCENT_CHANGE(FMA_EPS(+1,0,,,,"PORTAGG","MEAN"),FMA_EPS(+1,-1AM,,,,"PORTAGG","MEAN"))&lt;/Q&gt;&lt;R&gt;1&lt;/R&gt;&lt;C&gt;1&lt;/C&gt;&lt;D xsi:type="xsd:double"&gt;-1.64504239301674&lt;/D&gt;&lt;/FQL&gt;&lt;FQL&gt;&lt;Q&gt;EWI^FMA_PCT_ABOVE_MAVG(200,0,,,,"PORTAGG")&lt;/Q&gt;&lt;R&gt;1&lt;/R&gt;&lt;C&gt;1&lt;/C&gt;&lt;D xsi:type="xsd:double"&gt;72&lt;/D&gt;&lt;/FQL&gt;&lt;FQL&gt;&lt;Q&gt;EWL^FMA_PCT_ABOVE_MAVG(200,0,,,,"PORTAGG")&lt;/Q&gt;&lt;R&gt;1&lt;/R&gt;&lt;C&gt;1&lt;/C&gt;&lt;D xsi:type="xsd:double"&gt;53.3333333333333&lt;/D&gt;&lt;/FQL&gt;&lt;FQL&gt;&lt;Q&gt;EWA^PERCENT_CHANGE(FMA_EPS(+1,0,,,,"PORTAGG","MEAN"),FMA_EPS(+1,-3AM,,,,"PORTAGG","MEAN"))&lt;/Q&gt;&lt;R&gt;1&lt;/R&gt;&lt;C&gt;1&lt;/C&gt;&lt;D xsi:type="xsd:double"&gt;0.489736664573848&lt;/D&gt;&lt;/FQL&gt;&lt;FQL&gt;&lt;Q&gt;IWM^FMA_COS_DOWN("EPS","1M",+1,0,,,"PORTAGG","MEANR")&lt;/Q&gt;&lt;R&gt;1&lt;/R&gt;&lt;C&gt;1&lt;/C&gt;&lt;D xsi:type="xsd:double"&gt;439&lt;/D&gt;&lt;/FQL&gt;&lt;FQL&gt;&lt;Q&gt;VWO^FMA_COS_DOWN("EPS","1M",+1,0,,,"PORTAGG","MEANR")&lt;/Q&gt;&lt;R&gt;1&lt;/R&gt;&lt;C&gt;1&lt;/C&gt;&lt;D xsi:type="xsd:double"&gt;1281&lt;/D&gt;&lt;/FQL&gt;&lt;FQL&gt;&lt;Q&gt;EWD^FMA_COS_UP("EPS","1M",+1,0,,,"PORTAGG","MEANR")&lt;/Q&gt;&lt;R&gt;1&lt;/R&gt;&lt;C&gt;1&lt;/C&gt;&lt;D xsi:type="xsd:double"&gt;10&lt;/D&gt;&lt;/FQL&gt;&lt;FQL&gt;&lt;Q&gt;USO^FG_TOTAL_RETURNC(0,-6AM)&lt;/Q&gt;&lt;R&gt;1&lt;/R&gt;&lt;C&gt;1&lt;/C&gt;&lt;D xsi:type="xsd:double"&gt;3.4531474&lt;/D&gt;&lt;/FQL&gt;&lt;FQL&gt;&lt;Q&gt;DBA^FG_TOTAL_RETURNC(0,-1AM)&lt;/Q&gt;&lt;R&gt;1&lt;/R&gt;&lt;C&gt;1&lt;/C&gt;&lt;D xsi:type="xsd:double"&gt;2.2402406&lt;/D&gt;&lt;/FQL&gt;&lt;FQL&gt;&lt;Q&gt;UUP^FG_TOTAL_RETURNC(0,-6AM)&lt;/Q&gt;&lt;R&gt;1&lt;/R&gt;&lt;C&gt;1&lt;/C&gt;&lt;D xsi:type="xsd:double"&gt;5.7374597&lt;/D&gt;&lt;/FQL&gt;&lt;FQL&gt;&lt;Q&gt;GLD^FG_TOTAL_RETURNC(0,-1AM)&lt;/Q&gt;&lt;R&gt;1&lt;/R&gt;&lt;C&gt;1&lt;/C&gt;&lt;D xsi:type="xsd:double"&gt;-2.4567127&lt;/D&gt;&lt;/FQL&gt;&lt;FQL&gt;&lt;Q&gt;VWO^FG_TOTAL_RETURNC(0,-6AM)&lt;/Q&gt;&lt;R&gt;1&lt;/R&gt;&lt;C&gt;1&lt;/C&gt;&lt;D xsi:type="xsd:double"&gt;-2.6167512&lt;/D&gt;&lt;/FQL&gt;&lt;FQL&gt;&lt;Q&gt;EWQ^SIZE(FG_CONSTITUENTS)&lt;/Q&gt;&lt;R&gt;1&lt;/R&gt;&lt;C&gt;1&lt;/C&gt;&lt;D xsi:type="xsd:long"&gt;62&lt;/D&gt;&lt;/FQL&gt;&lt;FQL&gt;&lt;Q&gt;EWU^FMA_COS_DOWN("EPS","1M",+1,0,,,"PORTAGG","MEANR")&lt;/Q&gt;&lt;R&gt;1&lt;/R&gt;&lt;C&gt;1&lt;/C&gt;&lt;D xsi:type="xsd:double"&gt;36&lt;/D&gt;&lt;/FQL&gt;&lt;FQL&gt;&lt;Q&gt;EWJ^FG_TOTAL_RETURNC(0,-1AM)&lt;/Q&gt;&lt;R&gt;1&lt;/R&gt;&lt;C&gt;1&lt;/C&gt;&lt;D xsi:type="xsd:double"&gt;3.28542&lt;/D&gt;&lt;/FQL&gt;&lt;FQL&gt;&lt;Q&gt;UUP^FG_TOTAL_RETURNC(0,-1AM)&lt;/Q&gt;&lt;R&gt;1&lt;/R&gt;&lt;C&gt;1&lt;/C&gt;&lt;D xsi:type="xsd:double"&gt;2.5470614&lt;/D&gt;&lt;/FQL&gt;&lt;FQL&gt;&lt;Q&gt;VWO^FG_TOTAL_RETURNC(0,-1AM)&lt;/Q&gt;&lt;R&gt;1&lt;/R&gt;&lt;C&gt;1&lt;/C&gt;&lt;D xsi:type="xsd:double"&gt;-0.88844895&lt;/D&gt;&lt;/FQL&gt;&lt;FQL&gt;&lt;Q&gt;PASP-FDS^FG_PRICE_CHANGE(0,-6AM)&lt;/Q&gt;&lt;R&gt;1&lt;/R&gt;&lt;C&gt;1&lt;/C&gt;&lt;D xsi:type="xsd:double"&gt;-23.7154150197628&lt;/D&gt;&lt;/FQL&gt;&lt;FQL&gt;&lt;Q&gt;TIOS-FDS^FG_PRICE_CHANGE(0,-1AY)&lt;/Q&gt;&lt;R&gt;1&lt;/R&gt;&lt;C&gt;1&lt;/C&gt;&lt;D xsi:type="xsd:double"&gt;10.6539309331374&lt;/D&gt;&lt;/FQL&gt;&lt;FQL&gt;&lt;Q&gt;EWQ^FG_PRICE(0)&lt;/Q&gt;&lt;R&gt;1&lt;/R&gt;&lt;C&gt;1&lt;/C&gt;&lt;D xsi:type="xsd:double"&gt;39.01&lt;/D&gt;&lt;/FQL&gt;&lt;FQL&gt;&lt;Q&gt;EWA^FG_PRICE_MAVG(0,,,,30)&lt;/Q&gt;&lt;R&gt;1&lt;/R&gt;&lt;C&gt;1&lt;/C&gt;&lt;D xsi:type="xsd:double"&gt;23.806667&lt;/D&gt;&lt;/FQL&gt;&lt;FQL&gt;&lt;Q&gt;EWU^FG_TOTAL_RETURNC(0,-3AM)&lt;/Q&gt;&lt;R&gt;1&lt;/R&gt;&lt;C&gt;1&lt;/C&gt;&lt;D xsi:type="xsd:double"&gt;9.372497&lt;/D&gt;&lt;/FQL&gt;&lt;FQL&gt;&lt;Q&gt;EWA^FG_TOTAL_RETURNC(0,-3AM)&lt;/Q&gt;&lt;R&gt;1&lt;/R&gt;&lt;C&gt;1&lt;/C&gt;&lt;D xsi:type="xsd:double"&gt;17.312443&lt;/D&gt;&lt;/FQL&gt;&lt;FQL&gt;&lt;Q&gt;VWO^FMA_PCT_ABOVE_MAVG(200,0,,,,"PORTAGG")&lt;/Q&gt;&lt;R&gt;1&lt;/R&gt;&lt;C&gt;1&lt;/C&gt;&lt;D xsi:type="xsd:double"&gt;43.1372549019608&lt;/D&gt;&lt;/FQL&gt;&lt;FQL&gt;&lt;Q&gt;OIL^P_PRICE_RETURNS_PR('52W',2,-10AY,0,AM)&lt;/Q&gt;&lt;R&gt;121&lt;/R&gt;&lt;C&gt;1&lt;/C&gt;&lt;D xsi:type="xsd:double"&gt;2.0044804&lt;/D&gt;&lt;D xsi:type="xsd:double"&gt;12.287307&lt;/D&gt;&lt;D xsi:type="xsd:double"&gt;8.437241&lt;/D&gt;&lt;D xsi:type="xsd:double"&gt;13.690937&lt;/D&gt;&lt;D xsi:type="xsd:double"&gt;18.403137&lt;/D&gt;&lt;D xsi:type="xsd:double"&gt;19.652058&lt;/D&gt;&lt;D xsi:type="xsd:double"&gt;6.038761&lt;/D&gt;&lt;D xsi:type="xsd:double"&gt;-2.801156&lt;/D&gt;&lt;D xsi:type="xsd:double"&gt;-2.8711498&lt;/D&gt;&lt;D xsi:type="xsd:double"&gt;-10.716027&lt;/D&gt;&lt;D xsi:type="xsd:double"&gt;-16.666662&lt;/D&gt;&lt;D xsi:type="xsd:double"&gt;-39.518898&lt;/D&gt;&lt;D xsi:type="xsd:double"&gt;-47.076775&lt;/D&gt;&lt;D xsi:type="xsd:double"&gt;-44.532097&lt;/D&gt;&lt;D xsi:type="xsd:double"&gt;-44.641815&lt;/D&gt;&lt;D xsi:type="xsd:double"&gt;-42.018803&lt;/D&gt;&lt;D xsi:type="xsd:double"&gt;-45.34601&lt;/D&gt;&lt;D xsi:type="xsd:double"&gt;-45.55735&lt;/D&gt;&lt;D xsi:type="xsd:double"&gt;-54.144386&lt;/D&gt;&lt;D xsi:type="xsd:double"&gt;-60.365513&lt;/D&gt;&lt;D xsi:type="xsd:double"&gt;-54.545456&lt;/D&gt;&lt;D xsi:type="xsd:double"&gt;-50.449467&lt;/D&gt;&lt;D xsi:type="xsd:double"&gt;-47.41533&lt;/D&gt;&lt;D xsi:type="xsd:double"&gt;-41.38691&lt;/D&gt;&lt;D xsi:type="xsd:double"&gt;-41.744007&lt;/D&gt;&lt;D xsi:type="xsd:double"&gt;-45.779114&lt;/D&gt;&lt;D xsi:type="xsd:double"&gt;-33.882587&lt;/D&gt;&lt;D xsi:type="xsd:double"&gt;-38.159435&lt;/D&gt;&lt;D xsi:type="xsd:double"&gt;-29.81149&lt;/D&gt;&lt;D xsi:type="xsd:double"&gt;-34.614056&lt;/D&gt;&lt;D xsi:type="xsd:double"&gt;-27.410109&lt;/D&gt;&lt;D xsi:type="xsd:double"&gt;-3.5960734&lt;/D&gt;&lt;D xsi:type="xsd:double"&gt;-19.20743&lt;/D&gt;&lt;D xsi:type="xsd:double"&gt;-10.775155&lt;/D&gt;&lt;D xsi:type="xsd:double"&gt;-13.785315&lt;/D&gt;&lt;D xsi:type="xsd:double"&gt;13.417398&lt;/D&gt;&lt;D xsi:type="xsd:double"&gt;33.492744&lt;/D&gt;&lt;D xsi:type="xsd:double"&gt;33.896935&lt;/D&gt;&lt;D xsi:type="xsd:double"&gt;0.98052025&lt;/D&gt;&lt;D xsi:type="xsd:double"&gt;-4.6761456&lt;/D&gt;&lt;D xsi:type="xsd:double"&gt;-12.971306&lt;/D&gt;&lt;D xsi:type="xsd:double"&gt;-21.359825&lt;/D&gt;&lt;D xsi:type="xsd:double"&gt;-2.5704503&lt;/D&gt;&lt;D xsi:type="xsd:double"&gt;-10.00539&lt;/D&gt;&lt;D xsi:type="xsd:double"&gt;1.1858702&lt;/D&gt;&lt;D xsi:type="xsd:double"&gt;-3.60443&lt;/D&gt;&lt;D xsi:type="xsd:double"&gt;9.602106&lt;/D&gt;&lt;D xsi:type="xsd:double"&gt;2.5190353&lt;/D&gt;&lt;D xsi:type="xsd:double"&gt;14.59074&lt;/D&gt;&lt;D xsi:type="xsd:double"&gt;13.108837&lt;/D&gt;&lt;D xsi:type="xsd:double"&gt;31.296026&lt;/D&gt;&lt;D xsi:type="xsd:double"&gt;34.96852&lt;/D&gt;&lt;D xsi:type="xsd:double"&gt;38.491154&lt;/D&gt;&lt;D xsi:type="xsd:double"&gt;57.044937&lt;/D&gt;&lt;D xsi:type="xsd:double"&gt;44.00549&lt;/D&gt;&lt;D xsi:type="xsd:double"&gt;47.020985&lt;/D&gt;&lt;D xsi:type="xsd:double"&gt;44.68138&lt;/D&gt;&lt;D xsi:type="xsd:double"&gt;35.698296&lt;/D&gt;&lt;D xsi:type="xsd:double"&gt;-5.9779406&lt;/D&gt;&lt;D xsi:type="xsd:double"&gt;-15.539432&lt;/D&gt;&lt;D xsi:type="xsd:double"&gt;-12.568593&lt;/D&gt;&lt;D xsi:type="xsd:double"&gt;-7.37586&lt;/D&gt;&lt;D xsi:type="xsd:double"&gt;-6.1336813&lt;/D&gt;&lt;D xsi:type="xsd:double"&gt;-6.5825167&lt;/D&gt;&lt;D xsi:type="xsd:double"&gt;-16.573292&lt;/D&gt;&lt;D xsi:type="xsd:double"&gt;-12.98303&lt;/D&gt;&lt;D xsi:type="xsd:double"&gt;-17.84351&lt;/D&gt;&lt;D xsi:type="xsd:double"&gt;-22.51712&lt;/D&gt;&lt;D xsi:type="xsd:double"&gt;-23.237085&lt;/D&gt;&lt;D xsi:type="xsd:double"&gt;-16.64958&lt;/D&gt;&lt;D xsi:type="xsd:double"&gt;11.729002&lt;/D&gt;&lt;D xsi:type="xsd:double"&gt;29.747105&lt;/D&gt;&lt;D xsi:type="xsd:double"&gt;3.1943917&lt;/D&gt;&lt;D xsi:type="xsd:double"&gt;-11.004096&lt;/D&gt;&lt;D xsi:type="xsd:double"&gt;-48.538322&lt;/D&gt;&lt;D xsi:type="xsd:double"&gt;-59.07141&lt;/D&gt;&lt;D xsi:type="xsd:double"&gt;-39.955795&lt;/D&gt;&lt;D xsi:type="xsd:double"&gt;-34.525074&lt;/D&gt;&lt;D xsi:type="xsd:double"&gt;-26.087612&lt;/D&gt;&lt;D xsi:type="xsd:double"&gt;-18.564766&lt;/D&gt;&lt;D xsi:type="xsd:double"&gt;-29.640383&lt;/D&gt;&lt;D xsi:type="xsd:double"&gt;-34.204185&lt;/D&gt;&lt;D xsi:type="xsd:double"&gt;-25.083424&lt;/D&gt;&lt;D xsi:type="xsd:double"&gt;-25.992268&lt;/D&gt;&lt;D xsi:type="xsd:double"&gt;-11.706466&lt;/D&gt;&lt;D xsi:type="xsd:double"&gt;13.977062&lt;/D&gt;&lt;D xsi:type="xsd:double"&gt;90.41848&lt;/D&gt;&lt;D xsi:type="xsd:double"&gt;125.77066&lt;/D&gt;&lt;D xsi:type="xsd:double"&gt;82.29432&lt;/D&gt;&lt;D xsi:type="xsd:double"&gt;80.53487&lt;/D&gt;&lt;D xsi:type="xsd:double"&gt;69.200325&lt;/D&gt;&lt;D xsi:type="xsd:double"&gt;54.90961&lt;/D&gt;&lt;D xsi:type="xsd:double"&gt;85.40206&lt;/D&gt;&lt;D xsi:type="xsd:double"&gt;118.04778&lt;/D&gt;&lt;D xsi:type="xsd:double"&gt;58.64885&lt;/D&gt;&lt;D xsi:type="xsd:double"&gt;63.361477&lt;/D&gt;&lt;D xsi:type="xsd:double"&gt;75.19789&lt;/D&gt;&lt;D xsi:type="xsd:double"&gt;55.335533&lt;/D&gt;&lt;D xsi:type="xsd:double"&gt;104.28736&lt;/D&gt;&lt;D xsi:type="xsd:double"&gt;79.137085&lt;/D&gt;&lt;D xsi:type="xsd:double"&gt;85.685074&lt;/D&gt;&lt;D xsi:type="xsd:double"&gt;60.724224&lt;/D&gt;&lt;D xsi:type="xsd:double"&gt;50.935425&lt;/D&gt;&lt;D xsi:type="xsd:double"&gt;59.399033&lt;/D&gt;&lt;D xsi:type="xsd:double"&gt;21.797157&lt;/D&gt;&lt;D xsi:type="xsd:double"&gt;25.952375&lt;/D&gt;&lt;D xsi:type="xsd:double"&gt;20.454025&lt;/D&gt;&lt;D xsi:type="xsd:double"&gt;31.111109&lt;/D&gt;&lt;D xsi:type="xsd:double"&gt;16.00151&lt;/D&gt;&lt;D xsi:type="xsd:double"&gt;2.099371&lt;/D&gt;&lt;D xsi:type="xsd:double"&gt;-23.637014&lt;/D&gt;&lt;D xsi:type="xsd:double"&gt;-13.231707&lt;/D&gt;&lt;D xsi:type="xsd:double"&gt;-22.411896&lt;/D&gt;&lt;D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xsi:type="xsd:string"&gt;@NA&lt;/D&gt;&lt;/FQL&gt;&lt;FQL&gt;&lt;Q&gt;UUP^FG_TOTAL_RETURNC(-10AY,0,AM)&lt;/Q&gt;&lt;R&gt;121&lt;/R&gt;&lt;C&gt;1&lt;/C&gt;&lt;D xsi:type="xsd:double"&gt;-0.046223402&lt;/D&gt;&lt;D xsi:type="xsd:double"&gt;-0.2775252&lt;/D&gt;&lt;D xsi:type="xsd:double"&gt;-0.6493449&lt;/D&gt;&lt;D xsi:type="xsd:double"&gt;-0.3734827&lt;/D&gt;&lt;D xsi:type="xsd:double"&gt;0.6560445&lt;/D&gt;&lt;D xsi:type="xsd:double"&gt;-0.32588243&lt;/D&gt;&lt;D xsi:type="xsd:double"&gt;0.98085403&lt;/D&gt;&lt;D xsi:type="xsd:double"&gt;1.8501401&lt;/D&gt;&lt;D xsi:type="xsd:double"&gt;3.5422325&lt;/D&gt;&lt;D xsi:type="xsd:double"&gt;-0.087714195&lt;/D&gt;&lt;D xsi:type="xsd:double"&gt;2.1949053&lt;/D&gt;&lt;D xsi:type="xsd:double"&gt;2.6202679&lt;/D&gt;&lt;D xsi:type="xsd:double"&gt;5.3578973&lt;/D&gt;&lt;D xsi:type="xsd:double"&gt;0.07946491&lt;/D&gt;&lt;D xsi:type="xsd:double"&gt;1.7864227&lt;/D&gt;&lt;D xsi:type="xsd:double"&gt;-0.46801567&lt;/D&gt;&lt;D xsi:type="xsd:double"&gt;0.15673637&lt;/D&gt;&lt;D xsi:type="xsd:double"&gt;-2.1909237&lt;/D&gt;&lt;D xsi:type="xsd:double"&gt;1.8000007&lt;/D&gt;&lt;D xsi:type="xsd:double"&gt;-2.318269&lt;/D&gt;&lt;D xsi:type="xsd:double"&gt;0.88495016&lt;/D&gt;&lt;D xsi:type="xsd:double"&gt;0.5582094&lt;/D&gt;&lt;D xsi:type="xsd:double"&gt;3.0134797&lt;/D&gt;&lt;D xsi:type="xsd:double"&gt;-1.9245565&lt;/D&gt;&lt;D xsi:type="xsd:double"&gt;0.981164&lt;/D&gt;&lt;D xsi:type="xsd:double"&gt;-1.1270881&lt;/D&gt;&lt;D xsi:type="xsd:double"&gt;-2.0047188&lt;/D&gt;&lt;D xsi:type="xsd:double"&gt;-1.7248333&lt;/D&gt;&lt;D xsi:type="xsd:double"&gt;0.612247&lt;/D&gt;&lt;D xsi:type="xsd:double"&gt;0.5273819&lt;/D&gt;&lt;D xsi:type="xsd:double"&gt;1.4527798&lt;/D&gt;&lt;D xsi:type="xsd:double"&gt;-1.8297493&lt;/D&gt;&lt;D xsi:type="xsd:double"&gt;-0.20259619&lt;/D&gt;&lt;D xsi:type="xsd:double"&gt;3.5728812&lt;/D&gt;&lt;D xsi:type="xsd:double"&gt;2.861619&lt;/D&gt;&lt;D xsi:type="xsd:double"&gt;1.4862776&lt;/D&gt;&lt;D xsi:type="xsd:double"&gt;-2.440852&lt;/D&gt;&lt;D xsi:type="xsd:double"&gt;0.57736635&lt;/D&gt;&lt;D xsi:type="xsd:double"&gt;-1.4925361&lt;/D&gt;&lt;D xsi:type="xsd:double"&gt;-0.6992996&lt;/D&gt;&lt;D xsi:type="xsd:double"&gt;-1.5258193&lt;/D&gt;&lt;D xsi:type="xsd:double"&gt;0.07946491&lt;/D&gt;&lt;D xsi:type="xsd:double"&gt;-3.8110375&lt;/D&gt;&lt;D xsi:type="xsd:double"&gt;-0.990504&lt;/D&gt;&lt;D xsi:type="xsd:double"&gt;0.6669402&lt;/D&gt;&lt;D xsi:type="xsd:double"&gt;1.9461751&lt;/D&gt;&lt;D xsi:type="xsd:double"&gt;-1.9902587&lt;/D&gt;&lt;D xsi:type="xsd:double"&gt;0.5922437&lt;/D&gt;&lt;D xsi:type="xsd:double"&gt;-4.082471&lt;/D&gt;&lt;D xsi:type="xsd:double"&gt;0.90283155&lt;/D&gt;&lt;D xsi:type="xsd:double"&gt;-0.68172216&lt;/D&gt;&lt;D xsi:type="xsd:double"&gt;3.174603&lt;/D&gt;&lt;D xsi:type="xsd:double"&gt;3.118503&lt;/D&gt;&lt;D xsi:type="xsd:double"&gt;0.76613426&lt;/D&gt;&lt;D xsi:type="xsd:double"&gt;0.24009943&lt;/D&gt;&lt;D xsi:type="xsd:double"&gt;0.5988121&lt;/D&gt;&lt;D xsi:type="xsd:double"&gt;-0.7142842&lt;/D&gt;&lt;D xsi:type="xsd:double"&gt;2.5179863&lt;/D&gt;&lt;D xsi:type="xsd:double"&gt;1.05263&lt;/D&gt;&lt;D xsi:type="xsd:double"&gt;0.1437664&lt;/D&gt;&lt;D xsi:type="xsd:double"&gt;-0.934577&lt;/D&gt;&lt;D xsi:type="xsd:double"&gt;0.62892437&lt;/D&gt;&lt;D xsi:type="xsd:double"&gt;1.0937452&lt;/D&gt;&lt;D xsi:type="xsd:double"&gt;1.6615152&lt;/D&gt;&lt;D xsi:type="xsd:double"&gt;-0.22804737&lt;/D&gt;&lt;D xsi:type="xsd:double"&gt;-0.9904742&lt;/D&gt;&lt;D xsi:type="xsd:double"&gt;2.1546721&lt;/D&gt;&lt;D xsi:type="xsd:double"&gt;0.4143119&lt;/D&gt;&lt;D xsi:type="xsd:double"&gt;1.4628649&lt;/D&gt;&lt;D xsi:type="xsd:double"&gt;-1.1829913&lt;/D&gt;&lt;D xsi:type="xsd:double"&gt;0.6359935&lt;/D&gt;&lt;D xsi:type="xsd:double"&gt;-0.5750239&lt;/D&gt;&lt;D xsi:type="xsd:double"&gt;0.6483555&lt;/D&gt;&lt;D xsi:type="xsd:double"&gt;1.4778376&lt;/D&gt;&lt;D xsi:type="xsd:double"&gt;0.6348014&lt;/D&gt;&lt;D xsi:type="xsd:double"&gt;0.8163214&lt;/D&gt;&lt;D xsi:type="xsd:double"&gt;-1.3985991&lt;/D&gt;&lt;D xsi:type="xsd:double"&gt;-1.642406&lt;/D&gt;&lt;D xsi:type="xsd:double"&gt;-3.2258093&lt;/D&gt;&lt;D xsi:type="xsd:double"&gt;-1.5686274&lt;/D&gt;&lt;D xsi:type="xsd:double"&gt;1.7928243&lt;/D&gt;&lt;D xsi:type="xsd:double"&gt;-1.6438365&lt;/D&gt;&lt;D xsi:type="xsd:double"&gt;-1.2733757&lt;/D&gt;&lt;D xsi:type="xsd:double"&gt;-1.8540859&lt;/D&gt;&lt;D xsi:type="xsd:double"&gt;-0.20534396&lt;/D&gt;&lt;D xsi:type="xsd:double"&gt;0.9053588&lt;/D&gt;&lt;D xsi:type="xsd:double"&gt;1.8760204&lt;/D&gt;&lt;D xsi:type="xsd:double"&gt;-2.121693&lt;/D&gt;&lt;D xsi:type="xsd:double"&gt;-0.9406984&lt;/D&gt;&lt;D xsi:type="xsd:double"&gt;1.9405484&lt;/D&gt;&lt;D xsi:type="xsd:double"&gt;0.85054636&lt;/D&gt;&lt;D xsi:type="xsd:double"&gt;0.40160418&lt;/D&gt;&lt;D xsi:type="xsd:double"&gt;0.19999743&lt;/D&gt;&lt;D xsi:type="xsd:double"&gt;0.6387234&lt;/D&gt;&lt;D xsi:type="xsd:double"&gt;2.221346&lt;/D&gt;&lt;D xsi:type="xsd:double"&gt;-0.15522242&lt;/D&gt;&lt;D xsi:type="xsd:double"&gt;0.42752028&lt;/D&gt;&lt;D xsi:type="xsd:double"&gt;0&lt;/D&gt;&lt;D xsi:type="xsd:double"&gt;2.2058845&lt;/D&gt;&lt;D xsi:type="xsd:double"&gt;3.5592556&lt;/D&gt;&lt;D xsi:type="xsd:double"&gt;-0.4753232&lt;/D&gt;&lt;D xsi:type="xsd:double"&gt;2.057314&lt;/D&gt;&lt;D xsi:type="xsd:double"&gt;3.1677485&lt;/D&gt;&lt;D xsi:type="xsd:double"&gt;1.6399145&lt;/D&gt;&lt;D xsi:type="xsd:double"&gt;5.2523255&lt;/D&gt;&lt;D xsi:type="xsd:double"&gt;-3.7834287&lt;/D&gt;&lt;D xsi:type="xsd:double"&gt;-3.1186461&lt;/D&gt;&lt;D xsi:type="xsd:double"&gt;-1.2392998&lt;/D&gt;&lt;D xsi:type="xsd:double"&gt;-1.9656897&lt;/D&gt;&lt;D xsi:type="xsd:double"&gt;3.8643837&lt;/D&gt;&lt;D xsi:type="xsd:double"&gt;-1.6146004&lt;/D&gt;&lt;D xsi:type="xsd:double"&gt;-1.177311&lt;/D&gt;&lt;D xsi:type="xsd:double"&gt;3.2129884&lt;/D&gt;&lt;D xsi:type="xsd:double"&gt;-0.9443879&lt;/D&gt;&lt;D xsi:type="xsd:double"&gt;-1.3064921&lt;/D&gt;&lt;D xsi:type="xsd:double"&gt;3.7924886&lt;/D&gt;&lt;D xsi:type="xsd:double"&gt;2.4819016&lt;/D&gt;&lt;D xsi:type="xsd:double"&gt;0.941813&lt;/D&gt;&lt;D xsi:type="xsd:double"&gt;-2.665782</t>
        </r>
      </text>
    </comment>
    <comment ref="A9" authorId="0" shapeId="0" xr:uid="{800B3175-2FF8-4C13-B883-2E745695EA7D}">
      <text>
        <r>
          <rPr>
            <b/>
            <sz val="9"/>
            <color indexed="81"/>
            <rFont val="Tahoma"/>
            <family val="2"/>
          </rPr>
          <t>&lt;/D&gt;&lt;D xsi:type="xsd:double"&gt;-1.3366342&lt;/D&gt;&lt;D xsi:type="xsd:double"&gt;2.5470614&lt;/D&gt;&lt;/FQL&gt;&lt;FQL&gt;&lt;Q&gt;W-FDS^FG_PRICE_CHANGE(0,-1AM)&lt;/Q&gt;&lt;R&gt;1&lt;/R&gt;&lt;C&gt;1&lt;/C&gt;&lt;D xsi:type="xsd:double"&gt;-5.65815324165029&lt;/D&gt;&lt;/FQL&gt;&lt;FQL&gt;&lt;Q&gt;NI-FDS^FG_PRICE_CHANGE(0,-3AM)&lt;/Q&gt;&lt;R&gt;1&lt;/R&gt;&lt;C&gt;1&lt;/C&gt;&lt;D xsi:type="xsd:double"&gt;-7.62569832402234&lt;/D&gt;&lt;/FQL&gt;&lt;FQL&gt;&lt;Q&gt;BRENT-FDS^FG_PRICE_CHANGE(0,-6AM)&lt;/Q&gt;&lt;R&gt;1&lt;/R&gt;&lt;C&gt;1&lt;/C&gt;&lt;D xsi:type="xsd:double"&gt;1.94728093089527&lt;/D&gt;&lt;/FQL&gt;&lt;FQL&gt;&lt;Q&gt;COPP-FDS^FG_PRICE(0)&lt;/Q&gt;&lt;R&gt;1&lt;/R&gt;&lt;C&gt;1&lt;/C&gt;&lt;D xsi:type="xsd:double"&gt;3.8505&lt;/D&gt;&lt;/FQL&gt;&lt;FQL&gt;&lt;Q&gt;EWI^FG_PRICE_MAVG(0,,,,60)&lt;/Q&gt;&lt;R&gt;1&lt;/R&gt;&lt;C&gt;1&lt;/C&gt;&lt;D xsi:type="xsd:double"&gt;32.915165&lt;/D&gt;&lt;/FQL&gt;&lt;FQL&gt;&lt;Q&gt;EWQ^FG_PRICE_MAVG(0,,,,200)&lt;/Q&gt;&lt;R&gt;1&lt;/R&gt;&lt;C&gt;1&lt;/C&gt;&lt;D xsi:type="xsd:double"&gt;37.572723&lt;/D&gt;&lt;/FQL&gt;&lt;FQL&gt;&lt;Q&gt;QQQ^FG_PRICE_MAVG(0,,,,30)&lt;/Q&gt;&lt;R&gt;1&lt;/R&gt;&lt;C&gt;1&lt;/C&gt;&lt;D xsi:type="xsd:double"&gt;409.84332&lt;/D&gt;&lt;/FQL&gt;&lt;FQL&gt;&lt;Q&gt;EWJ^FG_PRICE_MAVG(0,,,,200)&lt;/Q&gt;&lt;R&gt;1&lt;/R&gt;&lt;C&gt;1&lt;/C&gt;&lt;D xsi:type="xsd:double"&gt;61.4918&lt;/D&gt;&lt;/FQL&gt;&lt;FQL&gt;&lt;Q&gt;EMXC^P_PRICE(0)/P_PRICE_LOW_PR(0,,,USD,,,"PRICE","INTRA","52W")-1&lt;/Q&gt;&lt;R&gt;1&lt;/R&gt;&lt;C&gt;1&lt;/C&gt;&lt;D xsi:type="xsd:double"&gt;0.16785026&lt;/D&gt;&lt;/FQL&gt;&lt;FQL&gt;&lt;Q&gt;EWI^FG_TOTAL_RETURNC(0,-3AM)&lt;/Q&gt;&lt;R&gt;1&lt;/R&gt;&lt;C&gt;1&lt;/C&gt;&lt;D xsi:type="xsd:double"&gt;15.520393&lt;/D&gt;&lt;/FQL&gt;&lt;FQL&gt;&lt;Q&gt;EWQ^P_PRICE(0)/P_PRICE_HIGH_PR(0,,,USD,,,"PRICE","INTRA","52W")&lt;/Q&gt;&lt;R&gt;1&lt;/R&gt;&lt;C&gt;1&lt;/C&gt;&lt;D xsi:type="xsd:double"&gt;0.97647053&lt;/D&gt;&lt;/FQL&gt;&lt;FQL&gt;&lt;Q&gt;EWA^P_PRICE(0)/P_PRICE_LOW_PR(0,,,USD,,,"PRICE","INTRA","52W")-1&lt;/Q&gt;&lt;R&gt;1&lt;/R&gt;&lt;C&gt;1&lt;/C&gt;&lt;D xsi:type="xsd:double"&gt;0.1578691&lt;/D&gt;&lt;/FQL&gt;&lt;FQL&gt;&lt;Q&gt;FXI^FMA_PCT_ABOVE_MAVG(200,0,,,,"PORTAGG")&lt;/Q&gt;&lt;R&gt;1&lt;/R&gt;&lt;C&gt;1&lt;/C&gt;&lt;D xsi:type="xsd:double"&gt;19.6078431372549&lt;/D&gt;&lt;/FQL&gt;&lt;FQL&gt;&lt;Q&gt;URTH^FMA_PCT_ABOVE_MAVG(200,0,,,,"PORTAGG")&lt;/Q&gt;&lt;R&gt;1&lt;/R&gt;&lt;C&gt;1&lt;/C&gt;&lt;D xsi:type="xsd:double"&gt;65.8998646820027&lt;/D&gt;&lt;/FQL&gt;&lt;FQL&gt;&lt;Q&gt;EWD^PERCENT_CHANGE(FMA_EPS(+1,0,,,,"PORTAGG","MEAN"),FMA_EPS(+1,-3AM,,,,"PORTAGG","MEAN"))&lt;/Q&gt;&lt;R&gt;1&lt;/R&gt;&lt;C&gt;1&lt;/C&gt;&lt;D xsi:type="xsd:double"&gt;-5.33345461123225&lt;/D&gt;&lt;/FQL&gt;&lt;FQL&gt;&lt;Q&gt;EWA^PERCENT_CHANGE(FMA_EPS(+1,0,,,,"PORTAGG","MEAN"),FMA_EPS(+1,-1AM,,,,"PORTAGG","MEAN"))&lt;/Q&gt;&lt;R&gt;1&lt;/R&gt;&lt;C&gt;1&lt;/C&gt;&lt;D xsi:type="xsd:double"&gt;-3.63904392125879&lt;/D&gt;&lt;/FQL&gt;&lt;FQL&gt;&lt;Q&gt;IWM^FMA_COS_UP("EPS","1M",+1,0,,,"PORTAGG","MEANR")&lt;/Q&gt;&lt;R&gt;1&lt;/R&gt;&lt;C&gt;1&lt;/C&gt;&lt;D xsi:type="xsd:double"&gt;414&lt;/D&gt;&lt;/FQL&gt;&lt;FQL&gt;&lt;Q&gt;VWO^FMA_COS_UP("EPS","1M",+1,0,,,"PORTAGG","MEANR")&lt;/Q&gt;&lt;R&gt;1&lt;/R&gt;&lt;C&gt;1&lt;/C&gt;&lt;D xsi:type="xsd:double"&gt;729&lt;/D&gt;&lt;/FQL&gt;&lt;FQL&gt;&lt;Q&gt;EWN^SIZE(FG_CONSTITUENTS)&lt;/Q&gt;&lt;R&gt;1&lt;/R&gt;&lt;C&gt;1&lt;/C&gt;&lt;D xsi:type="xsd:long"&gt;55&lt;/D&gt;&lt;/FQL&gt;&lt;FQL&gt;&lt;Q&gt;QQQ^FMA_COS_DOWN("EPS","1M",+1,0,,,"PORTAGG","MEANR")&lt;/Q&gt;&lt;R&gt;1&lt;/R&gt;&lt;C&gt;1&lt;/C&gt;&lt;D xsi:type="xsd:double"&gt;29&lt;/D&gt;&lt;/FQL&gt;&lt;FQL&gt;&lt;Q&gt;EWG^SIZE(FG_CONSTITUENTS)&lt;/Q&gt;&lt;R&gt;1&lt;/R&gt;&lt;C&gt;1&lt;/C&gt;&lt;D xsi:type="xsd:long"&gt;60&lt;/D&gt;&lt;/FQL&gt;&lt;FQL&gt;&lt;Q&gt;ENZL^FMA_COS_DOWN("EPS","1M",+1,0,,,"PORTAGG","MEANR")&lt;/Q&gt;&lt;R&gt;1&lt;/R&gt;&lt;C&gt;1&lt;/C&gt;&lt;D xsi:type="xsd:double"&gt;2&lt;/D&gt;&lt;/FQL&gt;&lt;FQL&gt;&lt;Q&gt;EWJ^FG_COMPANY_NAME&lt;/Q&gt;&lt;R&gt;1&lt;/R&gt;&lt;C&gt;1&lt;/C&gt;&lt;D xsi:type="xsd:string"&gt;iShares MSCI Japan ETF&lt;/D&gt;&lt;/FQL&gt;&lt;FQL&gt;&lt;Q&gt;EWA^FG_PRICE_MAVG(0,,,,60)&lt;/Q&gt;&lt;R&gt;1&lt;/R&gt;&lt;C&gt;1&lt;/C&gt;&lt;D xsi:type="xsd:double"&gt;22.959667&lt;/D&gt;&lt;/FQL&gt;&lt;FQL&gt;&lt;Q&gt;IWM^P_PRICE(0)/P_PRICE_LOW_PR(0,,,USD,,,"PRICE","INTRA","52W")-1&lt;/Q&gt;&lt;R&gt;1&lt;/R&gt;&lt;C&gt;1&lt;/C&gt;&lt;D xsi:type="xsd:double"&gt;0.21222246&lt;/D&gt;&lt;/FQL&gt;&lt;FQL&gt;&lt;Q&gt;VWO^FG_TOTAL_RETURNC(0,-3AM)&lt;/Q&gt;&lt;R&gt;1&lt;/R&gt;&lt;C&gt;1&lt;/C&gt;&lt;D xsi:type="xsd:double"&gt;8.701742&lt;/D&gt;&lt;/FQL&gt;&lt;FQL&gt;&lt;Q&gt;EWG^P_PRICE(0)/P_PRICE_LOW_PR(0,,,USD,,,"PRICE","INTRA","52W")-1&lt;/Q&gt;&lt;R&gt;1&lt;/R&gt;&lt;C&gt;1&lt;/C&gt;&lt;D xsi:type="xsd:double"&gt;0.18963766&lt;/D&gt;&lt;/FQL&gt;&lt;FQL&gt;&lt;Q&gt;QQQ^PERCENT_CHANGE(FMA_EPS(+1,0,,,,"PORTAGG","MEAN"),FMA_EPS(+1,-3AM,,,,"PORTAGG","MEAN"))&lt;/Q&gt;&lt;R&gt;1&lt;/R&gt;&lt;C&gt;1&lt;/C&gt;&lt;D xsi:type="xsd:double"&gt;0.333159271050542&lt;/D&gt;&lt;/FQL&gt;&lt;FQL&gt;&lt;Q&gt;EWG^PERCENT_CHANGE(FMA_EPS(+1,0,,,,"PORTAGG","MEAN"),FMA_EPS(+1,-3AM,,,,"PORTAGG","MEAN"))&lt;/Q&gt;&lt;R&gt;1&lt;/R&gt;&lt;C&gt;1&lt;/C&gt;&lt;D xsi:type="xsd:double"&gt;-0.340957557742057&lt;/D&gt;&lt;/FQL&gt;&lt;FQL&gt;&lt;Q&gt;EMXC^SIZE(FG_CONSTITUENTS)&lt;/Q&gt;&lt;R&gt;1&lt;/R&gt;&lt;C&gt;1&lt;/C&gt;&lt;D xsi:type="xsd:long"&gt;700&lt;/D&gt;&lt;/FQL&gt;&lt;FQL&gt;&lt;Q&gt;EWC^SIZE(FG_CONSTITUENTS)&lt;/Q&gt;&lt;R&gt;1&lt;/R&gt;&lt;C&gt;1&lt;/C&gt;&lt;D xsi:type="xsd:long"&gt;89&lt;/D&gt;&lt;/FQL&gt;&lt;FQL&gt;&lt;Q&gt;EMXC^P_PRICE(0)/P_PRICE_HIGH_PR(0,,,USD,,,"PRICE","INTRA","52W")&lt;/Q&gt;&lt;R&gt;1&lt;/R&gt;&lt;C&gt;1&lt;/C&gt;&lt;D xsi:type="xsd:double"&gt;0.97380227&lt;/D&gt;&lt;/FQL&gt;&lt;FQL&gt;&lt;Q&gt;DBA^P_PRICE_RETURNS_PR('52W',2,-10AY,0,AM)&lt;/Q&gt;&lt;R&gt;121&lt;/R&gt;&lt;C&gt;1&lt;/C&gt;&lt;D xsi:type="xsd:double"&gt;-12.2013035&lt;/D&gt;&lt;D xsi:type="xsd:double"&gt;3.3549428&lt;/D&gt;&lt;D xsi:type="xsd:double"&gt;7.4894905&lt;/D&gt;&lt;D xsi:type="xsd:double"&gt;12.654805&lt;/D&gt;&lt;D xsi:type="xsd:double"&gt;10.883284&lt;/D&gt;&lt;D xsi:type="xsd:double"&gt;10.825766&lt;/D&gt;&lt;D xsi:type="xsd:double"&gt;7.9159856&lt;/D&gt;&lt;D xsi:type="xsd:double"&gt;2.9909492&lt;/D&gt;&lt;D xsi:type="xsd:double"&gt;-0.6669283&lt;/D&gt;&lt;D xsi:type="xsd:double"&gt;0.7050514&lt;/D&gt;&lt;D xsi:type="xsd:double"&gt;4.164982&lt;/D&gt;&lt;D xsi:type="xsd:double"&gt;2.8559685&lt;/D&gt;&lt;D xsi:type="xsd:double"&gt;-3.0103087&lt;/D&gt;&lt;D xsi:type="xsd:double"&gt;-15.30801&lt;/D&gt;&lt;D xsi:type="xsd:double"&gt;-20.405262&lt;/D&gt;&lt;D xsi:type="xsd:double"&gt;-23.485106&lt;/D&gt;&lt;D xsi:type="xsd:double"&gt;-21.835&lt;/D&gt;&lt;D xsi:type="xsd:double"&gt;-19.037432&lt;/D&gt;&lt;D xsi:type="xsd:double"&gt;-18.574106&lt;/D&gt;&lt;D xsi:type="xsd:double"&gt;-20.978218&lt;/D&gt;&lt;D xsi:type="xsd:double"&gt;-15.95068&lt;/D&gt;&lt;D xsi:type="xsd:double"&gt;-17.5807&lt;/D&gt;&lt;D xsi:type="xsd:double"&gt;-19.533985&lt;/D&gt;&lt;D xsi:type="xsd:double"&gt;-18.503778&lt;/D&gt;&lt;D xsi:type="xsd:double"&gt;-14.413273&lt;/D&gt;&lt;D xsi:type="xsd:double"&gt;-13.02265&lt;/D&gt;&lt;D xsi:type="xsd:double"&gt;-8.049536&lt;/D&gt;&lt;D xsi:type="xsd:double"&gt;-5.771816&lt;/D&gt;&lt;D xsi:type="xsd:double"&gt;-3.0937254&lt;/D&gt;&lt;D xsi:type="xsd:double"&gt;-2.9174209&lt;/D&gt;&lt;D xsi:type="xsd:double"&gt;-4.5161366&lt;/D&gt;&lt;D xsi:type="xsd:double"&gt;-0.7253349&lt;/D&gt;&lt;D xsi:type="xsd:double"&gt;-3.4074724&lt;/D&gt;&lt;D xsi:type="xsd:double"&gt;-2.6899457&lt;/D&gt;&lt;D xsi:type="xsd:double"&gt;-2.0270288&lt;/D&gt;&lt;D xsi:type="xsd:double"&gt;-3.5644531&lt;/D&gt;&lt;D xsi:type="xsd:double"&gt;2.3845077&lt;/D&gt;&lt;D xsi:type="xsd:double"&gt;1.2475014&lt;/D&gt;&lt;D xsi:type="xsd:double"&gt;-3.7999094&lt;/D&gt;&lt;D xsi:type="xsd:double"&gt;-8.167135&lt;/D&gt;&lt;D xsi:type="xsd:double"&gt;-6.9014072&lt;/D&gt;&lt;D xsi:type="xsd:double"&gt;-11.696714&lt;/D&gt;&lt;D xsi:type="xsd:double"&gt;-4.8745213&lt;/D&gt;&lt;D xsi:type="xsd:double"&gt;-9.728945&lt;/D&gt;&lt;D xsi:type="xsd:double"&gt;-7.7413025&lt;/D&gt;&lt;D xsi:type="xsd:double"&gt;-6.7895293&lt;/D&gt;&lt;D xsi:type="xsd:double"&gt;-5.6213083&lt;/D&gt;&lt;D xsi:type="xsd:double"&gt;-5.974686&lt;/D&gt;&lt;D xsi:type="xsd:double"&gt;-8.345467&lt;/D&gt;&lt;D xsi:type="xsd:double"&gt;-5.667824&lt;/D&gt;&lt;D xsi:type="xsd:double"&gt;-5.9500036&lt;/D&gt;&lt;D xsi:type="xsd:double"&gt;-1.9131362&lt;/D&gt;&lt;D xsi:type="xsd:double"&gt;-2.6646495&lt;/D&gt;&lt;D xsi:type="xsd:double"&gt;-6.335086&lt;/D&gt;&lt;D xsi:type="xsd:double"&gt;-10.958904&lt;/D&gt;&lt;D xsi:type="xsd:double"&gt;-8.681667&lt;/D&gt;&lt;D xsi:type="xsd:double"&gt;-9.930968&lt;/D&gt;&lt;D xsi:type="xsd:double"&gt;-7.80437&lt;/D&gt;&lt;D xsi:type="xsd:double"&gt;-10.762798&lt;/D&gt;&lt;D xsi:type="xsd:double"&gt;-7.700348&lt;/D&gt;&lt;D xsi:type="xsd:double"&gt;-7.890505&lt;/D&gt;&lt;D xsi:type="xsd:double"&gt;-12.66672&lt;/D&gt;&lt;D xsi:type="xsd:double"&gt;-9.683925&lt;/D&gt;&lt;D xsi:type="xsd:double"&gt;-13.695419&lt;/D&gt;&lt;D xsi:type="xsd:double"&gt;-14.494425&lt;/D&gt;&lt;D xsi:type="xsd:double"&gt;-5.7172656&lt;/D&gt;&lt;D xsi:type="xsd:double"&gt;-5.8485985&lt;/D&gt;&lt;D xsi:type="xsd:double"&gt;-10.266322&lt;/D&gt;&lt;D xsi:type="xsd:double"&gt;-6.2081633&lt;/D&gt;&lt;D xsi:type="xsd:double"&gt;-8.607161&lt;/D&gt;&lt;D xsi:type="xsd:double"&gt;-4.5595226&lt;/D&gt;&lt;D xsi:type="xsd:double"&gt;-1.9521713&lt;/D&gt;&lt;D xsi:type="xsd:double"&gt;-4.0913639999999996&lt;/D&gt;&lt;D xsi:type="xsd:double"&gt;-4.37572&lt;/D&gt;&lt;D xsi:type="xsd:double"&gt;-12.558836&lt;/D&gt;&lt;D xsi:type="xsd:double"&gt;-16.785543&lt;/D&gt;&lt;D xsi:type="xsd:double"&gt;-14.151991&lt;/D&gt;&lt;D xsi:type="xsd:double"&gt;-19.903301&lt;/D&gt;&lt;D xsi:type="xsd:double"&gt;-15.655363&lt;/D&gt;&lt;D xsi:type="xsd:double"&gt;-3.1852722&lt;/D&gt;&lt;D xsi:type="xsd:double"&gt;-5.401725&lt;/D&gt;&lt;D xsi:type="xsd:double"&gt;-4.751241&lt;/D&gt;&lt;D xsi:type="xsd:double"&gt;-2.8131545&lt;/D&gt;&lt;D xsi:type="xsd:double"&gt;-3.1211793&lt;/D&gt;&lt;D xsi:type="xsd:double"&gt;1.6019702&lt;/D&gt;&lt;D xsi:type="xsd:double"&gt;11.111105&lt;/D&gt;&lt;D xsi:type="xsd:double"&gt;16.931581&lt;/D&gt;&lt;D xsi:type="xsd:double"&gt;39.489494&lt;/D&gt;&lt;D xsi:type="xsd:double"&gt;32.509087&lt;/D&gt;&lt;D xsi:type="xsd:double"&gt;32.8614&lt;/D&gt;&lt;D xsi:type="xsd:double"&gt;40.14546&lt;/D&gt;&lt;D xsi:type="xsd:double"&gt;32.940365&lt;/D&gt;&lt;D xsi:type="xsd:double"&gt;28.590965&lt;/D&gt;&lt;D xsi:type="xsd:double"&gt;29.28139&lt;/D&gt;&lt;D xsi:type="xsd:double"&gt;29.005169&lt;/D&gt;&lt;D xsi:type="xsd:double"&gt;26.299118&lt;/D&gt;&lt;D xsi:type="xsd:double"&gt;22.316563&lt;/D&gt;&lt;D xsi:type="xsd:double"&gt;17.89174&lt;/D&gt;&lt;D xsi:type="xsd:double"&gt;32.3617&lt;/D&gt;&lt;D xsi:type="xsd:double"&gt;19.537127&lt;/D&gt;&lt;D xsi:type="xsd:double"&gt;22.283209&lt;/D&gt;&lt;D xsi:type="xsd:double"&gt;16.199553&lt;/D&gt;&lt;D xsi:type="xsd:double"&gt;2.7503848&lt;/D&gt;&lt;D xsi:type="xsd:double"&gt;8.294212&lt;/D&gt;&lt;D xsi:type="xsd:double"&gt;6.0106397&lt;/D&gt;&lt;D xsi:type="xsd:double"&gt;3.0649304&lt;/D&gt;&lt;D xsi:type="xsd:double"&gt;-1.9249737&lt;/D&gt;&lt;D xsi:type="xsd:double"&gt;1.8516302&lt;/D&gt;&lt;D xsi:type="xsd:double"&gt;-1.203692&lt;/D&gt;&lt;D xsi:type="xsd:double"&gt;-4.371434&lt;/D&gt;&lt;D xsi:type="xsd:double"&gt;-9.158289&lt;/D&gt;&lt;D xsi:type="xsd:double"&gt;-4.893965&lt;/D&gt;&lt;D xsi:type="xsd:double"&gt;-7.222438&lt;/D&gt;&lt;D xsi:type="xsd:double"&gt;4.271364&lt;/D&gt;&lt;D xsi:type="xsd:double"&gt;13.229156&lt;/D&gt;&lt;D xsi:type="xsd:double"&gt;5.980432&lt;/D&gt;&lt;D xsi:type="xsd:double"&gt;9.263587&lt;/D&gt;&lt;D xsi:type="xsd:double"&gt;10.670948&lt;/D&gt;&lt;D xsi:type="xsd:double"&gt;9.892249&lt;/D&gt;&lt;D xsi:type="xsd:double"&gt;8.607042&lt;/D&gt;&lt;D xsi:type="xsd:double"&gt;13.111937&lt;/D&gt;&lt;/FQL&gt;&lt;FQL&gt;&lt;Q&gt;GLD^FG_TOTAL_RETURNC(-10AY,0,AM)&lt;/Q&gt;&lt;R&gt;121&lt;/R&gt;&lt;C&gt;1&lt;/C&gt;&lt;D xsi:type="xsd:double"&gt;4.754162&lt;/D&gt;&lt;D xsi:type="xsd:double"&gt;4.7591805&lt;/D&gt;&lt;D xsi:type="xsd:double"&gt;-2.1075606&lt;/D&gt;&lt;D xsi:type="xsd:double"&gt;0.015950203&lt;/D&gt;&lt;D xsi:type="xsd:double"&gt;-0.7334769&lt;/D&gt;&lt;D xsi:type="xsd:double"&gt;1.7829895&lt;/D&gt;&lt;D xsi:type="xsd:double"&gt;-0.74094534&lt;/D&gt;&lt;D xsi:type="xsd:double"&gt;-1.9405246&lt;/D&gt;&lt;D xsi:type="xsd:double"&gt;-5.0993147&lt;/D&gt;&lt;D xsi:type="xsd:double"&gt;1.1019945&lt;/D&gt;&lt;D xsi:type="xsd:double"&gt;-2.6953936&lt;/D&gt;&lt;D xsi:type="xsd:double"&gt;-0.28656125&lt;/D&gt;&lt;D xsi:type="xsd:double"&gt;7.106149&lt;/D&gt;&lt;D xsi:type="xsd:double"&gt;-5.6264696&lt;/D&gt;&lt;D xsi:type="xsd:double"&gt;-0.5083084&lt;/D&gt;&lt;D xsi:type="xsd:double"&gt;-2.1042585&lt;/D&gt;&lt;D xsi:type="xsd:double"&gt;0.76072216&lt;/D&gt;&lt;D xsi:type="xsd:double"&gt;-1.185149&lt;/D&gt;&lt;D xsi:type="xsd:double"&gt;-6.4054728&lt;/D&gt;&lt;D xsi:type="xsd:double"&gt;2.202177&lt;/D&gt;&lt;D xsi:type="xsd:double"&gt;1.9875526&lt;/D&gt;&lt;D xsi:type="xsd:double"&gt;1.4752746&lt;/D&gt;&lt;D xsi:type="xsd:double"&gt;-8.049899&lt;/D&gt;&lt;D xsi:type="xsd:double"&gt;0.5758405&lt;/D&gt;&lt;D xsi:type="xsd:double"&gt;4.1145086&lt;/D&gt;&lt;D xsi:type="xsd:double"&gt;9.152758&lt;/D&gt;&lt;D xsi:type="xsd:double"&gt;-0.6660402&lt;/D&gt;&lt;D xsi:type="xsd:double"&gt;2.0372987&lt;/D&gt;&lt;D xsi:type="xsd:double"&gt;-1.7860115&lt;/D&gt;&lt;D xsi:type="xsd:double"&gt;8.088863&lt;/D&gt;&lt;D xsi:type="xsd:double"&gt;-0.007939339&lt;/D&gt;&lt;D xsi:type="xsd:double"&gt;0.039684772&lt;/D&gt;&lt;D xsi:type="xsd:double"&gt;1.1900067&lt;/D&gt;&lt;D xsi:type="xsd:double"&gt;-5.299884&lt;/D&gt;&lt;D xsi:type="xsd:double"&gt;-6.7720833&lt;/D&gt;&lt;D xsi:type="xsd:double"&gt;-4.155934&lt;/D&gt;&lt;D xsi:type="xsd:double"&gt;4.938388&lt;/D&gt;&lt;D xsi:type="xsd:double"&gt;5.686033&lt;/D&gt;&lt;D xsi:type="xsd:double"&gt;-0.7017493&lt;/D&gt;&lt;D xsi:type="xsd:double"&gt;1.6658187&lt;/D&gt;&lt;D xsi:type="xsd:double"&gt;-0.2482593&lt;/D&gt;&lt;D xsi:type="xsd:double"&gt;-1.8085301&lt;/D&gt;&lt;D xsi:type="xsd:double"&gt;1.2842178&lt;/D&gt;&lt;D xsi:type="xsd:double"&gt;2.3857236&lt;/D&gt;&lt;D xsi:type="xsd:double"&gt;0.32589436&lt;/D&gt;&lt;D xsi:type="xsd:double"&gt;-2.281952&lt;/D&gt;&lt;D xsi:type="xsd:double"&gt;1.6537786&lt;/D&gt;&lt;D xsi:type="xsd:double"&gt;-0.44964552&lt;/D&gt;&lt;D xsi:type="xsd:double"&gt;5.173695&lt;/D&gt;&lt;D xsi:type="xsd:double"&gt;-1.2649417&lt;/D&gt;&lt;D xsi:type="xsd:double"&gt;1.4472127&lt;/D&gt;&lt;D xsi:type="xsd:double"&gt;-2.580291&lt;/D&gt;&lt;D xsi:type="xsd:double"&gt;-1.4083385&lt;/D&gt;&lt;D xsi:type="xsd:double"&gt;-3.2059073&lt;/D&gt;&lt;D xsi:type="xsd:double"&gt;-2.9263854&lt;/D&gt;&lt;D xsi:type="xsd:double"&gt;-1.3906837&lt;/D&gt;&lt;D xsi:type="xsd:double"&gt;-0.97231865&lt;/D&gt;&lt;D xsi:type="xsd:double"&gt;3.2905698&lt;/D&gt;&lt;D xsi:type="xsd:double"&gt;-0.9677112&lt;/D&gt;&lt;D xsi:type="xsd:double"&gt;3.4763098&lt;/D&gt;&lt;D xsi:type="xsd:double"&gt;2.6742458&lt;/D&gt;&lt;D xsi:type="xsd:double"&gt;2.2139072&lt;/D&gt;&lt;D xsi:type="xsd:double"&gt;-1.0192692&lt;/D&gt;&lt;D xsi:type="xsd:double"&gt;-2.3572028&lt;/D&gt;&lt;D xsi:type="xsd:double"&gt;-0.057673454&lt;/D&gt;&lt;D xsi:type="xsd:double"&gt;9.620773&lt;/D&gt;&lt;D xsi:type="xsd:double"&gt;0.5038738&lt;/D&gt;&lt;D xsi:type="xsd:double"&gt;7.894349&lt;/D&gt;&lt;D xsi:type="xsd:double"&gt;-1.6644776&lt;/D&gt;&lt;D xsi:type="xsd:double"&gt;0.049376488&lt;/D&gt;&lt;D xsi:type="xsd:double"&gt;-2.904266&lt;/D&gt;&lt;D xsi:type="xsd:double"&gt;3.3686638&lt;/D&gt;&lt;D xsi:type="xsd:double"&gt;3.9331317&lt;/D&gt;&lt;D xsi:type="xsd:double"&gt;4.047847&lt;/D&gt;&lt;D xsi:type="xsd:double"&gt;-0.47411323&lt;/D&gt;&lt;D xsi:type="xsd:double"&gt;6.1341643&lt;/D&gt;&lt;D xsi:type="xsd:double"&gt;-1.075995&lt;/D&gt;&lt;D xsi:type="xsd:double"&gt;3.511715&lt;/D&gt;&lt;D xsi:type="xsd:double"&gt;7.301557&lt;/D&gt;&lt;D xsi:type="xsd:double"&gt;2.607727&lt;/D&gt;&lt;D xsi:type="xsd:double"&gt;-4.592061&lt;/D&gt;&lt;D xsi:type="xsd:double"&gt;2.0635605&lt;/D&gt;&lt;D xsi:type="xsd:double"&gt;-5.063015&lt;/D&gt;&lt;D xsi:type="xsd:double"&gt;4.035163&lt;/D&gt;&lt;D xsi:type="xsd:double"&gt;-1.5480638&lt;/D&gt;&lt;D xsi:type="xsd:double"&gt;-6.802213&lt;/D&gt;&lt;D xsi:type="xsd:double"&gt;0.26575327&lt;/D&gt;&lt;D xsi:type="xsd:double"&gt;2.8352976&lt;/D&gt;&lt;D xsi:type="xsd:double"&gt;6.473267&lt;/D&gt;&lt;D xsi:type="xsd:double"&gt;-6.220448&lt;/D&gt;&lt;D xsi:type="xsd:double"&gt;0.9424329&lt;/D&gt;&lt;D xsi:type="xsd:double"&gt;-0.2913952&lt;/D&gt;&lt;D xsi:type="xsd:double"&gt;-2.6063085&lt;/D&gt;&lt;D xsi:type="xsd:double"&gt;2.6821733&lt;/D&gt;&lt;D xsi:type="xsd:double"&gt;-0.4949808&lt;/D&gt;&lt;D xsi:type="xsd:double"&gt;1.2706041&lt;/D&gt;&lt;D xsi:type="xsd:double"&gt;0.4852891&lt;/D&gt;&lt;D xsi:type="xsd:double"&gt;3.9813995&lt;/D&gt;&lt;D xsi:type="xsd:double"&gt;3.3021808&lt;/D&gt;&lt;D xsi:type="xsd:double"&gt;-2.7744234&lt;/D&gt;&lt;D xsi:type="xsd:double"&gt;-2.5716305&lt;/D&gt;&lt;D xsi:type="xsd:double"&gt;-1.5454948&lt;/D&gt;&lt;D xsi:type="xsd:double"&gt;-5.908638&lt;/D&gt;&lt;D xsi:type="xsd:double"&gt;1.0747313&lt;/D&gt;&lt;D xsi:type="xsd:double"&gt;-6.5096436&lt;/D&gt;&lt;D xsi:type="xsd:double"&gt;2.4796724&lt;/D&gt;&lt;D xsi:type="xsd:double"&gt;5.3168178&lt;/D&gt;&lt;D xsi:type="xsd:double"&gt;2.4751782&lt;/D&gt;&lt;D xsi:type="xsd:double"&gt;7.3000193&lt;/D&gt;&lt;D xsi:type="xsd:double"&gt;-6.1960163&lt;/D&gt;&lt;D xsi:type="xsd:double"&gt;9.088206&lt;/D&gt;&lt;D xsi:type="xsd:double"&gt;0.59353113&lt;/D&gt;&lt;D xsi:type="xsd:double"&gt;-2.0677745&lt;/D&gt;&lt;D xsi:type="xsd:double"&gt;-1.3320804&lt;/D&gt;&lt;D xsi:type="xsd:double"&gt;2.6833296&lt;/D&gt;&lt;D xsi:type="xsd:double"&gt;-3.09875&lt;/D&gt;&lt;D xsi:type="xsd:double"&gt;-0.754416&lt;/D&gt;&lt;D xsi:type="xsd:double"&gt;4.385066&lt;/D&gt;&lt;D xsi:type="xsd:double"&gt;0.8206129&lt;/D&gt;&lt;D xsi:type="xsd:double"&gt;3.341961&lt;/D&gt;&lt;D xsi:type="xsd:double"&gt;-2.4567127&lt;/D&gt;&lt;/FQL&gt;&lt;FQL&gt;&lt;Q&gt;W-FDS^FG_PRICE_MAVG(0,,,,30)&lt;/Q&gt;&lt;R&gt;1&lt;/R&gt;&lt;C&gt;1&lt;/C&gt;&lt;D xsi:type="xsd:double"&gt;6.0728335&lt;/D&gt;&lt;/FQL&gt;&lt;FQL&gt;&lt;Q&gt;NI-FDS^FG_PRICE_MAVG(0,,,,30)&lt;/Q&gt;&lt;R&gt;1&lt;/R&gt;&lt;C&gt;1&lt;/C&gt;&lt;D xsi:type="xsd:double"&gt;16218.667&lt;/D&gt;&lt;/FQL&gt;&lt;FQL&gt;&lt;Q&gt;BRENT-FDS^FG_PRICE_CHANGE(0,-3AM)&lt;/Q&gt;&lt;R&gt;1&lt;/R&gt;&lt;C&gt;1&lt;/C&gt;&lt;D xsi:type="xsd:double"&gt;-6.7246061922868&lt;/D&gt;&lt;/FQL&gt;&lt;FQL&gt;&lt;Q&gt;TIOS-FDS^MAX(FG_PRICE(0,-5AY))&lt;/Q&gt;&lt;R&gt;1&lt;/R&gt;&lt;C&gt;1&lt;/C&gt;&lt;D xsi:type="xsd:double"&gt;219.77&lt;/D&gt;&lt;/FQL&gt;&lt;FQL&gt;&lt;Q&gt;EWI^FG_PRICE_MAVG(0,,,,30)&lt;/Q&gt;&lt;R&gt;1&lt;/R&gt;&lt;C&gt;1&lt;/C&gt;&lt;D xsi:type="xsd:double"&gt;33.626667&lt;/D&gt;&lt;/FQL&gt;&lt;FQL&gt;&lt;Q&gt;QQQ^FG_PRICE(0)&lt;/Q&gt;&lt;R&gt;1&lt;/R&gt;&lt;C&gt;1&lt;/C&gt;&lt;D xsi:type="xsd:double"&gt;423.81&lt;/D&gt;&lt;/FQL&gt;&lt;FQL&gt;&lt;Q&gt;EWJ^FG_PRICE_MAVG(0,,,,60)&lt;/Q&gt;&lt;R&gt;1&lt;/R&gt;&lt;C&gt;1&lt;/C&gt;&lt;D xsi:type="xsd:double"&gt;63.098167&lt;/D&gt;&lt;/FQL&gt;&lt;FQL&gt;&lt;Q&gt;EWC^FG_PRICE(0)&lt;/Q&gt;&lt;R&gt;1&lt;/R&gt;&lt;C&gt;1&lt;/C&gt;&lt;D xsi:type="xsd:double"&gt;36.47&lt;/D&gt;&lt;/FQL&gt;&lt;FQL&gt;&lt;Q&gt;EWD^P_PRICE(0)/P_PRICE_LOW_PR(0,,,USD,,,"PRICE","INTRA","52W")-1&lt;/Q&gt;&lt;R&gt;1&lt;/R&gt;&lt;C&gt;1&lt;/C&gt;&lt;D xsi:type="xsd:double"&gt;0.21492589&lt;/D&gt;&lt;/FQL&gt;&lt;FQL&gt;&lt;Q&gt;EWQ^FG_TOTAL_RETURNC(0,-6AM)&lt;/Q&gt;&lt;R&gt;1&lt;/R&gt;&lt;C&gt;1&lt;/C&gt;&lt;D xsi:type="xsd:double"&gt;1.3789654&lt;/D&gt;&lt;/FQL&gt;&lt;FQL&gt;&lt;Q&gt;EWU^P_PRICE(0)/P_PRICE_LOW_PR(0,,,USD,,,"PRICE","INTRA","52W")-1&lt;/Q&gt;&lt;R&gt;1&lt;/R&gt;&lt;C&gt;1&lt;/C&gt;&lt;D xsi:type="xsd:double"&gt;0.08799994&lt;/D&gt;&lt;/FQL&gt;&lt;FQL&gt;&lt;Q&gt;EWA^P_PRICE(0)/P_PRICE_HIGH_PR(0,,,USD,,,"PRICE","INTRA","52W")&lt;/Q&gt;&lt;R&gt;1&lt;/R&gt;&lt;C&gt;1&lt;/C&gt;&lt;D xsi:type="xsd:double"&gt;0.9393339&lt;/D&gt;&lt;/FQL&gt;&lt;FQL&gt;&lt;Q&gt;IWM^PERCENT_CHANGE(FMA_EPS(+1,0,,,,"PORTAGG","MEAN"),FMA_EPS(+1,-3AM,,,,"PORTAGG","MEAN"))&lt;/Q&gt;&lt;R&gt;1&lt;/R&gt;&lt;C&gt;1&lt;/C&gt;&lt;D xsi:type="xsd:double"&gt;-9.07969855757907&lt;/D&gt;&lt;/FQL&gt;&lt;FQL&gt;&lt;Q&gt;INDA^PERCENT_CHANGE(FMA_EPS(+1,0,,,,"PORTAGG","MEAN"),FMA_EPS(+1,-1AM,,,,"PORTAGG","MEAN"))&lt;/Q&gt;&lt;R&gt;1&lt;/R&gt;&lt;C&gt;1&lt;/C&gt;&lt;D xsi:type="xsd:double"&gt;-0.150887061648188&lt;/D&gt;&lt;/FQL&gt;&lt;FQL&gt;&lt;Q&gt;VWO^PERCENT_CHANGE(FMA_EPS(+1,0,,,,"PORTAGG","MEAN"),FMA_EPS(+1,-3AM,,,,"PORTAGG","MEAN"))&lt;/Q&gt;&lt;R&gt;1&lt;/R&gt;&lt;C&gt;1&lt;/C&gt;&lt;D xsi:type="xsd:double"&gt;0.303980209028829&lt;/D&gt;&lt;/FQL&gt;&lt;FQL&gt;&lt;Q&gt;EWD^PERCENT_CHANGE(FMA_EPS(+1,0,,,,"PORTAGG","MEAN"),FMA_EPS(+1,-1AM,,,,"PORTAGG","MEAN"))&lt;/Q&gt;&lt;R&gt;1&lt;/R&gt;&lt;C&gt;1&lt;/C&gt;&lt;D xsi:type="xsd:double"&gt;-5.88914370218632&lt;/D&gt;&lt;/FQL&gt;&lt;FQL&gt;&lt;Q&gt;EWA^FMA_PCT_ABOVE_MAVG(200,0,,,,"PORTAGG")&lt;/Q&gt;&lt;R&gt;1&lt;/R&gt;&lt;C&gt;1&lt;/C&gt;&lt;D xsi:type="xsd:double"&gt;64.4067796610169&lt;/D&gt;&lt;/FQL&gt;&lt;FQL&gt;&lt;Q&gt;VGK^SIZE(FG_CONSTITUENTS)&lt;/Q&gt;&lt;R&gt;1&lt;/R&gt;&lt;C&gt;1&lt;/C&gt;&lt;D xsi:type="xsd:long"&gt;1294&lt;/D&gt;&lt;/FQL&gt;&lt;FQL&gt;&lt;Q&gt;EWN^FMA_COS_DOWN("EPS","1M",+1,0,,,"PORTAGG","MEANR")&lt;/Q&gt;&lt;R&gt;1&lt;/R&gt;&lt;C&gt;1&lt;/C&gt;&lt;D xsi:type="xsd:double"&gt;25&lt;/D&gt;&lt;/FQL&gt;&lt;FQL&gt;&lt;Q&gt;QQQ^FMA_COS_UP("EPS","1M",+1,0,,,"PORTAGG","MEANR")&lt;/Q&gt;&lt;R&gt;1&lt;/R&gt;&lt;C&gt;1&lt;/C&gt;&lt;D xsi:type="xsd:double"&gt;40&lt;/D&gt;&lt;/FQL&gt;&lt;FQL&gt;&lt;Q&gt;ENZL^FMA_COS_UP("EPS","1M",+1,0,,,"PORTAGG","MEANR")&lt;/Q&gt;&lt;R&gt;1&lt;/R&gt;&lt;C&gt;1&lt;/C&gt;&lt;D xsi:type="xsd:double"&gt;3&lt;/D&gt;&lt;/FQL&gt;&lt;FQL&gt;&lt;Q&gt;USO^FG_TOTAL_RETURNC(0,-3AM)&lt;/Q&gt;&lt;R&gt;1&lt;/R&gt;&lt;C&gt;1&lt;/C&gt;&lt;D xsi:type="xsd:double"&gt;-4.929119&lt;/D&gt;&lt;/FQL&gt;&lt;FQL&gt;&lt;Q&gt;UUP^FG_TOTAL_RETURNC(0,-3AM)&lt;/Q&gt;&lt;R&gt;1&lt;/R&gt;&lt;C&gt;1&lt;/C&gt;&lt;D xsi:type="xsd:double"&gt;-1.5207589&lt;/D&gt;&lt;/FQL&gt;&lt;FQL&gt;&lt;Q&gt;CPALM-FDS^MAX(FG_PRICE(0,-5AY))&lt;/Q&gt;&lt;R&gt;1&lt;/R&gt;&lt;C&gt;1&lt;/C&gt;&lt;D xsi:type="xsd:double"&gt;8163&lt;/D&gt;&lt;/FQL&gt;&lt;FQL&gt;&lt;Q&gt;PLATI-FDS^MAX(FG_PRICE(0,-5AY))&lt;/Q&gt;&lt;R&gt;1&lt;/R&gt;&lt;C&gt;1&lt;/C&gt;&lt;D xsi:type="xsd:double"&gt;1272.59&lt;/D&gt;&lt;/FQL&gt;&lt;FQL&gt;&lt;Q&gt;BRENT-FDS^FG_PRICE_CHANGE(0,-1AM)&lt;/Q&gt;&lt;R&gt;1&lt;/R&gt;&lt;C&gt;1&lt;/C&gt;&lt;D xsi:type="xsd:double"&gt;0&lt;/D&gt;&lt;/FQL&gt;&lt;FQL&gt;&lt;Q&gt;EWD^FG_PRICE_MAVG(0,,,,200)&lt;/Q&gt;&lt;R&gt;1&lt;/R&gt;&lt;C&gt;1&lt;/C&gt;&lt;D xsi:type="xsd:double"&gt;35.1224&lt;/D&gt;&lt;/FQL&gt;&lt;FQL&gt;&lt;Q&gt;EWQ^FG_PRICE_MAVG(0,,,,30)&lt;/Q&gt;&lt;R&gt;1&lt;/R&gt;&lt;C&gt;1&lt;/C&gt;&lt;D xsi:type="xsd:double"&gt;38.5455&lt;/D&gt;&lt;/FQL&gt;&lt;FQL&gt;&lt;Q&gt;EWJ^FG_PRICE(0)&lt;/Q&gt;&lt;R&gt;1&lt;/R&gt;&lt;C&gt;1&lt;/C&gt;&lt;D xsi:type="xsd:double"&gt;65.39&lt;/D&gt;&lt;/FQL&gt;&lt;FQL&gt;&lt;Q&gt;EWD^P_PRICE(0)/P_PRICE_HIGH_PR(0,,,USD,,,"PRICE","INTRA","52W")&lt;/Q&gt;&lt;R&gt;1&lt;/R&gt;&lt;C&gt;1&lt;/C&gt;&lt;D xsi:type="xsd:double"&gt;0.93135035&lt;/D&gt;&lt;/FQL&gt;&lt;FQL&gt;&lt;Q&gt;IWM^FMA_PCT_ABOVE_MAVG(200,0,,,,"PORTAGG")&lt;/Q&gt;&lt;R&gt;1&lt;/R&gt;&lt;C&gt;1&lt;/C&gt;&lt;D xsi:type="xsd:double"&gt;58.6866597724922&lt;/D&gt;&lt;/FQL&gt;&lt;FQL&gt;&lt;Q&gt;NI-FDS^FG_PRICE(0)&lt;/Q&gt;&lt;R&gt;1&lt;/R&gt;&lt;C&gt;1&lt;/C&gt;&lt;D xsi:type="xsd:double"&gt;16535&lt;/D&gt;&lt;/FQL&gt;&lt;FQL&gt;&lt;Q&gt;EWI^FG_PRICE(0)&lt;/Q&gt;&lt;R&gt;1&lt;/R&gt;&lt;C&gt;1&lt;/C&gt;&lt;D xsi:type="xsd:double"&gt;33.46&lt;/D&gt;&lt;/FQL&gt;&lt;FQL&gt;&lt;Q&gt;EWQ^FG_PRICE_MAVG(0,,,,60)&lt;/Q&gt;&lt;R&gt;1&lt;/R&gt;&lt;C&gt;1&lt;/C&gt;&lt;D xsi:type="xsd:double"&gt;37.694416&lt;/D&gt;&lt;/FQL&gt;&lt;FQL&gt;&lt;Q&gt;EWU^FG_PRICE_MAVG(0,,,,200)&lt;/Q&gt;&lt;R&gt;1&lt;/R&gt;&lt;C&gt;1&lt;/C&gt;&lt;D xsi:type="xsd:double"&gt;32.3451&lt;/D&gt;&lt;/FQL&gt;&lt;FQL&gt;&lt;Q&gt;EWJ^FG_PRICE_MAVG(0,,,,30)&lt;/Q&gt;&lt;R&gt;1&lt;/R&gt;&lt;C&gt;1&lt;/C&gt;&lt;D xsi:type="xsd:double"&gt;64.43767&lt;/D&gt;&lt;/FQL&gt;&lt;FQL&gt;&lt;Q&gt;EWA^FG_PRICE_MAVG(0,,,,200)&lt;/Q&gt;&lt;R&gt;1&lt;/R&gt;&lt;C&gt;1&lt;/C&gt;&lt;D xsi:type="xsd:double"&gt;22.50835&lt;/D&gt;&lt;/FQL&gt;&lt;FQL&gt;&lt;Q&gt;EWQ^FG_TOTAL_RETURNC(0,-3AM)&lt;/Q&gt;&lt;R&gt;1&lt;/R&gt;&lt;C&gt;1&lt;/C&gt;&lt;D xsi:type="xsd:double"&gt;14.773666&lt;/D&gt;&lt;/FQL&gt;&lt;FQL&gt;&lt;Q&gt;EWU^P_PRICE(0)/P_PRICE_HIGH_PR(0,,,USD,,,"PRICE","INTRA","52W")&lt;/Q&gt;&lt;R&gt;1&lt;/R&gt;&lt;C&gt;1&lt;/C&gt;&lt;D xsi:type="xsd:double"&gt;0.9587311&lt;/D&gt;&lt;/FQL&gt;&lt;FQL&gt;&lt;Q&gt;EWA^FG_TOTAL_RETURNC(0,-6AM)&lt;/Q&gt;&lt;R&gt;1&lt;/R&gt;&lt;C&gt;1&lt;/C&gt;&lt;D xsi:type="xsd:double"&gt;3.0170321&lt;/D&gt;&lt;/FQL&gt;&lt;FQL&gt;&lt;Q&gt;IWM^PERCENT_CHANGE(FMA_EPS(+1,0,,,,"PORTAGG","MEAN"),FMA_EPS(+1,-1AM,,,,"PORTAGG","MEAN"))&lt;/Q&gt;&lt;R&gt;1&lt;/R&gt;&lt;C&gt;1&lt;/C&gt;&lt;D xsi:type="xsd:double"&gt;-2.41484395380541&lt;/D&gt;&lt;/FQL&gt;&lt;FQL&gt;&lt;Q&gt;INDA^FMA_PCT_ABOVE_MAVG(200,0,,,,"PORTAGG")&lt;/Q&gt;&lt;R&gt;1&lt;/R&gt;&lt;C&gt;1&lt;/C&gt;&lt;D xsi:type="xsd:double"&gt;81.6793893129771&lt;/D&gt;&lt;/FQL&gt;&lt;FQL&gt;&lt;Q&gt;EWD^FMA_PCT_ABOVE_MAVG(200,0,,,,"PORTAGG")&lt;/Q&gt;&lt;R&gt;1&lt;/R&gt;&lt;C&gt;1&lt;/C&gt;&lt;D xsi:type="xsd:double"&gt;72.0930232558139&lt;/D&gt;&lt;/FQL&gt;&lt;FQL&gt;&lt;Q&gt;ENZL^PERCENT_CHANGE(FMA_EPS(+1,0,,,,"PORTAGG","MEAN"),FMA_EPS(+1,-3AM,,,,"PORTAGG","MEAN"))&lt;/Q&gt;&lt;R&gt;1&lt;/R&gt;&lt;C&gt;1&lt;/C&gt;&lt;D xsi:type="xsd:double"&gt;-5.66433513552086&lt;/D&gt;&lt;/FQL&gt;&lt;FQL&gt;&lt;Q&gt;EWN^FMA_COS_UP("EPS","1M",+1,0,,,"PORTAGG","MEANR")&lt;/Q&gt;&lt;R&gt;1&lt;/R&gt;&lt;C&gt;1&lt;/C&gt;&lt;D xsi:type="xsd:double"&gt;15&lt;/D&gt;&lt;/FQL&gt;&lt;FQL&gt;&lt;Q&gt;EWU^SIZE(FG_CONSTITUENTS)&lt;/Q&gt;&lt;R&gt;1&lt;/R&gt;&lt;C&gt;1&lt;/C&gt;&lt;D xsi:type="xsd:long"&gt;86&lt;/D&gt;&lt;/FQL&gt;&lt;FQL&gt;&lt;Q&gt;EWG^FMA_COS_DOWN("EPS","1M",+1,0,,,"PORTAGG","MEANR")&lt;/Q&gt;&lt;R&gt;1&lt;/R&gt;&lt;C&gt;1&lt;/C&gt;&lt;D xsi:type="xsd:double"&gt;30&lt;/D&gt;&lt;/FQL&gt;&lt;FQL&gt;&lt;Q&gt;VGK^FG_TOTAL_RETURNC(0,-1AM)&lt;/Q&gt;&lt;R&gt;1&lt;/R&gt;&lt;C&gt;1&lt;/C&gt;&lt;D xsi:type="xsd:double"&gt;-0.8837223&lt;/D&gt;&lt;/FQL&gt;&lt;FQL&gt;&lt;Q&gt;SPY^P_PRICE_RETURNS_PR('52W',2,-10AY,0,AM)&lt;/Q&gt;&lt;R&gt;121&lt;/R&gt;&lt;C&gt;1&lt;/C&gt;&lt;D xsi:type="xsd:double"&gt;22.147703&lt;/D&gt;&lt;D xsi:type="xsd:double"&gt;25.704025&lt;/D&gt;&lt;D xsi:type="xsd:double"&gt;20.81392&lt;/D&gt;&lt;D xsi:type="xsd:double"&gt;19.887627&lt;/D&gt;&lt;D xsi:type="xsd:double"&gt;17.369461&lt;/D&gt;&lt;D xsi:type="xsd:double"&gt;24.442541&lt;/D&gt;&lt;D xsi:type="xsd:double"&gt;19.343578&lt;/D&gt;&lt;D xsi:type="xsd:double"&gt;23.053265&lt;/D&gt;&lt;D xsi:type="xsd:double"&gt;18.890142&lt;/D&gt;&lt;D xsi:type="xsd:double"&gt;14.328361&lt;/D&gt;&lt;D xsi:type="xsd:double"&gt;17.154049&lt;/D&gt;&lt;D xsi:type="xsd:double"&gt;15.585554&lt;/D&gt;&lt;D xsi:type="xsd:double"&gt;17.08951&lt;/D&gt;&lt;D xsi:type="xsd:double"&gt;16.58491&lt;/D&gt;&lt;D xsi:type="xsd:double"&gt;13.141001&lt;/D&gt;&lt;D xsi:type="xsd:double"&gt;14.881182&lt;/D&gt;&lt;D xsi:type="xsd:double"&gt;12.851524&lt;/D&gt;&lt;D xsi:type="xsd:double"&gt;9.4649315&lt;/D&gt;&lt;D xsi:type="xsd:double"&gt;6.7619085&lt;/D&gt;&lt;D xsi:type="xsd:double"&gt;-1.0249257&lt;/D&gt;&lt;D xsi:type="xsd:double"&gt;0.21094084&lt;/D&gt;&lt;D xsi:type="xsd:double"&gt;7.514429&lt;/D&gt;&lt;D xsi:type="xsd:double"&gt;3.1131148&lt;/D&gt;&lt;D xsi:type="xsd:double"&gt;1.054573&lt;/D&gt;&lt;D xsi:type="xsd:double"&gt;-5.4957986&lt;/D&gt;&lt;D xsi:type="xsd:double"&gt;-5.7858586&lt;/D&gt;&lt;D xsi:type="xsd:double"&gt;-0.6346524&lt;/D&gt;&lt;D xsi:type="xsd:double"&gt;0.83578825&lt;/D&gt;&lt;D xsi:type="xsd:double"&gt;1.4943957&lt;/D&gt;&lt;D xsi:type="xsd:double"&gt;-1.389879&lt;/D&gt;&lt;D xsi:type="xsd:double"&gt;6.486678&lt;/D&gt;&lt;D xsi:type="xsd:double"&gt;14.184963&lt;/D&gt;&lt;D xsi:type="xsd:double"&gt;13.497698&lt;/D&gt;&lt;D xsi:type="xsd:double"&gt;5.4925084&lt;/D&gt;&lt;D xsi:type="xsd:double"&gt;8.120573&lt;/D&gt;&lt;D xsi:type="xsd:double"&gt;11.9133835&lt;/D&gt;&lt;D xsi:type="xsd:double"&gt;23.166048&lt;/D&gt;&lt;D xsi:type="xsd:double"&gt;25.171423&lt;/D&gt;&lt;D xsi:type="xsd:double"&gt;17.518974&lt;/D&gt;&lt;D xsi:type="xsd:double"&gt;16.474974&lt;/D&gt;&lt;D xsi:type="xsd:double"&gt;17.854774&lt;/D&gt;&lt;D xsi:type="xsd:double"&gt;22.209621&lt;/D&gt;&lt;D xsi:type="xsd:double"&gt;16.479229&lt;/D&gt;&lt;D xsi:type="xsd:double"&gt;14.625764&lt;/D&gt;&lt;D xsi:type="xsd:double"&gt;18.615925&lt;/D&gt;&lt;D xsi:type="xsd:double"&gt;22.015131&lt;/D&gt;&lt;D xsi:type="xsd:double"&gt;20.358456&lt;/D&gt;&lt;D xsi:type="xsd:double"&gt;20.673931&lt;/D&gt;&lt;D xsi:type="xsd:double"&gt;27.388168&lt;/D&gt;&lt;D xsi:type="xsd:double"&gt;19.663322&lt;/D&gt;&lt;D xsi:type="xsd:double"&gt;15.520514&lt;/D&gt;&lt;D xsi:type="xsd:double"&gt;13.833534&lt;/D&gt;&lt;D xsi:type="xsd:double"&gt;14.713049&lt;/D&gt;&lt;D xsi:type="xsd:double"&gt;13.718117&lt;/D&gt;&lt;D xsi:type="xsd:double"&gt;16.648638&lt;/D&gt;&lt;D xsi:type="xsd:double"&gt;20.034206&lt;/D&gt;&lt;D xsi:type="xsd:double"&gt;18.500423&lt;/D&gt;&lt;D xsi:type="xsd:double"&gt;5.6895256&lt;/D&gt;&lt;D xsi:type="xsd:double"&gt;4.614055&lt;/D&gt;&lt;D xsi:type="xsd:double"&gt;-6.101471&lt;/D&gt;&lt;D xsi:type="xsd:double"&gt;-4.3903055&lt;/D&gt;&lt;D xsi:type="xsd:double"&gt;2.4329662&lt;/D&gt;&lt;D xsi:type="xsd:double"&gt;8.107972&lt;/D&gt;&lt;D xsi:type="xsd:double"&gt;12.325811&lt;/D&gt;&lt;D xsi:type="xsd:double"&gt;5.680883&lt;/D&gt;&lt;D xsi:type="xsd:double"&gt;9.075129&lt;/D&gt;&lt;D xsi:type="xsd:double"&gt;8.7095375&lt;/D&gt;&lt;D xsi:type="xsd:double"&gt;2.1630168&lt;/D&gt;&lt;D xsi:type="xsd:double"&gt;4.5055985&lt;/D&gt;&lt;D xsi:type="xsd:double"&gt;13.904345&lt;/D&gt;&lt;D xsi:type="xsd:double"&gt;19.761658&lt;/D&gt;&lt;D xsi:type="xsd:double"&gt;33.662296&lt;/D&gt;&lt;D xsi:type="xsd:double"&gt;27.106857&lt;/D&gt;&lt;D xsi:type="xsd:double"&gt;13.630748&lt;/D&gt;&lt;D xsi:type="xsd:double"&gt;-5.1621795&lt;/D&gt;&lt;D xsi:type="xsd:double"&gt;-1.163888&lt;/D&gt;&lt;D xsi:type="xsd:double"&gt;7.9540014&lt;/D&gt;&lt;D xsi:type="xsd:double"&gt;5.39037&lt;/D&gt;&lt;D xsi:type="xsd:double"&gt;8.605146&lt;/D&gt;&lt;D xsi:type="xsd:double"&gt;23.12845&lt;/D&gt;&lt;D xsi:type="xsd:double"&gt;12.624121&lt;/D&gt;&lt;D xsi:type="xsd:double"&gt;14.741861&lt;/D&gt;&lt;D xsi:type="xsd:double"&gt;18.003918&lt;/D&gt;&lt;D xsi:type="xsd:double"&gt;17.057276&lt;/D&gt;&lt;D xsi:type="xsd:double"&gt;18.956911&lt;/D&gt;&lt;D xsi:type="xsd:double"&gt;24.429953&lt;/D&gt;&lt;D xsi:type="xsd:double"&gt;54.04619&lt;/D&gt;&lt;D xsi:type="xsd:double"&gt;49.962044&lt;/D&gt;&lt;D xsi:type="xsd:double"&gt;42.380356&lt;/D&gt;&lt;D xsi:type="xsd:double"&gt;40.886116&lt;/D&gt;&lt;D xsi:type="xsd:double"&gt;39.5038&lt;/D&gt;&lt;D xsi:type="xsd:double"&gt;30.321503&lt;/D&gt;&lt;D xsi:type="xsd:double"&gt;39.167713&lt;/D&gt;&lt;D xsi:type="xsd:double"&gt;36.25283&lt;/D&gt;&lt;D xsi:type="xsd:double"&gt;28.351952&lt;/D&gt;&lt;D xsi:type="xsd:double"&gt;29.753077&lt;/D&gt;&lt;D xsi:type="xsd:double"&gt;14.440823&lt;/D&gt;&lt;D xsi:type="xsd:double"&gt;16.036224&lt;/D&gt;&lt;D xsi:type="xsd:double"&gt;17.702675&lt;/D&gt;&lt;D xsi:type="xsd:double"&gt;0.9584546&lt;/D&gt;&lt;D xsi:type="xsd:double"&gt;-2.0021439&lt;/D&gt;&lt;D xsi:type="xsd:double"&gt;-6.930274&lt;/D&gt;&lt;D xsi:type="xsd:double"&gt;-10.103625&lt;/D&gt;&lt;D xsi:type="xsd:double"&gt;-7.8818502&lt;/D&gt;&lt;D xsi:type="xsd:double"&gt;-16.686832&lt;/D&gt;&lt;D xsi:type="xsd:double"&gt;-14.945591&lt;/D&gt;&lt;D xsi:type="xsd:double"&gt;-12.995881&lt;/D&gt;&lt;D xsi:type="xsd:double"&gt;-17.30991&lt;/D&gt;&lt;D xsi:type="xsd:double"&gt;-5.0867853&lt;/D&gt;&lt;D xsi:type="xsd:double"&gt;-5.9470654&lt;/D&gt;&lt;D xsi:type="xsd:double"&gt;-10.651755&lt;/D&gt;&lt;D xsi:type="xsd:double"&gt;-1.1627376&lt;/D&gt;&lt;D xsi:type="xsd:double"&gt;5.3981185&lt;/D&gt;&lt;D xsi:type="xsd:double"&gt;12.425613&lt;/D&gt;&lt;D xsi:type="xsd:double"&gt;18.451859&lt;/D&gt;&lt;D xsi:type="xsd:double"&gt;6.6054106&lt;/D&gt;&lt;D xsi:type="xsd:double"&gt;18.759464&lt;/D&gt;&lt;D xsi:type="xsd:double"&gt;9.709072&lt;/D&gt;&lt;D xsi:type="xsd:double"&gt;14.939726&lt;/D&gt;&lt;D xsi:type="xsd:double"&gt;26.121521&lt;/D&gt;&lt;D xsi:type="xsd:double"&gt;22.26609&lt;/D&gt;&lt;/FQL&gt;&lt;FQL&gt;&lt;Q&gt;PASP-FDS^FG_PRICE_CHANGE(0,-1AY)&lt;/Q&gt;&lt;R&gt;1&lt;/R&gt;&lt;C&gt;1&lt;/C&gt;&lt;D xsi:type="xsd:double"&gt;-43.5672514619883&lt;/D&gt;&lt;/FQL&gt;&lt;FQL&gt;&lt;Q&gt;TIOS-FDS^FG_PRICE(0)/MAX(FG_PRICE(0,-1AY))&lt;/Q&gt;&lt;R&gt;1&lt;/R&gt;&lt;C&gt;1&lt;/C&gt;&lt;D xsi:type="xsd:double"&gt;0.940205327413984&lt;/D&gt;&lt;/FQL&gt;&lt;FQL&gt;&lt;Q&gt;EWU^FG_TOTAL_RETURNC(0,-6AM)&lt;/Q&gt;&lt;R&gt;1&lt;/R&gt;&lt;C&gt;1&lt;/C&gt;&lt;D xsi:type="xsd:double"&gt;-0.56158304&lt;/D&gt;&lt;/FQL&gt;&lt;FQL&gt;&lt;Q&gt;VWO^PERCENT_CHANGE(FMA_EPS(+1,0,,,,"PORTAGG","MEAN"),FMA_EPS(+1,-1AM,,,,"PORTAGG","MEAN"))&lt;/Q&gt;&lt;R&gt;1&lt;/R&gt;&lt;C&gt;1&lt;/C&gt;&lt;D xsi:type="xsd:double"&gt;-2.12715452000385&lt;/D&gt;&lt;/FQL&gt;&lt;FQL&gt;&lt;Q&gt;EWN^PERCENT_CHANGE(FMA_EPS(+1,0,,,,"PORTAGG","MEAN"),FMA_EPS(+1,-3AM,,,,"PORTAGG","MEAN"))&lt;/Q&gt;&lt;R&gt;1&lt;/R&gt;&lt;C&gt;1&lt;/C&gt;&lt;D xsi:type="xsd:double"&gt;1.04065953776456&lt;/D&gt;&lt;/FQL&gt;&lt;FQL&gt;&lt;Q&gt;VGK^FMA_COS_DOWN("EPS","1M",+1,0,,,"PORTAGG","MEANR")&lt;/Q&gt;&lt;R&gt;1&lt;/R&gt;&lt;C&gt;1&lt;/C&gt;&lt;D xsi:type="xsd:double"&gt;379&lt;/D&gt;&lt;/FQL&gt;&lt;FQL&gt;&lt;Q&gt;EWG^FMA_COS_UP("EPS","1M",+1,0,,,"PORTAGG","MEANR")&lt;/Q&gt;&lt;R&gt;1&lt;/R&gt;&lt;C&gt;1&lt;/C&gt;&lt;D xsi:type="xsd:double"&gt;21&lt;/D&gt;&lt;/FQL&gt;&lt;FQL&gt;&lt;Q&gt;VWO^P_PRICE_RETURNS_PR('52W',2,-10AY,0,AM)&lt;/Q&gt;&lt;R&gt;121&lt;/R&gt;&lt;C&gt;1&lt;/C&gt;&lt;D xsi:type="xsd:double"&gt;-12.540096&lt;/D&gt;&lt;D xsi:type="xsd:double"&gt;-8.695245&lt;/D&gt;&lt;D xsi:type="xsd:double"&gt;-4.726452&lt;/D&gt;&lt;D xsi:type="xsd:double"&gt;-3.4169078&lt;/D&gt;&lt;D xsi:type="xsd:double"&gt;2.1710157&lt;/D&gt;&lt;D xsi:type="xsd:double"&gt;16.410828&lt;/D&gt;&lt;D xsi:type="xsd:double"&gt;14.660692&lt;/D&gt;&lt;D xsi:type="xsd:double"&gt;22.536219&lt;/D&gt;&lt;D xsi:type="xsd:double"&gt;6.41706&lt;/D&gt;&lt;D xsi:type="xsd:double"&gt;1.8443465&lt;/D&gt;&lt;D xsi:type="xsd:double"&gt;8.021164&lt;/D&gt;&lt;D xsi:type="xsd:double"&gt;2.3473501&lt;/D&gt;&lt;D xsi:type="xsd:double"&gt;12.87936&lt;/D&gt;&lt;D xsi:type="xsd:double"&gt;11.63019&lt;/D&gt;&lt;D xsi:type="xsd:double"&gt;3.9124727&lt;/D&gt;&lt;D xsi:type="xsd:double"&gt;12.017918&lt;/D&gt;&lt;D xsi:type="xsd:double"&gt;3.6201477&lt;/D&gt;&lt;D xsi:type="xsd:double"&gt;-1.780504&lt;/D&gt;&lt;D xsi:type="xsd:double"&gt;-12.625563&lt;/D&gt;&lt;D xsi:type="xsd:double"&gt;-24.072802&lt;/D&gt;&lt;D xsi:type="xsd:double"&gt;-20.36279&lt;/D&gt;&lt;D xsi:type="xsd:double"&gt;-10.627955&lt;/D&gt;&lt;D xsi:type="xsd:double"&gt;-15.821892&lt;/D&gt;&lt;D xsi:type="xsd:double"&gt;-13.623661&lt;/D&gt;&lt;D xsi:type="xsd:double"&gt;-27.14885&lt;/D&gt;&lt;D xsi:type="xsd:double"&gt;-24.68887&lt;/D&gt;&lt;D xsi:type="xsd:double"&gt;-14.911675&lt;/D&gt;&lt;D xsi:type="xsd:double"&gt;-18.95017&lt;/D&gt;&lt;D xsi:type="xsd:double"&gt;-19.805967&lt;/D&gt;&lt;D xsi:type="xsd:double"&gt;-17.679083&lt;/D&gt;&lt;D xsi:type="xsd:double"&gt;-1.5011787&lt;/D&gt;&lt;D xsi:type="xsd:double"&gt;14.015686&lt;/D&gt;&lt;D xsi:type="xsd:double"&gt;16.834557&lt;/D&gt;&lt;D xsi:type="xsd:double"&gt;8.143341&lt;/D&gt;&lt;D xsi:type="xsd:double"&gt;6.15865&lt;/D&gt;&lt;D xsi:type="xsd:double"&gt;7.4273944&lt;/D&gt;&lt;D xsi:type="xsd:double"&gt;32.03517&lt;/D&gt;&lt;D xsi:type="xsd:double"&gt;30.695295&lt;/D&gt;&lt;D xsi:type="xsd:double"&gt;22.004128&lt;/D&gt;&lt;D xsi:type="xsd:double"&gt;17.615711&lt;/D&gt;&lt;D xsi:type="xsd:double"&gt;25.067806&lt;/D&gt;&lt;D xsi:type="xsd:double"&gt;26.06634&lt;/D&gt;&lt;D xsi:type="xsd:double"&gt;19.787586&lt;/D&gt;&lt;D xsi:type="xsd:double"&gt;20.000898&lt;/D&gt;&lt;D xsi:type="xsd:double"&gt;19.326067&lt;/D&gt;&lt;D xsi:type="xsd:double"&gt;19.357527&lt;/D&gt;&lt;D xsi:type="xsd:double"&gt;30.642712&lt;/D&gt;&lt;D xsi:type="xsd:double"&gt;33.037056&lt;/D&gt;&lt;D xsi:type="xsd:double"&gt;37.578796&lt;/D&gt;&lt;D xsi:type="xsd:double"&gt;28.406488&lt;/D&gt;&lt;D xsi:type="xsd:double"&gt;20.192837&lt;/D&gt;&lt;D xsi:type="xsd:double"&gt;16.338873&lt;/D&gt;&lt;D xsi:type="xsd:double"&gt;12.875355&lt;/D&gt;&lt;D xsi:type="xsd:double"&gt;4.737127&lt;/D&gt;&lt;D xsi:type="xsd:double"&gt;4.1168213&lt;/D&gt;&lt;D xsi:type="xsd:double"&gt;-1.3625503&lt;/D&gt;&lt;D xsi:type="xsd:double"&gt;-2.7502716&lt;/D&gt;&lt;D xsi:type="xsd:double"&gt;-13.268155&lt;/D&gt;&lt;D xsi:type="xsd:double"&gt;-12.672472&lt;/D&gt;&lt;D xsi:type="xsd:double"&gt;-14.234436&lt;/D&gt;&lt;D xsi:type="xsd:double"&gt;-16.30336&lt;/D&gt;&lt;D xsi:type="xsd:double"&gt;-11.602336&lt;/D&gt;&lt;D xsi:type="xsd:double"&gt;-8.311397&lt;/D&gt;&lt;D xsi:type="xsd:double"&gt;-2.432388&lt;/D&gt;&lt;D xsi:type="xsd:double"&gt;-9.166903&lt;/D&gt;&lt;D xsi:type="xsd:double"&gt;3.3901095&lt;/D&gt;&lt;D xsi:type="xsd:double"&gt;0.26131868&lt;/D&gt;&lt;D xsi:type="xsd:double"&gt;-3.7251174&lt;/D&gt;&lt;D xsi:type="xsd:double"&gt;1.6542792&lt;/D&gt;&lt;D xsi:type="xsd:double"&gt;14.422894&lt;/D&gt;&lt;D xsi:type="xsd:double"&gt;12.357473&lt;/D&gt;&lt;D xsi:type="xsd:double"&gt;21.359587&lt;/D&gt;&lt;D xsi:type="xsd:double"&gt;12.865448&lt;/D&gt;&lt;D xsi:type="xsd:double"&gt;1.8956184&lt;/D&gt;&lt;D xsi:type="xsd:double"&gt;-14.505625&lt;/D&gt;&lt;D xsi:type="xsd:double"&gt;-16.235573&lt;/D&gt;&lt;D xsi:type="xsd:double"&gt;-4.1485844&lt;/D&gt;&lt;D xsi:type="xsd:double"&gt;-3.5656154&lt;/D&gt;&lt;D xsi:type="xsd:double"&gt;3.308916&lt;/D&gt;&lt;D xsi:type="xsd:double"&gt;17.131413&lt;/D&gt;&lt;D xsi:type="xsd:double"&gt;6.6329&lt;/D&gt;&lt;D xsi:type="xsd:double"&gt;9.857583&lt;/D&gt;&lt;D xsi:type="xsd:double"&gt;16.652298&lt;/D&gt;&lt;D xsi:type="xsd:double"&gt;13.195049&lt;/D&gt;&lt;D xsi:type="xsd:double"&gt;24.477661&lt;/D&gt;&lt;D xsi:type="xsd:double"&gt;28.895235&lt;/D&gt;&lt;D xsi:type="xsd:double"&gt;52.410923&lt;/D&gt;&lt;D xsi:type="xsd:double"&gt;55.416943&lt;/D&gt;&lt;D xsi:type="xsd:double"&gt;48.045517&lt;/D&gt;&lt;D xsi:type="xsd:double"&gt;39.385258&lt;/D&gt;&lt;D xsi:type="xsd:double"&gt;21.559227&lt;/D&gt;&lt;D xsi:type="xsd:double"&gt;15.82917&lt;/D&gt;&lt;D xsi:type="xsd:double"&gt;22.193193&lt;/D&gt;&lt;D xsi:type="xsd:double"&gt;17.878378&lt;/D&gt;&lt;D xsi:type="xsd:double"&gt;3.7807226&lt;/D&gt;&lt;D xsi:type="xsd:double"&gt;2.5868416&lt;/D&gt;&lt;D xsi:type="xsd:double"&gt;-7.7427745&lt;/D&gt;&lt;D xsi:type="xsd:double"&gt;-6.7766485&lt;/D&gt;&lt;D xsi:type="xsd:double"&gt;-6.441003&lt;/D&gt;&lt;D xsi:type="xsd:double"&gt;-18.618923&lt;/D&gt;&lt;D xsi:type="xsd:double"&gt;-18.186605&lt;/D&gt;&lt;D xsi:type="xsd:double"&gt;-19.698185&lt;/D&gt;&lt;D xsi:type="xsd:double"&gt;-17.9892&lt;/D&gt;&lt;D xsi:type="xsd:double"&gt;-15.31843&lt;/D&gt;&lt;D xsi:type="xsd:double"&gt;-24.068481&lt;/D&gt;&lt;D xsi:type="xsd:double"&gt;-27.700783&lt;/D&gt;&lt;D xsi:type="xsd:double"&gt;-20.620358&lt;/D&gt;&lt;D xsi:type="xsd:double"&gt;-18.012571&lt;/D&gt;&lt;D xsi:type="xsd:double"&gt;-7.320404&lt;/D&gt;&lt;D xsi:type="xsd:double"&gt;-13.539248&lt;/D&gt;&lt;D xsi:type="xsd:double"&gt;-11.238539&lt;/D&gt;&lt;D xsi:type="xsd:double"&gt;-2.9785037&lt;/D&gt;&lt;D xsi:type="xsd:double"&gt;-2.8298318&lt;/D&gt;&lt;D xsi:type="xsd:double"&gt;-1.0485709&lt;/D&gt;&lt;D xsi:type="xsd:double"&gt;8.470667&lt;/D&gt;&lt;D xsi:type="xsd:double"&gt;-1.4982641&lt;/D&gt;&lt;D xsi:type="xsd:double"&gt;8.784521&lt;/D&gt;&lt;D xsi:type="xsd:double"&gt;7.81374&lt;/D&gt;&lt;D xsi:type="xsd:double"&gt;7.550466&lt;/D&gt;&lt;D xsi:type="xsd:double"&gt;8.36314&lt;/D&gt;&lt;D xsi:type="xsd:double"&gt;-3.6182284&lt;/D&gt;&lt;/FQL&gt;&lt;FQL&gt;&lt;Q&gt;BRENT-FDS^FG_PRICE_MAVG(0,,,,30)&lt;/Q&gt;&lt;R&gt;1&lt;/R&gt;&lt;C&gt;1&lt;/C&gt;&lt;D xsi:type="xsd:double"&gt;85.86&lt;/D&gt;&lt;/FQL&gt;&lt;FQL&gt;&lt;Q&gt;CC_IT^FDS_ECON_RCPI_Q(0)&lt;/Q&gt;&lt;R&gt;1&lt;/R&gt;&lt;C&gt;1&lt;/C&gt;&lt;D xsi:type="xsd:double"&gt;0.9836987&lt;/D&gt;&lt;/FQL&gt;&lt;FQL&gt;&lt;Q&gt;CC_SE^FDS_ECON_RCPI_Q(0)&lt;/Q&gt;&lt;R&gt;1&lt;/R&gt;&lt;C&gt;1&lt;/C&gt;&lt;D xsi:type="xsd:double"&gt;5.5508466&lt;/D&gt;&lt;/FQL&gt;&lt;FQL&gt;&lt;Q&gt;CC_NL^FDS_ECON_RCPI_Q(0)&lt;/Q&gt;&lt;R&gt;1&lt;/R&gt;&lt;C&gt;1&lt;/C&gt;&lt;D xsi:type="xsd:double"&gt;0.8052127&lt;/D&gt;&lt;/FQL&gt;&lt;FQL&gt;&lt;Q&gt;CC_FR^FDS_ECON_RCPI_Q(0)&lt;/Q&gt;&lt;R&gt;1&lt;/R&gt;&lt;C&gt;1&lt;/C&gt;&lt;D xsi:type="xsd:double"&gt;3.833343&lt;/D&gt;&lt;/FQL&gt;&lt;FQL&gt;&lt;Q&gt;CC_US^FDS_ECON_RCPI_Q(0)&lt;/Q&gt;&lt;R&gt;1&lt;/R&gt;&lt;C&gt;1&lt;/C&gt;&lt;D xsi:type="xsd:double"&gt;3.2170393&lt;/D&gt;&lt;/FQL&gt;&lt;FQL&gt;&lt;Q&gt;CC_GB^FDS_ECON_RCPI_Q(0)&lt;/Q&gt;&lt;R&gt;1&lt;/R&gt;&lt;C&gt;1&lt;/C&gt;&lt;D xsi:type="xsd:double"&gt;4.1831098&lt;/D&gt;&lt;/FQL&gt;&lt;FQL&gt;&lt;Q&gt;CC_CH^FDS_ECON_RCPI_Q(0)&lt;/Q&gt;&lt;R&gt;1&lt;/R&gt;&lt;C&gt;1&lt;/C&gt;&lt;D xsi:type="xsd:double"&gt;1.6172597&lt;/D&gt;&lt;/FQL&gt;&lt;FQL&gt;&lt;Q&gt;CC_JP^FDS_ECON_RCPI_Q(0)&lt;/Q&gt;&lt;R&gt;1&lt;/R&gt;&lt;C&gt;1&lt;/C&gt;&lt;D xsi:type="xsd:double"&gt;2.919474&lt;/D&gt;&lt;/FQL&gt;&lt;FQL&gt;&lt;Q&gt;CC_DE^FDS_ECON_RCPI_Q(0)&lt;/Q&gt;&lt;R&gt;1&lt;/R&gt;&lt;C&gt;1&lt;/C&gt;&lt;D xsi:type="xsd:double"&gt;3.5504694&lt;/D&gt;&lt;/FQL&gt;&lt;FQL&gt;&lt;Q&gt;CC_CA^FDS_ECON_RCPI_Q(0)&lt;/Q&gt;&lt;R&gt;1&lt;/R&gt;&lt;C&gt;1&lt;/C&gt;&lt;D xsi:type="xsd:double"&gt;3.1790657&lt;/D&gt;&lt;/FQL&gt;&lt;FQL&gt;&lt;Q&gt;CC_AU^FDS_ECON_RCPI_Q(0)&lt;/Q&gt;&lt;R&gt;0&lt;/R&gt;&lt;C&gt;0&lt;/C&gt;&lt;/FQL&gt;&lt;FQL&gt;&lt;Q&gt;CC_NZ^FDS_ECON_RCPI_Q(0)&lt;/Q&gt;&lt;R&gt;1&lt;/R&gt;&lt;C&gt;1&lt;/C&gt;&lt;D xsi:type="xsd:double"&gt;4.6770573&lt;/D&gt;&lt;/FQL&gt;&lt;FQL&gt;&lt;Q&gt;VWO^FMA_EVAL_EBIT(LTMA,NOW,NOW,M,"PORTAGG","MEANR")&lt;/Q&gt;&lt;R&gt;1&lt;/R&gt;&lt;C&gt;1&lt;/C&gt;&lt;D xsi:type="xsd:double"&gt;14.2271227686747&lt;/D&gt;&lt;/FQL&gt;&lt;FQL&gt;&lt;Q&gt;VWO^FMA_EVAL_EBITDA(NTMA,0,,,"PORTAGG","MEANR")&lt;/Q&gt;&lt;R&gt;1&lt;/R&gt;&lt;C&gt;1&lt;/C&gt;&lt;D xsi:type="xsd:double"&gt;8.33492739097903&lt;/D&gt;&lt;/FQL&gt;&lt;FQL&gt;&lt;Q&gt;VWO^FG_FCF_YIELD_NTM(0)&lt;/Q&gt;&lt;R&gt;1&lt;/R&gt;&lt;C&gt;1&lt;/C&gt;&lt;D xsi:type="xsd:double"&gt;5.52446728616397&lt;/D&gt;&lt;/FQL&gt;&lt;FQL&gt;&lt;Q&gt;VWO^FMA_DIV_YLD(NTMA,NOW,NOW,M,"PORTAGG","MEANR")&lt;/Q&gt;&lt;R&gt;1&lt;/R&gt;&lt;C&gt;1&lt;/C&gt;&lt;D xsi:type="xsd:double"&gt;3.05692126360062&lt;/D&gt;&lt;/FQL&gt;&lt;FQL&gt;&lt;Q&gt;VWO^FG_PE_NTM(0,,,90,0)&lt;/Q&gt;&lt;R&gt;1&lt;/R&gt;&lt;C&gt;1&lt;/C&gt;&lt;D xsi:type="xsd:double"&gt;12.1328020950705&lt;/D&gt;&lt;/FQL&gt;&lt;FQL&gt;&lt;Q&gt;VWO^FG_PE(0)&lt;/Q&gt;&lt;R&gt;1&lt;/R&gt;&lt;C&gt;1&lt;/C&gt;&lt;D xsi:type="xsd:double"&gt;13.3680205477394&lt;/D&gt;&lt;/FQL&gt;&lt;FQL&gt;&lt;Q&gt;VWO^JULIAN(FMA_DIV_YLD(NTMA,NOW,NOW,M,"PORTAGG","MEANR").DATES)&lt;/Q&gt;&lt;R&gt;1&lt;/R&gt;&lt;C&gt;1&lt;/C&gt;&lt;D xsi:type="xsd:long"&gt;45289&lt;/D&gt;&lt;/FQL&gt;&lt;FQL&gt;&lt;Q&gt;VGK^FMA_EVAL_EBIT(LTMA,NOW,NOW,M,"PORTAGG","MEANR")&lt;/Q&gt;&lt;R&gt;1&lt;/R&gt;&lt;C&gt;1&lt;/C&gt;&lt;D xsi:type="xsd:double"&gt;12.8186022713661&lt;/D&gt;&lt;/FQL&gt;&lt;FQL&gt;&lt;Q&gt;VGK^FMA_EVAL_EBITDA(NTMA,0,,,"PORTAGG","MEANR")&lt;/Q&gt;&lt;R&gt;1&lt;/R&gt;&lt;C&gt;1&lt;/C&gt;&lt;D xsi:type="xsd:double"&gt;8.56278419297746&lt;/D&gt;&lt;/FQL&gt;&lt;FQL&gt;&lt;Q&gt;VGK^FG_FCF_YIELD_NTM(0)&lt;/Q&gt;&lt;R&gt;1&lt;/R&gt;&lt;C&gt;1&lt;/C&gt;&lt;D xsi:type="xsd:double"&gt;5.71715604003893&lt;/D&gt;&lt;/FQL&gt;&lt;FQL&gt;&lt;Q&gt;VGK^FMA_DIV_YLD(NTMA,NOW,NOW,M,"PORTAGG","MEANR")&lt;/Q&gt;&lt;R&gt;1&lt;/R&gt;&lt;C&gt;1&lt;/C&gt;&lt;D xsi:type="xsd:double"&gt;3.62818180178927&lt;/D&gt;&lt;/FQL&gt;&lt;FQL&gt;&lt;Q&gt;VGK^FG_PE_NTM(0,,,90,0)&lt;/Q&gt;&lt;R&gt;1&lt;/R&gt;&lt;C&gt;1&lt;/C&gt;&lt;D xsi:type="xsd:double"&gt;12.7377246847292&lt;/D&gt;&lt;/FQL&gt;&lt;FQL&gt;&lt;Q&gt;VGK^FG_PE(0)&lt;/Q&gt;&lt;R&gt;1&lt;/R&gt;&lt;C&gt;1&lt;/C&gt;&lt;D xsi:type="xsd:double"&gt;12.6341063379518&lt;/D&gt;&lt;/FQL&gt;&lt;FQL&gt;&lt;Q&gt;VGK^JULIAN(FMA_DIV_YLD(NTMA,NOW,NOW,M,"PORTAGG","MEANR").DATES)&lt;/Q&gt;&lt;R&gt;1&lt;/R&gt;&lt;C&gt;1&lt;/C&gt;&lt;D xsi:type="xsd:long"&gt;45289&lt;/D&gt;&lt;/FQL&gt;&lt;FQL&gt;&lt;Q&gt;EWI^FMA_EVAL_EBIT(LTMA,NOW,NOW,M,"PORTAGG","MEANR")&lt;/Q&gt;&lt;R&gt;1&lt;/R&gt;&lt;C&gt;1&lt;/C&gt;&lt;D xsi:type="xsd:double"&gt;10.9106453399872&lt;/D&gt;&lt;/FQL&gt;&lt;FQL&gt;&lt;Q&gt;EWI^FMA_EVAL_EBITDA(NTMA,0,,,"PORTAGG","MEANR")&lt;/Q&gt;&lt;R&gt;1&lt;/R&gt;&lt;C&gt;1&lt;/C&gt;&lt;D xsi:type="xsd:double"&gt;7.12135617657082&lt;/D&gt;&lt;/FQL&gt;&lt;FQL&gt;&lt;Q&gt;EWI^FG_FCF_YIELD_NTM(0)&lt;/Q&gt;&lt;R&gt;1&lt;/R&gt;&lt;C&gt;1&lt;/C&gt;&lt;D xsi:type="xsd:double"&gt;6.92729674498972&lt;/D&gt;&lt;/FQL&gt;&lt;FQL&gt;&lt;Q&gt;EWI^FMA_DIV_YLD(NTMA,NOW,NOW,M,"PORTAGG","MEANR")&lt;/Q&gt;&lt;R&gt;1&lt;/R&gt;&lt;C&gt;1&lt;/C&gt;&lt;D xsi:type="xsd:double"&gt;5.48072282664945&lt;/D&gt;&lt;/FQL&gt;&lt;FQL&gt;&lt;Q&gt;EWI^FG_PE_NTM(0,,,90,0)&lt;/Q&gt;&lt;R&gt;1&lt;/R&gt;&lt;C&gt;1&lt;/C&gt;&lt;D xsi:type="xsd:double"&gt;8.9221876854937&lt;/D&gt;&lt;/FQL&gt;&lt;FQL&gt;&lt;Q&gt;EWI^FG_PE(0)&lt;/Q&gt;&lt;R&gt;1&lt;/R&gt;&lt;C&gt;1&lt;/C&gt;&lt;D xsi:type="xsd:double"&gt;9.4437330783108&lt;/D&gt;&lt;/FQL&gt;&lt;FQL&gt;&lt;Q&gt;EWI^JULIAN(FMA_DIV_YLD(NTMA,NOW,NOW,M,"PORTAGG","MEANR").DATES)&lt;/Q&gt;&lt;R&gt;1&lt;/R&gt;&lt;C&gt;1&lt;/C&gt;&lt;D xsi:type="xsd:long"&gt;45289&lt;/D&gt;&lt;/FQL&gt;&lt;FQL&gt;&lt;Q&gt;EWD^FMA_EVAL_EBIT(LTMA,NOW,NOW,M,"PORTAGG","MEANR")&lt;/Q&gt;&lt;R&gt;1&lt;/R&gt;&lt;C&gt;1&lt;/C&gt;&lt;D xsi:type="xsd:double"&gt;15.</t>
        </r>
      </text>
    </comment>
    <comment ref="A10" authorId="0" shapeId="0" xr:uid="{17A7CDA3-80E1-48AD-9D01-821EB4871294}">
      <text>
        <r>
          <rPr>
            <b/>
            <sz val="9"/>
            <color indexed="81"/>
            <rFont val="Tahoma"/>
            <family val="2"/>
          </rPr>
          <t>6388844606912&lt;/D&gt;&lt;/FQL&gt;&lt;FQL&gt;&lt;Q&gt;EWD^FMA_EVAL_EBITDA(NTMA,0,,,"PORTAGG","MEANR")&lt;/Q&gt;&lt;R&gt;1&lt;/R&gt;&lt;C&gt;1&lt;/C&gt;&lt;D xsi:type="xsd:double"&gt;10.829282164676&lt;/D&gt;&lt;/FQL&gt;&lt;FQL&gt;&lt;Q&gt;EWD^FG_FCF_YIELD_NTM(0)&lt;/Q&gt;&lt;R&gt;1&lt;/R&gt;&lt;C&gt;1&lt;/C&gt;&lt;D xsi:type="xsd:double"&gt;5.55464227984031&lt;/D&gt;&lt;/FQL&gt;&lt;FQL&gt;&lt;Q&gt;EWD^FMA_DIV_YLD(NTMA,NOW,NOW,M,"PORTAGG","MEANR")&lt;/Q&gt;&lt;R&gt;1&lt;/R&gt;&lt;C&gt;1&lt;/C&gt;&lt;D xsi:type="xsd:double"&gt;2.92358459120593&lt;/D&gt;&lt;/FQL&gt;&lt;FQL&gt;&lt;Q&gt;EWD^FG_PE_NTM(0,,,90,0)&lt;/Q&gt;&lt;R&gt;1&lt;/R&gt;&lt;C&gt;1&lt;/C&gt;&lt;D xsi:type="xsd:double"&gt;15.4142345169693&lt;/D&gt;&lt;/FQL&gt;&lt;FQL&gt;&lt;Q&gt;EWD^FG_PE(0)&lt;/Q&gt;&lt;R&gt;1&lt;/R&gt;&lt;C&gt;1&lt;/C&gt;&lt;D xsi:type="xsd:double"&gt;14.6275687922756&lt;/D&gt;&lt;/FQL&gt;&lt;FQL&gt;&lt;Q&gt;EWD^JULIAN(FMA_DIV_YLD(NTMA,NOW,NOW,M,"PORTAGG","MEANR").DATES)&lt;/Q&gt;&lt;R&gt;1&lt;/R&gt;&lt;C&gt;1&lt;/C&gt;&lt;D xsi:type="xsd:long"&gt;45289&lt;/D&gt;&lt;/FQL&gt;&lt;FQL&gt;&lt;Q&gt;EWN^FMA_EVAL_EBIT(LTMA,NOW,NOW,M,"PORTAGG","MEANR")&lt;/Q&gt;&lt;R&gt;1&lt;/R&gt;&lt;C&gt;1&lt;/C&gt;&lt;D xsi:type="xsd:double"&gt;20.4684519093107&lt;/D&gt;&lt;/FQL&gt;&lt;FQL&gt;&lt;Q&gt;EWN^FMA_EVAL_EBITDA(NTMA,0,,,"PORTAGG","MEANR")&lt;/Q&gt;&lt;R&gt;1&lt;/R&gt;&lt;C&gt;1&lt;/C&gt;&lt;D xsi:type="xsd:double"&gt;12.9761056355005&lt;/D&gt;&lt;/FQL&gt;&lt;FQL&gt;&lt;Q&gt;EWN^FG_FCF_YIELD_NTM(0)&lt;/Q&gt;&lt;R&gt;1&lt;/R&gt;&lt;C&gt;1&lt;/C&gt;&lt;D xsi:type="xsd:double"&gt;3.94331545175586&lt;/D&gt;&lt;/FQL&gt;&lt;FQL&gt;&lt;Q&gt;EWN^FMA_DIV_YLD(NTMA,NOW,NOW,M,"PORTAGG","MEANR")&lt;/Q&gt;&lt;R&gt;1&lt;/R&gt;&lt;C&gt;1&lt;/C&gt;&lt;D xsi:type="xsd:double"&gt;2.69141913456056&lt;/D&gt;&lt;/FQL&gt;&lt;FQL&gt;&lt;Q&gt;EWN^FG_PE_NTM(0,,,90,0)&lt;/Q&gt;&lt;R&gt;1&lt;/R&gt;&lt;C&gt;1&lt;/C&gt;&lt;D xsi:type="xsd:double"&gt;15.6466461926462&lt;/D&gt;&lt;/FQL&gt;&lt;FQL&gt;&lt;Q&gt;EWN^FG_PE(0)&lt;/Q&gt;&lt;R&gt;1&lt;/R&gt;&lt;C&gt;1&lt;/C&gt;&lt;D xsi:type="xsd:double"&gt;18.0837298005284&lt;/D&gt;&lt;/FQL&gt;&lt;FQL&gt;&lt;Q&gt;EWN^JULIAN(FMA_DIV_YLD(NTMA,NOW,NOW,M,"PORTAGG","MEANR").DATES)&lt;/Q&gt;&lt;R&gt;1&lt;/R&gt;&lt;C&gt;1&lt;/C&gt;&lt;D xsi:type="xsd:long"&gt;45289&lt;/D&gt;&lt;/FQL&gt;&lt;FQL&gt;&lt;Q&gt;EWQ^FMA_EVAL_EBIT(LTMA,NOW,NOW,M,"PORTAGG","MEANR")&lt;/Q&gt;&lt;R&gt;1&lt;/R&gt;&lt;C&gt;1&lt;/C&gt;&lt;D xsi:type="xsd:double"&gt;12.5613240421895&lt;/D&gt;&lt;/FQL&gt;&lt;FQL&gt;&lt;Q&gt;EWQ^FMA_EVAL_EBITDA(NTMA,0,,,"PORTAGG","MEANR")&lt;/Q&gt;&lt;R&gt;1&lt;/R&gt;&lt;C&gt;1&lt;/C&gt;&lt;D xsi:type="xsd:double"&gt;8.85186813641842&lt;/D&gt;&lt;/FQL&gt;&lt;FQL&gt;&lt;Q&gt;EWQ^FG_FCF_YIELD_NTM(0)&lt;/Q&gt;&lt;R&gt;1&lt;/R&gt;&lt;C&gt;1&lt;/C&gt;&lt;D xsi:type="xsd:double"&gt;6.15165980963206&lt;/D&gt;&lt;/FQL&gt;&lt;FQL&gt;&lt;Q&gt;EWQ^FMA_DIV_YLD(NTMA,NOW,NOW,M,"PORTAGG","MEANR")&lt;/Q&gt;&lt;R&gt;1&lt;/R&gt;&lt;C&gt;1&lt;/C&gt;&lt;D xsi:type="xsd:double"&gt;3.23040326772916&lt;/D&gt;&lt;/FQL&gt;&lt;FQL&gt;&lt;Q&gt;EWQ^FG_PE_NTM(0,,,90,0)&lt;/Q&gt;&lt;R&gt;1&lt;/R&gt;&lt;C&gt;1&lt;/C&gt;&lt;D xsi:type="xsd:double"&gt;13.3549909617041&lt;/D&gt;&lt;/FQL&gt;&lt;FQL&gt;&lt;Q&gt;EWQ^FG_PE(0)&lt;/Q&gt;&lt;R&gt;1&lt;/R&gt;&lt;C&gt;1&lt;/C&gt;&lt;D xsi:type="xsd:double"&gt;14.808549326909&lt;/D&gt;&lt;/FQL&gt;&lt;FQL&gt;&lt;Q&gt;EWQ^JULIAN(FMA_DIV_YLD(NTMA,NOW,NOW,M,"PORTAGG","MEANR").DATES)&lt;/Q&gt;&lt;R&gt;1&lt;/R&gt;&lt;C&gt;1&lt;/C&gt;&lt;D xsi:type="xsd:long"&gt;45289&lt;/D&gt;&lt;/FQL&gt;&lt;FQL&gt;&lt;Q&gt;SPY^FMA_EVAL_EBIT(LTMA,NOW,NOW,M,"PORTAGG","MEANR")&lt;/Q&gt;&lt;R&gt;1&lt;/R&gt;&lt;C&gt;1&lt;/C&gt;&lt;D xsi:type="xsd:double"&gt;19.7852749846985&lt;/D&gt;&lt;/FQL&gt;&lt;FQL&gt;&lt;Q&gt;SPY^FMA_EVAL_EBITDA(NTMA,0,,,"PORTAGG","MEANR")&lt;/Q&gt;&lt;R&gt;1&lt;/R&gt;&lt;C&gt;1&lt;/C&gt;&lt;D xsi:type="xsd:double"&gt;13.7151426491434&lt;/D&gt;&lt;/FQL&gt;&lt;FQL&gt;&lt;Q&gt;SPY^FG_FCF_YIELD_NTM(0)&lt;/Q&gt;&lt;R&gt;1&lt;/R&gt;&lt;C&gt;1&lt;/C&gt;&lt;D xsi:type="xsd:double"&gt;4.38366716719868&lt;/D&gt;&lt;/FQL&gt;&lt;FQL&gt;&lt;Q&gt;SPY^FMA_DIV_YLD(NTMA,NOW,NOW,M,"PORTAGG","MEANR")&lt;/Q&gt;&lt;R&gt;1&lt;/R&gt;&lt;C&gt;1&lt;/C&gt;&lt;D xsi:type="xsd:double"&gt;1.54297496368802&lt;/D&gt;&lt;/FQL&gt;&lt;FQL&gt;&lt;Q&gt;SPY^FG_PE_NTM(0,,,90,0)&lt;/Q&gt;&lt;R&gt;1&lt;/R&gt;&lt;C&gt;1&lt;/C&gt;&lt;D xsi:type="xsd:double"&gt;20.0175381310146&lt;/D&gt;&lt;/FQL&gt;&lt;FQL&gt;&lt;Q&gt;SPY^FG_PE(0)&lt;/Q&gt;&lt;R&gt;1&lt;/R&gt;&lt;C&gt;1&lt;/C&gt;&lt;D xsi:type="xsd:double"&gt;23.4351377332159&lt;/D&gt;&lt;/FQL&gt;&lt;FQL&gt;&lt;Q&gt;SPY^JULIAN(FMA_DIV_YLD(NTMA,NOW,NOW,M,"PORTAGG","MEANR").DATES)&lt;/Q&gt;&lt;R&gt;1&lt;/R&gt;&lt;C&gt;1&lt;/C&gt;&lt;D xsi:type="xsd:long"&gt;45289&lt;/D&gt;&lt;/FQL&gt;&lt;FQL&gt;&lt;Q&gt;QQQ^FMA_EVAL_EBIT(LTMA,NOW,NOW,M,"PORTAGG","MEANR")&lt;/Q&gt;&lt;R&gt;1&lt;/R&gt;&lt;C&gt;1&lt;/C&gt;&lt;D xsi:type="xsd:double"&gt;23.958823438883&lt;/D&gt;&lt;/FQL&gt;&lt;FQL&gt;&lt;Q&gt;QQQ^FMA_EVAL_EBITDA(NTMA,0,,,"PORTAGG","MEANR")&lt;/Q&gt;&lt;R&gt;1&lt;/R&gt;&lt;C&gt;1&lt;/C&gt;&lt;D xsi:type="xsd:double"&gt;16.0508515068338&lt;/D&gt;&lt;/FQL&gt;&lt;FQL&gt;&lt;Q&gt;QQQ^FG_FCF_YIELD_NTM(0)&lt;/Q&gt;&lt;R&gt;1&lt;/R&gt;&lt;C&gt;1&lt;/C&gt;&lt;D xsi:type="xsd:double"&gt;3.75823424899&lt;/D&gt;&lt;/FQL&gt;&lt;FQL&gt;&lt;Q&gt;QQQ^FMA_DIV_YLD(NTMA,NOW,NOW,M,"PORTAGG","MEANR")&lt;/Q&gt;&lt;R&gt;1&lt;/R&gt;&lt;C&gt;1&lt;/C&gt;&lt;D xsi:type="xsd:double"&gt;0.919259242114565&lt;/D&gt;&lt;/FQL&gt;&lt;FQL&gt;&lt;Q&gt;QQQ^FG_PE_NTM(0,,,90,0)&lt;/Q&gt;&lt;R&gt;1&lt;/R&gt;&lt;C&gt;1&lt;/C&gt;&lt;D xsi:type="xsd:double"&gt;25.9219204248767&lt;/D&gt;&lt;/FQL&gt;&lt;FQL&gt;&lt;Q&gt;QQQ^FG_PE(0)&lt;/Q&gt;&lt;R&gt;1&lt;/R&gt;&lt;C&gt;1&lt;/C&gt;&lt;D xsi:type="xsd:double"&gt;32.0736111365784&lt;/D&gt;&lt;/FQL&gt;&lt;FQL&gt;&lt;Q&gt;QQQ^JULIAN(FMA_DIV_YLD(NTMA,NOW,NOW,M,"PORTAGG","MEANR").DATES)&lt;/Q&gt;&lt;R&gt;1&lt;/R&gt;&lt;C&gt;1&lt;/C&gt;&lt;D xsi:type="xsd:long"&gt;45289&lt;/D&gt;&lt;/FQL&gt;&lt;FQL&gt;&lt;Q&gt;EWU^FMA_EVAL_EBIT(LTMA,NOW,NOW,M,"PORTAGG","MEANR")&lt;/Q&gt;&lt;R&gt;1&lt;/R&gt;&lt;C&gt;1&lt;/C&gt;&lt;D xsi:type="xsd:double"&gt;10.1502607373552&lt;/D&gt;&lt;/FQL&gt;&lt;FQL&gt;&lt;Q&gt;EWU^FMA_EVAL_EBITDA(NTMA,0,,,"PORTAGG","MEANR")&lt;/Q&gt;&lt;R&gt;1&lt;/R&gt;&lt;C&gt;1&lt;/C&gt;&lt;D xsi:type="xsd:double"&gt;7.19843520792625&lt;/D&gt;&lt;/FQL&gt;&lt;FQL&gt;&lt;Q&gt;EWU^FG_FCF_YIELD_NTM(0)&lt;/Q&gt;&lt;R&gt;1&lt;/R&gt;&lt;C&gt;1&lt;/C&gt;&lt;D xsi:type="xsd:double"&gt;6.90536780825507&lt;/D&gt;&lt;/FQL&gt;&lt;FQL&gt;&lt;Q&gt;EWU^FMA_DIV_YLD(NTMA,NOW,NOW,M,"PORTAGG","MEANR")&lt;/Q&gt;&lt;R&gt;1&lt;/R&gt;&lt;C&gt;1&lt;/C&gt;&lt;D xsi:type="xsd:double"&gt;4.27019194023054&lt;/D&gt;&lt;/FQL&gt;&lt;FQL&gt;&lt;Q&gt;EWU^FG_PE_NTM(0,,,90,0)&lt;/Q&gt;&lt;R&gt;1&lt;/R&gt;&lt;C&gt;1&lt;/C&gt;&lt;D xsi:type="xsd:double"&gt;10.9394173959578&lt;/D&gt;&lt;/FQL&gt;&lt;FQL&gt;&lt;Q&gt;EWU^FG_PE(0)&lt;/Q&gt;&lt;R&gt;1&lt;/R&gt;&lt;C&gt;1&lt;/C&gt;&lt;D xsi:type="xsd:double"&gt;9.10207810886253&lt;/D&gt;&lt;/FQL&gt;&lt;FQL&gt;&lt;Q&gt;EWU^JULIAN(FMA_DIV_YLD(NTMA,NOW,NOW,M,"PORTAGG","MEANR").DATES)&lt;/Q&gt;&lt;R&gt;1&lt;/R&gt;&lt;C&gt;1&lt;/C&gt;&lt;D xsi:type="xsd:long"&gt;45289&lt;/D&gt;&lt;/FQL&gt;&lt;FQL&gt;&lt;Q&gt;EWL^FMA_EVAL_EBIT(LTMA,NOW,NOW,M,"PORTAGG","MEANR")&lt;/Q&gt;&lt;R&gt;1&lt;/R&gt;&lt;C&gt;1&lt;/C&gt;&lt;D xsi:type="xsd:double"&gt;16.4265546329384&lt;/D&gt;&lt;/FQL&gt;&lt;FQL&gt;&lt;Q&gt;EWL^FMA_EVAL_EBITDA(NTMA,0,,,"PORTAGG","MEANR")&lt;/Q&gt;&lt;R&gt;1&lt;/R&gt;&lt;C&gt;1&lt;/C&gt;&lt;D xsi:type="xsd:double"&gt;12.8482552510529&lt;/D&gt;&lt;/FQL&gt;&lt;FQL&gt;&lt;Q&gt;EWL^FG_FCF_YIELD_NTM(0)&lt;/Q&gt;&lt;R&gt;1&lt;/R&gt;&lt;C&gt;1&lt;/C&gt;&lt;D xsi:type="xsd:double"&gt;5.10681354594677&lt;/D&gt;&lt;/FQL&gt;&lt;FQL&gt;&lt;Q&gt;EWL^FMA_DIV_YLD(NTMA,NOW,NOW,M,"PORTAGG","MEANR")&lt;/Q&gt;&lt;R&gt;1&lt;/R&gt;&lt;C&gt;1&lt;/C&gt;&lt;D xsi:type="xsd:double"&gt;3.2708203849849&lt;/D&gt;&lt;/FQL&gt;&lt;FQL&gt;&lt;Q&gt;EWL^FG_PE_NTM(0,,,90,0)&lt;/Q&gt;&lt;R&gt;1&lt;/R&gt;&lt;C&gt;1&lt;/C&gt;&lt;D xsi:type="xsd:double"&gt;16.9279205634025&lt;/D&gt;&lt;/FQL&gt;&lt;FQL&gt;&lt;Q&gt;EWL^FG_PE(0)&lt;/Q&gt;&lt;R&gt;1&lt;/R&gt;&lt;C&gt;1&lt;/C&gt;&lt;D xsi:type="xsd:double"&gt;16.0992338580053&lt;/D&gt;&lt;/FQL&gt;&lt;FQL&gt;&lt;Q&gt;EWL^JULIAN(FMA_DIV_YLD(NTMA,NOW,NOW,M,"PORTAGG","MEANR").DATES)&lt;/Q&gt;&lt;R&gt;1&lt;/R&gt;&lt;C&gt;1&lt;/C&gt;&lt;D xsi:type="xsd:long"&gt;45289&lt;/D&gt;&lt;/FQL&gt;&lt;FQL&gt;&lt;Q&gt;EWJ^FMA_EVAL_EBIT(LTMA,NOW,NOW,M,"PORTAGG","MEANR")&lt;/Q&gt;&lt;R&gt;1&lt;/R&gt;&lt;C&gt;1&lt;/C&gt;&lt;D xsi:type="xsd:double"&gt;16.3377111170439&lt;/D&gt;&lt;/FQL&gt;&lt;FQL&gt;&lt;Q&gt;EWJ^FMA_EVAL_EBITDA(NTMA,0,,,"PORTAGG","MEANR")&lt;/Q&gt;&lt;R&gt;1&lt;/R&gt;&lt;C&gt;1&lt;/C&gt;&lt;D xsi:type="xsd:double"&gt;10.2151940361331&lt;/D&gt;&lt;/FQL&gt;&lt;FQL&gt;&lt;Q&gt;EWJ^FG_FCF_YIELD_NTM(0)&lt;/Q&gt;&lt;R&gt;1&lt;/R&gt;&lt;C&gt;1&lt;/C&gt;&lt;D xsi:type="xsd:double"&gt;4.28244763565551&lt;/D&gt;&lt;/FQL&gt;&lt;FQL&gt;&lt;Q&gt;EWJ^FMA_DIV_YLD(NTMA,NOW,NOW,M,"PORTAGG","MEANR")&lt;/Q&gt;&lt;R&gt;1&lt;/R&gt;&lt;C&gt;1&lt;/C&gt;&lt;D xsi:type="xsd:double"&gt;2.42801081330025&lt;/D&gt;&lt;/FQL&gt;&lt;FQL&gt;&lt;Q&gt;EWJ^FG_PE_NTM(0,,,90,0)&lt;/Q&gt;&lt;R&gt;1&lt;/R&gt;&lt;C&gt;1&lt;/C&gt;&lt;D xsi:type="xsd:double"&gt;14.9785403352315&lt;/D&gt;&lt;/FQL&gt;&lt;FQL&gt;&lt;Q&gt;EWJ^FG_PE(0)&lt;/Q&gt;&lt;R&gt;1&lt;/R&gt;&lt;C&gt;1&lt;/C&gt;&lt;D xsi:type="xsd:double"&gt;16.0774029566032&lt;/D&gt;&lt;/FQL&gt;&lt;FQL&gt;&lt;Q&gt;EWJ^JULIAN(FMA_DIV_YLD(NTMA,NOW,NOW,M,"PORTAGG","MEANR").DATES)&lt;/Q&gt;&lt;R&gt;1&lt;/R&gt;&lt;C&gt;1&lt;/C&gt;&lt;D xsi:type="xsd:long"&gt;45289&lt;/D&gt;&lt;/FQL&gt;&lt;FQL&gt;&lt;Q&gt;EWG^FMA_EVAL_EBIT(LTMA,NOW,NOW,M,"PORTAGG","MEANR")&lt;/Q&gt;&lt;R&gt;1&lt;/R&gt;&lt;C&gt;1&lt;/C&gt;&lt;D xsi:type="xsd:double"&gt;12.8807983948073&lt;/D&gt;&lt;/FQL&gt;&lt;FQL&gt;&lt;Q&gt;EWG^FMA_EVAL_EBITDA(NTMA,0,,,"PORTAGG","MEANR")&lt;/Q&gt;&lt;R&gt;1&lt;/R&gt;&lt;C&gt;1&lt;/C&gt;&lt;D xsi:type="xsd:double"&gt;8.29734741842124&lt;/D&gt;&lt;/FQL&gt;&lt;FQL&gt;&lt;Q&gt;EWG^FG_FCF_YIELD_NTM(0)&lt;/Q&gt;&lt;R&gt;1&lt;/R&gt;&lt;C&gt;1&lt;/C&gt;&lt;D xsi:type="xsd:double"&gt;6.61760330610413&lt;/D&gt;&lt;/FQL&gt;&lt;FQL&gt;&lt;Q&gt;EWG^FMA_DIV_YLD(NTMA,NOW,NOW,M,"PORTAGG","MEANR")&lt;/Q&gt;&lt;R&gt;1&lt;/R&gt;&lt;C&gt;1&lt;/C&gt;&lt;D xsi:type="xsd:double"&gt;3.55178110469247&lt;/D&gt;&lt;/FQL&gt;&lt;FQL&gt;&lt;Q&gt;EWG^FG_PE_NTM(0,,,90,0)&lt;/Q&gt;&lt;R&gt;1&lt;/R&gt;&lt;C&gt;1&lt;/C&gt;&lt;D xsi:type="xsd:double"&gt;11.376614589609&lt;/D&gt;&lt;/FQL&gt;&lt;FQL&gt;&lt;Q&gt;EWG^FG_PE(0)&lt;/Q&gt;&lt;R&gt;1&lt;/R&gt;&lt;C&gt;1&lt;/C&gt;&lt;D xsi:type="xsd:double"&gt;10.9082123123239&lt;/D&gt;&lt;/FQL&gt;&lt;FQL&gt;&lt;Q&gt;EWG^JULIAN(FMA_DIV_YLD(NTMA,NOW,NOW,M,"PORTAGG","MEANR").DATES)&lt;/Q&gt;&lt;R&gt;1&lt;/R&gt;&lt;C&gt;1&lt;/C&gt;&lt;D xsi:type="xsd:long"&gt;45289&lt;/D&gt;&lt;/FQL&gt;&lt;FQL&gt;&lt;Q&gt;EWC^FMA_EVAL_EBIT(LTMA,NOW,NOW,M,"PORTAGG","MEANR")&lt;/Q&gt;&lt;R&gt;1&lt;/R&gt;&lt;C&gt;1&lt;/C&gt;&lt;D xsi:type="xsd:double"&gt;15.5816071516116&lt;/D&gt;&lt;/FQL&gt;&lt;FQL&gt;&lt;Q&gt;EWC^FMA_EVAL_EBITDA(NTMA,0,,,"PORTAGG","MEANR")&lt;/Q&gt;&lt;R&gt;1&lt;/R&gt;&lt;C&gt;1&lt;/C&gt;&lt;D xsi:type="xsd:double"&gt;9.48814462637707&lt;/D&gt;&lt;/FQL&gt;&lt;FQL&gt;&lt;Q&gt;EWC^FG_FCF_YIELD_NTM(0)&lt;/Q&gt;&lt;R&gt;1&lt;/R&gt;&lt;C&gt;1&lt;/C&gt;&lt;D xsi:type="xsd:double"&gt;5.00351229358858&lt;/D&gt;&lt;/FQL&gt;&lt;FQL&gt;&lt;Q&gt;EWC^FMA_DIV_YLD(NTMA,NOW,NOW,M,"PORTAGG","MEANR")&lt;/Q&gt;&lt;R&gt;1&lt;/R&gt;&lt;C&gt;1&lt;/C&gt;&lt;D xsi:type="xsd:double"&gt;3.3583955645562&lt;/D&gt;&lt;/FQL&gt;&lt;FQL&gt;&lt;Q&gt;EWC^FG_PE_NTM(0,,,90,0)&lt;/Q&gt;&lt;R&gt;1&lt;/R&gt;&lt;C&gt;1&lt;/C&gt;&lt;D xsi:type="xsd:double"&gt;13.8692559202145&lt;/D&gt;&lt;/FQL&gt;&lt;FQL&gt;&lt;Q&gt;EWC^FG_PE(0)&lt;/Q&gt;&lt;R&gt;1&lt;/R&gt;&lt;C&gt;1&lt;/C&gt;&lt;D xsi:type="xsd:double"&gt;16.0282040505719&lt;/D&gt;&lt;/FQL&gt;&lt;FQL&gt;&lt;Q&gt;EWC^JULIAN(FMA_DIV_YLD(NTMA,NOW,NOW,M,"PORTAGG","MEANR").DATES)&lt;/Q&gt;&lt;R&gt;1&lt;/R&gt;&lt;C&gt;1&lt;/C&gt;&lt;D xsi:type="xsd:long"&gt;45289&lt;/D&gt;&lt;/FQL&gt;&lt;FQL&gt;&lt;Q&gt;EWA^FMA_EVAL_EBIT(LTMA,NOW,NOW,M,"PORTAGG","MEANR")&lt;/Q&gt;&lt;R&gt;1&lt;/R&gt;&lt;C&gt;1&lt;/C&gt;&lt;D xsi:type="xsd:double"&gt;12.6061834100527&lt;/D&gt;&lt;/FQL&gt;&lt;FQL&gt;&lt;Q&gt;EWA^FMA_EVAL_EBITDA(NTMA,0,,,"PORTAGG","MEANR")&lt;/Q&gt;&lt;R&gt;1&lt;/R&gt;&lt;C&gt;1&lt;/C&gt;&lt;D xsi:type="xsd:double"&gt;8.4966858579408&lt;/D&gt;&lt;/FQL&gt;&lt;FQL&gt;&lt;Q&gt;EWA^FG_FCF_YIELD_NTM(0)&lt;/Q&gt;&lt;R&gt;1&lt;/R&gt;&lt;C&gt;1&lt;/C&gt;&lt;D xsi:type="xsd:double"&gt;4.66893839129914&lt;/D&gt;&lt;/FQL&gt;&lt;FQL&gt;&lt;Q&gt;EWA^FMA_DIV_YLD(NTMA,NOW,NOW,M,"PORTAGG","MEANR")&lt;/Q&gt;&lt;R&gt;1&lt;/R&gt;&lt;C&gt;1&lt;/C&gt;&lt;D xsi:type="xsd:double"&gt;3.97495871443751&lt;/D&gt;&lt;/FQL&gt;&lt;FQL&gt;&lt;Q&gt;EWA^FG_PE_NTM(0,,,90,0)&lt;/Q&gt;&lt;R&gt;1&lt;/R&gt;&lt;C&gt;1&lt;/C&gt;&lt;D xsi:type="xsd:double"&gt;16.2030061557534&lt;/D&gt;&lt;/FQL&gt;&lt;FQL&gt;&lt;Q&gt;EWA^FG_PE(0)&lt;/Q&gt;&lt;R&gt;1&lt;/R&gt;&lt;C&gt;1&lt;/C&gt;&lt;D xsi:type="xsd:double"&gt;15.7367827772155&lt;/D&gt;&lt;/FQL&gt;&lt;FQL&gt;&lt;Q&gt;EWA^JULIAN(FMA_DIV_YLD(NTMA,NOW,NOW,M,"PORTAGG","MEANR").DATES)&lt;/Q&gt;&lt;R&gt;1&lt;/R&gt;&lt;C&gt;1&lt;/C&gt;&lt;D xsi:type="xsd:long"&gt;45289&lt;/D&gt;&lt;/FQL&gt;&lt;FQL&gt;&lt;Q&gt;ENZL^FMA_EVAL_EBIT(LTMA,NOW,NOW,M,"PORTAGG","MEANR")&lt;/Q&gt;&lt;R&gt;1&lt;/R&gt;&lt;C&gt;1&lt;/C&gt;&lt;D xsi:type="xsd:double"&gt;19.6932356015988&lt;/D&gt;&lt;/FQL&gt;&lt;FQL&gt;&lt;Q&gt;ENZL^FMA_EVAL_EBITDA(NTMA,0,,,"PORTAGG","MEANR")&lt;/Q&gt;&lt;R&gt;1&lt;/R&gt;&lt;C&gt;1&lt;/C&gt;&lt;D xsi:type="xsd:double"&gt;11.7887039720616&lt;/D&gt;&lt;/FQL&gt;&lt;FQL&gt;&lt;Q&gt;ENZL^FG_FCF_YIELD_NTM(0)&lt;/Q&gt;&lt;R&gt;1&lt;/R&gt;&lt;C&gt;1&lt;/C&gt;&lt;D xsi:type="xsd:double"&gt;0.709437535819823&lt;/D&gt;&lt;/FQL&gt;&lt;FQL&gt;&lt;Q&gt;ENZL^FMA_DIV_YLD(NTMA,NOW,NOW,M,"PORTAGG","MEANR")&lt;/Q&gt;&lt;R&gt;1&lt;/R&gt;&lt;C&gt;1&lt;/C&gt;&lt;D xsi:type="xsd:double"&gt;2.96827759625584&lt;/D&gt;&lt;/FQL&gt;&lt;FQL&gt;&lt;Q&gt;ENZL^FG_PE_NTM(0,,,90,0)&lt;/Q&gt;&lt;R&gt;1&lt;/R&gt;&lt;C&gt;1&lt;/C&gt;&lt;D xsi:type="xsd:double"&gt;22.4771739039753&lt;/D&gt;&lt;/FQL&gt;&lt;FQL&gt;&lt;Q&gt;ENZL^FG_PE(0)&lt;/Q&gt;&lt;R&gt;1&lt;/R&gt;&lt;C&gt;1&lt;/C&gt;&lt;D xsi:type="xsd:double"&gt;23.9983011116463&lt;/D&gt;&lt;/FQL&gt;&lt;FQL&gt;&lt;Q&gt;ENZL^JULIAN(FMA_DIV_YLD(NTMA,NOW,NOW,M,"PORTAGG","MEANR").DATES)&lt;/Q&gt;&lt;R&gt;1&lt;/R&gt;&lt;C&gt;1&lt;/C&gt;&lt;D xsi:type="xsd:long"&gt;45289&lt;/D&gt;&lt;/FQL&gt;&lt;/Schema&gt;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<sst xmlns="http://schemas.openxmlformats.org/spreadsheetml/2006/main" count="513" uniqueCount="224">
  <si>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</si>
  <si>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</si>
  <si>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</si>
  <si>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</si>
  <si>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</si>
  <si>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</si>
  <si>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</si>
  <si>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</si>
  <si>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</si>
  <si>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</si>
  <si>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</si>
  <si>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</si>
  <si>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</si>
  <si>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</si>
  <si>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</si>
  <si>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</si>
  <si>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</si>
  <si>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</si>
  <si>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</si>
  <si>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</si>
  <si>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</si>
  <si>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</si>
  <si>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</si>
  <si>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</si>
  <si>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</si>
  <si>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</si>
  <si>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</si>
  <si>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</si>
  <si>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</si>
  <si>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</si>
  <si>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</si>
  <si>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</si>
  <si>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</si>
  <si>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12 month return -prentile</t>
  </si>
  <si>
    <t>1  month return percentile</t>
  </si>
  <si>
    <t>US</t>
  </si>
  <si>
    <t>CC_CA</t>
  </si>
  <si>
    <t>CC_JP</t>
  </si>
  <si>
    <t>CC_GB</t>
  </si>
  <si>
    <t>CC_US</t>
  </si>
  <si>
    <t>CC_AU</t>
  </si>
  <si>
    <t>CC_NZ</t>
  </si>
  <si>
    <t>Europe</t>
  </si>
  <si>
    <t>CC_SE</t>
  </si>
  <si>
    <t>CC_CH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</si>
  <si>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</si>
  <si>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</si>
  <si>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</si>
  <si>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</si>
  <si>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</si>
  <si>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</si>
  <si>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</si>
  <si>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% drawdown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</si>
  <si>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</si>
  <si>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</si>
  <si>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</si>
  <si>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</si>
  <si>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</si>
  <si>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</si>
  <si>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</si>
  <si>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ENZL</t>
  </si>
  <si>
    <t>Oil</t>
  </si>
  <si>
    <t>Average last 3 months</t>
  </si>
  <si>
    <t>Prioce / 52 week low</t>
  </si>
  <si>
    <t>Closeness - 52W- H</t>
  </si>
  <si>
    <t>Away-52W L</t>
  </si>
  <si>
    <t>Closeness - 52w L</t>
  </si>
  <si>
    <t>ETF Name</t>
  </si>
  <si>
    <t>Yearly Drawdwn</t>
  </si>
  <si>
    <t>Monthly  Drawdwin</t>
  </si>
  <si>
    <t>Overall Risk Score</t>
  </si>
  <si>
    <t>VGK</t>
  </si>
  <si>
    <t>COUNTRY</t>
  </si>
  <si>
    <t>CC_DE</t>
  </si>
  <si>
    <t>Australia</t>
  </si>
  <si>
    <t>Canada</t>
  </si>
  <si>
    <t>China</t>
  </si>
  <si>
    <t>France</t>
  </si>
  <si>
    <t>Germany</t>
  </si>
  <si>
    <t>Italy</t>
  </si>
  <si>
    <t>Japan</t>
  </si>
  <si>
    <t>Netherlands</t>
  </si>
  <si>
    <t>New Zealand</t>
  </si>
  <si>
    <t>Sweden</t>
  </si>
  <si>
    <t>Switzerland</t>
  </si>
  <si>
    <t>United Kingdom</t>
  </si>
  <si>
    <t>United States</t>
  </si>
  <si>
    <t>EM</t>
  </si>
  <si>
    <t>Top down</t>
  </si>
  <si>
    <t>URTH</t>
  </si>
  <si>
    <t>World</t>
  </si>
  <si>
    <t>max</t>
  </si>
  <si>
    <t>&gt;</t>
  </si>
  <si>
    <t>&lt;</t>
  </si>
  <si>
    <t>Monthly Return Percentile</t>
  </si>
  <si>
    <t>RISK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</si>
  <si>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</si>
  <si>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</si>
  <si>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</si>
  <si>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</si>
  <si>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</si>
  <si>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</si>
  <si>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</si>
  <si>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</si>
  <si>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</si>
  <si>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</si>
  <si>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</si>
  <si>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</si>
  <si>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</si>
  <si>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</si>
  <si>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</si>
  <si>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</si>
  <si>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</si>
  <si>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</si>
  <si>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</si>
  <si>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</si>
  <si>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</si>
  <si>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</si>
  <si>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</si>
  <si>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</si>
  <si>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japan</t>
  </si>
  <si>
    <t>30da MA index</t>
  </si>
  <si>
    <t>Index Level</t>
  </si>
  <si>
    <t xml:space="preserve">200D MA index </t>
  </si>
  <si>
    <t>ETF Ticker</t>
  </si>
  <si>
    <t>COUNTRY CODE</t>
  </si>
  <si>
    <t>STD_DEV</t>
  </si>
  <si>
    <t>Annualized Volatility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</si>
  <si>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</si>
  <si>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</si>
  <si>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</si>
  <si>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</si>
  <si>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</si>
  <si>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</si>
  <si>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</si>
  <si>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</si>
  <si>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</si>
  <si>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</si>
  <si>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</si>
  <si>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</si>
  <si>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</si>
  <si>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</si>
  <si>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</si>
  <si>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</si>
  <si>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</si>
  <si>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</si>
  <si>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</si>
  <si>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</si>
  <si>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</si>
  <si>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</si>
  <si>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</si>
  <si>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</si>
  <si>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</si>
  <si>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</si>
  <si>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</si>
  <si>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</si>
  <si>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</si>
  <si>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</si>
  <si>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</si>
  <si>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 xml:space="preserve"> Score</t>
  </si>
  <si>
    <t>Sum</t>
  </si>
  <si>
    <t>EMXC</t>
  </si>
  <si>
    <t>Top Down</t>
  </si>
  <si>
    <t xml:space="preserve">Above 30 D </t>
  </si>
  <si>
    <t>Above 200D</t>
  </si>
  <si>
    <t>Equity - Momnetum+ Breadth+ Uptrades</t>
  </si>
  <si>
    <t>Above 30D</t>
  </si>
  <si>
    <t>Above 60 D</t>
  </si>
  <si>
    <t>12 month rank</t>
  </si>
  <si>
    <t>Inputs</t>
  </si>
  <si>
    <t>Price / 5year high</t>
  </si>
  <si>
    <t>Gold</t>
  </si>
  <si>
    <t>30D MA</t>
  </si>
  <si>
    <t>60 D AM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</si>
  <si>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</si>
  <si>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</si>
  <si>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</si>
  <si>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</si>
  <si>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</si>
  <si>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</si>
  <si>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</si>
  <si>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</si>
  <si>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</si>
  <si>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</si>
  <si>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</si>
  <si>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FCF</t>
  </si>
  <si>
    <t>Growth in E</t>
  </si>
  <si>
    <t xml:space="preserve"> Long term Retyrn</t>
  </si>
  <si>
    <t>rates</t>
  </si>
  <si>
    <t>Above rates</t>
  </si>
  <si>
    <t>COUNTRY NAME</t>
  </si>
  <si>
    <t>Country</t>
  </si>
  <si>
    <t>PE trailing</t>
  </si>
  <si>
    <t>PE forward</t>
  </si>
  <si>
    <t>DY</t>
  </si>
  <si>
    <t>FCF yield</t>
  </si>
  <si>
    <t>EV/EBITDA</t>
  </si>
  <si>
    <t>EV/ EBIT</t>
  </si>
  <si>
    <t>ROE</t>
  </si>
  <si>
    <t>CURRENT RATES</t>
  </si>
  <si>
    <t>INFLATION RATES</t>
  </si>
  <si>
    <t>GDP AVG 5 &amp; 10 YR CAGR</t>
  </si>
  <si>
    <t>DY - Current Rates</t>
  </si>
  <si>
    <t>FCF - Current Rates</t>
  </si>
  <si>
    <t>ROE - Current Rates</t>
  </si>
  <si>
    <t>ROE- Inflation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</si>
  <si>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</si>
  <si>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</si>
  <si>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</si>
  <si>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</si>
  <si>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</si>
  <si>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ROE - Inflation Rate Percentile</t>
  </si>
  <si>
    <t>GDP Percentile</t>
  </si>
  <si>
    <t>Overall Value Score</t>
  </si>
  <si>
    <t>Value Percentile</t>
  </si>
  <si>
    <t>Other data</t>
  </si>
  <si>
    <t>CC_EUZ</t>
  </si>
  <si>
    <t>Europe ETF</t>
  </si>
  <si>
    <t>EM ETF</t>
  </si>
  <si>
    <t>CODE</t>
  </si>
  <si>
    <t>INFLATION RATE</t>
  </si>
  <si>
    <t>Long term Forcasts</t>
  </si>
  <si>
    <t>Developed</t>
  </si>
  <si>
    <t xml:space="preserve">VWO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</si>
</sst>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_(&quot;$&quot;* #,##0.00_);_(&quot;$&quot;* \(#,##0.00\);_(&quot;$&quot;* &quot;-&quot;??_);_(@_)"/>
    <numFmt numFmtId="171" formatCode="0.00000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1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67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6" xfId="0" applyNumberFormat="1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164" fontId="0" fillId="0" borderId="0" xfId="1" applyFont="1"/>
    <xf numFmtId="2" fontId="0" fillId="2" borderId="0" xfId="0" applyNumberFormat="1" applyFill="1"/>
    <xf numFmtId="169" fontId="3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wrapText="1"/>
    </xf>
    <xf numFmtId="10" fontId="0" fillId="0" borderId="0" xfId="0" applyNumberFormat="1"/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0" fontId="0" fillId="0" borderId="0" xfId="2" applyNumberFormat="1" applyFont="1"/>
    <xf numFmtId="0" fontId="7" fillId="10" borderId="12" xfId="19"/>
    <xf numFmtId="164" fontId="3" fillId="0" borderId="0" xfId="1" applyFont="1" applyFill="1" applyBorder="1" applyAlignment="1"/>
    <xf numFmtId="170" fontId="0" fillId="0" borderId="0" xfId="0" applyNumberFormat="1"/>
    <xf numFmtId="2" fontId="0" fillId="0" borderId="0" xfId="1" applyNumberFormat="1" applyFont="1" applyFill="1"/>
    <xf numFmtId="167" fontId="0" fillId="0" borderId="6" xfId="0" applyNumberFormat="1" applyBorder="1"/>
    <xf numFmtId="0" fontId="25" fillId="0" borderId="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167" fontId="1" fillId="0" borderId="0" xfId="0" applyNumberFormat="1" applyFont="1"/>
    <xf numFmtId="0" fontId="0" fillId="0" borderId="12" xfId="0" applyBorder="1"/>
    <xf numFmtId="0" fontId="0" fillId="2" borderId="11" xfId="0" applyFill="1" applyBorder="1"/>
    <xf numFmtId="0" fontId="0" fillId="2" borderId="7" xfId="0" applyFill="1" applyBorder="1"/>
    <xf numFmtId="0" fontId="0" fillId="27" borderId="0" xfId="0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 applyAlignment="1">
      <alignment wrapText="1"/>
    </xf>
    <xf numFmtId="0" fontId="1" fillId="2" borderId="4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5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71" fontId="0" fillId="0" borderId="0" xfId="0" applyNumberFormat="1"/>
    <xf numFmtId="168" fontId="0" fillId="0" borderId="0" xfId="2" applyNumberFormat="1" applyFont="1"/>
    <xf numFmtId="0" fontId="26" fillId="0" borderId="0" xfId="0" applyFont="1" applyAlignment="1">
      <alignment wrapText="1"/>
    </xf>
    <xf numFmtId="167" fontId="0" fillId="0" borderId="4" xfId="0" applyNumberFormat="1" applyBorder="1"/>
  </cellXfs>
  <cellStyles count="51">
    <cellStyle name="20% - Accent1 2" xfId="23" xr:uid="{6BF567C9-3E19-4630-AF0A-0733C7BFCE04}"/>
    <cellStyle name="20% - Accent2 2" xfId="27" xr:uid="{5F0600A4-5BB4-497F-9807-6F9D2A2A3D3D}"/>
    <cellStyle name="20% - Accent3 2" xfId="31" xr:uid="{DBF42285-B623-4F8B-BA82-E5910643416B}"/>
    <cellStyle name="20% - Accent4 2" xfId="35" xr:uid="{4DCDC153-26D1-4002-8E2D-81916D625F7E}"/>
    <cellStyle name="20% - Accent5 2" xfId="39" xr:uid="{8DAB878B-1406-49CB-A825-4A720222E27A}"/>
    <cellStyle name="20% - Accent6 2" xfId="43" xr:uid="{D7129595-6E29-4C9E-8A40-CB20ED27F2A1}"/>
    <cellStyle name="40% - Accent1 2" xfId="24" xr:uid="{EE5EFDA3-DAFB-44BD-9F41-B55E770AE017}"/>
    <cellStyle name="40% - Accent2 2" xfId="28" xr:uid="{E60B08D7-FCFC-4B75-949E-53F991A87A95}"/>
    <cellStyle name="40% - Accent3 2" xfId="32" xr:uid="{B55CEAC8-3FFC-42A0-9906-73D0C544EB86}"/>
    <cellStyle name="40% - Accent4 2" xfId="36" xr:uid="{59C4DF45-BCD5-46B6-8F9E-6EDD2098F372}"/>
    <cellStyle name="40% - Accent5 2" xfId="40" xr:uid="{B4421AFC-A7D7-4211-8102-F52CAE046248}"/>
    <cellStyle name="40% - Accent6 2" xfId="44" xr:uid="{4375B196-4796-4AEE-B670-08CF84FDA4DE}"/>
    <cellStyle name="60% - Accent1 2" xfId="25" xr:uid="{5AA6FCB0-CD17-4C34-8429-EDB769B7872A}"/>
    <cellStyle name="60% - Accent2 2" xfId="29" xr:uid="{725B5829-70DC-47F8-94AF-24E67FFE08A6}"/>
    <cellStyle name="60% - Accent3 2" xfId="33" xr:uid="{78968431-9ED7-4764-B0A6-174D90961FDE}"/>
    <cellStyle name="60% - Accent4 2" xfId="37" xr:uid="{2CDE5411-0817-42C7-9BE8-A3F5850D4E7C}"/>
    <cellStyle name="60% - Accent5 2" xfId="41" xr:uid="{AA76549F-F357-40F6-A8A0-F4D9C90E33C5}"/>
    <cellStyle name="60% - Accent6 2" xfId="45" xr:uid="{B834F776-29E6-442B-B2A4-13E499B88243}"/>
    <cellStyle name="Accent1 2" xfId="22" xr:uid="{E31E200E-E4F1-40BC-A964-614943D67F5F}"/>
    <cellStyle name="Accent2 2" xfId="26" xr:uid="{14CB3ABC-1D87-42A7-8EC9-22951DAB35B7}"/>
    <cellStyle name="Accent3 2" xfId="30" xr:uid="{FC8DFCD8-A5C1-453C-A832-7C7EEC8D3A45}"/>
    <cellStyle name="Accent4 2" xfId="34" xr:uid="{C984AEFA-60ED-4827-A0A8-CF53BC33DB1C}"/>
    <cellStyle name="Accent5 2" xfId="38" xr:uid="{C4C081E2-30E4-4FE8-9241-47C9A7D4F425}"/>
    <cellStyle name="Accent6 2" xfId="42" xr:uid="{ACBE0022-0325-4427-B342-7D198FC24C57}"/>
    <cellStyle name="Bad 2" xfId="11" xr:uid="{34FA6DDA-7C4A-4AAF-B54F-AC61B9198874}"/>
    <cellStyle name="Calculation 2" xfId="15" xr:uid="{4C103943-B964-476F-8DED-2CBBE8FF5AB3}"/>
    <cellStyle name="Check Cell 2" xfId="17" xr:uid="{A5B4E367-727F-4FF5-97CD-0B2AC393E0AC}"/>
    <cellStyle name="Comma" xfId="1" builtinId="3"/>
    <cellStyle name="Explanatory Text 2" xfId="20" xr:uid="{CA4E047B-78A0-4149-B455-DA7DEC1140AC}"/>
    <cellStyle name="Good 2" xfId="10" xr:uid="{ACD8C754-FD4D-4B70-9E33-7A7C7FD8649E}"/>
    <cellStyle name="Heading 1 2" xfId="6" xr:uid="{173B1166-3921-420C-8765-28E946828845}"/>
    <cellStyle name="Heading 2 2" xfId="7" xr:uid="{E323F497-5728-45A9-A83B-E5FFBE5F3B8D}"/>
    <cellStyle name="Heading 3 2" xfId="8" xr:uid="{842A6238-2186-496C-BA5F-D924F4DD879D}"/>
    <cellStyle name="Heading 4 2" xfId="9" xr:uid="{0E8A40DF-39D7-4BCE-B781-19E0C27BDDB5}"/>
    <cellStyle name="Hyperlink 2" xfId="49" xr:uid="{585E602A-854D-40CA-B45C-D7EC796A3C12}"/>
    <cellStyle name="Input 2" xfId="13" xr:uid="{9FB5D653-92B2-447E-A9C5-44E81D71809B}"/>
    <cellStyle name="Linked Cell 2" xfId="16" xr:uid="{4DC9DA3A-47A9-4697-9B4B-E2759465A1FF}"/>
    <cellStyle name="Neutral 2" xfId="12" xr:uid="{86A8DAC4-4E23-4DC3-8FAD-3DAEBC1B653E}"/>
    <cellStyle name="Normal" xfId="0" builtinId="0"/>
    <cellStyle name="Normal 2" xfId="4" xr:uid="{1B6474D5-B1FB-4CF3-894C-9CA566BA18CC}"/>
    <cellStyle name="Normal 2 2" xfId="46" xr:uid="{2D7C4D45-C813-4CC8-9258-BED30AB3C215}"/>
    <cellStyle name="Normal 2 2 2" xfId="47" xr:uid="{2C1E2A28-1B42-41ED-B6CB-85F988B9763D}"/>
    <cellStyle name="Normal 3" xfId="48" xr:uid="{D60CEBFB-F3B0-497F-A27B-E0BA49DFEF7C}"/>
    <cellStyle name="Normal 4" xfId="3" xr:uid="{958436DA-23C3-4F88-95CD-360D4C51F944}"/>
    <cellStyle name="Normal 5" xfId="50" xr:uid="{7B936215-C9A4-44ED-9EFF-D9C25E5F21B0}"/>
    <cellStyle name="Note 2" xfId="19" xr:uid="{DA5BF5B2-5940-424E-85C9-00F9C2454F44}"/>
    <cellStyle name="Output 2" xfId="14" xr:uid="{482649A2-BB86-4C01-9ED9-51DFAD926240}"/>
    <cellStyle name="Percent" xfId="2" builtinId="5"/>
    <cellStyle name="Title 2" xfId="5" xr:uid="{FB6D4149-6ABD-4DB4-95B3-0D1495DBAFEF}"/>
    <cellStyle name="Total 2" xfId="21" xr:uid="{AA230248-B9E2-4D03-991C-F308A812F75F}"/>
    <cellStyle name="Warning Text 2" xfId="18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85f778331df612a/Desktop/factset/20230818%20ETF%20model%20developed.xlsx" TargetMode="External"/><Relationship Id="rId1" Type="http://schemas.openxmlformats.org/officeDocument/2006/relationships/externalLinkPath" Target="https://d.docs.live.net/685f778331df612a/Desktop/factset/20230818%20ETF%20model%20develop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Assumption"/>
      <sheetName val="Aset class Rankings"/>
      <sheetName val="Asset class"/>
      <sheetName val="OUTPUT_COUNTRY"/>
      <sheetName val="PORTFOLIO"/>
      <sheetName val="OUTPUT_PPT"/>
      <sheetName val="mnemonics"/>
      <sheetName val="Value -2 "/>
      <sheetName val="Sheet1"/>
      <sheetName val="LIQIDITY 2"/>
      <sheetName val="Quality - 2"/>
      <sheetName val="Momnetum ranking"/>
      <sheetName val="Risk"/>
      <sheetName val="Timing"/>
      <sheetName val="Leading Indicator"/>
      <sheetName val="t -PE"/>
      <sheetName val="Forwa Pe"/>
      <sheetName val="DY "/>
      <sheetName val="Monthly Returns"/>
      <sheetName val="Yearly returns"/>
      <sheetName val="Index earnings"/>
      <sheetName val="GDP_GROWTH"/>
      <sheetName val="Currency- 2"/>
      <sheetName val="Chart1"/>
      <sheetName val="CAD"/>
      <sheetName val="Country Int rates "/>
      <sheetName val="Index ROE"/>
      <sheetName val="Economic Momentum"/>
      <sheetName val="Market Capitalisation"/>
    </sheetNames>
    <sheetDataSet>
      <sheetData sheetId="0"/>
      <sheetData sheetId="1">
        <row r="39">
          <cell r="E39">
            <v>0.05</v>
          </cell>
          <cell r="F39">
            <v>0.25</v>
          </cell>
          <cell r="G39">
            <v>0.25</v>
          </cell>
          <cell r="H39">
            <v>0.25</v>
          </cell>
          <cell r="I39">
            <v>0.1</v>
          </cell>
          <cell r="J39">
            <v>0</v>
          </cell>
          <cell r="K39">
            <v>0.1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ENZL</v>
          </cell>
          <cell r="B3" t="str">
            <v>NZ</v>
          </cell>
          <cell r="C3" t="str">
            <v>TRYNZ10Y-FDS</v>
          </cell>
          <cell r="D3" t="str">
            <v>New Zealand Benchmark Bond - 10 Year</v>
          </cell>
          <cell r="E3">
            <v>4.6825999999999999</v>
          </cell>
        </row>
        <row r="4">
          <cell r="A4" t="str">
            <v>EWA</v>
          </cell>
          <cell r="B4" t="str">
            <v>AU</v>
          </cell>
          <cell r="C4" t="str">
            <v>TRYAU10Y-FDS</v>
          </cell>
          <cell r="D4" t="str">
            <v>Australia Benchmark Bond - 10 Year</v>
          </cell>
          <cell r="E4">
            <v>4.2389999999999999</v>
          </cell>
        </row>
        <row r="5">
          <cell r="A5" t="str">
            <v>EWC</v>
          </cell>
          <cell r="B5" t="str">
            <v>CA</v>
          </cell>
          <cell r="C5" t="str">
            <v>TRYCA10Y-FDS</v>
          </cell>
          <cell r="D5" t="str">
            <v>Canada Benchmark Bond - 10 Year</v>
          </cell>
          <cell r="E5">
            <v>3.5358000000000001</v>
          </cell>
        </row>
        <row r="6">
          <cell r="A6" t="str">
            <v>EWG</v>
          </cell>
          <cell r="B6" t="str">
            <v>DE</v>
          </cell>
          <cell r="C6" t="str">
            <v>TRYDE10Y-FDS</v>
          </cell>
          <cell r="D6" t="str">
            <v>Germany Benchmark Bond - 10 Year</v>
          </cell>
          <cell r="E6">
            <v>2.3090000000000002</v>
          </cell>
        </row>
        <row r="7">
          <cell r="A7" t="str">
            <v>EWJ</v>
          </cell>
          <cell r="B7" t="str">
            <v>JP</v>
          </cell>
          <cell r="C7" t="str">
            <v>TRYJP10Y-FDS</v>
          </cell>
          <cell r="D7" t="str">
            <v>Japan Benchmark Bond - 10 Year</v>
          </cell>
          <cell r="E7">
            <v>0.71050000000000002</v>
          </cell>
        </row>
        <row r="8">
          <cell r="A8" t="str">
            <v>EWL</v>
          </cell>
          <cell r="B8" t="str">
            <v>CH</v>
          </cell>
          <cell r="C8" t="str">
            <v>TRYCH10Y-FDS</v>
          </cell>
          <cell r="D8" t="str">
            <v>Treasury - Switzerland Benchmark Bond 10Y</v>
          </cell>
          <cell r="E8">
            <v>0.89900000000000002</v>
          </cell>
        </row>
        <row r="9">
          <cell r="A9" t="str">
            <v>EWU</v>
          </cell>
          <cell r="B9" t="str">
            <v>GB</v>
          </cell>
          <cell r="C9" t="str">
            <v>TRYGB10Y-FDS</v>
          </cell>
          <cell r="D9" t="str">
            <v>United Kingdom Benchmark Bond - 10 Year</v>
          </cell>
          <cell r="E9">
            <v>3.988</v>
          </cell>
        </row>
        <row r="10">
          <cell r="A10" t="str">
            <v>QQQ</v>
          </cell>
          <cell r="B10" t="str">
            <v>US</v>
          </cell>
          <cell r="C10" t="str">
            <v>TRYUS10Y-FDS</v>
          </cell>
          <cell r="D10" t="str">
            <v>US Benchmark Bond - 10 Year</v>
          </cell>
          <cell r="E10">
            <v>4.1470000000000002</v>
          </cell>
        </row>
        <row r="11">
          <cell r="A11" t="str">
            <v>SPY</v>
          </cell>
          <cell r="B11" t="str">
            <v>US</v>
          </cell>
          <cell r="C11" t="str">
            <v>TRYUS10Y-FDS</v>
          </cell>
          <cell r="D11" t="str">
            <v>US Benchmark Bond - 10 Year</v>
          </cell>
          <cell r="E11">
            <v>4.1470000000000002</v>
          </cell>
        </row>
        <row r="12">
          <cell r="A12" t="str">
            <v>EWQ</v>
          </cell>
          <cell r="B12" t="str">
            <v>FR</v>
          </cell>
          <cell r="C12" t="str">
            <v>TRYFR10Y-FDS</v>
          </cell>
          <cell r="D12" t="str">
            <v>France Benchmark Bond - 10 Year</v>
          </cell>
          <cell r="E12">
            <v>2.7959999999999998</v>
          </cell>
        </row>
        <row r="13">
          <cell r="A13" t="str">
            <v>EWN</v>
          </cell>
          <cell r="B13" t="str">
            <v>NL</v>
          </cell>
          <cell r="C13" t="str">
            <v>TRYNL10Y-FDS</v>
          </cell>
          <cell r="D13" t="str">
            <v>Netherlands Benchmark Bond - 10 Year</v>
          </cell>
          <cell r="E13">
            <v>2.5830000000000002</v>
          </cell>
        </row>
        <row r="14">
          <cell r="A14" t="str">
            <v>EWD</v>
          </cell>
          <cell r="B14" t="str">
            <v>SE</v>
          </cell>
          <cell r="C14" t="str">
            <v>TRYSE10Y-FDS</v>
          </cell>
          <cell r="D14" t="str">
            <v>Sweden Benchmark Bond - 10 Year</v>
          </cell>
          <cell r="E14">
            <v>2.3029999999999999</v>
          </cell>
        </row>
        <row r="15">
          <cell r="A15" t="str">
            <v>EWI</v>
          </cell>
          <cell r="B15" t="str">
            <v>IT</v>
          </cell>
          <cell r="C15" t="str">
            <v>TRYIT10Y-FDS</v>
          </cell>
          <cell r="D15" t="str">
            <v>Italy Benchmark Bond - 10 Year</v>
          </cell>
          <cell r="E15">
            <v>3.8340000000000001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0">
          <cell r="B10" t="str">
            <v>Afghanistan</v>
          </cell>
          <cell r="C10">
            <v>-6.330015897488761</v>
          </cell>
          <cell r="D10">
            <v>-1.9803203632740796</v>
          </cell>
          <cell r="E10">
            <v>1.4438839505667156</v>
          </cell>
          <cell r="G10" t="str">
            <v>E</v>
          </cell>
          <cell r="H10">
            <v>34.781666666666666</v>
          </cell>
          <cell r="I10">
            <v>154</v>
          </cell>
          <cell r="J10">
            <v>32</v>
          </cell>
          <cell r="L10">
            <v>19.865459911417584</v>
          </cell>
          <cell r="M10">
            <v>9.8957883924851959</v>
          </cell>
          <cell r="N10">
            <v>6.5854081038949879</v>
          </cell>
          <cell r="O10">
            <v>0.98799999999999999</v>
          </cell>
          <cell r="P10">
            <v>2.1640000000000001</v>
          </cell>
          <cell r="Q10">
            <v>2.6469999999999998</v>
          </cell>
          <cell r="R10">
            <v>1.1890000000000001</v>
          </cell>
          <cell r="S10">
            <v>3.9119999999999999</v>
          </cell>
          <cell r="T10">
            <v>-2.351</v>
          </cell>
          <cell r="U10">
            <v>-2.4</v>
          </cell>
          <cell r="V10">
            <v>-5</v>
          </cell>
          <cell r="W10">
            <v>-0.26821820635368199</v>
          </cell>
        </row>
        <row r="11">
          <cell r="B11" t="str">
            <v>Albania</v>
          </cell>
          <cell r="C11">
            <v>2.8369230771995602</v>
          </cell>
          <cell r="D11">
            <v>2.527708680261509</v>
          </cell>
          <cell r="E11">
            <v>2.499335307066497</v>
          </cell>
          <cell r="G11" t="str">
            <v>C</v>
          </cell>
          <cell r="H11">
            <v>71.94876523650197</v>
          </cell>
          <cell r="I11">
            <v>80</v>
          </cell>
          <cell r="J11">
            <v>40</v>
          </cell>
          <cell r="L11">
            <v>1.4329514555018943</v>
          </cell>
          <cell r="M11">
            <v>1.0096624423848639</v>
          </cell>
          <cell r="N11">
            <v>1.7987489151280414</v>
          </cell>
          <cell r="O11">
            <v>2.2189999999999999</v>
          </cell>
          <cell r="P11">
            <v>3.3149999999999999</v>
          </cell>
          <cell r="Q11">
            <v>3.802</v>
          </cell>
          <cell r="R11">
            <v>4.0190000000000001</v>
          </cell>
          <cell r="S11">
            <v>2.0880000000000001</v>
          </cell>
          <cell r="T11">
            <v>-3.4820000000000002</v>
          </cell>
          <cell r="U11">
            <v>8.516</v>
          </cell>
          <cell r="V11">
            <v>3.74</v>
          </cell>
          <cell r="W11">
            <v>2.513521993664003</v>
          </cell>
        </row>
        <row r="12">
          <cell r="B12" t="str">
            <v>Algeria</v>
          </cell>
          <cell r="C12">
            <v>0.36545353196819619</v>
          </cell>
          <cell r="D12">
            <v>0.98216884294510809</v>
          </cell>
          <cell r="E12">
            <v>1.9643097765769557</v>
          </cell>
          <cell r="G12" t="str">
            <v>B</v>
          </cell>
          <cell r="H12">
            <v>77.429986450518911</v>
          </cell>
          <cell r="I12">
            <v>59</v>
          </cell>
          <cell r="J12">
            <v>2</v>
          </cell>
          <cell r="L12">
            <v>3.3999999982054412</v>
          </cell>
          <cell r="M12">
            <v>2.8000000002529002</v>
          </cell>
          <cell r="N12">
            <v>3.8000000007790273</v>
          </cell>
          <cell r="O12">
            <v>3.7</v>
          </cell>
          <cell r="P12">
            <v>3.2</v>
          </cell>
          <cell r="Q12">
            <v>1.4</v>
          </cell>
          <cell r="R12">
            <v>1.2</v>
          </cell>
          <cell r="S12">
            <v>1</v>
          </cell>
          <cell r="T12">
            <v>-5.0999999999999996</v>
          </cell>
          <cell r="U12">
            <v>3.4</v>
          </cell>
          <cell r="V12">
            <v>2.931</v>
          </cell>
          <cell r="W12">
            <v>1.4732393097610319</v>
          </cell>
        </row>
        <row r="13">
          <cell r="B13" t="str">
            <v>Angola</v>
          </cell>
          <cell r="C13">
            <v>-0.62057485054567429</v>
          </cell>
          <cell r="D13">
            <v>-0.7759815069387388</v>
          </cell>
          <cell r="E13">
            <v>0.38358743648301274</v>
          </cell>
          <cell r="G13" t="str">
            <v>E</v>
          </cell>
          <cell r="H13">
            <v>43.142397643089645</v>
          </cell>
          <cell r="I13">
            <v>147</v>
          </cell>
          <cell r="J13">
            <v>42</v>
          </cell>
          <cell r="L13">
            <v>8.5421473366219605</v>
          </cell>
          <cell r="M13">
            <v>4.9545904703972692</v>
          </cell>
          <cell r="N13">
            <v>4.8226255512268246</v>
          </cell>
          <cell r="O13">
            <v>0.94399999999999995</v>
          </cell>
          <cell r="P13">
            <v>-2.58</v>
          </cell>
          <cell r="Q13">
            <v>-0.15</v>
          </cell>
          <cell r="R13">
            <v>-1.3160000000000001</v>
          </cell>
          <cell r="S13">
            <v>-0.70199999999999996</v>
          </cell>
          <cell r="T13">
            <v>-5.6379999999999999</v>
          </cell>
          <cell r="U13">
            <v>1.0920000000000001</v>
          </cell>
          <cell r="V13">
            <v>2.8410000000000002</v>
          </cell>
          <cell r="W13">
            <v>-0.19619703522786303</v>
          </cell>
        </row>
        <row r="14">
          <cell r="B14" t="str">
            <v>Argentina</v>
          </cell>
          <cell r="C14">
            <v>1.5213184649000233</v>
          </cell>
          <cell r="D14">
            <v>2.4231703477095579E-4</v>
          </cell>
          <cell r="E14">
            <v>0.30638889849419204</v>
          </cell>
          <cell r="G14" t="str">
            <v>D</v>
          </cell>
          <cell r="H14">
            <v>63.902477118742887</v>
          </cell>
          <cell r="I14">
            <v>116</v>
          </cell>
          <cell r="J14">
            <v>16</v>
          </cell>
          <cell r="L14">
            <v>-1.0264204544320839</v>
          </cell>
          <cell r="M14">
            <v>2.4053237807943506</v>
          </cell>
          <cell r="N14">
            <v>-2.5126153208139428</v>
          </cell>
          <cell r="O14">
            <v>2.7309999999999999</v>
          </cell>
          <cell r="P14">
            <v>-2.08</v>
          </cell>
          <cell r="Q14">
            <v>2.819</v>
          </cell>
          <cell r="R14">
            <v>-2.617</v>
          </cell>
          <cell r="S14">
            <v>-2.0009999999999999</v>
          </cell>
          <cell r="T14">
            <v>-9.9429999999999996</v>
          </cell>
          <cell r="U14">
            <v>10.398</v>
          </cell>
          <cell r="V14">
            <v>5.2430000000000003</v>
          </cell>
          <cell r="W14">
            <v>0.1533156077644815</v>
          </cell>
        </row>
        <row r="15">
          <cell r="B15" t="str">
            <v>Armenia</v>
          </cell>
          <cell r="C15">
            <v>3.3694630969417716</v>
          </cell>
          <cell r="D15">
            <v>4.5685193344935815</v>
          </cell>
          <cell r="E15">
            <v>4.0499977792169295</v>
          </cell>
          <cell r="G15" t="str">
            <v>B</v>
          </cell>
          <cell r="H15">
            <v>81.866330149150926</v>
          </cell>
          <cell r="I15">
            <v>42</v>
          </cell>
          <cell r="J15">
            <v>28</v>
          </cell>
          <cell r="L15">
            <v>7.200000000964871</v>
          </cell>
          <cell r="M15">
            <v>3.2999999999999674</v>
          </cell>
          <cell r="N15">
            <v>3.6000000005899464</v>
          </cell>
          <cell r="O15">
            <v>3.254</v>
          </cell>
          <cell r="P15">
            <v>0.19500000000000001</v>
          </cell>
          <cell r="Q15">
            <v>7.5179999999999998</v>
          </cell>
          <cell r="R15">
            <v>5.2249999999999996</v>
          </cell>
          <cell r="S15">
            <v>7.6310000000000002</v>
          </cell>
          <cell r="T15">
            <v>-7.1509999999999998</v>
          </cell>
          <cell r="U15">
            <v>5.6840000000000002</v>
          </cell>
          <cell r="V15">
            <v>12.603999999999999</v>
          </cell>
          <cell r="W15">
            <v>4.3092585568552551</v>
          </cell>
        </row>
        <row r="16">
          <cell r="B16" t="str">
            <v>Australia</v>
          </cell>
          <cell r="C16">
            <v>1.9372779726990919</v>
          </cell>
          <cell r="D16">
            <v>1.9542949107595797</v>
          </cell>
          <cell r="E16">
            <v>2.221593328352145</v>
          </cell>
          <cell r="G16" t="str">
            <v>A</v>
          </cell>
          <cell r="H16">
            <v>96.36744549025839</v>
          </cell>
          <cell r="I16">
            <v>11</v>
          </cell>
          <cell r="J16">
            <v>3</v>
          </cell>
          <cell r="L16">
            <v>3.9181617722068416</v>
          </cell>
          <cell r="M16">
            <v>2.5848751108311681</v>
          </cell>
          <cell r="N16">
            <v>2.5331154467594699</v>
          </cell>
          <cell r="O16">
            <v>2.2829999999999999</v>
          </cell>
          <cell r="P16">
            <v>2.6909999999999998</v>
          </cell>
          <cell r="Q16">
            <v>2.383</v>
          </cell>
          <cell r="R16">
            <v>2.8149999999999999</v>
          </cell>
          <cell r="S16">
            <v>1.9430000000000001</v>
          </cell>
          <cell r="T16">
            <v>-1.8140000000000001</v>
          </cell>
          <cell r="U16">
            <v>5.1959999999999997</v>
          </cell>
          <cell r="V16">
            <v>3.661</v>
          </cell>
          <cell r="W16">
            <v>2.0879441195558623</v>
          </cell>
        </row>
        <row r="17">
          <cell r="B17" t="str">
            <v>Austria</v>
          </cell>
          <cell r="C17">
            <v>0.89080434606740866</v>
          </cell>
          <cell r="D17">
            <v>1.1485693717847134</v>
          </cell>
          <cell r="E17">
            <v>1.1982825816158282</v>
          </cell>
          <cell r="G17" t="str">
            <v>A</v>
          </cell>
          <cell r="H17">
            <v>95.913594407477049</v>
          </cell>
          <cell r="I17">
            <v>15</v>
          </cell>
          <cell r="J17">
            <v>10</v>
          </cell>
          <cell r="L17">
            <v>0.68044557681670037</v>
          </cell>
          <cell r="M17">
            <v>2.5504712197222973E-2</v>
          </cell>
          <cell r="N17">
            <v>0.66127284885259119</v>
          </cell>
          <cell r="O17">
            <v>1.0149999999999999</v>
          </cell>
          <cell r="P17">
            <v>1.9890000000000001</v>
          </cell>
          <cell r="Q17">
            <v>2.2589999999999999</v>
          </cell>
          <cell r="R17">
            <v>2.4249999999999998</v>
          </cell>
          <cell r="S17">
            <v>1.5169999999999999</v>
          </cell>
          <cell r="T17">
            <v>-6.4539999999999997</v>
          </cell>
          <cell r="U17">
            <v>4.5570000000000004</v>
          </cell>
          <cell r="V17">
            <v>4.9969999999999999</v>
          </cell>
          <cell r="W17">
            <v>1.1734259767002708</v>
          </cell>
        </row>
        <row r="18">
          <cell r="B18" t="str">
            <v>Azerbaijan</v>
          </cell>
          <cell r="C18">
            <v>1.8824891899037688</v>
          </cell>
          <cell r="D18">
            <v>1.9289874111129146</v>
          </cell>
          <cell r="E18">
            <v>1.6182050869221642</v>
          </cell>
          <cell r="G18" t="str">
            <v>D</v>
          </cell>
          <cell r="H18">
            <v>66.732349416312132</v>
          </cell>
          <cell r="I18">
            <v>106</v>
          </cell>
          <cell r="J18">
            <v>20</v>
          </cell>
          <cell r="L18">
            <v>2.1652394301296014</v>
          </cell>
          <cell r="M18">
            <v>5.8098009451315624</v>
          </cell>
          <cell r="N18">
            <v>2.7505070296654104</v>
          </cell>
          <cell r="O18">
            <v>1.05</v>
          </cell>
          <cell r="P18">
            <v>-3.0640000000000001</v>
          </cell>
          <cell r="Q18">
            <v>0.154</v>
          </cell>
          <cell r="R18">
            <v>1.5</v>
          </cell>
          <cell r="S18">
            <v>2.48</v>
          </cell>
          <cell r="T18">
            <v>-4.1989999999999998</v>
          </cell>
          <cell r="U18">
            <v>5.6</v>
          </cell>
          <cell r="V18">
            <v>4.6459999999999999</v>
          </cell>
          <cell r="W18">
            <v>1.7735962490175394</v>
          </cell>
        </row>
        <row r="19">
          <cell r="B19" t="str">
            <v>Bahamas, The</v>
          </cell>
          <cell r="C19">
            <v>-1.3025041762945944</v>
          </cell>
          <cell r="D19">
            <v>-5.1450420089638182E-2</v>
          </cell>
          <cell r="E19">
            <v>0.16369977541730307</v>
          </cell>
          <cell r="G19" t="str">
            <v>B</v>
          </cell>
          <cell r="H19">
            <v>79.378460082017611</v>
          </cell>
          <cell r="I19">
            <v>54</v>
          </cell>
          <cell r="J19">
            <v>8</v>
          </cell>
          <cell r="L19">
            <v>3.0868791768834938</v>
          </cell>
          <cell r="M19">
            <v>-3.5838746627962172</v>
          </cell>
          <cell r="N19">
            <v>2.2881473175630553</v>
          </cell>
          <cell r="O19">
            <v>0.997</v>
          </cell>
          <cell r="P19">
            <v>-0.85799999999999998</v>
          </cell>
          <cell r="Q19">
            <v>3.05</v>
          </cell>
          <cell r="R19">
            <v>1.831</v>
          </cell>
          <cell r="S19">
            <v>1.8959999999999999</v>
          </cell>
          <cell r="T19">
            <v>-23.823</v>
          </cell>
          <cell r="U19">
            <v>13.72</v>
          </cell>
          <cell r="V19">
            <v>10.983000000000001</v>
          </cell>
          <cell r="W19">
            <v>5.6124677663832445E-2</v>
          </cell>
        </row>
        <row r="20">
          <cell r="B20" t="str">
            <v>Bahrain</v>
          </cell>
          <cell r="C20">
            <v>0.41671802598486352</v>
          </cell>
          <cell r="D20">
            <v>1.1307360567982316</v>
          </cell>
          <cell r="E20">
            <v>2.5452347834856504</v>
          </cell>
          <cell r="G20" t="str">
            <v>B</v>
          </cell>
          <cell r="H20">
            <v>77.128033983685327</v>
          </cell>
          <cell r="I20">
            <v>60</v>
          </cell>
          <cell r="J20">
            <v>7</v>
          </cell>
          <cell r="L20">
            <v>3.7281084304601642</v>
          </cell>
          <cell r="M20">
            <v>5.41683981012069</v>
          </cell>
          <cell r="N20">
            <v>4.3503908525296939</v>
          </cell>
          <cell r="O20">
            <v>2.4849999999999999</v>
          </cell>
          <cell r="P20">
            <v>3.5579999999999998</v>
          </cell>
          <cell r="Q20">
            <v>4.2919999999999998</v>
          </cell>
          <cell r="R20">
            <v>2.11</v>
          </cell>
          <cell r="S20">
            <v>2.1669999999999998</v>
          </cell>
          <cell r="T20">
            <v>-4.6449999999999996</v>
          </cell>
          <cell r="U20">
            <v>2.67</v>
          </cell>
          <cell r="V20">
            <v>4.194</v>
          </cell>
          <cell r="W20">
            <v>1.837985420141941</v>
          </cell>
        </row>
        <row r="21">
          <cell r="B21" t="str">
            <v>Bangladesh</v>
          </cell>
          <cell r="C21">
            <v>8.4780836054535911</v>
          </cell>
          <cell r="D21">
            <v>9.4495577005361255</v>
          </cell>
          <cell r="E21">
            <v>9.0902336923363691</v>
          </cell>
          <cell r="G21" t="str">
            <v>D</v>
          </cell>
          <cell r="H21">
            <v>59.78425810407569</v>
          </cell>
          <cell r="I21">
            <v>125</v>
          </cell>
          <cell r="J21">
            <v>25</v>
          </cell>
          <cell r="L21">
            <v>15.458182784890836</v>
          </cell>
          <cell r="M21">
            <v>8.997951209804727</v>
          </cell>
          <cell r="N21">
            <v>9.1371359215878698</v>
          </cell>
          <cell r="O21">
            <v>6.5529999999999999</v>
          </cell>
          <cell r="P21">
            <v>7.1139999999999999</v>
          </cell>
          <cell r="Q21">
            <v>6.59</v>
          </cell>
          <cell r="R21">
            <v>7.319</v>
          </cell>
          <cell r="S21">
            <v>7.8819999999999997</v>
          </cell>
          <cell r="T21">
            <v>3.448</v>
          </cell>
          <cell r="U21">
            <v>6.9390000000000001</v>
          </cell>
          <cell r="V21">
            <v>7.1</v>
          </cell>
          <cell r="W21">
            <v>9.2698956964362473</v>
          </cell>
        </row>
        <row r="22">
          <cell r="B22" t="str">
            <v>Belarus</v>
          </cell>
          <cell r="C22">
            <v>-1.0891270418666776</v>
          </cell>
          <cell r="D22">
            <v>0.24141365794498881</v>
          </cell>
          <cell r="E22">
            <v>-4.7343951578571186E-3</v>
          </cell>
          <cell r="G22" t="str">
            <v>B</v>
          </cell>
          <cell r="H22">
            <v>78.939379492547943</v>
          </cell>
          <cell r="I22">
            <v>55</v>
          </cell>
          <cell r="J22">
            <v>34</v>
          </cell>
          <cell r="L22">
            <v>1.6871355364283958</v>
          </cell>
          <cell r="M22">
            <v>1.0034708408564619</v>
          </cell>
          <cell r="N22">
            <v>1.7263848541700804</v>
          </cell>
          <cell r="O22">
            <v>-3.83</v>
          </cell>
          <cell r="P22">
            <v>-2.536</v>
          </cell>
          <cell r="Q22">
            <v>2.5409999999999999</v>
          </cell>
          <cell r="R22">
            <v>3.1379999999999999</v>
          </cell>
          <cell r="S22">
            <v>1.446</v>
          </cell>
          <cell r="T22">
            <v>-0.67300000000000004</v>
          </cell>
          <cell r="U22">
            <v>2.2730000000000001</v>
          </cell>
          <cell r="V22">
            <v>-4.7409999999999997</v>
          </cell>
          <cell r="W22">
            <v>0.11833963139356585</v>
          </cell>
        </row>
        <row r="23">
          <cell r="B23" t="str">
            <v>Belgium</v>
          </cell>
          <cell r="C23">
            <v>1.1690569098094628</v>
          </cell>
          <cell r="D23">
            <v>1.3937649310878042</v>
          </cell>
          <cell r="E23">
            <v>1.4413818728578276</v>
          </cell>
          <cell r="G23" t="str">
            <v>A</v>
          </cell>
          <cell r="H23">
            <v>93.483251457156101</v>
          </cell>
          <cell r="I23">
            <v>21</v>
          </cell>
          <cell r="J23">
            <v>14</v>
          </cell>
          <cell r="L23">
            <v>0.73922990508162567</v>
          </cell>
          <cell r="M23">
            <v>0.45922805011605522</v>
          </cell>
          <cell r="N23">
            <v>1.578523229524472</v>
          </cell>
          <cell r="O23">
            <v>2.0409999999999999</v>
          </cell>
          <cell r="P23">
            <v>1.2669999999999999</v>
          </cell>
          <cell r="Q23">
            <v>1.62</v>
          </cell>
          <cell r="R23">
            <v>1.7929999999999999</v>
          </cell>
          <cell r="S23">
            <v>2.2410000000000001</v>
          </cell>
          <cell r="T23">
            <v>-5.3620000000000001</v>
          </cell>
          <cell r="U23">
            <v>6.1340000000000003</v>
          </cell>
          <cell r="V23">
            <v>3.0910000000000002</v>
          </cell>
          <cell r="W23">
            <v>1.4175734019728159</v>
          </cell>
        </row>
        <row r="24">
          <cell r="B24" t="str">
            <v>Benin</v>
          </cell>
          <cell r="C24">
            <v>5.666147255627263</v>
          </cell>
          <cell r="D24">
            <v>6.110859714036887</v>
          </cell>
          <cell r="E24">
            <v>5.477732246862832</v>
          </cell>
          <cell r="G24" t="str">
            <v>C</v>
          </cell>
          <cell r="H24">
            <v>73.01184037118577</v>
          </cell>
          <cell r="I24">
            <v>75</v>
          </cell>
          <cell r="J24">
            <v>7</v>
          </cell>
          <cell r="L24">
            <v>4.811223315687994</v>
          </cell>
          <cell r="M24">
            <v>7.1914337214494379</v>
          </cell>
          <cell r="N24">
            <v>6.3576790979193039</v>
          </cell>
          <cell r="O24">
            <v>1.778</v>
          </cell>
          <cell r="P24">
            <v>3.34</v>
          </cell>
          <cell r="Q24">
            <v>5.6719999999999997</v>
          </cell>
          <cell r="R24">
            <v>6.6970000000000001</v>
          </cell>
          <cell r="S24">
            <v>6.8659999999999997</v>
          </cell>
          <cell r="T24">
            <v>3.8490000000000002</v>
          </cell>
          <cell r="U24">
            <v>7.1550000000000002</v>
          </cell>
          <cell r="V24">
            <v>6.0209999999999999</v>
          </cell>
          <cell r="W24">
            <v>5.7942959804498599</v>
          </cell>
        </row>
        <row r="25">
          <cell r="B25" t="str">
            <v>Bhutan</v>
          </cell>
          <cell r="C25">
            <v>-0.76587225840651918</v>
          </cell>
          <cell r="D25">
            <v>1.2676841708430198</v>
          </cell>
          <cell r="E25">
            <v>3.3347663550896245</v>
          </cell>
          <cell r="G25" t="str">
            <v>E</v>
          </cell>
          <cell r="H25">
            <v>55.154482190816807</v>
          </cell>
          <cell r="I25">
            <v>132</v>
          </cell>
          <cell r="J25">
            <v>28</v>
          </cell>
          <cell r="L25">
            <v>5.1184008580053391</v>
          </cell>
          <cell r="M25">
            <v>2.1199726329821678</v>
          </cell>
          <cell r="N25">
            <v>5.7764956801372422</v>
          </cell>
          <cell r="O25">
            <v>6.2210000000000001</v>
          </cell>
          <cell r="P25">
            <v>7.4080000000000004</v>
          </cell>
          <cell r="Q25">
            <v>6.3220000000000001</v>
          </cell>
          <cell r="R25">
            <v>3.835</v>
          </cell>
          <cell r="S25">
            <v>4.4249999999999998</v>
          </cell>
          <cell r="T25">
            <v>-2.3479999999999999</v>
          </cell>
          <cell r="U25">
            <v>-3.3319999999999999</v>
          </cell>
          <cell r="V25">
            <v>4.3250000000000002</v>
          </cell>
          <cell r="W25">
            <v>2.3012252629663221</v>
          </cell>
        </row>
        <row r="26">
          <cell r="B26" t="str">
            <v>Bolivia</v>
          </cell>
          <cell r="C26">
            <v>-2.2304131763273283E-2</v>
          </cell>
          <cell r="D26">
            <v>1.2603639469641159</v>
          </cell>
          <cell r="E26">
            <v>3.1673454908146104</v>
          </cell>
          <cell r="G26" t="str">
            <v>E</v>
          </cell>
          <cell r="H26">
            <v>31.085526545532133</v>
          </cell>
          <cell r="I26">
            <v>155</v>
          </cell>
          <cell r="J26">
            <v>25</v>
          </cell>
          <cell r="L26">
            <v>5.122274660983769</v>
          </cell>
          <cell r="M26">
            <v>6.7960117055974338</v>
          </cell>
          <cell r="N26">
            <v>5.4605671536850453</v>
          </cell>
          <cell r="O26">
            <v>4.8570000000000002</v>
          </cell>
          <cell r="P26">
            <v>4.2640000000000002</v>
          </cell>
          <cell r="Q26">
            <v>4.1950000000000003</v>
          </cell>
          <cell r="R26">
            <v>4.2240000000000002</v>
          </cell>
          <cell r="S26">
            <v>2.2170000000000001</v>
          </cell>
          <cell r="T26">
            <v>-8.7379999999999995</v>
          </cell>
          <cell r="U26">
            <v>6.1059999999999999</v>
          </cell>
          <cell r="V26">
            <v>3.2</v>
          </cell>
          <cell r="W26">
            <v>2.2138547188893631</v>
          </cell>
        </row>
        <row r="27">
          <cell r="B27" t="str">
            <v>Bosnia and Herzegovina</v>
          </cell>
          <cell r="C27">
            <v>2.6460933550704002</v>
          </cell>
          <cell r="D27">
            <v>2.9046927076515017</v>
          </cell>
          <cell r="E27">
            <v>2.7421493700034771</v>
          </cell>
          <cell r="G27" t="str">
            <v>D</v>
          </cell>
          <cell r="H27">
            <v>66.414016463166035</v>
          </cell>
          <cell r="I27">
            <v>108</v>
          </cell>
          <cell r="J27">
            <v>41</v>
          </cell>
          <cell r="L27">
            <v>-0.82183647421687545</v>
          </cell>
          <cell r="M27">
            <v>2.3498566632458062</v>
          </cell>
          <cell r="N27">
            <v>1.1538510920040257</v>
          </cell>
          <cell r="O27">
            <v>4.3140000000000001</v>
          </cell>
          <cell r="P27">
            <v>3.242</v>
          </cell>
          <cell r="Q27">
            <v>3.2440000000000002</v>
          </cell>
          <cell r="R27">
            <v>3.8290000000000002</v>
          </cell>
          <cell r="S27">
            <v>2.8860000000000001</v>
          </cell>
          <cell r="T27">
            <v>-3.0150000000000001</v>
          </cell>
          <cell r="U27">
            <v>7.3920000000000003</v>
          </cell>
          <cell r="V27">
            <v>3.8</v>
          </cell>
          <cell r="W27">
            <v>2.8234210388274894</v>
          </cell>
        </row>
        <row r="28">
          <cell r="B28" t="str">
            <v>Botswana</v>
          </cell>
          <cell r="C28">
            <v>2.6588943634134665</v>
          </cell>
          <cell r="D28">
            <v>1.4503583241093798</v>
          </cell>
          <cell r="E28">
            <v>2.7752039527026096</v>
          </cell>
          <cell r="G28" t="str">
            <v>C</v>
          </cell>
          <cell r="H28">
            <v>74.531513757725932</v>
          </cell>
          <cell r="I28">
            <v>70</v>
          </cell>
          <cell r="J28">
            <v>6</v>
          </cell>
          <cell r="L28">
            <v>4.4561672130978769</v>
          </cell>
          <cell r="M28">
            <v>11.343424252775241</v>
          </cell>
          <cell r="N28">
            <v>4.149289893135184</v>
          </cell>
          <cell r="O28">
            <v>-4.851</v>
          </cell>
          <cell r="P28">
            <v>7.202</v>
          </cell>
          <cell r="Q28">
            <v>4.1130000000000004</v>
          </cell>
          <cell r="R28">
            <v>4.1900000000000004</v>
          </cell>
          <cell r="S28">
            <v>3.0329999999999999</v>
          </cell>
          <cell r="T28">
            <v>-8.7260000000000009</v>
          </cell>
          <cell r="U28">
            <v>11.84</v>
          </cell>
          <cell r="V28">
            <v>6.4329999999999998</v>
          </cell>
          <cell r="W28">
            <v>2.1127811384059947</v>
          </cell>
        </row>
        <row r="29">
          <cell r="B29" t="str">
            <v>Brazil</v>
          </cell>
          <cell r="C29">
            <v>1.146428167182445</v>
          </cell>
          <cell r="D29">
            <v>1.295085878975577</v>
          </cell>
          <cell r="E29">
            <v>0.42795301380476047</v>
          </cell>
          <cell r="G29" t="str">
            <v>B</v>
          </cell>
          <cell r="H29">
            <v>79.569249143394813</v>
          </cell>
          <cell r="I29">
            <v>51</v>
          </cell>
          <cell r="J29">
            <v>7</v>
          </cell>
          <cell r="L29">
            <v>1.9211503183629988</v>
          </cell>
          <cell r="M29">
            <v>3.0048463050570873</v>
          </cell>
          <cell r="N29">
            <v>0.50395574024224987</v>
          </cell>
          <cell r="O29">
            <v>-3.5459999999999998</v>
          </cell>
          <cell r="P29">
            <v>-3.2759999999999998</v>
          </cell>
          <cell r="Q29">
            <v>1.323</v>
          </cell>
          <cell r="R29">
            <v>1.784</v>
          </cell>
          <cell r="S29">
            <v>1.2210000000000001</v>
          </cell>
          <cell r="T29">
            <v>-3.2770000000000001</v>
          </cell>
          <cell r="U29">
            <v>4.9889999999999999</v>
          </cell>
          <cell r="V29">
            <v>2.9009999999999998</v>
          </cell>
          <cell r="W29">
            <v>0.86151944639016875</v>
          </cell>
        </row>
        <row r="30">
          <cell r="B30" t="str">
            <v>Brunei Darussalam</v>
          </cell>
          <cell r="C30">
            <v>-0.66374440025495085</v>
          </cell>
          <cell r="D30">
            <v>0.37078358077795581</v>
          </cell>
          <cell r="E30">
            <v>-0.44114896551331606</v>
          </cell>
          <cell r="G30" t="str">
            <v>E</v>
          </cell>
          <cell r="H30">
            <v>47.581995606084838</v>
          </cell>
          <cell r="I30">
            <v>142</v>
          </cell>
          <cell r="J30">
            <v>30</v>
          </cell>
          <cell r="L30">
            <v>0.91284167096442625</v>
          </cell>
          <cell r="M30">
            <v>-2.1260285174017546</v>
          </cell>
          <cell r="N30">
            <v>-2.5083525664456063</v>
          </cell>
          <cell r="O30">
            <v>-0.40500000000000003</v>
          </cell>
          <cell r="P30">
            <v>-2.4649999999999999</v>
          </cell>
          <cell r="Q30">
            <v>1.329</v>
          </cell>
          <cell r="R30">
            <v>5.1999999999999998E-2</v>
          </cell>
          <cell r="S30">
            <v>3.8690000000000002</v>
          </cell>
          <cell r="T30">
            <v>1.1339999999999999</v>
          </cell>
          <cell r="U30">
            <v>-1.591</v>
          </cell>
          <cell r="V30">
            <v>-1.51</v>
          </cell>
          <cell r="W30">
            <v>-3.5182692367680124E-2</v>
          </cell>
        </row>
        <row r="31">
          <cell r="B31" t="str">
            <v>Bulgaria</v>
          </cell>
          <cell r="C31">
            <v>2.2325090532704595</v>
          </cell>
          <cell r="D31">
            <v>2.7879873369299979</v>
          </cell>
          <cell r="E31">
            <v>2.7412414949005814</v>
          </cell>
          <cell r="G31" t="str">
            <v>B</v>
          </cell>
          <cell r="H31">
            <v>82.826908120877093</v>
          </cell>
          <cell r="I31">
            <v>40</v>
          </cell>
          <cell r="J31">
            <v>26</v>
          </cell>
          <cell r="L31">
            <v>0.36058318828756941</v>
          </cell>
          <cell r="M31">
            <v>0.31873576132258219</v>
          </cell>
          <cell r="N31">
            <v>1.8945471424192788</v>
          </cell>
          <cell r="O31">
            <v>3.4279999999999999</v>
          </cell>
          <cell r="P31">
            <v>3.04</v>
          </cell>
          <cell r="Q31">
            <v>2.762</v>
          </cell>
          <cell r="R31">
            <v>2.6850000000000001</v>
          </cell>
          <cell r="S31">
            <v>4.0380000000000003</v>
          </cell>
          <cell r="T31">
            <v>-3.9590000000000001</v>
          </cell>
          <cell r="U31">
            <v>7.6349999999999998</v>
          </cell>
          <cell r="V31">
            <v>3.3610000000000002</v>
          </cell>
          <cell r="W31">
            <v>2.7646144159152897</v>
          </cell>
        </row>
        <row r="32">
          <cell r="B32" t="str">
            <v>Burkina Faso</v>
          </cell>
          <cell r="C32">
            <v>3.7461786866062718</v>
          </cell>
          <cell r="D32">
            <v>4.6060819779328632</v>
          </cell>
          <cell r="E32">
            <v>4.9153359042722222</v>
          </cell>
          <cell r="G32" t="str">
            <v>C</v>
          </cell>
          <cell r="H32">
            <v>71.439342263551737</v>
          </cell>
          <cell r="I32">
            <v>81</v>
          </cell>
          <cell r="J32">
            <v>11</v>
          </cell>
          <cell r="L32">
            <v>6.4526723809054332</v>
          </cell>
          <cell r="M32">
            <v>5.7926055919056534</v>
          </cell>
          <cell r="N32">
            <v>4.3268456132150384</v>
          </cell>
          <cell r="O32">
            <v>3.9209999999999998</v>
          </cell>
          <cell r="P32">
            <v>5.9580000000000002</v>
          </cell>
          <cell r="Q32">
            <v>6.2030000000000003</v>
          </cell>
          <cell r="R32">
            <v>6.6029999999999998</v>
          </cell>
          <cell r="S32">
            <v>5.6890000000000001</v>
          </cell>
          <cell r="T32">
            <v>1.931</v>
          </cell>
          <cell r="U32">
            <v>6.9050000000000002</v>
          </cell>
          <cell r="V32">
            <v>2.4729999999999999</v>
          </cell>
          <cell r="W32">
            <v>4.7607089411025427</v>
          </cell>
        </row>
        <row r="33">
          <cell r="B33" t="str">
            <v>Burundi</v>
          </cell>
          <cell r="C33">
            <v>1.3140617594302739</v>
          </cell>
          <cell r="D33">
            <v>1.4727306023839093</v>
          </cell>
          <cell r="E33">
            <v>1.2263384025287261</v>
          </cell>
          <cell r="G33" t="str">
            <v>E</v>
          </cell>
          <cell r="H33">
            <v>45.872398734881529</v>
          </cell>
          <cell r="I33">
            <v>144</v>
          </cell>
          <cell r="J33">
            <v>40</v>
          </cell>
          <cell r="L33">
            <v>4.4467082221454284</v>
          </cell>
          <cell r="M33">
            <v>4.9241952612883146</v>
          </cell>
          <cell r="N33">
            <v>4.2406516436807848</v>
          </cell>
          <cell r="O33">
            <v>-3.9</v>
          </cell>
          <cell r="P33">
            <v>-0.6</v>
          </cell>
          <cell r="Q33">
            <v>0.5</v>
          </cell>
          <cell r="R33">
            <v>1.61</v>
          </cell>
          <cell r="S33">
            <v>1.8420000000000001</v>
          </cell>
          <cell r="T33">
            <v>0.33500000000000002</v>
          </cell>
          <cell r="U33">
            <v>3.1190000000000002</v>
          </cell>
          <cell r="V33">
            <v>1.827</v>
          </cell>
          <cell r="W33">
            <v>1.3495345024563177</v>
          </cell>
        </row>
        <row r="34">
          <cell r="B34" t="str">
            <v>Cabo Verde</v>
          </cell>
          <cell r="C34">
            <v>0.23646198785876038</v>
          </cell>
          <cell r="D34">
            <v>2.1534613712418604</v>
          </cell>
          <cell r="E34">
            <v>2.1525774639498785</v>
          </cell>
          <cell r="G34" t="str">
            <v>C</v>
          </cell>
          <cell r="H34">
            <v>72.784877013329833</v>
          </cell>
          <cell r="I34">
            <v>78</v>
          </cell>
          <cell r="J34">
            <v>9</v>
          </cell>
          <cell r="L34">
            <v>1.0819182787712764</v>
          </cell>
          <cell r="M34">
            <v>0.80279760057422567</v>
          </cell>
          <cell r="N34">
            <v>0.61121266620786829</v>
          </cell>
          <cell r="O34">
            <v>1.0069999999999999</v>
          </cell>
          <cell r="P34">
            <v>4.7060000000000004</v>
          </cell>
          <cell r="Q34">
            <v>3.702</v>
          </cell>
          <cell r="R34">
            <v>14.566000000000001</v>
          </cell>
          <cell r="S34">
            <v>5.6680000000000001</v>
          </cell>
          <cell r="T34">
            <v>-14.782999999999999</v>
          </cell>
          <cell r="U34">
            <v>7</v>
          </cell>
          <cell r="V34">
            <v>10.5</v>
          </cell>
          <cell r="W34">
            <v>2.1530194175958695</v>
          </cell>
        </row>
        <row r="35">
          <cell r="B35" t="str">
            <v>Cambodia</v>
          </cell>
          <cell r="C35">
            <v>1.5881444792890331</v>
          </cell>
          <cell r="D35">
            <v>3.8205347927408928</v>
          </cell>
          <cell r="E35">
            <v>5.437149341759695</v>
          </cell>
          <cell r="G35" t="str">
            <v>E</v>
          </cell>
          <cell r="H35">
            <v>41.696651110677628</v>
          </cell>
          <cell r="I35">
            <v>149</v>
          </cell>
          <cell r="J35">
            <v>31</v>
          </cell>
          <cell r="L35">
            <v>7.3133455053000533</v>
          </cell>
          <cell r="M35">
            <v>7.3566651488797472</v>
          </cell>
          <cell r="N35">
            <v>7.1425711007429467</v>
          </cell>
          <cell r="O35">
            <v>7.0359999999999996</v>
          </cell>
          <cell r="P35">
            <v>6.8630000000000004</v>
          </cell>
          <cell r="Q35">
            <v>6.9969999999999999</v>
          </cell>
          <cell r="R35">
            <v>7.4690000000000003</v>
          </cell>
          <cell r="S35">
            <v>7.0540000000000003</v>
          </cell>
          <cell r="T35">
            <v>-3.0960000000000001</v>
          </cell>
          <cell r="U35">
            <v>3.0259999999999998</v>
          </cell>
          <cell r="V35">
            <v>5.0119999999999996</v>
          </cell>
          <cell r="W35">
            <v>4.6288420672502939</v>
          </cell>
        </row>
        <row r="36">
          <cell r="B36" t="str">
            <v>Cameroon</v>
          </cell>
          <cell r="C36">
            <v>2.4193069652844734</v>
          </cell>
          <cell r="D36">
            <v>3.5683606479580687</v>
          </cell>
          <cell r="E36">
            <v>4.2936580650607903</v>
          </cell>
          <cell r="G36" t="str">
            <v>D</v>
          </cell>
          <cell r="H36">
            <v>66.487838229569903</v>
          </cell>
          <cell r="I36">
            <v>107</v>
          </cell>
          <cell r="J36">
            <v>24</v>
          </cell>
          <cell r="L36">
            <v>4.5432650156673571</v>
          </cell>
          <cell r="M36">
            <v>5.4042657097173343</v>
          </cell>
          <cell r="N36">
            <v>5.8840593266804415</v>
          </cell>
          <cell r="O36">
            <v>5.6</v>
          </cell>
          <cell r="P36">
            <v>4.4790000000000001</v>
          </cell>
          <cell r="Q36">
            <v>3.5409999999999999</v>
          </cell>
          <cell r="R36">
            <v>4.0220000000000002</v>
          </cell>
          <cell r="S36">
            <v>3.4220000000000002</v>
          </cell>
          <cell r="T36">
            <v>0.53900000000000003</v>
          </cell>
          <cell r="U36">
            <v>3.649</v>
          </cell>
          <cell r="V36">
            <v>3.383</v>
          </cell>
          <cell r="W36">
            <v>3.9310093565094295</v>
          </cell>
        </row>
        <row r="37">
          <cell r="B37" t="str">
            <v>Canada</v>
          </cell>
          <cell r="C37">
            <v>0.80505563787092171</v>
          </cell>
          <cell r="D37">
            <v>1.279888102037452</v>
          </cell>
          <cell r="E37">
            <v>1.6398804050051563</v>
          </cell>
          <cell r="G37" t="str">
            <v>A</v>
          </cell>
          <cell r="H37">
            <v>95.837528170961207</v>
          </cell>
          <cell r="I37">
            <v>17</v>
          </cell>
          <cell r="J37">
            <v>2</v>
          </cell>
          <cell r="L37">
            <v>1.762222549554276</v>
          </cell>
          <cell r="M37">
            <v>2.3291225223044822</v>
          </cell>
          <cell r="N37">
            <v>2.8700360387422155</v>
          </cell>
          <cell r="O37">
            <v>0.65900000000000003</v>
          </cell>
          <cell r="P37">
            <v>1.0009999999999999</v>
          </cell>
          <cell r="Q37">
            <v>3.04</v>
          </cell>
          <cell r="R37">
            <v>2.7770000000000001</v>
          </cell>
          <cell r="S37">
            <v>1.8879999999999999</v>
          </cell>
          <cell r="T37">
            <v>-5.0739999999999998</v>
          </cell>
          <cell r="U37">
            <v>5.0119999999999996</v>
          </cell>
          <cell r="V37">
            <v>3.3959999999999999</v>
          </cell>
          <cell r="W37">
            <v>1.4598842535213041</v>
          </cell>
        </row>
        <row r="38">
          <cell r="B38" t="str">
            <v>Central African Republic</v>
          </cell>
          <cell r="C38">
            <v>0.72569907638180275</v>
          </cell>
          <cell r="D38">
            <v>1.8043988935163791</v>
          </cell>
          <cell r="E38">
            <v>-2.2645674209426092</v>
          </cell>
          <cell r="G38" t="str">
            <v>E</v>
          </cell>
          <cell r="H38">
            <v>41.466247411534134</v>
          </cell>
          <cell r="I38">
            <v>150</v>
          </cell>
          <cell r="J38">
            <v>44</v>
          </cell>
          <cell r="L38">
            <v>5.053761253569192</v>
          </cell>
          <cell r="M38">
            <v>-36.391977098388679</v>
          </cell>
          <cell r="N38">
            <v>8.1070515326508011E-2</v>
          </cell>
          <cell r="O38">
            <v>4.3380000000000001</v>
          </cell>
          <cell r="P38">
            <v>4.75</v>
          </cell>
          <cell r="Q38">
            <v>4.5279999999999996</v>
          </cell>
          <cell r="R38">
            <v>3.82</v>
          </cell>
          <cell r="S38">
            <v>2.97</v>
          </cell>
          <cell r="T38">
            <v>0.95899999999999996</v>
          </cell>
          <cell r="U38">
            <v>0.98299999999999998</v>
          </cell>
          <cell r="V38">
            <v>0.378</v>
          </cell>
          <cell r="W38">
            <v>-0.23008426371311508</v>
          </cell>
        </row>
        <row r="39">
          <cell r="B39" t="str">
            <v>Chad</v>
          </cell>
          <cell r="C39">
            <v>-0.11885802228936981</v>
          </cell>
          <cell r="D39">
            <v>1.0424126086531427</v>
          </cell>
          <cell r="E39">
            <v>1.0693731739606749</v>
          </cell>
          <cell r="G39" t="str">
            <v>E</v>
          </cell>
          <cell r="H39">
            <v>46.134841898100355</v>
          </cell>
          <cell r="I39">
            <v>143</v>
          </cell>
          <cell r="J39">
            <v>39</v>
          </cell>
          <cell r="L39">
            <v>8.8825760717031557</v>
          </cell>
          <cell r="M39">
            <v>5.7000013628586537</v>
          </cell>
          <cell r="N39">
            <v>6.8999850453216673</v>
          </cell>
          <cell r="O39">
            <v>1.77</v>
          </cell>
          <cell r="P39">
            <v>-5.5579999999999998</v>
          </cell>
          <cell r="Q39">
            <v>-2.38</v>
          </cell>
          <cell r="R39">
            <v>2.355</v>
          </cell>
          <cell r="S39">
            <v>3.419</v>
          </cell>
          <cell r="T39">
            <v>-2.1419999999999999</v>
          </cell>
          <cell r="U39">
            <v>-1.1020000000000001</v>
          </cell>
          <cell r="V39">
            <v>2.4940000000000002</v>
          </cell>
          <cell r="W39">
            <v>1.0558928913069088</v>
          </cell>
        </row>
        <row r="40">
          <cell r="B40" t="str">
            <v>Chile</v>
          </cell>
          <cell r="C40">
            <v>2.4572143474803632</v>
          </cell>
          <cell r="D40">
            <v>3.0605383736418856</v>
          </cell>
          <cell r="E40">
            <v>2.6285168981251106</v>
          </cell>
          <cell r="G40" t="str">
            <v>A</v>
          </cell>
          <cell r="H40">
            <v>89.938976035792962</v>
          </cell>
          <cell r="I40">
            <v>28</v>
          </cell>
          <cell r="J40">
            <v>3</v>
          </cell>
          <cell r="L40">
            <v>5.3186280004141473</v>
          </cell>
          <cell r="M40">
            <v>4.0450042981489593</v>
          </cell>
          <cell r="N40">
            <v>1.7667397836386938</v>
          </cell>
          <cell r="O40">
            <v>2.1520000000000001</v>
          </cell>
          <cell r="P40">
            <v>1.7529999999999999</v>
          </cell>
          <cell r="Q40">
            <v>1.3580000000000001</v>
          </cell>
          <cell r="R40">
            <v>3.99</v>
          </cell>
          <cell r="S40">
            <v>0.74299999999999999</v>
          </cell>
          <cell r="T40">
            <v>-6.1449999999999996</v>
          </cell>
          <cell r="U40">
            <v>11.737</v>
          </cell>
          <cell r="V40">
            <v>2.44</v>
          </cell>
          <cell r="W40">
            <v>2.8445276358834981</v>
          </cell>
        </row>
        <row r="41">
          <cell r="B41" t="str">
            <v>China</v>
          </cell>
          <cell r="C41">
            <v>4.4136018906123953</v>
          </cell>
          <cell r="D41">
            <v>5.1836523723133077</v>
          </cell>
          <cell r="E41">
            <v>6.1897338385474399</v>
          </cell>
          <cell r="G41" t="str">
            <v>B</v>
          </cell>
          <cell r="H41">
            <v>79.714044846147502</v>
          </cell>
          <cell r="I41">
            <v>50</v>
          </cell>
          <cell r="J41">
            <v>7</v>
          </cell>
          <cell r="L41">
            <v>7.8596274932851555</v>
          </cell>
          <cell r="M41">
            <v>7.7686152841281606</v>
          </cell>
          <cell r="N41">
            <v>7.4245236561990726</v>
          </cell>
          <cell r="O41">
            <v>7.0179999999999998</v>
          </cell>
          <cell r="P41">
            <v>6.851</v>
          </cell>
          <cell r="Q41">
            <v>6.9470000000000001</v>
          </cell>
          <cell r="R41">
            <v>6.7510000000000003</v>
          </cell>
          <cell r="S41">
            <v>5.9509999999999996</v>
          </cell>
          <cell r="T41">
            <v>2.242</v>
          </cell>
          <cell r="U41">
            <v>8.4499999999999993</v>
          </cell>
          <cell r="V41">
            <v>2.988</v>
          </cell>
          <cell r="W41">
            <v>5.6866931054303738</v>
          </cell>
        </row>
        <row r="42">
          <cell r="B42" t="str">
            <v>Colombia</v>
          </cell>
          <cell r="C42">
            <v>3.4115994769119862</v>
          </cell>
          <cell r="D42">
            <v>2.9902381196408978</v>
          </cell>
          <cell r="E42">
            <v>3.0937390088282557</v>
          </cell>
          <cell r="G42" t="str">
            <v>B</v>
          </cell>
          <cell r="H42">
            <v>79.943455242802315</v>
          </cell>
          <cell r="I42">
            <v>48</v>
          </cell>
          <cell r="J42">
            <v>6</v>
          </cell>
          <cell r="L42">
            <v>3.9126357671611296</v>
          </cell>
          <cell r="M42">
            <v>5.1339935199566966</v>
          </cell>
          <cell r="N42">
            <v>4.4990300011097339</v>
          </cell>
          <cell r="O42">
            <v>2.956</v>
          </cell>
          <cell r="P42">
            <v>2.0880000000000001</v>
          </cell>
          <cell r="Q42">
            <v>1.359</v>
          </cell>
          <cell r="R42">
            <v>2.5640000000000001</v>
          </cell>
          <cell r="S42">
            <v>3.1869999999999998</v>
          </cell>
          <cell r="T42">
            <v>-7.2519999999999998</v>
          </cell>
          <cell r="U42">
            <v>11.016</v>
          </cell>
          <cell r="V42">
            <v>7.4960000000000004</v>
          </cell>
          <cell r="W42">
            <v>3.0419885642345768</v>
          </cell>
        </row>
        <row r="43">
          <cell r="B43" t="str">
            <v>Comoros</v>
          </cell>
          <cell r="C43">
            <v>1.4424277454801349</v>
          </cell>
          <cell r="D43">
            <v>1.9425285111170032</v>
          </cell>
          <cell r="E43">
            <v>2.451644301489786</v>
          </cell>
          <cell r="G43" t="str">
            <v>D</v>
          </cell>
          <cell r="H43">
            <v>68.943026951610364</v>
          </cell>
          <cell r="I43">
            <v>96</v>
          </cell>
          <cell r="J43">
            <v>17</v>
          </cell>
          <cell r="L43">
            <v>3.2002729031888046</v>
          </cell>
          <cell r="M43">
            <v>4.4998742153082745</v>
          </cell>
          <cell r="N43">
            <v>2.1000064383028905</v>
          </cell>
          <cell r="O43">
            <v>1.147</v>
          </cell>
          <cell r="P43">
            <v>3.32</v>
          </cell>
          <cell r="Q43">
            <v>3.8159999999999998</v>
          </cell>
          <cell r="R43">
            <v>3.6419999999999999</v>
          </cell>
          <cell r="S43">
            <v>1.7609999999999999</v>
          </cell>
          <cell r="T43">
            <v>-0.19600000000000001</v>
          </cell>
          <cell r="U43">
            <v>2.1120000000000001</v>
          </cell>
          <cell r="V43">
            <v>2.431</v>
          </cell>
          <cell r="W43">
            <v>2.1970864063033946</v>
          </cell>
        </row>
        <row r="44">
          <cell r="B44" t="str">
            <v>Congo, Dem. Rep</v>
          </cell>
          <cell r="C44">
            <v>4.8306254668632809</v>
          </cell>
          <cell r="D44">
            <v>4.9384402884992351</v>
          </cell>
          <cell r="E44">
            <v>5.5494362942043685</v>
          </cell>
          <cell r="G44" t="str">
            <v>E</v>
          </cell>
          <cell r="H44">
            <v>40.102703133666751</v>
          </cell>
          <cell r="I44">
            <v>151</v>
          </cell>
          <cell r="J44">
            <v>45</v>
          </cell>
          <cell r="L44">
            <v>7.0868989467193844</v>
          </cell>
          <cell r="M44">
            <v>8.4819566360875722</v>
          </cell>
          <cell r="N44">
            <v>9.4702880971408341</v>
          </cell>
          <cell r="O44">
            <v>6.36</v>
          </cell>
          <cell r="P44">
            <v>0.39400000000000002</v>
          </cell>
          <cell r="Q44">
            <v>3.6579999999999999</v>
          </cell>
          <cell r="R44">
            <v>4.8250000000000002</v>
          </cell>
          <cell r="S44">
            <v>4.4850000000000003</v>
          </cell>
          <cell r="T44">
            <v>1.671</v>
          </cell>
          <cell r="U44">
            <v>6.2290000000000001</v>
          </cell>
          <cell r="V44">
            <v>6.6269999999999998</v>
          </cell>
          <cell r="W44">
            <v>5.2439382913518013</v>
          </cell>
        </row>
        <row r="45">
          <cell r="B45" t="str">
            <v>Congo, Rep.</v>
          </cell>
          <cell r="C45">
            <v>-1.9540231466170455</v>
          </cell>
          <cell r="D45">
            <v>-2.1626068363397866</v>
          </cell>
          <cell r="E45">
            <v>-2.4351268953680449</v>
          </cell>
          <cell r="G45" t="str">
            <v>E</v>
          </cell>
          <cell r="H45">
            <v>42.318471362744162</v>
          </cell>
          <cell r="I45">
            <v>148</v>
          </cell>
          <cell r="J45">
            <v>43</v>
          </cell>
          <cell r="L45">
            <v>9.9471531425756439</v>
          </cell>
          <cell r="M45">
            <v>-0.71243445187648202</v>
          </cell>
          <cell r="N45">
            <v>6.7166793337864945</v>
          </cell>
          <cell r="O45">
            <v>-3.5510000000000002</v>
          </cell>
          <cell r="P45">
            <v>-10.782999999999999</v>
          </cell>
          <cell r="Q45">
            <v>-4.383</v>
          </cell>
          <cell r="R45">
            <v>-4.8049999999999997</v>
          </cell>
          <cell r="S45">
            <v>1.026</v>
          </cell>
          <cell r="T45">
            <v>-6.1980000000000004</v>
          </cell>
          <cell r="U45">
            <v>1.5</v>
          </cell>
          <cell r="V45">
            <v>2.7850000000000001</v>
          </cell>
          <cell r="W45">
            <v>-2.298866865853916</v>
          </cell>
        </row>
        <row r="46">
          <cell r="B46" t="str">
            <v>Costa Rica</v>
          </cell>
          <cell r="C46">
            <v>2.4986852323448439</v>
          </cell>
          <cell r="D46">
            <v>3.7972658363557565</v>
          </cell>
          <cell r="E46">
            <v>3.649680120396992</v>
          </cell>
          <cell r="G46" t="str">
            <v>B</v>
          </cell>
          <cell r="H46">
            <v>86.218051096846139</v>
          </cell>
          <cell r="I46">
            <v>34</v>
          </cell>
          <cell r="J46">
            <v>4</v>
          </cell>
          <cell r="L46">
            <v>4.7969199185815947</v>
          </cell>
          <cell r="M46">
            <v>2.2690274004615811</v>
          </cell>
          <cell r="N46">
            <v>3.5153385639114227</v>
          </cell>
          <cell r="O46">
            <v>3.6520000000000001</v>
          </cell>
          <cell r="P46">
            <v>4.2039999999999997</v>
          </cell>
          <cell r="Q46">
            <v>4.1580000000000004</v>
          </cell>
          <cell r="R46">
            <v>2.6160000000000001</v>
          </cell>
          <cell r="S46">
            <v>2.4180000000000001</v>
          </cell>
          <cell r="T46">
            <v>-4.2729999999999997</v>
          </cell>
          <cell r="U46">
            <v>7.7809999999999997</v>
          </cell>
          <cell r="V46">
            <v>4.3239999999999998</v>
          </cell>
          <cell r="W46">
            <v>3.7234729783763743</v>
          </cell>
        </row>
        <row r="47">
          <cell r="B47" t="str">
            <v>Cote d'Ivoire</v>
          </cell>
          <cell r="C47">
            <v>5.2133244785906863</v>
          </cell>
          <cell r="D47">
            <v>5.7501340546816326</v>
          </cell>
          <cell r="E47">
            <v>6.9731316213943906</v>
          </cell>
          <cell r="G47" t="str">
            <v>D</v>
          </cell>
          <cell r="H47">
            <v>69.121915522328067</v>
          </cell>
          <cell r="I47">
            <v>95</v>
          </cell>
          <cell r="J47">
            <v>16</v>
          </cell>
          <cell r="L47">
            <v>10.706504103485498</v>
          </cell>
          <cell r="M47">
            <v>8.8894213015542505</v>
          </cell>
          <cell r="N47">
            <v>8.7940773902773532</v>
          </cell>
          <cell r="O47">
            <v>8.843</v>
          </cell>
          <cell r="P47">
            <v>7.173</v>
          </cell>
          <cell r="Q47">
            <v>6.1429999999999998</v>
          </cell>
          <cell r="R47">
            <v>3.7509999999999999</v>
          </cell>
          <cell r="S47">
            <v>8.31</v>
          </cell>
          <cell r="T47">
            <v>1.7</v>
          </cell>
          <cell r="U47">
            <v>7</v>
          </cell>
          <cell r="V47">
            <v>6.7</v>
          </cell>
          <cell r="W47">
            <v>6.3616328380380116</v>
          </cell>
        </row>
        <row r="48">
          <cell r="B48" t="str">
            <v>Croatia</v>
          </cell>
          <cell r="C48">
            <v>3.2016110581527757</v>
          </cell>
          <cell r="D48">
            <v>3.6386983370098269</v>
          </cell>
          <cell r="E48">
            <v>2.6484109069949024</v>
          </cell>
          <cell r="G48" t="str">
            <v>B</v>
          </cell>
          <cell r="H48">
            <v>83.891853807505186</v>
          </cell>
          <cell r="I48">
            <v>39</v>
          </cell>
          <cell r="J48">
            <v>25</v>
          </cell>
          <cell r="L48">
            <v>-2.2376475412236791</v>
          </cell>
          <cell r="M48">
            <v>-0.54854848857064353</v>
          </cell>
          <cell r="N48">
            <v>-0.10392849719394197</v>
          </cell>
          <cell r="O48">
            <v>2.524</v>
          </cell>
          <cell r="P48">
            <v>3.56</v>
          </cell>
          <cell r="Q48">
            <v>3.4140000000000001</v>
          </cell>
          <cell r="R48">
            <v>2.7989999999999999</v>
          </cell>
          <cell r="S48">
            <v>3.42</v>
          </cell>
          <cell r="T48">
            <v>-8.58</v>
          </cell>
          <cell r="U48">
            <v>13.07</v>
          </cell>
          <cell r="V48">
            <v>6.3319999999999999</v>
          </cell>
          <cell r="W48">
            <v>3.1435546220023647</v>
          </cell>
        </row>
        <row r="49">
          <cell r="B49" t="str">
            <v>Cyprus</v>
          </cell>
          <cell r="C49">
            <v>2.5096449899315587</v>
          </cell>
          <cell r="D49">
            <v>3.8028194592395037</v>
          </cell>
          <cell r="E49">
            <v>2.5630103304818297</v>
          </cell>
          <cell r="G49" t="str">
            <v>B</v>
          </cell>
          <cell r="H49">
            <v>87.255396390154942</v>
          </cell>
          <cell r="I49">
            <v>32</v>
          </cell>
          <cell r="J49">
            <v>21</v>
          </cell>
          <cell r="L49">
            <v>-3.4468220858971224</v>
          </cell>
          <cell r="M49">
            <v>-6.5530782549911972</v>
          </cell>
          <cell r="N49">
            <v>-1.8293091092200273</v>
          </cell>
          <cell r="O49">
            <v>3.4180000000000001</v>
          </cell>
          <cell r="P49">
            <v>6.5739999999999998</v>
          </cell>
          <cell r="Q49">
            <v>5.7329999999999997</v>
          </cell>
          <cell r="R49">
            <v>5.649</v>
          </cell>
          <cell r="S49">
            <v>5.5289999999999999</v>
          </cell>
          <cell r="T49">
            <v>-4.3710000000000004</v>
          </cell>
          <cell r="U49">
            <v>6.6369999999999996</v>
          </cell>
          <cell r="V49">
            <v>5.6319999999999997</v>
          </cell>
          <cell r="W49">
            <v>3.1829148948606667</v>
          </cell>
        </row>
        <row r="50">
          <cell r="B50" t="str">
            <v>Czech Republic</v>
          </cell>
          <cell r="C50">
            <v>7.8479275411136307E-2</v>
          </cell>
          <cell r="D50">
            <v>1.4620184569118511</v>
          </cell>
          <cell r="E50">
            <v>2.1534461321011111</v>
          </cell>
          <cell r="G50" t="str">
            <v>A</v>
          </cell>
          <cell r="H50">
            <v>91.450544124021832</v>
          </cell>
          <cell r="I50">
            <v>23</v>
          </cell>
          <cell r="J50">
            <v>15</v>
          </cell>
          <cell r="L50">
            <v>-0.79984428098029747</v>
          </cell>
          <cell r="M50">
            <v>-0.48367104180935355</v>
          </cell>
          <cell r="N50">
            <v>2.7151161333034923</v>
          </cell>
          <cell r="O50">
            <v>5.3879999999999999</v>
          </cell>
          <cell r="P50">
            <v>2.5369999999999999</v>
          </cell>
          <cell r="Q50">
            <v>5.1689999999999996</v>
          </cell>
          <cell r="R50">
            <v>3.22</v>
          </cell>
          <cell r="S50">
            <v>3.03</v>
          </cell>
          <cell r="T50">
            <v>-5.5030000000000001</v>
          </cell>
          <cell r="U50">
            <v>3.5529999999999999</v>
          </cell>
          <cell r="V50">
            <v>2.4420000000000002</v>
          </cell>
          <cell r="W50">
            <v>1.8077322945064811</v>
          </cell>
        </row>
        <row r="51">
          <cell r="B51" t="str">
            <v>Denmark</v>
          </cell>
          <cell r="C51">
            <v>2.1173186821453305</v>
          </cell>
          <cell r="D51">
            <v>2.0745382872927598</v>
          </cell>
          <cell r="E51">
            <v>2.0535686786969709</v>
          </cell>
          <cell r="G51" t="str">
            <v>A</v>
          </cell>
          <cell r="H51">
            <v>97.848591628257381</v>
          </cell>
          <cell r="I51">
            <v>3</v>
          </cell>
          <cell r="J51">
            <v>2</v>
          </cell>
          <cell r="L51">
            <v>0.22649979701625131</v>
          </cell>
          <cell r="M51">
            <v>0.93334095705108477</v>
          </cell>
          <cell r="N51">
            <v>1.6193938166337245</v>
          </cell>
          <cell r="O51">
            <v>2.343</v>
          </cell>
          <cell r="P51">
            <v>3.2480000000000002</v>
          </cell>
          <cell r="Q51">
            <v>2.819</v>
          </cell>
          <cell r="R51">
            <v>1.9910000000000001</v>
          </cell>
          <cell r="S51">
            <v>1.4930000000000001</v>
          </cell>
          <cell r="T51">
            <v>-1.994</v>
          </cell>
          <cell r="U51">
            <v>4.8570000000000002</v>
          </cell>
          <cell r="V51">
            <v>3.6230000000000002</v>
          </cell>
          <cell r="W51">
            <v>2.0640534829948654</v>
          </cell>
        </row>
        <row r="52">
          <cell r="B52" t="str">
            <v>Dominican Republic</v>
          </cell>
          <cell r="C52">
            <v>3.1998461156594438</v>
          </cell>
          <cell r="D52">
            <v>4.316018962980106</v>
          </cell>
          <cell r="E52">
            <v>5.1698060844696858</v>
          </cell>
          <cell r="G52" t="str">
            <v>B</v>
          </cell>
          <cell r="H52">
            <v>76.661181476266762</v>
          </cell>
          <cell r="I52">
            <v>62</v>
          </cell>
          <cell r="J52">
            <v>9</v>
          </cell>
          <cell r="L52">
            <v>2.7173678967056243</v>
          </cell>
          <cell r="M52">
            <v>4.8752050933227107</v>
          </cell>
          <cell r="N52">
            <v>7.0504636896591117</v>
          </cell>
          <cell r="O52">
            <v>6.9269999999999996</v>
          </cell>
          <cell r="P52">
            <v>6.6589999999999998</v>
          </cell>
          <cell r="Q52">
            <v>4.6669999999999998</v>
          </cell>
          <cell r="R52">
            <v>6.9829999999999997</v>
          </cell>
          <cell r="S52">
            <v>5.0519999999999996</v>
          </cell>
          <cell r="T52">
            <v>-6.72</v>
          </cell>
          <cell r="U52">
            <v>12.272</v>
          </cell>
          <cell r="V52">
            <v>4.9489999999999998</v>
          </cell>
          <cell r="W52">
            <v>4.7429125237248959</v>
          </cell>
        </row>
        <row r="53">
          <cell r="B53" t="str">
            <v>Ecuador</v>
          </cell>
          <cell r="C53">
            <v>-0.32141867374969602</v>
          </cell>
          <cell r="D53">
            <v>6.5490773887200149E-2</v>
          </cell>
          <cell r="E53">
            <v>1.0130868701887064</v>
          </cell>
          <cell r="G53" t="str">
            <v>D</v>
          </cell>
          <cell r="H53">
            <v>61.323621492965962</v>
          </cell>
          <cell r="I53">
            <v>123</v>
          </cell>
          <cell r="J53">
            <v>20</v>
          </cell>
          <cell r="L53">
            <v>5.641962066711991</v>
          </cell>
          <cell r="M53">
            <v>4.9465112669062528</v>
          </cell>
          <cell r="N53">
            <v>3.7888685492083329</v>
          </cell>
          <cell r="O53">
            <v>9.9000000000000005E-2</v>
          </cell>
          <cell r="P53">
            <v>-1.226</v>
          </cell>
          <cell r="Q53">
            <v>2.3679999999999999</v>
          </cell>
          <cell r="R53">
            <v>1.2889999999999999</v>
          </cell>
          <cell r="S53">
            <v>1.2E-2</v>
          </cell>
          <cell r="T53">
            <v>-7.7880000000000003</v>
          </cell>
          <cell r="U53">
            <v>4.2350000000000003</v>
          </cell>
          <cell r="V53">
            <v>3.0390000000000001</v>
          </cell>
          <cell r="W53">
            <v>0.53928882203795325</v>
          </cell>
        </row>
        <row r="54">
          <cell r="B54" t="str">
            <v>Egypt</v>
          </cell>
          <cell r="C54">
            <v>4.4912036839904523</v>
          </cell>
          <cell r="D54">
            <v>4.8680352120142656</v>
          </cell>
          <cell r="E54">
            <v>4.2302867143853229</v>
          </cell>
          <cell r="G54" t="str">
            <v>D</v>
          </cell>
          <cell r="H54">
            <v>63.405428674671668</v>
          </cell>
          <cell r="I54">
            <v>119</v>
          </cell>
          <cell r="J54">
            <v>28</v>
          </cell>
          <cell r="L54">
            <v>2.2261997966213811</v>
          </cell>
          <cell r="M54">
            <v>2.1854660547123101</v>
          </cell>
          <cell r="N54">
            <v>2.9159118788358169</v>
          </cell>
          <cell r="O54">
            <v>4.4340000000000002</v>
          </cell>
          <cell r="P54">
            <v>4.5060000000000002</v>
          </cell>
          <cell r="Q54">
            <v>2.3690000000000002</v>
          </cell>
          <cell r="R54">
            <v>5.3310000000000004</v>
          </cell>
          <cell r="S54">
            <v>5.5339999999999998</v>
          </cell>
          <cell r="T54">
            <v>3.5139999999999998</v>
          </cell>
          <cell r="U54">
            <v>3.3069999999999999</v>
          </cell>
          <cell r="V54">
            <v>6.609</v>
          </cell>
          <cell r="W54">
            <v>4.5491609631997942</v>
          </cell>
        </row>
        <row r="55">
          <cell r="B55" t="str">
            <v>El Salvador</v>
          </cell>
          <cell r="C55">
            <v>1.3471265984384528</v>
          </cell>
          <cell r="D55">
            <v>1.776882859029727</v>
          </cell>
          <cell r="E55">
            <v>2.0016468394263187</v>
          </cell>
          <cell r="G55" t="str">
            <v>C</v>
          </cell>
          <cell r="H55">
            <v>69.210174273537845</v>
          </cell>
          <cell r="I55">
            <v>94</v>
          </cell>
          <cell r="J55">
            <v>13</v>
          </cell>
          <cell r="L55">
            <v>2.8155018217952783</v>
          </cell>
          <cell r="M55">
            <v>2.2337536818851604</v>
          </cell>
          <cell r="N55">
            <v>1.7112232058649222</v>
          </cell>
          <cell r="O55">
            <v>2.395</v>
          </cell>
          <cell r="P55">
            <v>2.5419999999999998</v>
          </cell>
          <cell r="Q55">
            <v>2.2530000000000001</v>
          </cell>
          <cell r="R55">
            <v>2.4119999999999999</v>
          </cell>
          <cell r="S55">
            <v>2.4350000000000001</v>
          </cell>
          <cell r="T55">
            <v>-8.1750000000000007</v>
          </cell>
          <cell r="U55">
            <v>10.269</v>
          </cell>
          <cell r="V55">
            <v>2.8</v>
          </cell>
          <cell r="W55">
            <v>1.8892648492280228</v>
          </cell>
        </row>
        <row r="56">
          <cell r="B56" t="str">
            <v>Estonia</v>
          </cell>
          <cell r="C56">
            <v>1.972770435214799</v>
          </cell>
          <cell r="D56">
            <v>2.6853264084946815</v>
          </cell>
          <cell r="E56">
            <v>2.7928430899179402</v>
          </cell>
          <cell r="G56" t="str">
            <v>B</v>
          </cell>
          <cell r="H56">
            <v>82.267245472231053</v>
          </cell>
          <cell r="I56">
            <v>41</v>
          </cell>
          <cell r="J56">
            <v>27</v>
          </cell>
          <cell r="L56">
            <v>3.1248431915696226</v>
          </cell>
          <cell r="M56">
            <v>1.346187835760732</v>
          </cell>
          <cell r="N56">
            <v>2.9873258188549392</v>
          </cell>
          <cell r="O56">
            <v>1.853</v>
          </cell>
          <cell r="P56">
            <v>3.1549999999999998</v>
          </cell>
          <cell r="Q56">
            <v>5.7919999999999998</v>
          </cell>
          <cell r="R56">
            <v>3.7839999999999998</v>
          </cell>
          <cell r="S56">
            <v>3.74</v>
          </cell>
          <cell r="T56">
            <v>-0.55100000000000005</v>
          </cell>
          <cell r="U56">
            <v>8.0129999999999999</v>
          </cell>
          <cell r="V56">
            <v>-1.2869999999999999</v>
          </cell>
          <cell r="W56">
            <v>2.7390847492063108</v>
          </cell>
        </row>
        <row r="57">
          <cell r="B57" t="str">
            <v>Eswatini</v>
          </cell>
          <cell r="C57">
            <v>2.1841699351578647</v>
          </cell>
          <cell r="D57">
            <v>2.1180367535848621</v>
          </cell>
          <cell r="E57">
            <v>2.094572895591984</v>
          </cell>
          <cell r="G57" t="str">
            <v>D</v>
          </cell>
          <cell r="H57">
            <v>63.876381030610304</v>
          </cell>
          <cell r="I57">
            <v>117</v>
          </cell>
          <cell r="J57">
            <v>27</v>
          </cell>
          <cell r="L57">
            <v>5.3913093065302364</v>
          </cell>
          <cell r="M57">
            <v>3.8622718821819677</v>
          </cell>
          <cell r="N57">
            <v>0.91319649477376841</v>
          </cell>
          <cell r="O57">
            <v>2.2269999999999999</v>
          </cell>
          <cell r="P57">
            <v>1.0629999999999999</v>
          </cell>
          <cell r="Q57">
            <v>2.0270000000000001</v>
          </cell>
          <cell r="R57">
            <v>2.3690000000000002</v>
          </cell>
          <cell r="S57">
            <v>2.7040000000000002</v>
          </cell>
          <cell r="T57">
            <v>-1.56</v>
          </cell>
          <cell r="U57">
            <v>7.883</v>
          </cell>
          <cell r="V57">
            <v>0.46700000000000003</v>
          </cell>
          <cell r="W57">
            <v>2.1063048245884231</v>
          </cell>
        </row>
        <row r="58">
          <cell r="B58" t="str">
            <v>Ethiopia</v>
          </cell>
          <cell r="C58">
            <v>6.0178655257344227</v>
          </cell>
          <cell r="D58">
            <v>6.6428861766961944</v>
          </cell>
          <cell r="E58">
            <v>8.3305963840047514</v>
          </cell>
          <cell r="G58" t="str">
            <v>E</v>
          </cell>
          <cell r="H58">
            <v>58.357971531116526</v>
          </cell>
          <cell r="I58">
            <v>128</v>
          </cell>
          <cell r="J58">
            <v>31</v>
          </cell>
          <cell r="L58">
            <v>8.6478116333741841</v>
          </cell>
          <cell r="M58">
            <v>10.582270048267214</v>
          </cell>
          <cell r="N58">
            <v>10.257492961005118</v>
          </cell>
          <cell r="O58">
            <v>10.4</v>
          </cell>
          <cell r="P58">
            <v>8</v>
          </cell>
          <cell r="Q58">
            <v>10.210000000000001</v>
          </cell>
          <cell r="R58">
            <v>7.7030000000000003</v>
          </cell>
          <cell r="S58">
            <v>9.0370000000000008</v>
          </cell>
          <cell r="T58">
            <v>6.0570000000000004</v>
          </cell>
          <cell r="U58">
            <v>6.2649999999999997</v>
          </cell>
          <cell r="V58">
            <v>6.3579999999999997</v>
          </cell>
          <cell r="W58">
            <v>7.4867412803504729</v>
          </cell>
        </row>
        <row r="59">
          <cell r="B59" t="str">
            <v>Finland</v>
          </cell>
          <cell r="C59">
            <v>0.92513707934396283</v>
          </cell>
          <cell r="D59">
            <v>1.065704979127502</v>
          </cell>
          <cell r="E59">
            <v>1.0351636365421246</v>
          </cell>
          <cell r="G59" t="str">
            <v>A</v>
          </cell>
          <cell r="H59">
            <v>97.443307672167862</v>
          </cell>
          <cell r="I59">
            <v>5</v>
          </cell>
          <cell r="J59">
            <v>3</v>
          </cell>
          <cell r="L59">
            <v>-1.3973545576374944</v>
          </cell>
          <cell r="M59">
            <v>-0.90201849743960727</v>
          </cell>
          <cell r="N59">
            <v>-0.36494028121428063</v>
          </cell>
          <cell r="O59">
            <v>0.54400000000000004</v>
          </cell>
          <cell r="P59">
            <v>2.8109999999999999</v>
          </cell>
          <cell r="Q59">
            <v>3.1920000000000002</v>
          </cell>
          <cell r="R59">
            <v>1.1399999999999999</v>
          </cell>
          <cell r="S59">
            <v>1.224</v>
          </cell>
          <cell r="T59">
            <v>-2.355</v>
          </cell>
          <cell r="U59">
            <v>3.0459999999999998</v>
          </cell>
          <cell r="V59">
            <v>2.0840000000000001</v>
          </cell>
          <cell r="W59">
            <v>1.0504343078348133</v>
          </cell>
        </row>
        <row r="60">
          <cell r="B60" t="str">
            <v>France</v>
          </cell>
          <cell r="C60">
            <v>0.35484098705607092</v>
          </cell>
          <cell r="D60">
            <v>0.85541697677951056</v>
          </cell>
          <cell r="E60">
            <v>1.0299722548507528</v>
          </cell>
          <cell r="G60" t="str">
            <v>A</v>
          </cell>
          <cell r="H60">
            <v>94.937245038342397</v>
          </cell>
          <cell r="I60">
            <v>20</v>
          </cell>
          <cell r="J60">
            <v>13</v>
          </cell>
          <cell r="L60">
            <v>0.31313474167845923</v>
          </cell>
          <cell r="M60">
            <v>0.5763266794418439</v>
          </cell>
          <cell r="N60">
            <v>0.95618304768384532</v>
          </cell>
          <cell r="O60">
            <v>1.0549999999999999</v>
          </cell>
          <cell r="P60">
            <v>0.98199999999999998</v>
          </cell>
          <cell r="Q60">
            <v>2.4489999999999998</v>
          </cell>
          <cell r="R60">
            <v>1.8240000000000001</v>
          </cell>
          <cell r="S60">
            <v>1.8839999999999999</v>
          </cell>
          <cell r="T60">
            <v>-7.907</v>
          </cell>
          <cell r="U60">
            <v>6.77</v>
          </cell>
          <cell r="V60">
            <v>2.6059999999999999</v>
          </cell>
          <cell r="W60">
            <v>0.9426946158151317</v>
          </cell>
        </row>
        <row r="61">
          <cell r="B61" t="str">
            <v>Gabon</v>
          </cell>
          <cell r="C61">
            <v>0.80490169914342324</v>
          </cell>
          <cell r="D61">
            <v>1.4271603442411074</v>
          </cell>
          <cell r="E61">
            <v>2.3419356903168431</v>
          </cell>
          <cell r="G61" t="str">
            <v>E</v>
          </cell>
          <cell r="H61">
            <v>37.219050826761183</v>
          </cell>
          <cell r="I61">
            <v>153</v>
          </cell>
          <cell r="J61">
            <v>46</v>
          </cell>
          <cell r="L61">
            <v>5.251076917504065</v>
          </cell>
          <cell r="M61">
            <v>5.6386990033869457</v>
          </cell>
          <cell r="N61">
            <v>4.3149644410747063</v>
          </cell>
          <cell r="O61">
            <v>3.879</v>
          </cell>
          <cell r="P61">
            <v>2.0910000000000002</v>
          </cell>
          <cell r="Q61">
            <v>0.47299999999999998</v>
          </cell>
          <cell r="R61">
            <v>0.84299999999999997</v>
          </cell>
          <cell r="S61">
            <v>3.915</v>
          </cell>
          <cell r="T61">
            <v>-1.8640000000000001</v>
          </cell>
          <cell r="U61">
            <v>1.484</v>
          </cell>
          <cell r="V61">
            <v>2.8479999999999999</v>
          </cell>
          <cell r="W61">
            <v>1.8845480172789753</v>
          </cell>
        </row>
        <row r="62">
          <cell r="B62" t="str">
            <v>Gambia</v>
          </cell>
          <cell r="C62">
            <v>3.0839257560593802</v>
          </cell>
          <cell r="D62">
            <v>4.5260960958580343</v>
          </cell>
          <cell r="E62">
            <v>3.4750911540431417</v>
          </cell>
          <cell r="G62" t="str">
            <v>D</v>
          </cell>
          <cell r="H62">
            <v>65.416670727464805</v>
          </cell>
          <cell r="I62">
            <v>114</v>
          </cell>
          <cell r="J62">
            <v>26</v>
          </cell>
          <cell r="L62">
            <v>5.2415692463074244</v>
          </cell>
          <cell r="M62">
            <v>2.8727687903269969</v>
          </cell>
          <cell r="N62">
            <v>-1.4073824951095362</v>
          </cell>
          <cell r="O62">
            <v>4.0579999999999998</v>
          </cell>
          <cell r="P62">
            <v>1.9430000000000001</v>
          </cell>
          <cell r="Q62">
            <v>4.8230000000000004</v>
          </cell>
          <cell r="R62">
            <v>7.2350000000000003</v>
          </cell>
          <cell r="S62">
            <v>6.2220000000000004</v>
          </cell>
          <cell r="T62">
            <v>0.59099999999999997</v>
          </cell>
          <cell r="U62">
            <v>4.2649999999999997</v>
          </cell>
          <cell r="V62">
            <v>4.4409999999999998</v>
          </cell>
          <cell r="W62">
            <v>4.0005936249505876</v>
          </cell>
        </row>
        <row r="63">
          <cell r="B63" t="str">
            <v>Georgia</v>
          </cell>
          <cell r="C63">
            <v>4.283743954922925</v>
          </cell>
          <cell r="D63">
            <v>4.5348375618438741</v>
          </cell>
          <cell r="E63">
            <v>4.1477466898679483</v>
          </cell>
          <cell r="G63" t="str">
            <v>B</v>
          </cell>
          <cell r="H63">
            <v>80.727500391697276</v>
          </cell>
          <cell r="I63">
            <v>46</v>
          </cell>
          <cell r="J63">
            <v>31</v>
          </cell>
          <cell r="L63">
            <v>6.3690083063386043</v>
          </cell>
          <cell r="M63">
            <v>3.6213053519627643</v>
          </cell>
          <cell r="N63">
            <v>4.4319248230907649</v>
          </cell>
          <cell r="O63">
            <v>3.0270000000000001</v>
          </cell>
          <cell r="P63">
            <v>2.9060000000000001</v>
          </cell>
          <cell r="Q63">
            <v>4.843</v>
          </cell>
          <cell r="R63">
            <v>4.843</v>
          </cell>
          <cell r="S63">
            <v>4.9820000000000002</v>
          </cell>
          <cell r="T63">
            <v>-6.76</v>
          </cell>
          <cell r="U63">
            <v>10.465999999999999</v>
          </cell>
          <cell r="V63">
            <v>10.109</v>
          </cell>
          <cell r="W63">
            <v>4.3412921258559116</v>
          </cell>
        </row>
        <row r="64">
          <cell r="B64" t="str">
            <v>Germany</v>
          </cell>
          <cell r="C64">
            <v>0.19639292345923209</v>
          </cell>
          <cell r="D64">
            <v>0.54722001304448042</v>
          </cell>
          <cell r="E64">
            <v>1.1791658469401556</v>
          </cell>
          <cell r="G64" t="str">
            <v>A</v>
          </cell>
          <cell r="H64">
            <v>96.79194200114037</v>
          </cell>
          <cell r="I64">
            <v>8</v>
          </cell>
          <cell r="J64">
            <v>6</v>
          </cell>
          <cell r="L64">
            <v>0.41955108005357267</v>
          </cell>
          <cell r="M64">
            <v>0.42824326167218907</v>
          </cell>
          <cell r="N64">
            <v>2.2256887491492803</v>
          </cell>
          <cell r="O64">
            <v>1.4870000000000001</v>
          </cell>
          <cell r="P64">
            <v>2.23</v>
          </cell>
          <cell r="Q64">
            <v>2.68</v>
          </cell>
          <cell r="R64">
            <v>0.98399999999999999</v>
          </cell>
          <cell r="S64">
            <v>1.054</v>
          </cell>
          <cell r="T64">
            <v>-3.6920000000000002</v>
          </cell>
          <cell r="U64">
            <v>2.625</v>
          </cell>
          <cell r="V64">
            <v>1.778</v>
          </cell>
          <cell r="W64">
            <v>0.863192929992318</v>
          </cell>
        </row>
        <row r="65">
          <cell r="B65" t="str">
            <v>Ghana</v>
          </cell>
          <cell r="C65">
            <v>3.0107142168638523</v>
          </cell>
          <cell r="D65">
            <v>4.8285507296226937</v>
          </cell>
          <cell r="E65">
            <v>4.7980640567336197</v>
          </cell>
          <cell r="G65" t="str">
            <v>C</v>
          </cell>
          <cell r="H65">
            <v>69.704517199471169</v>
          </cell>
          <cell r="I65">
            <v>89</v>
          </cell>
          <cell r="J65">
            <v>13</v>
          </cell>
          <cell r="L65">
            <v>9.2927894045967889</v>
          </cell>
          <cell r="M65">
            <v>7.3125250073312458</v>
          </cell>
          <cell r="N65">
            <v>2.8974388369154251</v>
          </cell>
          <cell r="O65">
            <v>2.121</v>
          </cell>
          <cell r="P65">
            <v>3.3730000000000002</v>
          </cell>
          <cell r="Q65">
            <v>8.1289999999999996</v>
          </cell>
          <cell r="R65">
            <v>6.2</v>
          </cell>
          <cell r="S65">
            <v>6.508</v>
          </cell>
          <cell r="T65">
            <v>0.51400000000000001</v>
          </cell>
          <cell r="U65">
            <v>5.3559999999999999</v>
          </cell>
          <cell r="V65">
            <v>3.2189999999999999</v>
          </cell>
          <cell r="W65">
            <v>4.8133073931781567</v>
          </cell>
        </row>
        <row r="66">
          <cell r="B66" t="str">
            <v>Greece</v>
          </cell>
          <cell r="C66">
            <v>1.4800990034344652</v>
          </cell>
          <cell r="D66">
            <v>1.2580147511245698</v>
          </cell>
          <cell r="E66">
            <v>0.45671215262543807</v>
          </cell>
          <cell r="G66" t="str">
            <v>A</v>
          </cell>
          <cell r="H66">
            <v>87.308557455608167</v>
          </cell>
          <cell r="I66">
            <v>31</v>
          </cell>
          <cell r="J66">
            <v>20</v>
          </cell>
          <cell r="L66">
            <v>-7.3004939606978656</v>
          </cell>
          <cell r="M66">
            <v>-3.2414250560129267</v>
          </cell>
          <cell r="N66">
            <v>0.73977713855774985</v>
          </cell>
          <cell r="O66">
            <v>-0.19600000000000001</v>
          </cell>
          <cell r="P66">
            <v>-0.48699999999999999</v>
          </cell>
          <cell r="Q66">
            <v>1.0920000000000001</v>
          </cell>
          <cell r="R66">
            <v>1.6679999999999999</v>
          </cell>
          <cell r="S66">
            <v>1.8839999999999999</v>
          </cell>
          <cell r="T66">
            <v>-9.0039999999999996</v>
          </cell>
          <cell r="U66">
            <v>8.4339999999999993</v>
          </cell>
          <cell r="V66">
            <v>5.9139999999999997</v>
          </cell>
          <cell r="W66">
            <v>0.85736345187500396</v>
          </cell>
        </row>
        <row r="67">
          <cell r="B67" t="str">
            <v>Guatemala</v>
          </cell>
          <cell r="C67">
            <v>3.3306625930319189</v>
          </cell>
          <cell r="D67">
            <v>3.4919746764532578</v>
          </cell>
          <cell r="E67">
            <v>3.5384372691175781</v>
          </cell>
          <cell r="G67" t="str">
            <v>C</v>
          </cell>
          <cell r="H67">
            <v>71.336652243067974</v>
          </cell>
          <cell r="I67">
            <v>82</v>
          </cell>
          <cell r="J67">
            <v>10</v>
          </cell>
          <cell r="L67">
            <v>2.9698574079878068</v>
          </cell>
          <cell r="M67">
            <v>3.6975861001947585</v>
          </cell>
          <cell r="N67">
            <v>4.4439780738522474</v>
          </cell>
          <cell r="O67">
            <v>4.0919999999999996</v>
          </cell>
          <cell r="P67">
            <v>2.6779999999999999</v>
          </cell>
          <cell r="Q67">
            <v>3.08</v>
          </cell>
          <cell r="R67">
            <v>3.407</v>
          </cell>
          <cell r="S67">
            <v>4.0019999999999998</v>
          </cell>
          <cell r="T67">
            <v>-1.764</v>
          </cell>
          <cell r="U67">
            <v>7.9809999999999999</v>
          </cell>
          <cell r="V67">
            <v>4.0090000000000003</v>
          </cell>
          <cell r="W67">
            <v>3.5152059727854179</v>
          </cell>
        </row>
        <row r="68">
          <cell r="B68" t="str">
            <v>Guinea</v>
          </cell>
          <cell r="C68">
            <v>4.3705772513408236</v>
          </cell>
          <cell r="D68">
            <v>4.9898667622307658</v>
          </cell>
          <cell r="E68">
            <v>5.729233966321412</v>
          </cell>
          <cell r="G68" t="str">
            <v>E</v>
          </cell>
          <cell r="H68">
            <v>50.297438492745087</v>
          </cell>
          <cell r="I68">
            <v>138</v>
          </cell>
          <cell r="J68">
            <v>36</v>
          </cell>
          <cell r="L68">
            <v>5.9152881384417997</v>
          </cell>
          <cell r="M68">
            <v>3.9456854305126305</v>
          </cell>
          <cell r="N68">
            <v>3.6965411823164165</v>
          </cell>
          <cell r="O68">
            <v>3.8260000000000001</v>
          </cell>
          <cell r="P68">
            <v>10.821</v>
          </cell>
          <cell r="Q68">
            <v>10.3</v>
          </cell>
          <cell r="R68">
            <v>6.3579999999999997</v>
          </cell>
          <cell r="S68">
            <v>5.617</v>
          </cell>
          <cell r="T68">
            <v>4.92</v>
          </cell>
          <cell r="U68">
            <v>4.2919999999999998</v>
          </cell>
          <cell r="V68">
            <v>4.2939999999999996</v>
          </cell>
          <cell r="W68">
            <v>5.3595503642760889</v>
          </cell>
        </row>
        <row r="69">
          <cell r="B69" t="str">
            <v>Guinea-Bissau</v>
          </cell>
          <cell r="C69">
            <v>1.5927018196488341</v>
          </cell>
          <cell r="D69">
            <v>2.1053991541019057</v>
          </cell>
          <cell r="E69">
            <v>3.2889383993762955</v>
          </cell>
          <cell r="G69" t="str">
            <v>E</v>
          </cell>
          <cell r="H69">
            <v>54.70982708603303</v>
          </cell>
          <cell r="I69">
            <v>134</v>
          </cell>
          <cell r="J69">
            <v>34</v>
          </cell>
          <cell r="L69">
            <v>-1.7126830118107121</v>
          </cell>
          <cell r="M69">
            <v>3.255904265176933</v>
          </cell>
          <cell r="N69">
            <v>0.96456075098132787</v>
          </cell>
          <cell r="O69">
            <v>6.1340000000000003</v>
          </cell>
          <cell r="P69">
            <v>5.3070000000000004</v>
          </cell>
          <cell r="Q69">
            <v>4.7889999999999997</v>
          </cell>
          <cell r="R69">
            <v>3.7610000000000001</v>
          </cell>
          <cell r="S69">
            <v>4.5</v>
          </cell>
          <cell r="T69">
            <v>1.5</v>
          </cell>
          <cell r="U69">
            <v>6.4</v>
          </cell>
          <cell r="V69">
            <v>3.5</v>
          </cell>
          <cell r="W69">
            <v>2.6971687767391006</v>
          </cell>
        </row>
        <row r="70">
          <cell r="B70" t="str">
            <v>Guyana</v>
          </cell>
          <cell r="C70">
            <v>40.872083180158647</v>
          </cell>
          <cell r="D70">
            <v>25.198248131969379</v>
          </cell>
          <cell r="E70">
            <v>13.395686805616647</v>
          </cell>
          <cell r="G70" t="str">
            <v>E</v>
          </cell>
          <cell r="H70">
            <v>56.740934863022261</v>
          </cell>
          <cell r="I70">
            <v>129</v>
          </cell>
          <cell r="J70">
            <v>21</v>
          </cell>
          <cell r="L70">
            <v>5.3836234687298372</v>
          </cell>
          <cell r="M70">
            <v>3.6535047680067998</v>
          </cell>
          <cell r="N70">
            <v>1.6860277321410588</v>
          </cell>
          <cell r="O70">
            <v>0.68700000000000006</v>
          </cell>
          <cell r="P70">
            <v>3.8069999999999999</v>
          </cell>
          <cell r="Q70">
            <v>3.734</v>
          </cell>
          <cell r="R70">
            <v>4.4409999999999998</v>
          </cell>
          <cell r="S70">
            <v>5.3529999999999998</v>
          </cell>
          <cell r="T70">
            <v>43.48</v>
          </cell>
          <cell r="U70">
            <v>20.059999999999999</v>
          </cell>
          <cell r="V70">
            <v>62.287999999999997</v>
          </cell>
          <cell r="W70">
            <v>19.296967468793014</v>
          </cell>
        </row>
        <row r="71">
          <cell r="B71" t="str">
            <v>Haiti</v>
          </cell>
          <cell r="C71">
            <v>-0.34574931867293879</v>
          </cell>
          <cell r="D71">
            <v>0.64565822904871784</v>
          </cell>
          <cell r="E71">
            <v>2.5156599586003026</v>
          </cell>
          <cell r="G71" t="str">
            <v>E</v>
          </cell>
          <cell r="H71">
            <v>54.401198784391461</v>
          </cell>
          <cell r="I71">
            <v>135</v>
          </cell>
          <cell r="J71">
            <v>22</v>
          </cell>
          <cell r="L71">
            <v>-7.4695954800602468E-2</v>
          </cell>
          <cell r="M71">
            <v>9.2111856449685803</v>
          </cell>
          <cell r="N71">
            <v>1.9148137793287729</v>
          </cell>
          <cell r="O71">
            <v>2.5630000000000002</v>
          </cell>
          <cell r="P71">
            <v>1.8120000000000001</v>
          </cell>
          <cell r="Q71">
            <v>2.5099999999999998</v>
          </cell>
          <cell r="R71">
            <v>1.6679999999999999</v>
          </cell>
          <cell r="S71">
            <v>-1.6850000000000001</v>
          </cell>
          <cell r="T71">
            <v>-3.343</v>
          </cell>
          <cell r="U71">
            <v>-1.798</v>
          </cell>
          <cell r="V71">
            <v>-1.6819999999999999</v>
          </cell>
          <cell r="W71">
            <v>1.5806590938245102</v>
          </cell>
        </row>
        <row r="72">
          <cell r="B72" t="str">
            <v>Honduras</v>
          </cell>
          <cell r="C72">
            <v>2.1352529558121391</v>
          </cell>
          <cell r="D72">
            <v>2.5786313755856494</v>
          </cell>
          <cell r="E72">
            <v>3.1291474397337593</v>
          </cell>
          <cell r="G72" t="str">
            <v>E</v>
          </cell>
          <cell r="H72">
            <v>39.565152370912173</v>
          </cell>
          <cell r="I72">
            <v>152</v>
          </cell>
          <cell r="J72">
            <v>24</v>
          </cell>
          <cell r="L72">
            <v>4.1286877486693667</v>
          </cell>
          <cell r="M72">
            <v>2.7915597574680358</v>
          </cell>
          <cell r="N72">
            <v>3.0580805621437066</v>
          </cell>
          <cell r="O72">
            <v>3.84</v>
          </cell>
          <cell r="P72">
            <v>3.8929999999999998</v>
          </cell>
          <cell r="Q72">
            <v>4.843</v>
          </cell>
          <cell r="R72">
            <v>3.8450000000000002</v>
          </cell>
          <cell r="S72">
            <v>2.653</v>
          </cell>
          <cell r="T72">
            <v>-8.9649999999999999</v>
          </cell>
          <cell r="U72">
            <v>12.534000000000001</v>
          </cell>
          <cell r="V72">
            <v>4</v>
          </cell>
          <cell r="W72">
            <v>2.8538894076597043</v>
          </cell>
        </row>
        <row r="73">
          <cell r="B73" t="str">
            <v>Hong Kong</v>
          </cell>
          <cell r="C73">
            <v>-1.3866109004180949</v>
          </cell>
          <cell r="D73">
            <v>-0.61127068207094126</v>
          </cell>
          <cell r="E73">
            <v>1.1000622223137801</v>
          </cell>
          <cell r="G73" t="str">
            <v>A</v>
          </cell>
          <cell r="H73">
            <v>95.561927385722356</v>
          </cell>
          <cell r="I73">
            <v>18</v>
          </cell>
          <cell r="J73">
            <v>5</v>
          </cell>
          <cell r="L73">
            <v>1.7002747714417163</v>
          </cell>
          <cell r="M73">
            <v>3.1015497799994041</v>
          </cell>
          <cell r="N73">
            <v>2.7623919976975242</v>
          </cell>
          <cell r="O73">
            <v>2.3879999999999999</v>
          </cell>
          <cell r="P73">
            <v>2.1749999999999998</v>
          </cell>
          <cell r="Q73">
            <v>3.7959999999999998</v>
          </cell>
          <cell r="R73">
            <v>2.847</v>
          </cell>
          <cell r="S73">
            <v>-1.6719999999999999</v>
          </cell>
          <cell r="T73">
            <v>-6.5449999999999999</v>
          </cell>
          <cell r="U73">
            <v>6.4480000000000004</v>
          </cell>
          <cell r="V73">
            <v>-3.5070000000000001</v>
          </cell>
          <cell r="W73">
            <v>0.24439577012141944</v>
          </cell>
        </row>
        <row r="74">
          <cell r="B74" t="str">
            <v>Hungary</v>
          </cell>
          <cell r="C74">
            <v>2.362570497371097</v>
          </cell>
          <cell r="D74">
            <v>3.4329643388785636</v>
          </cell>
          <cell r="E74">
            <v>3.366609258538622</v>
          </cell>
          <cell r="G74" t="str">
            <v>C</v>
          </cell>
          <cell r="H74">
            <v>75.842312832768172</v>
          </cell>
          <cell r="I74">
            <v>67</v>
          </cell>
          <cell r="J74">
            <v>37</v>
          </cell>
          <cell r="L74">
            <v>-1.4717888510830746</v>
          </cell>
          <cell r="M74">
            <v>1.9629840486290608</v>
          </cell>
          <cell r="N74">
            <v>4.1950824094780925</v>
          </cell>
          <cell r="O74">
            <v>3.7069999999999999</v>
          </cell>
          <cell r="P74">
            <v>2.2010000000000001</v>
          </cell>
          <cell r="Q74">
            <v>4.2720000000000002</v>
          </cell>
          <cell r="R74">
            <v>5.3620000000000001</v>
          </cell>
          <cell r="S74">
            <v>4.8579999999999997</v>
          </cell>
          <cell r="T74">
            <v>-4.5469999999999997</v>
          </cell>
          <cell r="U74">
            <v>7.117</v>
          </cell>
          <cell r="V74">
            <v>4.9000000000000004</v>
          </cell>
          <cell r="W74">
            <v>3.3997867987085928</v>
          </cell>
        </row>
        <row r="75">
          <cell r="B75" t="str">
            <v>Iceland</v>
          </cell>
          <cell r="C75">
            <v>1.1623871589995449</v>
          </cell>
          <cell r="D75">
            <v>2.1481166990517275</v>
          </cell>
          <cell r="E75">
            <v>3.1810733517810608</v>
          </cell>
          <cell r="G75" t="str">
            <v>A</v>
          </cell>
          <cell r="H75">
            <v>95.11269526919466</v>
          </cell>
          <cell r="I75">
            <v>19</v>
          </cell>
          <cell r="J75">
            <v>12</v>
          </cell>
          <cell r="L75">
            <v>1.0636366074376145</v>
          </cell>
          <cell r="M75">
            <v>4.5524603201510816</v>
          </cell>
          <cell r="N75">
            <v>1.687215017506406</v>
          </cell>
          <cell r="O75">
            <v>4.4370000000000003</v>
          </cell>
          <cell r="P75">
            <v>6.3040000000000003</v>
          </cell>
          <cell r="Q75">
            <v>4.1950000000000003</v>
          </cell>
          <cell r="R75">
            <v>4.8890000000000002</v>
          </cell>
          <cell r="S75">
            <v>1.8049999999999999</v>
          </cell>
          <cell r="T75">
            <v>-7.242</v>
          </cell>
          <cell r="U75">
            <v>4.3330000000000002</v>
          </cell>
          <cell r="V75">
            <v>6.4450000000000003</v>
          </cell>
          <cell r="W75">
            <v>2.6645950254163941</v>
          </cell>
        </row>
        <row r="76">
          <cell r="B76" t="str">
            <v>India</v>
          </cell>
          <cell r="C76">
            <v>2.7398620097403459</v>
          </cell>
          <cell r="D76">
            <v>3.6623835250989556</v>
          </cell>
          <cell r="E76">
            <v>5.5227254922200597</v>
          </cell>
          <cell r="G76" t="str">
            <v>D</v>
          </cell>
          <cell r="H76">
            <v>66.198052259063019</v>
          </cell>
          <cell r="I76">
            <v>109</v>
          </cell>
          <cell r="J76">
            <v>21</v>
          </cell>
          <cell r="L76">
            <v>5.4563589507228496</v>
          </cell>
          <cell r="M76">
            <v>6.3861064009482602</v>
          </cell>
          <cell r="N76">
            <v>7.410227605088517</v>
          </cell>
          <cell r="O76">
            <v>7.9960000000000004</v>
          </cell>
          <cell r="P76">
            <v>8.2560000000000002</v>
          </cell>
          <cell r="Q76">
            <v>6.7949999999999999</v>
          </cell>
          <cell r="R76">
            <v>6.4539999999999997</v>
          </cell>
          <cell r="S76">
            <v>3.871</v>
          </cell>
          <cell r="T76">
            <v>-5.8310000000000004</v>
          </cell>
          <cell r="U76">
            <v>9.0500000000000007</v>
          </cell>
          <cell r="V76">
            <v>6.8310000000000004</v>
          </cell>
          <cell r="W76">
            <v>4.5925545086595072</v>
          </cell>
        </row>
        <row r="77">
          <cell r="B77" t="str">
            <v>Indonesia</v>
          </cell>
          <cell r="C77">
            <v>2.2622053552423305</v>
          </cell>
          <cell r="D77">
            <v>3.3867361875690394</v>
          </cell>
          <cell r="E77">
            <v>4.2439953782461792</v>
          </cell>
          <cell r="G77" t="str">
            <v>C</v>
          </cell>
          <cell r="H77">
            <v>71.158529876167961</v>
          </cell>
          <cell r="I77">
            <v>83</v>
          </cell>
          <cell r="J77">
            <v>14</v>
          </cell>
          <cell r="L77">
            <v>6.0300506530561035</v>
          </cell>
          <cell r="M77">
            <v>5.5572636889101181</v>
          </cell>
          <cell r="N77">
            <v>5.0066684257549943</v>
          </cell>
          <cell r="O77">
            <v>4.8760000000000003</v>
          </cell>
          <cell r="P77">
            <v>5.0330000000000004</v>
          </cell>
          <cell r="Q77">
            <v>5.07</v>
          </cell>
          <cell r="R77">
            <v>5.1740000000000004</v>
          </cell>
          <cell r="S77">
            <v>5.0190000000000001</v>
          </cell>
          <cell r="T77">
            <v>-2.0659999999999998</v>
          </cell>
          <cell r="U77">
            <v>3.7029999999999998</v>
          </cell>
          <cell r="V77">
            <v>5.3090000000000002</v>
          </cell>
          <cell r="W77">
            <v>3.8153657829076093</v>
          </cell>
        </row>
        <row r="78">
          <cell r="B78" t="str">
            <v>Ireland</v>
          </cell>
          <cell r="C78">
            <v>10.534737934438866</v>
          </cell>
          <cell r="D78">
            <v>8.9900271540683807</v>
          </cell>
          <cell r="E78">
            <v>9.0332345891797274</v>
          </cell>
          <cell r="G78" t="str">
            <v>A</v>
          </cell>
          <cell r="H78">
            <v>96.106887509545572</v>
          </cell>
          <cell r="I78">
            <v>12</v>
          </cell>
          <cell r="J78">
            <v>9</v>
          </cell>
          <cell r="L78">
            <v>0.22571484300232808</v>
          </cell>
          <cell r="M78">
            <v>1.3516340039407124</v>
          </cell>
          <cell r="N78">
            <v>8.5566879851340367</v>
          </cell>
          <cell r="O78">
            <v>24.370999999999999</v>
          </cell>
          <cell r="P78">
            <v>2.0070000000000001</v>
          </cell>
          <cell r="Q78">
            <v>9.0050000000000008</v>
          </cell>
          <cell r="R78">
            <v>8.5280000000000005</v>
          </cell>
          <cell r="S78">
            <v>5.4409999999999998</v>
          </cell>
          <cell r="T78">
            <v>6.1840000000000002</v>
          </cell>
          <cell r="U78">
            <v>13.587999999999999</v>
          </cell>
          <cell r="V78">
            <v>11.97</v>
          </cell>
          <cell r="W78">
            <v>9.0116308716240532</v>
          </cell>
        </row>
        <row r="79">
          <cell r="B79" t="str">
            <v>Israel</v>
          </cell>
          <cell r="C79">
            <v>4.2964072248328211</v>
          </cell>
          <cell r="D79">
            <v>4.3056817639917977</v>
          </cell>
          <cell r="E79">
            <v>3.9225915638386066</v>
          </cell>
          <cell r="G79" t="str">
            <v>A</v>
          </cell>
          <cell r="H79">
            <v>91.08708937267636</v>
          </cell>
          <cell r="I79">
            <v>24</v>
          </cell>
          <cell r="J79">
            <v>2</v>
          </cell>
          <cell r="L79">
            <v>2.2572375479441442</v>
          </cell>
          <cell r="M79">
            <v>4.1480545517150818</v>
          </cell>
          <cell r="N79">
            <v>3.7582001903069706</v>
          </cell>
          <cell r="O79">
            <v>2.4860000000000002</v>
          </cell>
          <cell r="P79">
            <v>4.5220000000000002</v>
          </cell>
          <cell r="Q79">
            <v>4.2759999999999998</v>
          </cell>
          <cell r="R79">
            <v>4.07</v>
          </cell>
          <cell r="S79">
            <v>4.1559999999999997</v>
          </cell>
          <cell r="T79">
            <v>-1.857</v>
          </cell>
          <cell r="U79">
            <v>8.6120000000000001</v>
          </cell>
          <cell r="V79">
            <v>6.4320000000000004</v>
          </cell>
          <cell r="W79">
            <v>4.1141366639152022</v>
          </cell>
        </row>
        <row r="80">
          <cell r="B80" t="str">
            <v>Italy</v>
          </cell>
          <cell r="C80">
            <v>0.2182802501019987</v>
          </cell>
          <cell r="D80">
            <v>0.31439174572445161</v>
          </cell>
          <cell r="E80">
            <v>0.34271436280863821</v>
          </cell>
          <cell r="G80" t="str">
            <v>A</v>
          </cell>
          <cell r="H80">
            <v>88.947746010825512</v>
          </cell>
          <cell r="I80">
            <v>29</v>
          </cell>
          <cell r="J80">
            <v>18</v>
          </cell>
          <cell r="L80">
            <v>-2.9809057682377182</v>
          </cell>
          <cell r="M80">
            <v>-1.8410654508824811</v>
          </cell>
          <cell r="N80">
            <v>-4.5475423638333965E-3</v>
          </cell>
          <cell r="O80">
            <v>0.77800000000000002</v>
          </cell>
          <cell r="P80">
            <v>1.2929999999999999</v>
          </cell>
          <cell r="Q80">
            <v>1.6679999999999999</v>
          </cell>
          <cell r="R80">
            <v>0.92600000000000005</v>
          </cell>
          <cell r="S80">
            <v>0.48299999999999998</v>
          </cell>
          <cell r="T80">
            <v>-8.9789999999999992</v>
          </cell>
          <cell r="U80">
            <v>6.9870000000000001</v>
          </cell>
          <cell r="V80">
            <v>3.6749999999999998</v>
          </cell>
          <cell r="W80">
            <v>0.32855305426654491</v>
          </cell>
        </row>
        <row r="81">
          <cell r="B81" t="str">
            <v>Jamaica</v>
          </cell>
          <cell r="C81">
            <v>-0.70306474958997667</v>
          </cell>
          <cell r="D81">
            <v>0.12887839009743107</v>
          </cell>
          <cell r="E81">
            <v>0.51362317164571625</v>
          </cell>
          <cell r="G81" t="str">
            <v>E</v>
          </cell>
          <cell r="H81">
            <v>53.312824662633638</v>
          </cell>
          <cell r="I81">
            <v>137</v>
          </cell>
          <cell r="J81">
            <v>23</v>
          </cell>
          <cell r="L81">
            <v>-0.61363603986913318</v>
          </cell>
          <cell r="M81">
            <v>0.51768601280242099</v>
          </cell>
          <cell r="N81">
            <v>0.68982235737431619</v>
          </cell>
          <cell r="O81">
            <v>0.86899999999999999</v>
          </cell>
          <cell r="P81">
            <v>1.498</v>
          </cell>
          <cell r="Q81">
            <v>0.67900000000000005</v>
          </cell>
          <cell r="R81">
            <v>1.827</v>
          </cell>
          <cell r="S81">
            <v>0.97</v>
          </cell>
          <cell r="T81">
            <v>-9.92</v>
          </cell>
          <cell r="U81">
            <v>4.601</v>
          </cell>
          <cell r="V81">
            <v>4</v>
          </cell>
          <cell r="W81">
            <v>0.32125078087157366</v>
          </cell>
        </row>
        <row r="82">
          <cell r="B82" t="str">
            <v>Japan</v>
          </cell>
          <cell r="C82">
            <v>-0.63095756344230258</v>
          </cell>
          <cell r="D82">
            <v>2.4039609383130767E-3</v>
          </cell>
          <cell r="E82">
            <v>0.62673306790392846</v>
          </cell>
          <cell r="G82" t="str">
            <v>A</v>
          </cell>
          <cell r="H82">
            <v>96.063700314273362</v>
          </cell>
          <cell r="I82">
            <v>13</v>
          </cell>
          <cell r="J82">
            <v>4</v>
          </cell>
          <cell r="L82">
            <v>1.495089585949261</v>
          </cell>
          <cell r="M82">
            <v>2.0002678411015018</v>
          </cell>
          <cell r="N82">
            <v>0.3747194763313248</v>
          </cell>
          <cell r="O82">
            <v>1.5609999999999999</v>
          </cell>
          <cell r="P82">
            <v>0.754</v>
          </cell>
          <cell r="Q82">
            <v>1.675</v>
          </cell>
          <cell r="R82">
            <v>0.64300000000000002</v>
          </cell>
          <cell r="S82">
            <v>-0.40200000000000002</v>
          </cell>
          <cell r="T82">
            <v>-4.2789999999999999</v>
          </cell>
          <cell r="U82">
            <v>2.145</v>
          </cell>
          <cell r="V82">
            <v>1.075</v>
          </cell>
          <cell r="W82">
            <v>0.31456851442112077</v>
          </cell>
        </row>
        <row r="83">
          <cell r="B83" t="str">
            <v>Jordan</v>
          </cell>
          <cell r="C83">
            <v>1.1049470799269878</v>
          </cell>
          <cell r="D83">
            <v>1.8757952650954479</v>
          </cell>
          <cell r="E83">
            <v>2.1806440475090172</v>
          </cell>
          <cell r="G83" t="str">
            <v>B</v>
          </cell>
          <cell r="H83">
            <v>79.514216326138751</v>
          </cell>
          <cell r="I83">
            <v>53</v>
          </cell>
          <cell r="J83">
            <v>5</v>
          </cell>
          <cell r="L83">
            <v>2.6511707480297244</v>
          </cell>
          <cell r="M83">
            <v>2.8287666404585154</v>
          </cell>
          <cell r="N83">
            <v>3.0963303471105994</v>
          </cell>
          <cell r="O83">
            <v>2.496</v>
          </cell>
          <cell r="P83">
            <v>1.994</v>
          </cell>
          <cell r="Q83">
            <v>2.4740000000000002</v>
          </cell>
          <cell r="R83">
            <v>1.919</v>
          </cell>
          <cell r="S83">
            <v>1.927</v>
          </cell>
          <cell r="T83">
            <v>-1.57</v>
          </cell>
          <cell r="U83">
            <v>2.2280000000000002</v>
          </cell>
          <cell r="V83">
            <v>2.7109999999999999</v>
          </cell>
          <cell r="W83">
            <v>2.0282196563022326</v>
          </cell>
        </row>
        <row r="84">
          <cell r="B84" t="str">
            <v>Kazakhstan</v>
          </cell>
          <cell r="C84">
            <v>1.6270169093285825</v>
          </cell>
          <cell r="D84">
            <v>2.6878144462378906</v>
          </cell>
          <cell r="E84">
            <v>2.9947418753666133</v>
          </cell>
          <cell r="G84" t="str">
            <v>C</v>
          </cell>
          <cell r="H84">
            <v>70.400737065727981</v>
          </cell>
          <cell r="I84">
            <v>88</v>
          </cell>
          <cell r="J84">
            <v>16</v>
          </cell>
          <cell r="L84">
            <v>4.7999999999927256</v>
          </cell>
          <cell r="M84">
            <v>5.9999999992556203</v>
          </cell>
          <cell r="N84">
            <v>4.2000000006304088</v>
          </cell>
          <cell r="O84">
            <v>1</v>
          </cell>
          <cell r="P84">
            <v>0.9</v>
          </cell>
          <cell r="Q84">
            <v>3.9009999999999998</v>
          </cell>
          <cell r="R84">
            <v>4.0999999999999996</v>
          </cell>
          <cell r="S84">
            <v>4.5</v>
          </cell>
          <cell r="T84">
            <v>-2.6</v>
          </cell>
          <cell r="U84">
            <v>4.0999999999999996</v>
          </cell>
          <cell r="V84">
            <v>3.214</v>
          </cell>
          <cell r="W84">
            <v>2.8412781608022519</v>
          </cell>
        </row>
        <row r="85">
          <cell r="B85" t="str">
            <v>Kenya</v>
          </cell>
          <cell r="C85">
            <v>4.1600595320631983</v>
          </cell>
          <cell r="D85">
            <v>5.4481436952905637</v>
          </cell>
          <cell r="E85">
            <v>5.4875646773576481</v>
          </cell>
          <cell r="G85" t="str">
            <v>D</v>
          </cell>
          <cell r="H85">
            <v>68.853006787769303</v>
          </cell>
          <cell r="I85">
            <v>97</v>
          </cell>
          <cell r="J85">
            <v>18</v>
          </cell>
          <cell r="L85">
            <v>4.5632091307112006</v>
          </cell>
          <cell r="M85">
            <v>5.8786805667541637</v>
          </cell>
          <cell r="N85">
            <v>5.3571256444996713</v>
          </cell>
          <cell r="O85">
            <v>4.968</v>
          </cell>
          <cell r="P85">
            <v>4.2140000000000004</v>
          </cell>
          <cell r="Q85">
            <v>3.8159999999999998</v>
          </cell>
          <cell r="R85">
            <v>5.6710000000000003</v>
          </cell>
          <cell r="S85">
            <v>5.1139999999999999</v>
          </cell>
          <cell r="T85">
            <v>-0.25</v>
          </cell>
          <cell r="U85">
            <v>7.5170000000000003</v>
          </cell>
          <cell r="V85">
            <v>5.3689999999999998</v>
          </cell>
          <cell r="W85">
            <v>5.4678541863241055</v>
          </cell>
        </row>
        <row r="86">
          <cell r="B86" t="str">
            <v>Korea, Rep.</v>
          </cell>
          <cell r="C86">
            <v>1.9788311578699647</v>
          </cell>
          <cell r="D86">
            <v>2.1951704861675969</v>
          </cell>
          <cell r="E86">
            <v>2.6249033043728831</v>
          </cell>
          <cell r="G86" t="str">
            <v>A</v>
          </cell>
          <cell r="H86">
            <v>90.58627012288828</v>
          </cell>
          <cell r="I86">
            <v>26</v>
          </cell>
          <cell r="J86">
            <v>6</v>
          </cell>
          <cell r="L86">
            <v>2.4025309924618736</v>
          </cell>
          <cell r="M86">
            <v>3.1647086364718322</v>
          </cell>
          <cell r="N86">
            <v>3.2024537945736018</v>
          </cell>
          <cell r="O86">
            <v>2.8090000000000002</v>
          </cell>
          <cell r="P86">
            <v>2.9470000000000001</v>
          </cell>
          <cell r="Q86">
            <v>3.16</v>
          </cell>
          <cell r="R86">
            <v>2.907</v>
          </cell>
          <cell r="S86">
            <v>2.2440000000000002</v>
          </cell>
          <cell r="T86">
            <v>-0.70899999999999996</v>
          </cell>
          <cell r="U86">
            <v>4.1449999999999996</v>
          </cell>
          <cell r="V86">
            <v>2.5609999999999999</v>
          </cell>
          <cell r="W86">
            <v>2.41003689527024</v>
          </cell>
        </row>
        <row r="87">
          <cell r="B87" t="str">
            <v>Kuwait</v>
          </cell>
          <cell r="C87">
            <v>2.9560258753336122E-2</v>
          </cell>
          <cell r="D87">
            <v>0.3483533742255629</v>
          </cell>
          <cell r="E87">
            <v>0.20315822263521355</v>
          </cell>
          <cell r="G87" t="str">
            <v>D</v>
          </cell>
          <cell r="H87">
            <v>67.205820265011681</v>
          </cell>
          <cell r="I87">
            <v>105</v>
          </cell>
          <cell r="J87">
            <v>10</v>
          </cell>
          <cell r="L87">
            <v>6.6258183001417628</v>
          </cell>
          <cell r="M87">
            <v>1.1493004370652051</v>
          </cell>
          <cell r="N87">
            <v>0.5008769821586383</v>
          </cell>
          <cell r="O87">
            <v>0.59299999999999997</v>
          </cell>
          <cell r="P87">
            <v>2.9260000000000002</v>
          </cell>
          <cell r="Q87">
            <v>-4.7140000000000004</v>
          </cell>
          <cell r="R87">
            <v>2.4369999999999998</v>
          </cell>
          <cell r="S87">
            <v>-0.55200000000000005</v>
          </cell>
          <cell r="T87">
            <v>-8.8550000000000004</v>
          </cell>
          <cell r="U87">
            <v>1.3080000000000001</v>
          </cell>
          <cell r="V87">
            <v>8.1769999999999996</v>
          </cell>
          <cell r="W87">
            <v>0.27575579843038822</v>
          </cell>
        </row>
        <row r="88">
          <cell r="B88" t="str">
            <v>Kyrgyzstan</v>
          </cell>
          <cell r="C88">
            <v>0.51489333561212103</v>
          </cell>
          <cell r="D88">
            <v>1.9645834232370651</v>
          </cell>
          <cell r="E88">
            <v>3.7392958747352045</v>
          </cell>
          <cell r="G88" t="str">
            <v>C</v>
          </cell>
          <cell r="H88">
            <v>70.898067394091115</v>
          </cell>
          <cell r="I88">
            <v>86</v>
          </cell>
          <cell r="J88">
            <v>15</v>
          </cell>
          <cell r="L88">
            <v>-8.8150201010635656E-2</v>
          </cell>
          <cell r="M88">
            <v>10.915469454314421</v>
          </cell>
          <cell r="N88">
            <v>4.024038625768628</v>
          </cell>
          <cell r="O88">
            <v>3.8759999999999999</v>
          </cell>
          <cell r="P88">
            <v>4.3360000000000003</v>
          </cell>
          <cell r="Q88">
            <v>4.74</v>
          </cell>
          <cell r="R88">
            <v>3.4590000000000001</v>
          </cell>
          <cell r="S88">
            <v>4.601</v>
          </cell>
          <cell r="T88">
            <v>-8.6170000000000009</v>
          </cell>
          <cell r="U88">
            <v>3.742</v>
          </cell>
          <cell r="V88">
            <v>7</v>
          </cell>
          <cell r="W88">
            <v>2.8519396489861348</v>
          </cell>
        </row>
        <row r="89">
          <cell r="B89" t="str">
            <v>Laos</v>
          </cell>
          <cell r="C89">
            <v>1.7571611332634074</v>
          </cell>
          <cell r="D89">
            <v>3.3757795121775569</v>
          </cell>
          <cell r="E89">
            <v>5.3509947789500245</v>
          </cell>
          <cell r="G89" t="str">
            <v>E</v>
          </cell>
          <cell r="H89">
            <v>58.394766440551741</v>
          </cell>
          <cell r="I89">
            <v>127</v>
          </cell>
          <cell r="J89">
            <v>26</v>
          </cell>
          <cell r="L89">
            <v>8.0260984340408665</v>
          </cell>
          <cell r="M89">
            <v>8.0263002263775007</v>
          </cell>
          <cell r="N89">
            <v>7.6119634407438159</v>
          </cell>
          <cell r="O89">
            <v>7.27</v>
          </cell>
          <cell r="P89">
            <v>7.0229999999999997</v>
          </cell>
          <cell r="Q89">
            <v>6.851</v>
          </cell>
          <cell r="R89">
            <v>6.2889999999999997</v>
          </cell>
          <cell r="S89">
            <v>4.6520000000000001</v>
          </cell>
          <cell r="T89">
            <v>-0.435</v>
          </cell>
          <cell r="U89">
            <v>2.0609999999999999</v>
          </cell>
          <cell r="V89">
            <v>2.2519999999999998</v>
          </cell>
          <cell r="W89">
            <v>4.3633871455637907</v>
          </cell>
        </row>
        <row r="90">
          <cell r="B90" t="str">
            <v>Latvia</v>
          </cell>
          <cell r="C90">
            <v>1.2465800540070626</v>
          </cell>
          <cell r="D90">
            <v>2.186383184955365</v>
          </cell>
          <cell r="E90">
            <v>2.3979634558628948</v>
          </cell>
          <cell r="G90" t="str">
            <v>B</v>
          </cell>
          <cell r="H90">
            <v>81.044610107182237</v>
          </cell>
          <cell r="I90">
            <v>44</v>
          </cell>
          <cell r="J90">
            <v>29</v>
          </cell>
          <cell r="L90">
            <v>4.1342316499835752</v>
          </cell>
          <cell r="M90">
            <v>2.3280042634440163</v>
          </cell>
          <cell r="N90">
            <v>1.9151903779433241</v>
          </cell>
          <cell r="O90">
            <v>3.8849999999999998</v>
          </cell>
          <cell r="P90">
            <v>2.3690000000000002</v>
          </cell>
          <cell r="Q90">
            <v>3.3119999999999998</v>
          </cell>
          <cell r="R90">
            <v>3.992</v>
          </cell>
          <cell r="S90">
            <v>2.57</v>
          </cell>
          <cell r="T90">
            <v>-2.2029999999999998</v>
          </cell>
          <cell r="U90">
            <v>4.0640000000000001</v>
          </cell>
          <cell r="V90">
            <v>1.976</v>
          </cell>
          <cell r="W90">
            <v>2.2921733204091299</v>
          </cell>
        </row>
        <row r="91">
          <cell r="B91" t="str">
            <v>Lebanon</v>
          </cell>
          <cell r="C91">
            <v>-11.570507599610414</v>
          </cell>
          <cell r="D91">
            <v>-8.8972805759156888</v>
          </cell>
          <cell r="E91">
            <v>-3.6804003540223951</v>
          </cell>
          <cell r="G91" t="str">
            <v>C</v>
          </cell>
          <cell r="H91">
            <v>70.925074776605015</v>
          </cell>
          <cell r="I91">
            <v>85</v>
          </cell>
          <cell r="J91">
            <v>9</v>
          </cell>
          <cell r="L91">
            <v>2.5405417890992656</v>
          </cell>
          <cell r="M91">
            <v>3.8110224147865268</v>
          </cell>
          <cell r="N91">
            <v>2.4536595719223264</v>
          </cell>
          <cell r="O91">
            <v>0.46100000000000002</v>
          </cell>
          <cell r="P91">
            <v>1.556</v>
          </cell>
          <cell r="Q91">
            <v>0.90300000000000002</v>
          </cell>
          <cell r="R91">
            <v>-1.885</v>
          </cell>
          <cell r="S91">
            <v>-6.915</v>
          </cell>
          <cell r="T91">
            <v>-25.907</v>
          </cell>
          <cell r="U91">
            <v>-5.4</v>
          </cell>
          <cell r="V91">
            <v>-5.4</v>
          </cell>
          <cell r="W91">
            <v>-6.2888404649690415</v>
          </cell>
        </row>
        <row r="92">
          <cell r="B92" t="str">
            <v>Lesotho</v>
          </cell>
          <cell r="C92">
            <v>-1.7564836758548363</v>
          </cell>
          <cell r="D92">
            <v>-1.6866052500791207</v>
          </cell>
          <cell r="E92">
            <v>0.46596555472186996</v>
          </cell>
          <cell r="G92" t="str">
            <v>D</v>
          </cell>
          <cell r="H92">
            <v>68.290636352612694</v>
          </cell>
          <cell r="I92">
            <v>100</v>
          </cell>
          <cell r="J92">
            <v>20</v>
          </cell>
          <cell r="L92">
            <v>6.7436269408569842</v>
          </cell>
          <cell r="M92">
            <v>4.1869122037746749</v>
          </cell>
          <cell r="N92">
            <v>2.8839688442816156</v>
          </cell>
          <cell r="O92">
            <v>3.2480000000000002</v>
          </cell>
          <cell r="P92">
            <v>1.877</v>
          </cell>
          <cell r="Q92">
            <v>-2.734</v>
          </cell>
          <cell r="R92">
            <v>-1.304</v>
          </cell>
          <cell r="S92">
            <v>-1.9710000000000001</v>
          </cell>
          <cell r="T92">
            <v>-3.9020000000000001</v>
          </cell>
          <cell r="U92">
            <v>2.1019999999999999</v>
          </cell>
          <cell r="V92">
            <v>2.093</v>
          </cell>
          <cell r="W92">
            <v>-0.61031984767862535</v>
          </cell>
        </row>
        <row r="93">
          <cell r="B93" t="str">
            <v>Liberia</v>
          </cell>
          <cell r="C93">
            <v>2.2030305181955034</v>
          </cell>
          <cell r="D93">
            <v>1.043410797540445</v>
          </cell>
          <cell r="E93">
            <v>1.5173155129903693</v>
          </cell>
          <cell r="G93" t="str">
            <v>E</v>
          </cell>
          <cell r="H93">
            <v>56.232966845120316</v>
          </cell>
          <cell r="I93">
            <v>130</v>
          </cell>
          <cell r="J93">
            <v>32</v>
          </cell>
          <cell r="L93">
            <v>7.9938156931364137</v>
          </cell>
          <cell r="M93">
            <v>8.6872878163968235</v>
          </cell>
          <cell r="N93">
            <v>0.70139310028752089</v>
          </cell>
          <cell r="O93">
            <v>7.0000000000000001E-3</v>
          </cell>
          <cell r="P93">
            <v>-1.63</v>
          </cell>
          <cell r="Q93">
            <v>2.4689999999999999</v>
          </cell>
          <cell r="R93">
            <v>1.242</v>
          </cell>
          <cell r="S93">
            <v>-2.516</v>
          </cell>
          <cell r="T93">
            <v>-2.9670000000000001</v>
          </cell>
          <cell r="U93">
            <v>5.0110000000000001</v>
          </cell>
          <cell r="V93">
            <v>4.8109999999999999</v>
          </cell>
          <cell r="W93">
            <v>1.2803631552654071</v>
          </cell>
        </row>
        <row r="94">
          <cell r="B94" t="str">
            <v>Libya</v>
          </cell>
          <cell r="C94">
            <v>5.1304452243001952</v>
          </cell>
          <cell r="D94">
            <v>3.4484900722276279</v>
          </cell>
          <cell r="E94">
            <v>1.2335060569262035</v>
          </cell>
          <cell r="G94" t="str">
            <v>E</v>
          </cell>
          <cell r="H94">
            <v>48.008478383672035</v>
          </cell>
          <cell r="I94">
            <v>140</v>
          </cell>
          <cell r="J94">
            <v>38</v>
          </cell>
          <cell r="L94">
            <v>274.10446739057375</v>
          </cell>
          <cell r="M94">
            <v>-13.994834968637873</v>
          </cell>
          <cell r="N94">
            <v>-10.842440326997824</v>
          </cell>
          <cell r="O94">
            <v>-0.84299999999999997</v>
          </cell>
          <cell r="P94">
            <v>-1.4910000000000001</v>
          </cell>
          <cell r="Q94">
            <v>32.491999999999997</v>
          </cell>
          <cell r="R94">
            <v>7.9409999999999998</v>
          </cell>
          <cell r="S94">
            <v>-11.196</v>
          </cell>
          <cell r="T94">
            <v>-29.456</v>
          </cell>
          <cell r="U94">
            <v>28.335000000000001</v>
          </cell>
          <cell r="V94">
            <v>-12.813000000000001</v>
          </cell>
          <cell r="W94">
            <v>2.3409980645769157</v>
          </cell>
        </row>
        <row r="95">
          <cell r="B95" t="str">
            <v>Lithuania</v>
          </cell>
          <cell r="C95">
            <v>2.5853990379055336</v>
          </cell>
          <cell r="D95">
            <v>3.2350334175799356</v>
          </cell>
          <cell r="E95">
            <v>3.2063173772679532</v>
          </cell>
          <cell r="G95" t="str">
            <v>B</v>
          </cell>
          <cell r="H95">
            <v>80.769738018881156</v>
          </cell>
          <cell r="I95">
            <v>45</v>
          </cell>
          <cell r="J95">
            <v>30</v>
          </cell>
          <cell r="L95">
            <v>3.8333027642866848</v>
          </cell>
          <cell r="M95">
            <v>3.5584246313476826</v>
          </cell>
          <cell r="N95">
            <v>3.5079712171273361</v>
          </cell>
          <cell r="O95">
            <v>2.024</v>
          </cell>
          <cell r="P95">
            <v>2.5190000000000001</v>
          </cell>
          <cell r="Q95">
            <v>4.282</v>
          </cell>
          <cell r="R95">
            <v>3.9929999999999999</v>
          </cell>
          <cell r="S95">
            <v>4.625</v>
          </cell>
          <cell r="T95">
            <v>-2.1999999999999999E-2</v>
          </cell>
          <cell r="U95">
            <v>5.9809999999999999</v>
          </cell>
          <cell r="V95">
            <v>1.8879999999999999</v>
          </cell>
          <cell r="W95">
            <v>3.2206753974239444</v>
          </cell>
        </row>
        <row r="96">
          <cell r="B96" t="str">
            <v>Luxembourg</v>
          </cell>
          <cell r="C96">
            <v>1.9225945961039326</v>
          </cell>
          <cell r="D96">
            <v>1.8607829332780268</v>
          </cell>
          <cell r="E96">
            <v>2.36159954003623</v>
          </cell>
          <cell r="G96" t="str">
            <v>A</v>
          </cell>
          <cell r="H96">
            <v>96.778306193425522</v>
          </cell>
          <cell r="I96">
            <v>9</v>
          </cell>
          <cell r="J96">
            <v>7</v>
          </cell>
          <cell r="L96">
            <v>1.6499020297865346</v>
          </cell>
          <cell r="M96">
            <v>3.1717904991600552</v>
          </cell>
          <cell r="N96">
            <v>2.6230860157719222</v>
          </cell>
          <cell r="O96">
            <v>2.2679999999999998</v>
          </cell>
          <cell r="P96">
            <v>4.9779999999999998</v>
          </cell>
          <cell r="Q96">
            <v>1.3169999999999999</v>
          </cell>
          <cell r="R96">
            <v>1.2190000000000001</v>
          </cell>
          <cell r="S96">
            <v>2.3199999999999998</v>
          </cell>
          <cell r="T96">
            <v>-0.79700000000000004</v>
          </cell>
          <cell r="U96">
            <v>5.1029999999999998</v>
          </cell>
          <cell r="V96">
            <v>1.5489999999999999</v>
          </cell>
          <cell r="W96">
            <v>2.1111912366571284</v>
          </cell>
        </row>
        <row r="97">
          <cell r="B97" t="str">
            <v>Madagascar</v>
          </cell>
          <cell r="C97">
            <v>0.34284241084634459</v>
          </cell>
          <cell r="D97">
            <v>1.7120658983774018</v>
          </cell>
          <cell r="E97">
            <v>2.5217225637742979</v>
          </cell>
          <cell r="G97" t="str">
            <v>E</v>
          </cell>
          <cell r="H97">
            <v>48.940679032016362</v>
          </cell>
          <cell r="I97">
            <v>139</v>
          </cell>
          <cell r="J97">
            <v>37</v>
          </cell>
          <cell r="L97">
            <v>3.0111464075530683</v>
          </cell>
          <cell r="M97">
            <v>2.3003869344771051</v>
          </cell>
          <cell r="N97">
            <v>3.3392022440733014</v>
          </cell>
          <cell r="O97">
            <v>3.1320000000000001</v>
          </cell>
          <cell r="P97">
            <v>3.9929999999999999</v>
          </cell>
          <cell r="Q97">
            <v>3.9329999999999998</v>
          </cell>
          <cell r="R97">
            <v>3.194</v>
          </cell>
          <cell r="S97">
            <v>4.4109999999999996</v>
          </cell>
          <cell r="T97">
            <v>-7.1379999999999999</v>
          </cell>
          <cell r="U97">
            <v>5.74</v>
          </cell>
          <cell r="V97">
            <v>4.21</v>
          </cell>
          <cell r="W97">
            <v>2.1168942310758498</v>
          </cell>
        </row>
        <row r="98">
          <cell r="B98" t="str">
            <v>Malawi</v>
          </cell>
          <cell r="C98">
            <v>1.446318587345985</v>
          </cell>
          <cell r="D98">
            <v>2.8212259957555386</v>
          </cell>
          <cell r="E98">
            <v>3.4233840163588436</v>
          </cell>
          <cell r="G98" t="str">
            <v>C</v>
          </cell>
          <cell r="H98">
            <v>72.879134631330203</v>
          </cell>
          <cell r="I98">
            <v>77</v>
          </cell>
          <cell r="J98">
            <v>8</v>
          </cell>
          <cell r="L98">
            <v>1.8857995075156477</v>
          </cell>
          <cell r="M98">
            <v>5.1999999956050429</v>
          </cell>
          <cell r="N98">
            <v>5.7000000050572197</v>
          </cell>
          <cell r="O98">
            <v>2.95</v>
          </cell>
          <cell r="P98">
            <v>2.27</v>
          </cell>
          <cell r="Q98">
            <v>4</v>
          </cell>
          <cell r="R98">
            <v>4.3920000000000003</v>
          </cell>
          <cell r="S98">
            <v>5.4480000000000004</v>
          </cell>
          <cell r="T98">
            <v>0.91300000000000003</v>
          </cell>
          <cell r="U98">
            <v>4.5670000000000002</v>
          </cell>
          <cell r="V98">
            <v>0.8</v>
          </cell>
          <cell r="W98">
            <v>3.1223050060571911</v>
          </cell>
        </row>
        <row r="99">
          <cell r="B99" t="str">
            <v>Malaysia</v>
          </cell>
          <cell r="C99">
            <v>1.9142421361718398</v>
          </cell>
          <cell r="D99">
            <v>3.0011020126644361</v>
          </cell>
          <cell r="E99">
            <v>4.0922822936961589</v>
          </cell>
          <cell r="G99" t="str">
            <v>C</v>
          </cell>
          <cell r="H99">
            <v>76.114633172938127</v>
          </cell>
          <cell r="I99">
            <v>66</v>
          </cell>
          <cell r="J99">
            <v>9</v>
          </cell>
          <cell r="L99">
            <v>5.4734541925385383</v>
          </cell>
          <cell r="M99">
            <v>4.6937225255789317</v>
          </cell>
          <cell r="N99">
            <v>6.0067219455820462</v>
          </cell>
          <cell r="O99">
            <v>5.0069999999999997</v>
          </cell>
          <cell r="P99">
            <v>4.45</v>
          </cell>
          <cell r="Q99">
            <v>5.8129999999999997</v>
          </cell>
          <cell r="R99">
            <v>4.843</v>
          </cell>
          <cell r="S99">
            <v>4.4130000000000003</v>
          </cell>
          <cell r="T99">
            <v>-5.5339999999999998</v>
          </cell>
          <cell r="U99">
            <v>3.0920000000000001</v>
          </cell>
          <cell r="V99">
            <v>8.6940000000000008</v>
          </cell>
          <cell r="W99">
            <v>3.5466921531802975</v>
          </cell>
        </row>
        <row r="100">
          <cell r="B100" t="str">
            <v>Mali</v>
          </cell>
          <cell r="C100">
            <v>1.8165870919236937</v>
          </cell>
          <cell r="D100">
            <v>2.9671130334121942</v>
          </cell>
          <cell r="E100">
            <v>4.1460050619633648</v>
          </cell>
          <cell r="G100" t="str">
            <v>E</v>
          </cell>
          <cell r="H100">
            <v>43.633236095724527</v>
          </cell>
          <cell r="I100">
            <v>146</v>
          </cell>
          <cell r="J100">
            <v>41</v>
          </cell>
          <cell r="L100">
            <v>-0.83662749707312833</v>
          </cell>
          <cell r="M100">
            <v>2.3037669581925009</v>
          </cell>
          <cell r="N100">
            <v>7.1014223480749816</v>
          </cell>
          <cell r="O100">
            <v>6.1719999999999997</v>
          </cell>
          <cell r="P100">
            <v>5.8520000000000003</v>
          </cell>
          <cell r="Q100">
            <v>5.3049999999999997</v>
          </cell>
          <cell r="R100">
            <v>4.7460000000000004</v>
          </cell>
          <cell r="S100">
            <v>4.7649999999999997</v>
          </cell>
          <cell r="T100">
            <v>-1.244</v>
          </cell>
          <cell r="U100">
            <v>3.0550000000000002</v>
          </cell>
          <cell r="V100">
            <v>3.7040000000000002</v>
          </cell>
          <cell r="W100">
            <v>3.5565590476877795</v>
          </cell>
        </row>
        <row r="101">
          <cell r="B101" t="str">
            <v>Malta</v>
          </cell>
          <cell r="C101">
            <v>2.6124059576447589</v>
          </cell>
          <cell r="D101">
            <v>4.3931536419201889</v>
          </cell>
          <cell r="E101">
            <v>5.6722564665051767</v>
          </cell>
          <cell r="G101" t="str">
            <v>B</v>
          </cell>
          <cell r="H101">
            <v>86.894246999173433</v>
          </cell>
          <cell r="I101">
            <v>33</v>
          </cell>
          <cell r="J101">
            <v>22</v>
          </cell>
          <cell r="L101">
            <v>4.1177072993516513</v>
          </cell>
          <cell r="M101">
            <v>5.4733556954527041</v>
          </cell>
          <cell r="N101">
            <v>7.6335381123007346</v>
          </cell>
          <cell r="O101">
            <v>9.6080000000000005</v>
          </cell>
          <cell r="P101">
            <v>3.3809999999999998</v>
          </cell>
          <cell r="Q101">
            <v>10.869</v>
          </cell>
          <cell r="R101">
            <v>6.1929999999999996</v>
          </cell>
          <cell r="S101">
            <v>7.0090000000000003</v>
          </cell>
          <cell r="T101">
            <v>-8.6120000000000001</v>
          </cell>
          <cell r="U101">
            <v>11.805999999999999</v>
          </cell>
          <cell r="V101">
            <v>6.851</v>
          </cell>
          <cell r="W101">
            <v>5.0327050542126823</v>
          </cell>
        </row>
        <row r="102">
          <cell r="B102" t="str">
            <v>Mauritania</v>
          </cell>
          <cell r="C102">
            <v>10.380851809157976</v>
          </cell>
          <cell r="D102">
            <v>8.3436024853472226</v>
          </cell>
          <cell r="E102">
            <v>5.9978829377542953</v>
          </cell>
          <cell r="G102" t="str">
            <v>D</v>
          </cell>
          <cell r="H102">
            <v>67.535233245846925</v>
          </cell>
          <cell r="I102">
            <v>103</v>
          </cell>
          <cell r="J102">
            <v>23</v>
          </cell>
          <cell r="L102">
            <v>4.4700131823368974</v>
          </cell>
          <cell r="M102">
            <v>4.150813186271721</v>
          </cell>
          <cell r="N102">
            <v>4.2748232713028473</v>
          </cell>
          <cell r="O102">
            <v>5.3760000000000003</v>
          </cell>
          <cell r="P102">
            <v>1.2609999999999999</v>
          </cell>
          <cell r="Q102">
            <v>6.2709999999999999</v>
          </cell>
          <cell r="R102">
            <v>4.7729999999999997</v>
          </cell>
          <cell r="S102">
            <v>5.4290000000000003</v>
          </cell>
          <cell r="T102">
            <v>-0.93799999999999994</v>
          </cell>
          <cell r="U102">
            <v>2.4449999999999998</v>
          </cell>
          <cell r="V102">
            <v>4.96</v>
          </cell>
          <cell r="W102">
            <v>7.1707427115507585</v>
          </cell>
        </row>
        <row r="103">
          <cell r="B103" t="str">
            <v>Mauritius</v>
          </cell>
          <cell r="C103">
            <v>-1.3801179259189</v>
          </cell>
          <cell r="D103">
            <v>1.2027047615812192</v>
          </cell>
          <cell r="E103">
            <v>2.4249070445692134</v>
          </cell>
          <cell r="G103" t="str">
            <v>B</v>
          </cell>
          <cell r="H103">
            <v>86.159393229935986</v>
          </cell>
          <cell r="I103">
            <v>35</v>
          </cell>
          <cell r="J103">
            <v>1</v>
          </cell>
          <cell r="L103">
            <v>3.4961183375797935</v>
          </cell>
          <cell r="M103">
            <v>3.3604061030308432</v>
          </cell>
          <cell r="N103">
            <v>3.7445757725785316</v>
          </cell>
          <cell r="O103">
            <v>3.6909999999999998</v>
          </cell>
          <cell r="P103">
            <v>3.8620000000000001</v>
          </cell>
          <cell r="Q103">
            <v>3.9380000000000002</v>
          </cell>
          <cell r="R103">
            <v>4.0069999999999997</v>
          </cell>
          <cell r="S103">
            <v>2.891</v>
          </cell>
          <cell r="T103">
            <v>-14.598000000000001</v>
          </cell>
          <cell r="U103">
            <v>3.4990000000000001</v>
          </cell>
          <cell r="V103">
            <v>8.3000000000000007</v>
          </cell>
          <cell r="W103">
            <v>1.8138059030752163</v>
          </cell>
        </row>
        <row r="104">
          <cell r="B104" t="str">
            <v>Mexico</v>
          </cell>
          <cell r="C104">
            <v>-0.23058449292154837</v>
          </cell>
          <cell r="D104">
            <v>0.18053445950247937</v>
          </cell>
          <cell r="E104">
            <v>1.3300326593307599</v>
          </cell>
          <cell r="G104" t="str">
            <v>C</v>
          </cell>
          <cell r="H104">
            <v>70.665681404041052</v>
          </cell>
          <cell r="I104">
            <v>87</v>
          </cell>
          <cell r="J104">
            <v>11</v>
          </cell>
          <cell r="L104">
            <v>3.6423226794134638</v>
          </cell>
          <cell r="M104">
            <v>1.3540919615167941</v>
          </cell>
          <cell r="N104">
            <v>2.8043401283809737</v>
          </cell>
          <cell r="O104">
            <v>3.2930000000000001</v>
          </cell>
          <cell r="P104">
            <v>2.6309999999999998</v>
          </cell>
          <cell r="Q104">
            <v>2.113</v>
          </cell>
          <cell r="R104">
            <v>2.1949999999999998</v>
          </cell>
          <cell r="S104">
            <v>-0.19900000000000001</v>
          </cell>
          <cell r="T104">
            <v>-7.9880000000000004</v>
          </cell>
          <cell r="U104">
            <v>4.7210000000000001</v>
          </cell>
          <cell r="V104">
            <v>3.0659999999999998</v>
          </cell>
          <cell r="W104">
            <v>0.75528355941661962</v>
          </cell>
        </row>
        <row r="105">
          <cell r="B105" t="str">
            <v>Moldova</v>
          </cell>
          <cell r="C105">
            <v>-0.11659435485397163</v>
          </cell>
          <cell r="D105">
            <v>1.5069892590011902</v>
          </cell>
          <cell r="E105">
            <v>3.001683990106474</v>
          </cell>
          <cell r="G105" t="str">
            <v>B</v>
          </cell>
          <cell r="H105">
            <v>79.52270940766131</v>
          </cell>
          <cell r="I105">
            <v>52</v>
          </cell>
          <cell r="J105">
            <v>33</v>
          </cell>
          <cell r="L105">
            <v>-0.58973412591981322</v>
          </cell>
          <cell r="M105">
            <v>9.0438654824314977</v>
          </cell>
          <cell r="N105">
            <v>4.9996256689180685</v>
          </cell>
          <cell r="O105">
            <v>-0.33800000000000002</v>
          </cell>
          <cell r="P105">
            <v>4.4089999999999998</v>
          </cell>
          <cell r="Q105">
            <v>4.2</v>
          </cell>
          <cell r="R105">
            <v>4.0999999999999996</v>
          </cell>
          <cell r="S105">
            <v>3.6</v>
          </cell>
          <cell r="T105">
            <v>-8.3000000000000007</v>
          </cell>
          <cell r="U105">
            <v>13.945</v>
          </cell>
          <cell r="V105">
            <v>-5.5759999999999996</v>
          </cell>
          <cell r="W105">
            <v>2.2543366245538321</v>
          </cell>
        </row>
        <row r="106">
          <cell r="B106" t="str">
            <v>Mongolia</v>
          </cell>
          <cell r="C106">
            <v>0.5652165458427838</v>
          </cell>
          <cell r="D106">
            <v>3.0624452280082259</v>
          </cell>
          <cell r="E106">
            <v>4.33160969781623</v>
          </cell>
          <cell r="G106" t="str">
            <v>B</v>
          </cell>
          <cell r="H106">
            <v>78.890549447741549</v>
          </cell>
          <cell r="I106">
            <v>56</v>
          </cell>
          <cell r="J106">
            <v>8</v>
          </cell>
          <cell r="L106">
            <v>12.319819848483753</v>
          </cell>
          <cell r="M106">
            <v>11.648916189886327</v>
          </cell>
          <cell r="N106">
            <v>7.8852254815193961</v>
          </cell>
          <cell r="O106">
            <v>2.41</v>
          </cell>
          <cell r="P106">
            <v>1.49</v>
          </cell>
          <cell r="Q106">
            <v>5.6369999999999996</v>
          </cell>
          <cell r="R106">
            <v>7.7450000000000001</v>
          </cell>
          <cell r="S106">
            <v>5.6020000000000003</v>
          </cell>
          <cell r="T106">
            <v>-4.5579999999999998</v>
          </cell>
          <cell r="U106">
            <v>1.637</v>
          </cell>
          <cell r="V106">
            <v>4.8460000000000001</v>
          </cell>
          <cell r="W106">
            <v>3.6970274629122279</v>
          </cell>
        </row>
        <row r="107">
          <cell r="B107" t="str">
            <v>Morocco</v>
          </cell>
          <cell r="C107">
            <v>2.7484311837486786</v>
          </cell>
          <cell r="D107">
            <v>3.8040844105169391</v>
          </cell>
          <cell r="E107">
            <v>4.437166103247403</v>
          </cell>
          <cell r="G107" t="str">
            <v>C</v>
          </cell>
          <cell r="H107">
            <v>76.129604349240608</v>
          </cell>
          <cell r="I107">
            <v>65</v>
          </cell>
          <cell r="J107">
            <v>4</v>
          </cell>
          <cell r="L107">
            <v>1.2735415748875247</v>
          </cell>
          <cell r="M107">
            <v>4.8919045547561728</v>
          </cell>
          <cell r="N107">
            <v>5.1501913509219497</v>
          </cell>
          <cell r="O107">
            <v>4.3449999999999998</v>
          </cell>
          <cell r="P107">
            <v>0.52100000000000002</v>
          </cell>
          <cell r="Q107">
            <v>5.0579999999999998</v>
          </cell>
          <cell r="R107">
            <v>3.0659999999999998</v>
          </cell>
          <cell r="S107">
            <v>2.891</v>
          </cell>
          <cell r="T107">
            <v>-7.1870000000000003</v>
          </cell>
          <cell r="U107">
            <v>7.93</v>
          </cell>
          <cell r="V107">
            <v>1.135</v>
          </cell>
          <cell r="W107">
            <v>4.1206252568821711</v>
          </cell>
        </row>
        <row r="108">
          <cell r="B108" t="str">
            <v>Mozambique</v>
          </cell>
          <cell r="C108">
            <v>1.7345974801987962</v>
          </cell>
          <cell r="D108">
            <v>2.1902907307407293</v>
          </cell>
          <cell r="E108">
            <v>3.9391606371984134</v>
          </cell>
          <cell r="G108" t="str">
            <v>D</v>
          </cell>
          <cell r="H108">
            <v>66.134592515292979</v>
          </cell>
          <cell r="I108">
            <v>110</v>
          </cell>
          <cell r="J108">
            <v>25</v>
          </cell>
          <cell r="L108">
            <v>7.2584392525877934</v>
          </cell>
          <cell r="M108">
            <v>6.9636071348707169</v>
          </cell>
          <cell r="N108">
            <v>7.3985127971386246</v>
          </cell>
          <cell r="O108">
            <v>6.7229999999999999</v>
          </cell>
          <cell r="P108">
            <v>3.8239999999999998</v>
          </cell>
          <cell r="Q108">
            <v>3.7410000000000001</v>
          </cell>
          <cell r="R108">
            <v>3.444</v>
          </cell>
          <cell r="S108">
            <v>2.3149999999999999</v>
          </cell>
          <cell r="T108">
            <v>-1.1990000000000001</v>
          </cell>
          <cell r="U108">
            <v>2.3279999999999998</v>
          </cell>
          <cell r="V108">
            <v>4.1479999999999997</v>
          </cell>
          <cell r="W108">
            <v>3.0647256839695713</v>
          </cell>
        </row>
        <row r="109">
          <cell r="B109" t="str">
            <v>Myanmar</v>
          </cell>
          <cell r="C109">
            <v>-4.7700497073887238</v>
          </cell>
          <cell r="D109">
            <v>-0.38368451177455132</v>
          </cell>
          <cell r="E109">
            <v>3.2897594501001937</v>
          </cell>
          <cell r="G109" t="str">
            <v>D</v>
          </cell>
          <cell r="H109">
            <v>65.606474585171327</v>
          </cell>
          <cell r="I109">
            <v>111</v>
          </cell>
          <cell r="J109">
            <v>22</v>
          </cell>
          <cell r="L109">
            <v>6.4857540044064299</v>
          </cell>
          <cell r="M109">
            <v>7.8986694782381086</v>
          </cell>
          <cell r="N109">
            <v>8.1996637504261933</v>
          </cell>
          <cell r="O109">
            <v>7.4729999999999999</v>
          </cell>
          <cell r="P109">
            <v>6.4080000000000004</v>
          </cell>
          <cell r="Q109">
            <v>5.75</v>
          </cell>
          <cell r="R109">
            <v>6.4050000000000002</v>
          </cell>
          <cell r="S109">
            <v>6.75</v>
          </cell>
          <cell r="T109">
            <v>3.1890000000000001</v>
          </cell>
          <cell r="U109">
            <v>-17.937999999999999</v>
          </cell>
          <cell r="V109">
            <v>1.9710000000000001</v>
          </cell>
          <cell r="W109">
            <v>1.4530374691628212</v>
          </cell>
        </row>
        <row r="110">
          <cell r="B110" t="str">
            <v>Namibia</v>
          </cell>
          <cell r="C110">
            <v>5.9000128031017951</v>
          </cell>
          <cell r="D110">
            <v>3.7913046668829331</v>
          </cell>
          <cell r="E110">
            <v>3.4125855123770643</v>
          </cell>
          <cell r="G110" t="str">
            <v>C</v>
          </cell>
          <cell r="H110">
            <v>72.202169838266542</v>
          </cell>
          <cell r="I110">
            <v>79</v>
          </cell>
          <cell r="J110">
            <v>10</v>
          </cell>
          <cell r="L110">
            <v>5.061682013267613</v>
          </cell>
          <cell r="M110">
            <v>5.6147197006409399</v>
          </cell>
          <cell r="N110">
            <v>5.7577888470497651</v>
          </cell>
          <cell r="O110">
            <v>4.2640000000000002</v>
          </cell>
          <cell r="P110">
            <v>3.4000000000000002E-2</v>
          </cell>
          <cell r="Q110">
            <v>-1.0269999999999999</v>
          </cell>
          <cell r="R110">
            <v>1.06</v>
          </cell>
          <cell r="S110">
            <v>-0.83899999999999997</v>
          </cell>
          <cell r="T110">
            <v>-8.0359999999999996</v>
          </cell>
          <cell r="U110">
            <v>2.6560000000000001</v>
          </cell>
          <cell r="V110">
            <v>3.8420000000000001</v>
          </cell>
          <cell r="W110">
            <v>3.6019450896299987</v>
          </cell>
        </row>
        <row r="111">
          <cell r="B111" t="str">
            <v>Nepal</v>
          </cell>
          <cell r="C111">
            <v>2.509308980392877</v>
          </cell>
          <cell r="D111">
            <v>4.3365366697670549</v>
          </cell>
          <cell r="E111">
            <v>4.4414058742941132</v>
          </cell>
          <cell r="G111" t="str">
            <v>E</v>
          </cell>
          <cell r="H111">
            <v>47.880656607147813</v>
          </cell>
          <cell r="I111">
            <v>141</v>
          </cell>
          <cell r="J111">
            <v>29</v>
          </cell>
          <cell r="L111">
            <v>4.6701221485020756</v>
          </cell>
          <cell r="M111">
            <v>3.525153173819251</v>
          </cell>
          <cell r="N111">
            <v>6.0114828408077567</v>
          </cell>
          <cell r="O111">
            <v>3.976</v>
          </cell>
          <cell r="P111">
            <v>0.433</v>
          </cell>
          <cell r="Q111">
            <v>8.9770000000000003</v>
          </cell>
          <cell r="R111">
            <v>7.6219999999999999</v>
          </cell>
          <cell r="S111">
            <v>6.657</v>
          </cell>
          <cell r="T111">
            <v>-2.37</v>
          </cell>
          <cell r="U111">
            <v>4.2469999999999999</v>
          </cell>
          <cell r="V111">
            <v>5.8380000000000001</v>
          </cell>
          <cell r="W111">
            <v>4.3889712720305845</v>
          </cell>
        </row>
        <row r="112">
          <cell r="B112" t="str">
            <v>Netherlands</v>
          </cell>
          <cell r="C112">
            <v>1.7497887812736312</v>
          </cell>
          <cell r="D112">
            <v>1.8172353151896914</v>
          </cell>
          <cell r="E112">
            <v>1.7415218308118652</v>
          </cell>
          <cell r="G112" t="str">
            <v>A</v>
          </cell>
          <cell r="H112">
            <v>97.320188246923195</v>
          </cell>
          <cell r="I112">
            <v>6</v>
          </cell>
          <cell r="J112">
            <v>4</v>
          </cell>
          <cell r="L112">
            <v>-1.0303540066027346</v>
          </cell>
          <cell r="M112">
            <v>-0.13017522863902575</v>
          </cell>
          <cell r="N112">
            <v>1.4233954098743582</v>
          </cell>
          <cell r="O112">
            <v>1.958</v>
          </cell>
          <cell r="P112">
            <v>2.1920000000000002</v>
          </cell>
          <cell r="Q112">
            <v>2.911</v>
          </cell>
          <cell r="R112">
            <v>2.3610000000000002</v>
          </cell>
          <cell r="S112">
            <v>1.956</v>
          </cell>
          <cell r="T112">
            <v>-3.9129999999999998</v>
          </cell>
          <cell r="U112">
            <v>4.883</v>
          </cell>
          <cell r="V112">
            <v>4.5179999999999998</v>
          </cell>
          <cell r="W112">
            <v>1.7793785730007783</v>
          </cell>
        </row>
        <row r="113">
          <cell r="B113" t="str">
            <v>New Zealand</v>
          </cell>
          <cell r="C113">
            <v>1.6101427265492019</v>
          </cell>
          <cell r="D113">
            <v>2.5126996765094445</v>
          </cell>
          <cell r="E113">
            <v>2.926527233523446</v>
          </cell>
          <cell r="G113" t="str">
            <v>A</v>
          </cell>
          <cell r="H113">
            <v>98.673978139326721</v>
          </cell>
          <cell r="I113">
            <v>1</v>
          </cell>
          <cell r="J113">
            <v>1</v>
          </cell>
          <cell r="L113">
            <v>2.2395634845413639</v>
          </cell>
          <cell r="M113">
            <v>2.6288005896782796</v>
          </cell>
          <cell r="N113">
            <v>3.6255957672075687</v>
          </cell>
          <cell r="O113">
            <v>3.6909999999999998</v>
          </cell>
          <cell r="P113">
            <v>3.8839999999999999</v>
          </cell>
          <cell r="Q113">
            <v>3.46</v>
          </cell>
          <cell r="R113">
            <v>3.524</v>
          </cell>
          <cell r="S113">
            <v>3.0750000000000002</v>
          </cell>
          <cell r="T113">
            <v>-1.4770000000000001</v>
          </cell>
          <cell r="U113">
            <v>6.0880000000000001</v>
          </cell>
          <cell r="V113">
            <v>2.4350000000000001</v>
          </cell>
          <cell r="W113">
            <v>2.7196134550164452</v>
          </cell>
        </row>
        <row r="114">
          <cell r="B114" t="str">
            <v>Nicaragua</v>
          </cell>
          <cell r="C114">
            <v>4.0750139508862748</v>
          </cell>
          <cell r="D114">
            <v>0.946067021483743</v>
          </cell>
          <cell r="E114">
            <v>2.8253976939387693</v>
          </cell>
          <cell r="G114" t="str">
            <v>D</v>
          </cell>
          <cell r="H114">
            <v>64.641996561099731</v>
          </cell>
          <cell r="I114">
            <v>115</v>
          </cell>
          <cell r="J114">
            <v>15</v>
          </cell>
          <cell r="L114">
            <v>6.4967472990321502</v>
          </cell>
          <cell r="M114">
            <v>4.9267922688301464</v>
          </cell>
          <cell r="N114">
            <v>4.7858161704434874</v>
          </cell>
          <cell r="O114">
            <v>4.7919999999999998</v>
          </cell>
          <cell r="P114">
            <v>4.5629999999999997</v>
          </cell>
          <cell r="Q114">
            <v>4.6310000000000002</v>
          </cell>
          <cell r="R114">
            <v>-3.363</v>
          </cell>
          <cell r="S114">
            <v>-3.78</v>
          </cell>
          <cell r="T114">
            <v>-1.7889999999999999</v>
          </cell>
          <cell r="U114">
            <v>10.345000000000001</v>
          </cell>
          <cell r="V114">
            <v>4.024</v>
          </cell>
          <cell r="W114">
            <v>1.8857323577112561</v>
          </cell>
        </row>
        <row r="115">
          <cell r="B115" t="str">
            <v>Niger</v>
          </cell>
          <cell r="C115">
            <v>5.2681473931170952</v>
          </cell>
          <cell r="D115">
            <v>5.8171216819006277</v>
          </cell>
          <cell r="E115">
            <v>5.6255556295670361</v>
          </cell>
          <cell r="G115" t="str">
            <v>D</v>
          </cell>
          <cell r="H115">
            <v>68.812447501404833</v>
          </cell>
          <cell r="I115">
            <v>98</v>
          </cell>
          <cell r="J115">
            <v>19</v>
          </cell>
          <cell r="L115">
            <v>10.599907397446637</v>
          </cell>
          <cell r="M115">
            <v>5.5657295960540178</v>
          </cell>
          <cell r="N115">
            <v>6.5644262265084619</v>
          </cell>
          <cell r="O115">
            <v>4.3929999999999998</v>
          </cell>
          <cell r="P115">
            <v>5.7409999999999997</v>
          </cell>
          <cell r="Q115">
            <v>5.0010000000000003</v>
          </cell>
          <cell r="R115">
            <v>7.0069999999999997</v>
          </cell>
          <cell r="S115">
            <v>6.1429999999999998</v>
          </cell>
          <cell r="T115">
            <v>3.55</v>
          </cell>
          <cell r="U115">
            <v>1.399</v>
          </cell>
          <cell r="V115">
            <v>11.111000000000001</v>
          </cell>
          <cell r="W115">
            <v>5.7213386557338319</v>
          </cell>
        </row>
        <row r="116">
          <cell r="B116" t="str">
            <v>Nigeria</v>
          </cell>
          <cell r="C116">
            <v>1.6711254984559387</v>
          </cell>
          <cell r="D116">
            <v>1.8286894595159531</v>
          </cell>
          <cell r="E116">
            <v>2.3705025942777347</v>
          </cell>
          <cell r="G116" t="str">
            <v>E</v>
          </cell>
          <cell r="H116">
            <v>54.117482987279544</v>
          </cell>
          <cell r="I116">
            <v>136</v>
          </cell>
          <cell r="J116">
            <v>35</v>
          </cell>
          <cell r="L116">
            <v>4.2300611751055515</v>
          </cell>
          <cell r="M116">
            <v>6.6713353928837664</v>
          </cell>
          <cell r="N116">
            <v>6.3097186557238203</v>
          </cell>
          <cell r="O116">
            <v>2.653</v>
          </cell>
          <cell r="P116">
            <v>-1.617</v>
          </cell>
          <cell r="Q116">
            <v>0.80600000000000005</v>
          </cell>
          <cell r="R116">
            <v>1.923</v>
          </cell>
          <cell r="S116">
            <v>2.2080000000000002</v>
          </cell>
          <cell r="T116">
            <v>-1.794</v>
          </cell>
          <cell r="U116">
            <v>3.6469999999999998</v>
          </cell>
          <cell r="V116">
            <v>3.2519999999999998</v>
          </cell>
          <cell r="W116">
            <v>2.0995960268968439</v>
          </cell>
        </row>
        <row r="117">
          <cell r="B117" t="str">
            <v>North Macedonia</v>
          </cell>
          <cell r="C117">
            <v>-7.5001429328758196E-2</v>
          </cell>
          <cell r="D117">
            <v>1.3021650287798892</v>
          </cell>
          <cell r="E117">
            <v>2.0797979747829265</v>
          </cell>
          <cell r="G117" t="str">
            <v>B</v>
          </cell>
          <cell r="H117">
            <v>78.35616814320835</v>
          </cell>
          <cell r="I117">
            <v>58</v>
          </cell>
          <cell r="J117">
            <v>35</v>
          </cell>
          <cell r="L117">
            <v>-0.45618322360793873</v>
          </cell>
          <cell r="M117">
            <v>2.9252576645048585</v>
          </cell>
          <cell r="N117">
            <v>3.6291235127637393</v>
          </cell>
          <cell r="O117">
            <v>3.8559999999999999</v>
          </cell>
          <cell r="P117">
            <v>2.8479999999999999</v>
          </cell>
          <cell r="Q117">
            <v>1.0820000000000001</v>
          </cell>
          <cell r="R117">
            <v>2.8809999999999998</v>
          </cell>
          <cell r="S117">
            <v>3.91</v>
          </cell>
          <cell r="T117">
            <v>-4.6879999999999997</v>
          </cell>
          <cell r="U117">
            <v>3.931</v>
          </cell>
          <cell r="V117">
            <v>2.2170000000000001</v>
          </cell>
          <cell r="W117">
            <v>1.6909815017814078</v>
          </cell>
        </row>
        <row r="118">
          <cell r="B118" t="str">
            <v>Norway</v>
          </cell>
          <cell r="C118">
            <v>2.1276786032802697</v>
          </cell>
          <cell r="D118">
            <v>2.0038500872442633</v>
          </cell>
          <cell r="E118">
            <v>1.8376731142071945</v>
          </cell>
          <cell r="G118" t="str">
            <v>A</v>
          </cell>
          <cell r="H118">
            <v>96.569623372049904</v>
          </cell>
          <cell r="I118">
            <v>10</v>
          </cell>
          <cell r="J118">
            <v>8</v>
          </cell>
          <cell r="L118">
            <v>2.7030738548426481</v>
          </cell>
          <cell r="M118">
            <v>1.0340729135363009</v>
          </cell>
          <cell r="N118">
            <v>1.9695443007938924</v>
          </cell>
          <cell r="O118">
            <v>1.857</v>
          </cell>
          <cell r="P118">
            <v>1.165</v>
          </cell>
          <cell r="Q118">
            <v>2.464</v>
          </cell>
          <cell r="R118">
            <v>0.82899999999999996</v>
          </cell>
          <cell r="S118">
            <v>1.1240000000000001</v>
          </cell>
          <cell r="T118">
            <v>-1.278</v>
          </cell>
          <cell r="U118">
            <v>3.8980000000000001</v>
          </cell>
          <cell r="V118">
            <v>3.2810000000000001</v>
          </cell>
          <cell r="W118">
            <v>1.9207616007257289</v>
          </cell>
        </row>
        <row r="119">
          <cell r="B119" t="str">
            <v>Oman</v>
          </cell>
          <cell r="C119">
            <v>1.2841572452507943</v>
          </cell>
          <cell r="D119">
            <v>3.5695383112497314</v>
          </cell>
          <cell r="E119">
            <v>3.4884405409466579</v>
          </cell>
          <cell r="G119" t="str">
            <v>B</v>
          </cell>
          <cell r="H119">
            <v>83.929015692724803</v>
          </cell>
          <cell r="I119">
            <v>38</v>
          </cell>
          <cell r="J119">
            <v>3</v>
          </cell>
          <cell r="L119">
            <v>9.3317368265983944</v>
          </cell>
          <cell r="M119">
            <v>4.373453291056836</v>
          </cell>
          <cell r="N119">
            <v>2.7522002596044053</v>
          </cell>
          <cell r="O119">
            <v>5.0170000000000003</v>
          </cell>
          <cell r="P119">
            <v>5.0460000000000003</v>
          </cell>
          <cell r="Q119">
            <v>0.30399999999999999</v>
          </cell>
          <cell r="R119">
            <v>1.2869999999999999</v>
          </cell>
          <cell r="S119">
            <v>-1.1299999999999999</v>
          </cell>
          <cell r="T119">
            <v>-3.2</v>
          </cell>
          <cell r="U119">
            <v>2.9020000000000001</v>
          </cell>
          <cell r="V119">
            <v>4.3109999999999999</v>
          </cell>
          <cell r="W119">
            <v>3.5289894260981947</v>
          </cell>
        </row>
        <row r="120">
          <cell r="B120" t="str">
            <v>Pakistan</v>
          </cell>
          <cell r="C120">
            <v>-2.8988961286927073</v>
          </cell>
          <cell r="D120">
            <v>0.9425802646799708</v>
          </cell>
          <cell r="E120">
            <v>2.8446311877570185</v>
          </cell>
          <cell r="G120" t="str">
            <v>C</v>
          </cell>
          <cell r="H120">
            <v>69.599146780385112</v>
          </cell>
          <cell r="I120">
            <v>90</v>
          </cell>
          <cell r="J120">
            <v>17</v>
          </cell>
          <cell r="L120">
            <v>2.8731257161786412</v>
          </cell>
          <cell r="M120">
            <v>4.4745926000517917</v>
          </cell>
          <cell r="N120">
            <v>5.7909341243793389</v>
          </cell>
          <cell r="O120">
            <v>4.0579999999999998</v>
          </cell>
          <cell r="P120">
            <v>4.5629999999999997</v>
          </cell>
          <cell r="Q120">
            <v>4.609</v>
          </cell>
          <cell r="R120">
            <v>6.0960000000000001</v>
          </cell>
          <cell r="S120">
            <v>3.12</v>
          </cell>
          <cell r="T120">
            <v>-0.94299999999999995</v>
          </cell>
          <cell r="U120">
            <v>5.742</v>
          </cell>
          <cell r="V120">
            <v>5.9669999999999996</v>
          </cell>
          <cell r="W120">
            <v>1.8936057262184947</v>
          </cell>
        </row>
        <row r="121">
          <cell r="B121" t="str">
            <v>Panama</v>
          </cell>
          <cell r="C121">
            <v>1.349334889011633</v>
          </cell>
          <cell r="D121">
            <v>2.1324418529624634</v>
          </cell>
          <cell r="E121">
            <v>3.875737232948695</v>
          </cell>
          <cell r="G121" t="str">
            <v>D</v>
          </cell>
          <cell r="H121">
            <v>61.957917699729606</v>
          </cell>
          <cell r="I121">
            <v>122</v>
          </cell>
          <cell r="J121">
            <v>19</v>
          </cell>
          <cell r="L121">
            <v>9.7789039456094482</v>
          </cell>
          <cell r="M121">
            <v>6.9032725658169563</v>
          </cell>
          <cell r="N121">
            <v>5.0667432180278205</v>
          </cell>
          <cell r="O121">
            <v>5.7329999999999997</v>
          </cell>
          <cell r="P121">
            <v>4.9530000000000003</v>
          </cell>
          <cell r="Q121">
            <v>5.5910000000000002</v>
          </cell>
          <cell r="R121">
            <v>3.6850000000000001</v>
          </cell>
          <cell r="S121">
            <v>2.98</v>
          </cell>
          <cell r="T121">
            <v>-17.945</v>
          </cell>
          <cell r="U121">
            <v>15.336</v>
          </cell>
          <cell r="V121">
            <v>10</v>
          </cell>
          <cell r="W121">
            <v>3.0040895429555792</v>
          </cell>
        </row>
        <row r="122">
          <cell r="B122" t="str">
            <v>Papua New Guinea</v>
          </cell>
          <cell r="C122">
            <v>0.50696592980361554</v>
          </cell>
          <cell r="D122">
            <v>1.127965129390196</v>
          </cell>
          <cell r="E122">
            <v>3.7955054005958777</v>
          </cell>
          <cell r="G122" t="str">
            <v>E</v>
          </cell>
          <cell r="H122">
            <v>55.401075093758223</v>
          </cell>
          <cell r="I122">
            <v>131</v>
          </cell>
          <cell r="J122">
            <v>27</v>
          </cell>
          <cell r="L122">
            <v>4.6571195968623904</v>
          </cell>
          <cell r="M122">
            <v>3.8249463280067437</v>
          </cell>
          <cell r="N122">
            <v>13.543770621654581</v>
          </cell>
          <cell r="O122">
            <v>6.5759999999999996</v>
          </cell>
          <cell r="P122">
            <v>5.492</v>
          </cell>
          <cell r="Q122">
            <v>3.5350000000000001</v>
          </cell>
          <cell r="R122">
            <v>-0.27900000000000003</v>
          </cell>
          <cell r="S122">
            <v>4.4800000000000004</v>
          </cell>
          <cell r="T122">
            <v>-3.1669999999999998</v>
          </cell>
          <cell r="U122">
            <v>7.0000000000000007E-2</v>
          </cell>
          <cell r="V122">
            <v>4.5359999999999996</v>
          </cell>
          <cell r="W122">
            <v>2.4617352649930369</v>
          </cell>
        </row>
        <row r="123">
          <cell r="B123" t="str">
            <v>Paraguay</v>
          </cell>
          <cell r="C123">
            <v>1.1388134852348575</v>
          </cell>
          <cell r="D123">
            <v>1.2311721995777125</v>
          </cell>
          <cell r="E123">
            <v>3.152890592174673</v>
          </cell>
          <cell r="G123" t="str">
            <v>D</v>
          </cell>
          <cell r="H123">
            <v>63.814130726333779</v>
          </cell>
          <cell r="I123">
            <v>118</v>
          </cell>
          <cell r="J123">
            <v>17</v>
          </cell>
          <cell r="L123">
            <v>-0.53851294250305837</v>
          </cell>
          <cell r="M123">
            <v>8.4174952847030529</v>
          </cell>
          <cell r="N123">
            <v>4.8608903705532152</v>
          </cell>
          <cell r="O123">
            <v>2.9569999999999999</v>
          </cell>
          <cell r="P123">
            <v>4.2679999999999998</v>
          </cell>
          <cell r="Q123">
            <v>4.8099999999999996</v>
          </cell>
          <cell r="R123">
            <v>3.2040000000000002</v>
          </cell>
          <cell r="S123">
            <v>-0.40200000000000002</v>
          </cell>
          <cell r="T123">
            <v>-0.82</v>
          </cell>
          <cell r="U123">
            <v>4.0170000000000003</v>
          </cell>
          <cell r="V123">
            <v>0.2</v>
          </cell>
          <cell r="W123">
            <v>2.1920313958761928</v>
          </cell>
        </row>
        <row r="124">
          <cell r="B124" t="str">
            <v>Peru</v>
          </cell>
          <cell r="C124">
            <v>1.205712245399182</v>
          </cell>
          <cell r="D124">
            <v>1.959755918859285</v>
          </cell>
          <cell r="E124">
            <v>2.7687545080362863</v>
          </cell>
          <cell r="G124" t="str">
            <v>D</v>
          </cell>
          <cell r="H124">
            <v>62.494421901152251</v>
          </cell>
          <cell r="I124">
            <v>121</v>
          </cell>
          <cell r="J124">
            <v>18</v>
          </cell>
          <cell r="L124">
            <v>6.1397247056043467</v>
          </cell>
          <cell r="M124">
            <v>5.8525182108492944</v>
          </cell>
          <cell r="N124">
            <v>2.3821573718054045</v>
          </cell>
          <cell r="O124">
            <v>3.2519999999999998</v>
          </cell>
          <cell r="P124">
            <v>3.9529999999999998</v>
          </cell>
          <cell r="Q124">
            <v>2.5190000000000001</v>
          </cell>
          <cell r="R124">
            <v>3.9769999999999999</v>
          </cell>
          <cell r="S124">
            <v>2.2330000000000001</v>
          </cell>
          <cell r="T124">
            <v>-11.013999999999999</v>
          </cell>
          <cell r="U124">
            <v>13.551</v>
          </cell>
          <cell r="V124">
            <v>2.7010000000000001</v>
          </cell>
          <cell r="W124">
            <v>2.3642552134477857</v>
          </cell>
        </row>
        <row r="125">
          <cell r="B125" t="str">
            <v>Philippines</v>
          </cell>
          <cell r="C125">
            <v>0.96069279950485864</v>
          </cell>
          <cell r="D125">
            <v>3.0362820733681239</v>
          </cell>
          <cell r="E125">
            <v>4.8545875775876546</v>
          </cell>
          <cell r="G125" t="str">
            <v>C</v>
          </cell>
          <cell r="H125">
            <v>74.806556985260698</v>
          </cell>
          <cell r="I125">
            <v>69</v>
          </cell>
          <cell r="J125">
            <v>10</v>
          </cell>
          <cell r="L125">
            <v>6.8969517105747951</v>
          </cell>
          <cell r="M125">
            <v>6.7505313017782687</v>
          </cell>
          <cell r="N125">
            <v>6.3479874825028357</v>
          </cell>
          <cell r="O125">
            <v>6.3479999999999999</v>
          </cell>
          <cell r="P125">
            <v>7.149</v>
          </cell>
          <cell r="Q125">
            <v>6.931</v>
          </cell>
          <cell r="R125">
            <v>6.3410000000000002</v>
          </cell>
          <cell r="S125">
            <v>6.1189999999999998</v>
          </cell>
          <cell r="T125">
            <v>-9.5180000000000007</v>
          </cell>
          <cell r="U125">
            <v>5.7030000000000003</v>
          </cell>
          <cell r="V125">
            <v>7.5990000000000002</v>
          </cell>
          <cell r="W125">
            <v>3.9454348254778893</v>
          </cell>
        </row>
        <row r="126">
          <cell r="B126" t="str">
            <v>Poland</v>
          </cell>
          <cell r="C126">
            <v>3.162865203018228</v>
          </cell>
          <cell r="D126">
            <v>3.8363783613865499</v>
          </cell>
          <cell r="E126">
            <v>3.5697088266716248</v>
          </cell>
          <cell r="G126" t="str">
            <v>B</v>
          </cell>
          <cell r="H126">
            <v>85.420553644487129</v>
          </cell>
          <cell r="I126">
            <v>36</v>
          </cell>
          <cell r="J126">
            <v>23</v>
          </cell>
          <cell r="L126">
            <v>1.6079066445646626</v>
          </cell>
          <cell r="M126">
            <v>1.3918923212492256</v>
          </cell>
          <cell r="N126">
            <v>3.3184475370007722</v>
          </cell>
          <cell r="O126">
            <v>4.383</v>
          </cell>
          <cell r="P126">
            <v>2.9540000000000002</v>
          </cell>
          <cell r="Q126">
            <v>5.14</v>
          </cell>
          <cell r="R126">
            <v>5.9450000000000003</v>
          </cell>
          <cell r="S126">
            <v>4.45</v>
          </cell>
          <cell r="T126">
            <v>-2.02</v>
          </cell>
          <cell r="U126">
            <v>6.8479999999999999</v>
          </cell>
          <cell r="V126">
            <v>4.8739999999999997</v>
          </cell>
          <cell r="W126">
            <v>3.7030435940290873</v>
          </cell>
        </row>
        <row r="127">
          <cell r="B127" t="str">
            <v>Portugal</v>
          </cell>
          <cell r="C127">
            <v>1.0661443105445922</v>
          </cell>
          <cell r="D127">
            <v>1.7172276328006886</v>
          </cell>
          <cell r="E127">
            <v>1.5719478894561822</v>
          </cell>
          <cell r="G127" t="str">
            <v>A</v>
          </cell>
          <cell r="H127">
            <v>91.026987497789847</v>
          </cell>
          <cell r="I127">
            <v>25</v>
          </cell>
          <cell r="J127">
            <v>16</v>
          </cell>
          <cell r="L127">
            <v>-4.0572943594235547</v>
          </cell>
          <cell r="M127">
            <v>-0.92264378725787455</v>
          </cell>
          <cell r="N127">
            <v>0.79219053837650444</v>
          </cell>
          <cell r="O127">
            <v>1.792</v>
          </cell>
          <cell r="P127">
            <v>2.0190000000000001</v>
          </cell>
          <cell r="Q127">
            <v>3.5059999999999998</v>
          </cell>
          <cell r="R127">
            <v>2.8490000000000002</v>
          </cell>
          <cell r="S127">
            <v>2.6829999999999998</v>
          </cell>
          <cell r="T127">
            <v>-8.3010000000000002</v>
          </cell>
          <cell r="U127">
            <v>5.5030000000000001</v>
          </cell>
          <cell r="V127">
            <v>6.726</v>
          </cell>
          <cell r="W127">
            <v>1.6445877611284354</v>
          </cell>
        </row>
        <row r="128">
          <cell r="B128" t="str">
            <v>Qatar</v>
          </cell>
          <cell r="C128">
            <v>0.67674745765720079</v>
          </cell>
          <cell r="D128">
            <v>0.80775193577011795</v>
          </cell>
          <cell r="E128">
            <v>2.0997114519337501</v>
          </cell>
          <cell r="G128" t="str">
            <v>B</v>
          </cell>
          <cell r="H128">
            <v>78.783055534449289</v>
          </cell>
          <cell r="I128">
            <v>57</v>
          </cell>
          <cell r="J128">
            <v>6</v>
          </cell>
          <cell r="L128">
            <v>4.730011843607838</v>
          </cell>
          <cell r="M128">
            <v>5.5560406430660754</v>
          </cell>
          <cell r="N128">
            <v>5.3343232919645871</v>
          </cell>
          <cell r="O128">
            <v>4.7530000000000001</v>
          </cell>
          <cell r="P128">
            <v>3.0640000000000001</v>
          </cell>
          <cell r="Q128">
            <v>-1.498</v>
          </cell>
          <cell r="R128">
            <v>1.2350000000000001</v>
          </cell>
          <cell r="S128">
            <v>0.68799999999999994</v>
          </cell>
          <cell r="T128">
            <v>-3.5579999999999998</v>
          </cell>
          <cell r="U128">
            <v>1.589</v>
          </cell>
          <cell r="V128">
            <v>4.2409999999999997</v>
          </cell>
          <cell r="W128">
            <v>1.453731693851934</v>
          </cell>
        </row>
        <row r="129">
          <cell r="B129" t="str">
            <v>Romania</v>
          </cell>
          <cell r="C129">
            <v>1.9886029006319417</v>
          </cell>
          <cell r="D129">
            <v>2.9733514596169686</v>
          </cell>
          <cell r="E129">
            <v>3.7501787507027151</v>
          </cell>
          <cell r="G129" t="str">
            <v>B</v>
          </cell>
          <cell r="H129">
            <v>84.261081453729389</v>
          </cell>
          <cell r="I129">
            <v>37</v>
          </cell>
          <cell r="J129">
            <v>24</v>
          </cell>
          <cell r="L129">
            <v>2.0771650065377472</v>
          </cell>
          <cell r="M129">
            <v>3.5145518040847694</v>
          </cell>
          <cell r="N129">
            <v>3.4108091001793088</v>
          </cell>
          <cell r="O129">
            <v>3.1629999999999998</v>
          </cell>
          <cell r="P129">
            <v>2.8530000000000002</v>
          </cell>
          <cell r="Q129">
            <v>8.2129999999999992</v>
          </cell>
          <cell r="R129">
            <v>6.03</v>
          </cell>
          <cell r="S129">
            <v>3.8439999999999999</v>
          </cell>
          <cell r="T129">
            <v>-3.6920000000000002</v>
          </cell>
          <cell r="U129">
            <v>5.8739999999999997</v>
          </cell>
          <cell r="V129">
            <v>4.7910000000000004</v>
          </cell>
          <cell r="W129">
            <v>3.3617651051598418</v>
          </cell>
        </row>
        <row r="130">
          <cell r="B130" t="str">
            <v>Russia</v>
          </cell>
          <cell r="C130">
            <v>0.31321455831558875</v>
          </cell>
          <cell r="D130">
            <v>1.1211784185926943</v>
          </cell>
          <cell r="E130">
            <v>0.80914098391451361</v>
          </cell>
          <cell r="G130" t="str">
            <v>C</v>
          </cell>
          <cell r="H130">
            <v>76.528749373407479</v>
          </cell>
          <cell r="I130">
            <v>64</v>
          </cell>
          <cell r="J130">
            <v>36</v>
          </cell>
          <cell r="L130">
            <v>4.0240861571797915</v>
          </cell>
          <cell r="M130">
            <v>1.7554221491628001</v>
          </cell>
          <cell r="N130">
            <v>0.736267221403759</v>
          </cell>
          <cell r="O130">
            <v>-1.9730000000000001</v>
          </cell>
          <cell r="P130">
            <v>0.19400000000000001</v>
          </cell>
          <cell r="Q130">
            <v>1.8260000000000001</v>
          </cell>
          <cell r="R130">
            <v>2.8069999999999999</v>
          </cell>
          <cell r="S130">
            <v>2.198</v>
          </cell>
          <cell r="T130">
            <v>-2.6539999999999999</v>
          </cell>
          <cell r="U130">
            <v>5.6239999999999997</v>
          </cell>
          <cell r="V130">
            <v>-2.0510000000000002</v>
          </cell>
          <cell r="W130">
            <v>0.96515970125360395</v>
          </cell>
        </row>
        <row r="131">
          <cell r="B131" t="str">
            <v>Rwanda</v>
          </cell>
          <cell r="C131">
            <v>4.5886571318858538</v>
          </cell>
          <cell r="D131">
            <v>6.3388189685080754</v>
          </cell>
          <cell r="E131">
            <v>6.1347836953729917</v>
          </cell>
          <cell r="G131" t="str">
            <v>C</v>
          </cell>
          <cell r="H131">
            <v>76.577775011818801</v>
          </cell>
          <cell r="I131">
            <v>63</v>
          </cell>
          <cell r="J131">
            <v>3</v>
          </cell>
          <cell r="L131">
            <v>8.6415388651712988</v>
          </cell>
          <cell r="M131">
            <v>4.7198554996618309</v>
          </cell>
          <cell r="N131">
            <v>6.1642772027561934</v>
          </cell>
          <cell r="O131">
            <v>8.8539999999999992</v>
          </cell>
          <cell r="P131">
            <v>5.9720000000000004</v>
          </cell>
          <cell r="Q131">
            <v>3.9729999999999999</v>
          </cell>
          <cell r="R131">
            <v>8.5779999999999994</v>
          </cell>
          <cell r="S131">
            <v>9.4689999999999994</v>
          </cell>
          <cell r="T131">
            <v>-3.3570000000000002</v>
          </cell>
          <cell r="U131">
            <v>10.874000000000001</v>
          </cell>
          <cell r="V131">
            <v>6.7629999999999999</v>
          </cell>
          <cell r="W131">
            <v>6.2368013319405335</v>
          </cell>
        </row>
        <row r="132">
          <cell r="B132" t="str">
            <v>Saudi Arabia</v>
          </cell>
          <cell r="C132">
            <v>2.4790435166051283</v>
          </cell>
          <cell r="D132">
            <v>2.0533451948943071</v>
          </cell>
          <cell r="E132">
            <v>2.158001329255721</v>
          </cell>
          <cell r="G132" t="str">
            <v>B</v>
          </cell>
          <cell r="H132">
            <v>76.963439522680929</v>
          </cell>
          <cell r="I132">
            <v>61</v>
          </cell>
          <cell r="J132">
            <v>8</v>
          </cell>
          <cell r="L132">
            <v>5.4114449021643543</v>
          </cell>
          <cell r="M132">
            <v>2.6992547225567329</v>
          </cell>
          <cell r="N132">
            <v>3.6524816975790095</v>
          </cell>
          <cell r="O132">
            <v>4.6900000000000004</v>
          </cell>
          <cell r="P132">
            <v>2.363</v>
          </cell>
          <cell r="Q132">
            <v>-7.0000000000000007E-2</v>
          </cell>
          <cell r="R132">
            <v>2.762</v>
          </cell>
          <cell r="S132">
            <v>0.83199999999999996</v>
          </cell>
          <cell r="T132">
            <v>-4.3410000000000002</v>
          </cell>
          <cell r="U132">
            <v>3.9220000000000002</v>
          </cell>
          <cell r="V132">
            <v>8.7439999999999998</v>
          </cell>
          <cell r="W132">
            <v>2.105673262075014</v>
          </cell>
        </row>
        <row r="133">
          <cell r="B133" t="str">
            <v>Senegal</v>
          </cell>
          <cell r="C133">
            <v>4.0137946463164598</v>
          </cell>
          <cell r="D133">
            <v>4.5694149693751296</v>
          </cell>
          <cell r="E133">
            <v>5.2331571951220512</v>
          </cell>
          <cell r="G133" t="str">
            <v>C</v>
          </cell>
          <cell r="H133">
            <v>69.313365081609845</v>
          </cell>
          <cell r="I133">
            <v>93</v>
          </cell>
          <cell r="J133">
            <v>15</v>
          </cell>
          <cell r="L133">
            <v>5.1173942367478444</v>
          </cell>
          <cell r="M133">
            <v>2.8221056497235883</v>
          </cell>
          <cell r="N133">
            <v>6.6135001033739647</v>
          </cell>
          <cell r="O133">
            <v>6.367</v>
          </cell>
          <cell r="P133">
            <v>6.3559999999999999</v>
          </cell>
          <cell r="Q133">
            <v>7.407</v>
          </cell>
          <cell r="R133">
            <v>6.2089999999999996</v>
          </cell>
          <cell r="S133">
            <v>4.6139999999999999</v>
          </cell>
          <cell r="T133">
            <v>1.3260000000000001</v>
          </cell>
          <cell r="U133">
            <v>6.0670000000000002</v>
          </cell>
          <cell r="V133">
            <v>4.7089999999999996</v>
          </cell>
          <cell r="W133">
            <v>4.9012860822485909</v>
          </cell>
        </row>
        <row r="134">
          <cell r="B134" t="str">
            <v>Serbia</v>
          </cell>
          <cell r="C134">
            <v>2.9071913241700997</v>
          </cell>
          <cell r="D134">
            <v>3.5107747978878168</v>
          </cell>
          <cell r="E134">
            <v>2.5987412011468258</v>
          </cell>
          <cell r="G134" t="str">
            <v>C</v>
          </cell>
          <cell r="H134">
            <v>74.50245157918026</v>
          </cell>
          <cell r="I134">
            <v>71</v>
          </cell>
          <cell r="J134">
            <v>38</v>
          </cell>
          <cell r="L134">
            <v>-0.68154236933475798</v>
          </cell>
          <cell r="M134">
            <v>2.892636733558092</v>
          </cell>
          <cell r="N134">
            <v>-1.5895103199025831</v>
          </cell>
          <cell r="O134">
            <v>1.776</v>
          </cell>
          <cell r="P134">
            <v>3.339</v>
          </cell>
          <cell r="Q134">
            <v>2.101</v>
          </cell>
          <cell r="R134">
            <v>4.4950000000000001</v>
          </cell>
          <cell r="S134">
            <v>4.3319999999999999</v>
          </cell>
          <cell r="T134">
            <v>-0.90300000000000002</v>
          </cell>
          <cell r="U134">
            <v>7.55</v>
          </cell>
          <cell r="V134">
            <v>2.2509999999999999</v>
          </cell>
          <cell r="W134">
            <v>3.0547579995173213</v>
          </cell>
        </row>
        <row r="135">
          <cell r="B135" t="str">
            <v>Sierra Leone</v>
          </cell>
          <cell r="C135">
            <v>1.6001817079933423</v>
          </cell>
          <cell r="D135">
            <v>2.5822705421283176</v>
          </cell>
          <cell r="E135">
            <v>2.323464181185142</v>
          </cell>
          <cell r="G135" t="str">
            <v>E</v>
          </cell>
          <cell r="H135">
            <v>58.993492167204309</v>
          </cell>
          <cell r="I135">
            <v>126</v>
          </cell>
          <cell r="J135">
            <v>30</v>
          </cell>
          <cell r="L135">
            <v>15.18176908302255</v>
          </cell>
          <cell r="M135">
            <v>20.715768285872748</v>
          </cell>
          <cell r="N135">
            <v>4.5567723661529431</v>
          </cell>
          <cell r="O135">
            <v>-20.492999999999999</v>
          </cell>
          <cell r="P135">
            <v>6.3540000000000001</v>
          </cell>
          <cell r="Q135">
            <v>3.7650000000000001</v>
          </cell>
          <cell r="R135">
            <v>3.4649999999999999</v>
          </cell>
          <cell r="S135">
            <v>5.2539999999999996</v>
          </cell>
          <cell r="T135">
            <v>-1.9690000000000001</v>
          </cell>
          <cell r="U135">
            <v>4.1050000000000004</v>
          </cell>
          <cell r="V135">
            <v>2.766</v>
          </cell>
          <cell r="W135">
            <v>2.4528673616567298</v>
          </cell>
        </row>
        <row r="136">
          <cell r="B136" t="str">
            <v>Singapore</v>
          </cell>
          <cell r="C136">
            <v>2.254611894692915</v>
          </cell>
          <cell r="D136">
            <v>2.3804077568891469</v>
          </cell>
          <cell r="E136">
            <v>3.1207966515608421</v>
          </cell>
          <cell r="G136" t="str">
            <v>A</v>
          </cell>
          <cell r="H136">
            <v>97.805585083414968</v>
          </cell>
          <cell r="I136">
            <v>4</v>
          </cell>
          <cell r="J136">
            <v>2</v>
          </cell>
          <cell r="L136">
            <v>4.461608951013317</v>
          </cell>
          <cell r="M136">
            <v>4.8372986457609866</v>
          </cell>
          <cell r="N136">
            <v>3.9380027286605586</v>
          </cell>
          <cell r="O136">
            <v>2.9769999999999999</v>
          </cell>
          <cell r="P136">
            <v>3.6019999999999999</v>
          </cell>
          <cell r="Q136">
            <v>4.5449999999999999</v>
          </cell>
          <cell r="R136">
            <v>3.5750000000000002</v>
          </cell>
          <cell r="S136">
            <v>1.331</v>
          </cell>
          <cell r="T136">
            <v>-3.9009999999999998</v>
          </cell>
          <cell r="U136">
            <v>8.8819999999999997</v>
          </cell>
          <cell r="V136">
            <v>3.6469999999999998</v>
          </cell>
          <cell r="W136">
            <v>2.7506022042249945</v>
          </cell>
        </row>
        <row r="137">
          <cell r="B137" t="str">
            <v>Slovak Republic</v>
          </cell>
          <cell r="C137">
            <v>0.39781205843958389</v>
          </cell>
          <cell r="D137">
            <v>0.97590941056187042</v>
          </cell>
          <cell r="E137">
            <v>1.8214852479931931</v>
          </cell>
          <cell r="G137" t="str">
            <v>B</v>
          </cell>
          <cell r="H137">
            <v>80.276897229698847</v>
          </cell>
          <cell r="I137">
            <v>47</v>
          </cell>
          <cell r="J137">
            <v>32</v>
          </cell>
          <cell r="L137">
            <v>1.8958108123027844</v>
          </cell>
          <cell r="M137">
            <v>0.67084458223160615</v>
          </cell>
          <cell r="N137">
            <v>2.7524343314004627</v>
          </cell>
          <cell r="O137">
            <v>5.1669999999999998</v>
          </cell>
          <cell r="P137">
            <v>1.944</v>
          </cell>
          <cell r="Q137">
            <v>2.9380000000000002</v>
          </cell>
          <cell r="R137">
            <v>4.0309999999999997</v>
          </cell>
          <cell r="S137">
            <v>2.5190000000000001</v>
          </cell>
          <cell r="T137">
            <v>-3.375</v>
          </cell>
          <cell r="U137">
            <v>3.0139999999999998</v>
          </cell>
          <cell r="V137">
            <v>1.6679999999999999</v>
          </cell>
          <cell r="W137">
            <v>1.3986973292775318</v>
          </cell>
        </row>
        <row r="138">
          <cell r="B138" t="str">
            <v>Slovenia</v>
          </cell>
          <cell r="C138">
            <v>2.9453399614758569</v>
          </cell>
          <cell r="D138">
            <v>3.265722456681952</v>
          </cell>
          <cell r="E138">
            <v>2.8132202997918521</v>
          </cell>
          <cell r="G138" t="str">
            <v>A</v>
          </cell>
          <cell r="H138">
            <v>88.920325519387234</v>
          </cell>
          <cell r="I138">
            <v>30</v>
          </cell>
          <cell r="J138">
            <v>19</v>
          </cell>
          <cell r="L138">
            <v>-2.6394387292630763</v>
          </cell>
          <cell r="M138">
            <v>-1.029283831306939</v>
          </cell>
          <cell r="N138">
            <v>2.7681580195902979</v>
          </cell>
          <cell r="O138">
            <v>2.21</v>
          </cell>
          <cell r="P138">
            <v>3.1920000000000002</v>
          </cell>
          <cell r="Q138">
            <v>4.8159999999999998</v>
          </cell>
          <cell r="R138">
            <v>4.4550000000000001</v>
          </cell>
          <cell r="S138">
            <v>3.4510000000000001</v>
          </cell>
          <cell r="T138">
            <v>-4.3209999999999997</v>
          </cell>
          <cell r="U138">
            <v>8.2110000000000003</v>
          </cell>
          <cell r="V138">
            <v>5.3739999999999997</v>
          </cell>
          <cell r="W138">
            <v>3.0394713782369021</v>
          </cell>
        </row>
        <row r="139">
          <cell r="B139" t="str">
            <v>South Africa</v>
          </cell>
          <cell r="C139">
            <v>8.8409433265779214E-2</v>
          </cell>
          <cell r="D139">
            <v>2.1857023030043443</v>
          </cell>
          <cell r="E139">
            <v>1.8249844059199605</v>
          </cell>
          <cell r="G139" t="str">
            <v>C</v>
          </cell>
          <cell r="H139">
            <v>75.182844770260857</v>
          </cell>
          <cell r="I139">
            <v>68</v>
          </cell>
          <cell r="J139">
            <v>5</v>
          </cell>
          <cell r="L139">
            <v>2.2133548084844037</v>
          </cell>
          <cell r="M139">
            <v>2.4852005003105813</v>
          </cell>
          <cell r="N139">
            <v>1.8469916036571876</v>
          </cell>
          <cell r="O139">
            <v>1.3220000000000001</v>
          </cell>
          <cell r="P139">
            <v>0.66500000000000004</v>
          </cell>
          <cell r="Q139">
            <v>1.1579999999999999</v>
          </cell>
          <cell r="R139">
            <v>1.522</v>
          </cell>
          <cell r="S139">
            <v>0.30299999999999999</v>
          </cell>
          <cell r="T139">
            <v>-6.3419999999999996</v>
          </cell>
          <cell r="U139">
            <v>4.9130000000000003</v>
          </cell>
          <cell r="V139">
            <v>2.0419999999999998</v>
          </cell>
          <cell r="W139">
            <v>2.0053433544621524</v>
          </cell>
        </row>
        <row r="140">
          <cell r="B140" t="str">
            <v>Spain</v>
          </cell>
          <cell r="C140">
            <v>-0.43793400391870518</v>
          </cell>
          <cell r="D140">
            <v>0.55931383652465527</v>
          </cell>
          <cell r="E140">
            <v>1.23940470018431</v>
          </cell>
          <cell r="G140" t="str">
            <v>A</v>
          </cell>
          <cell r="H140">
            <v>90.367632171249966</v>
          </cell>
          <cell r="I140">
            <v>27</v>
          </cell>
          <cell r="J140">
            <v>17</v>
          </cell>
          <cell r="L140">
            <v>-2.9594413017355699</v>
          </cell>
          <cell r="M140">
            <v>-1.4353942591932869</v>
          </cell>
          <cell r="N140">
            <v>1.3839079426702983</v>
          </cell>
          <cell r="O140">
            <v>3.8370000000000002</v>
          </cell>
          <cell r="P140">
            <v>3.0379999999999998</v>
          </cell>
          <cell r="Q140">
            <v>2.9769999999999999</v>
          </cell>
          <cell r="R140">
            <v>2.2829999999999999</v>
          </cell>
          <cell r="S140">
            <v>1.9830000000000001</v>
          </cell>
          <cell r="T140">
            <v>-11.324999999999999</v>
          </cell>
          <cell r="U140">
            <v>5.5220000000000002</v>
          </cell>
          <cell r="V140">
            <v>5.4749999999999996</v>
          </cell>
          <cell r="W140">
            <v>0.89935926835448265</v>
          </cell>
        </row>
        <row r="141">
          <cell r="B141" t="str">
            <v>Sri Lanka</v>
          </cell>
          <cell r="C141">
            <v>-3.0583991155611168</v>
          </cell>
          <cell r="D141">
            <v>7.8407546755454582E-2</v>
          </cell>
          <cell r="E141">
            <v>2.1593525209882225</v>
          </cell>
          <cell r="G141" t="str">
            <v>C</v>
          </cell>
          <cell r="H141">
            <v>73.00518117550061</v>
          </cell>
          <cell r="I141">
            <v>76</v>
          </cell>
          <cell r="J141">
            <v>13</v>
          </cell>
          <cell r="L141">
            <v>9.1445722464256534</v>
          </cell>
          <cell r="M141">
            <v>3.3957326498342781</v>
          </cell>
          <cell r="N141">
            <v>4.960700591697301</v>
          </cell>
          <cell r="O141">
            <v>4.2060000000000004</v>
          </cell>
          <cell r="P141">
            <v>5.0540000000000003</v>
          </cell>
          <cell r="Q141">
            <v>6.4610000000000003</v>
          </cell>
          <cell r="R141">
            <v>2.31</v>
          </cell>
          <cell r="S141">
            <v>-0.22</v>
          </cell>
          <cell r="T141">
            <v>-3.472</v>
          </cell>
          <cell r="U141">
            <v>3.327</v>
          </cell>
          <cell r="V141">
            <v>-8.6590000000000007</v>
          </cell>
          <cell r="W141">
            <v>1.1188800338718385</v>
          </cell>
        </row>
        <row r="142">
          <cell r="B142" t="str">
            <v>Sudan</v>
          </cell>
          <cell r="C142">
            <v>-2.6688383810210325</v>
          </cell>
          <cell r="D142">
            <v>-1.5401833642449736</v>
          </cell>
          <cell r="E142">
            <v>1.2842213840550842</v>
          </cell>
          <cell r="G142" t="str">
            <v>E</v>
          </cell>
          <cell r="H142">
            <v>29.302112762792021</v>
          </cell>
          <cell r="I142">
            <v>156</v>
          </cell>
          <cell r="J142">
            <v>47</v>
          </cell>
          <cell r="L142">
            <v>-1.4398357186292348</v>
          </cell>
          <cell r="M142">
            <v>4.3946958327458523</v>
          </cell>
          <cell r="N142">
            <v>2.6794256681504725</v>
          </cell>
          <cell r="O142">
            <v>4.9059999999999997</v>
          </cell>
          <cell r="P142">
            <v>4.7</v>
          </cell>
          <cell r="Q142">
            <v>0.76800000000000002</v>
          </cell>
          <cell r="R142">
            <v>-2.29</v>
          </cell>
          <cell r="S142">
            <v>-2.5</v>
          </cell>
          <cell r="T142">
            <v>-3.63</v>
          </cell>
          <cell r="U142">
            <v>0.5</v>
          </cell>
          <cell r="V142">
            <v>-2.5</v>
          </cell>
          <cell r="W142">
            <v>-0.12798099009494468</v>
          </cell>
        </row>
        <row r="143">
          <cell r="B143" t="str">
            <v>Suriname</v>
          </cell>
          <cell r="C143">
            <v>-6.0912921553037958</v>
          </cell>
          <cell r="D143">
            <v>-2.539464764773447</v>
          </cell>
          <cell r="E143">
            <v>-1.6533032843941364</v>
          </cell>
          <cell r="G143" t="str">
            <v>C</v>
          </cell>
          <cell r="H143">
            <v>69.385821977853183</v>
          </cell>
          <cell r="I143">
            <v>92</v>
          </cell>
          <cell r="J143">
            <v>12</v>
          </cell>
          <cell r="L143">
            <v>2.6903497466884523</v>
          </cell>
          <cell r="M143">
            <v>2.9334416518612043</v>
          </cell>
          <cell r="N143">
            <v>0.25550303164546423</v>
          </cell>
          <cell r="O143">
            <v>-3.4140000000000001</v>
          </cell>
          <cell r="P143">
            <v>-4.9119999999999999</v>
          </cell>
          <cell r="Q143">
            <v>1.5660000000000001</v>
          </cell>
          <cell r="R143">
            <v>4.9480000000000004</v>
          </cell>
          <cell r="S143">
            <v>1.0980000000000001</v>
          </cell>
          <cell r="T143">
            <v>-15.906000000000001</v>
          </cell>
          <cell r="U143">
            <v>-2.742</v>
          </cell>
          <cell r="V143">
            <v>1.3280000000000001</v>
          </cell>
          <cell r="W143">
            <v>-2.0963840245837915</v>
          </cell>
        </row>
        <row r="144">
          <cell r="B144" t="str">
            <v>Sweden</v>
          </cell>
          <cell r="C144">
            <v>1.8041121232050594</v>
          </cell>
          <cell r="D144">
            <v>1.5622302939160004</v>
          </cell>
          <cell r="E144">
            <v>2.0743232215396867</v>
          </cell>
          <cell r="G144" t="str">
            <v>A</v>
          </cell>
          <cell r="H144">
            <v>96.904206369440487</v>
          </cell>
          <cell r="I144">
            <v>7</v>
          </cell>
          <cell r="J144">
            <v>5</v>
          </cell>
          <cell r="L144">
            <v>-0.58830456899072281</v>
          </cell>
          <cell r="M144">
            <v>1.1877757159060018</v>
          </cell>
          <cell r="N144">
            <v>2.6577982753164227</v>
          </cell>
          <cell r="O144">
            <v>4.4889999999999999</v>
          </cell>
          <cell r="P144">
            <v>2.0710000000000002</v>
          </cell>
          <cell r="Q144">
            <v>2.5680000000000001</v>
          </cell>
          <cell r="R144">
            <v>1.95</v>
          </cell>
          <cell r="S144">
            <v>1.986</v>
          </cell>
          <cell r="T144">
            <v>-2.17</v>
          </cell>
          <cell r="U144">
            <v>5.3860000000000001</v>
          </cell>
          <cell r="V144">
            <v>2.6419999999999999</v>
          </cell>
          <cell r="W144">
            <v>1.8182767577278436</v>
          </cell>
        </row>
        <row r="145">
          <cell r="B145" t="str">
            <v>Switzerland</v>
          </cell>
          <cell r="C145">
            <v>1.2890197152698013</v>
          </cell>
          <cell r="D145">
            <v>2.1594279609995271</v>
          </cell>
          <cell r="E145">
            <v>1.9949438623463989</v>
          </cell>
          <cell r="G145" t="str">
            <v>A</v>
          </cell>
          <cell r="H145">
            <v>98.385388118004073</v>
          </cell>
          <cell r="I145">
            <v>2</v>
          </cell>
          <cell r="J145">
            <v>1</v>
          </cell>
          <cell r="L145">
            <v>1.0060240943135659</v>
          </cell>
          <cell r="M145">
            <v>1.852039766494749</v>
          </cell>
          <cell r="N145">
            <v>2.4492180871562819</v>
          </cell>
          <cell r="O145">
            <v>1.59</v>
          </cell>
          <cell r="P145">
            <v>2.073</v>
          </cell>
          <cell r="Q145">
            <v>1.427</v>
          </cell>
          <cell r="R145">
            <v>2.867</v>
          </cell>
          <cell r="S145">
            <v>1.161</v>
          </cell>
          <cell r="T145">
            <v>-2.5070000000000001</v>
          </cell>
          <cell r="U145">
            <v>4.2210000000000001</v>
          </cell>
          <cell r="V145">
            <v>2.1339999999999999</v>
          </cell>
          <cell r="W145">
            <v>2.077185911672963</v>
          </cell>
        </row>
        <row r="146">
          <cell r="B146" t="str">
            <v>Taiwan</v>
          </cell>
          <cell r="C146">
            <v>4.1942484708972883</v>
          </cell>
          <cell r="D146">
            <v>3.7202264352869774</v>
          </cell>
          <cell r="E146">
            <v>3.3189477234561782</v>
          </cell>
          <cell r="G146" t="str">
            <v>C</v>
          </cell>
          <cell r="H146">
            <v>74.109663332036064</v>
          </cell>
          <cell r="I146">
            <v>72</v>
          </cell>
          <cell r="J146">
            <v>11</v>
          </cell>
          <cell r="L146">
            <v>2.2704029453876053</v>
          </cell>
          <cell r="M146">
            <v>2.5430680885972134</v>
          </cell>
          <cell r="N146">
            <v>4.9538203190596066</v>
          </cell>
          <cell r="O146">
            <v>1.466</v>
          </cell>
          <cell r="P146">
            <v>2.165</v>
          </cell>
          <cell r="Q146">
            <v>3.3109999999999999</v>
          </cell>
          <cell r="R146">
            <v>2.7869999999999999</v>
          </cell>
          <cell r="S146">
            <v>3.0640000000000001</v>
          </cell>
          <cell r="T146">
            <v>3.387</v>
          </cell>
          <cell r="U146">
            <v>6.5279999999999996</v>
          </cell>
          <cell r="V146">
            <v>2.452</v>
          </cell>
          <cell r="W146">
            <v>3.5195870793715778</v>
          </cell>
        </row>
        <row r="147">
          <cell r="B147" t="str">
            <v>Tajikistan</v>
          </cell>
          <cell r="C147">
            <v>7.1805428191797027</v>
          </cell>
          <cell r="D147">
            <v>7.3081795758255463</v>
          </cell>
          <cell r="E147">
            <v>7.0632908095879854</v>
          </cell>
          <cell r="G147" t="str">
            <v>D</v>
          </cell>
          <cell r="H147">
            <v>65.502149613905985</v>
          </cell>
          <cell r="I147">
            <v>113</v>
          </cell>
          <cell r="J147">
            <v>23</v>
          </cell>
          <cell r="L147">
            <v>7.4999994632152305</v>
          </cell>
          <cell r="M147">
            <v>7.3999997470037826</v>
          </cell>
          <cell r="N147">
            <v>6.7000006901625362</v>
          </cell>
          <cell r="O147">
            <v>6</v>
          </cell>
          <cell r="P147">
            <v>6.9</v>
          </cell>
          <cell r="Q147">
            <v>7.1</v>
          </cell>
          <cell r="R147">
            <v>7.6</v>
          </cell>
          <cell r="S147">
            <v>7.4</v>
          </cell>
          <cell r="T147">
            <v>4.3899999999999997</v>
          </cell>
          <cell r="U147">
            <v>9.4</v>
          </cell>
          <cell r="V147">
            <v>8</v>
          </cell>
          <cell r="W147">
            <v>7.1857351927067654</v>
          </cell>
        </row>
        <row r="148">
          <cell r="B148" t="str">
            <v>Tanzania</v>
          </cell>
          <cell r="C148">
            <v>3.6476767570704727</v>
          </cell>
          <cell r="D148">
            <v>4.4330707554891102</v>
          </cell>
          <cell r="E148">
            <v>5.5432278987954442</v>
          </cell>
          <cell r="G148" t="str">
            <v>D</v>
          </cell>
          <cell r="H148">
            <v>68.134404341049418</v>
          </cell>
          <cell r="I148">
            <v>101</v>
          </cell>
          <cell r="J148">
            <v>21</v>
          </cell>
          <cell r="L148">
            <v>4.500153559821273</v>
          </cell>
          <cell r="M148">
            <v>6.7815856006531599</v>
          </cell>
          <cell r="N148">
            <v>6.732461868324811</v>
          </cell>
          <cell r="O148">
            <v>6.1609999999999996</v>
          </cell>
          <cell r="P148">
            <v>6.867</v>
          </cell>
          <cell r="Q148">
            <v>6.7729999999999997</v>
          </cell>
          <cell r="R148">
            <v>6.9589999999999996</v>
          </cell>
          <cell r="S148">
            <v>6.9889999999999999</v>
          </cell>
          <cell r="T148">
            <v>4.8159999999999998</v>
          </cell>
          <cell r="U148">
            <v>4.9470000000000001</v>
          </cell>
          <cell r="V148">
            <v>4.6879999999999997</v>
          </cell>
          <cell r="W148">
            <v>4.9881493271422777</v>
          </cell>
        </row>
        <row r="149">
          <cell r="B149" t="str">
            <v>Thailand</v>
          </cell>
          <cell r="C149">
            <v>-0.75178730142027028</v>
          </cell>
          <cell r="D149">
            <v>0.80617945124625834</v>
          </cell>
          <cell r="E149">
            <v>1.8254251122560072</v>
          </cell>
          <cell r="G149" t="str">
            <v>D</v>
          </cell>
          <cell r="H149">
            <v>67.301316099527455</v>
          </cell>
          <cell r="I149">
            <v>104</v>
          </cell>
          <cell r="J149">
            <v>19</v>
          </cell>
          <cell r="L149">
            <v>7.2427962024964359</v>
          </cell>
          <cell r="M149">
            <v>2.6874955632055553</v>
          </cell>
          <cell r="N149">
            <v>0.98442510993386245</v>
          </cell>
          <cell r="O149">
            <v>3.1339999999999999</v>
          </cell>
          <cell r="P149">
            <v>3.4350000000000001</v>
          </cell>
          <cell r="Q149">
            <v>4.1779999999999999</v>
          </cell>
          <cell r="R149">
            <v>4.2229999999999999</v>
          </cell>
          <cell r="S149">
            <v>2.1150000000000002</v>
          </cell>
          <cell r="T149">
            <v>-6.1609999999999996</v>
          </cell>
          <cell r="U149">
            <v>1.5629999999999999</v>
          </cell>
          <cell r="V149">
            <v>2.6440000000000001</v>
          </cell>
          <cell r="W149">
            <v>1.3158022817511328</v>
          </cell>
        </row>
        <row r="150">
          <cell r="B150" t="str">
            <v>Togo</v>
          </cell>
          <cell r="C150">
            <v>4.1237007551626403</v>
          </cell>
          <cell r="D150">
            <v>4.5599643087248731</v>
          </cell>
          <cell r="E150">
            <v>5.0461931715429786</v>
          </cell>
          <cell r="G150" t="str">
            <v>C</v>
          </cell>
          <cell r="H150">
            <v>71.06383353175876</v>
          </cell>
          <cell r="I150">
            <v>84</v>
          </cell>
          <cell r="J150">
            <v>12</v>
          </cell>
          <cell r="L150">
            <v>6.543507029266066</v>
          </cell>
          <cell r="M150">
            <v>6.1123430766482372</v>
          </cell>
          <cell r="N150">
            <v>5.9205885732303445</v>
          </cell>
          <cell r="O150">
            <v>5.74</v>
          </cell>
          <cell r="P150">
            <v>5.6</v>
          </cell>
          <cell r="Q150">
            <v>4.3479999999999999</v>
          </cell>
          <cell r="R150">
            <v>4.9669999999999996</v>
          </cell>
          <cell r="S150">
            <v>5.4640000000000004</v>
          </cell>
          <cell r="T150">
            <v>1.758</v>
          </cell>
          <cell r="U150">
            <v>5.2590000000000003</v>
          </cell>
          <cell r="V150">
            <v>5.399</v>
          </cell>
          <cell r="W150">
            <v>4.8030787401339259</v>
          </cell>
        </row>
        <row r="151">
          <cell r="B151" t="str">
            <v>Trinidad and Tobago</v>
          </cell>
          <cell r="C151">
            <v>-2.1662761553291388</v>
          </cell>
          <cell r="D151">
            <v>-0.32249691451342599</v>
          </cell>
          <cell r="E151">
            <v>-0.73360970360328848</v>
          </cell>
          <cell r="G151" t="str">
            <v>D</v>
          </cell>
          <cell r="H151">
            <v>65.576173252463747</v>
          </cell>
          <cell r="I151">
            <v>112</v>
          </cell>
          <cell r="J151">
            <v>14</v>
          </cell>
          <cell r="L151">
            <v>1.2699643652024184</v>
          </cell>
          <cell r="M151">
            <v>2.2290748047658071</v>
          </cell>
          <cell r="N151">
            <v>-0.91254496880826241</v>
          </cell>
          <cell r="O151">
            <v>-0.75600000000000001</v>
          </cell>
          <cell r="P151">
            <v>-6.7640000000000002</v>
          </cell>
          <cell r="Q151">
            <v>-4.7069999999999999</v>
          </cell>
          <cell r="R151">
            <v>-0.871</v>
          </cell>
          <cell r="S151">
            <v>0.11</v>
          </cell>
          <cell r="T151">
            <v>-7.6779999999999999</v>
          </cell>
          <cell r="U151">
            <v>-1.0269999999999999</v>
          </cell>
          <cell r="V151">
            <v>2.4809999999999999</v>
          </cell>
          <cell r="W151">
            <v>-0.52805330905835723</v>
          </cell>
        </row>
        <row r="152">
          <cell r="B152" t="str">
            <v>Tunisia</v>
          </cell>
          <cell r="C152">
            <v>-0.76139414796470017</v>
          </cell>
          <cell r="D152">
            <v>1.515468696628397</v>
          </cell>
          <cell r="E152">
            <v>1.7677168413122724</v>
          </cell>
          <cell r="G152" t="str">
            <v>D</v>
          </cell>
          <cell r="H152">
            <v>68.074683718311135</v>
          </cell>
          <cell r="I152">
            <v>102</v>
          </cell>
          <cell r="J152">
            <v>22</v>
          </cell>
          <cell r="L152">
            <v>3.9976740023093633</v>
          </cell>
          <cell r="M152">
            <v>2.8755238423073424</v>
          </cell>
          <cell r="N152">
            <v>2.9713983451090038</v>
          </cell>
          <cell r="O152">
            <v>0.96799999999999997</v>
          </cell>
          <cell r="P152">
            <v>1.117</v>
          </cell>
          <cell r="Q152">
            <v>2.238</v>
          </cell>
          <cell r="R152">
            <v>2.625</v>
          </cell>
          <cell r="S152">
            <v>1.5880000000000001</v>
          </cell>
          <cell r="T152">
            <v>-8.8179999999999996</v>
          </cell>
          <cell r="U152">
            <v>4.4050000000000002</v>
          </cell>
          <cell r="V152">
            <v>2.5219999999999998</v>
          </cell>
          <cell r="W152">
            <v>1.6415927689703347</v>
          </cell>
        </row>
        <row r="153">
          <cell r="B153" t="str">
            <v>Turkey</v>
          </cell>
          <cell r="C153">
            <v>6.2162334826369348</v>
          </cell>
          <cell r="D153">
            <v>4.4468380199269797</v>
          </cell>
          <cell r="E153">
            <v>5.2521474880545149</v>
          </cell>
          <cell r="G153" t="str">
            <v>B</v>
          </cell>
          <cell r="H153">
            <v>79.725975588542326</v>
          </cell>
          <cell r="I153">
            <v>49</v>
          </cell>
          <cell r="J153">
            <v>4</v>
          </cell>
          <cell r="L153">
            <v>4.7899402070344061</v>
          </cell>
          <cell r="M153">
            <v>8.4913093926863557</v>
          </cell>
          <cell r="N153">
            <v>5.1666907030455222</v>
          </cell>
          <cell r="O153">
            <v>6.0839999999999996</v>
          </cell>
          <cell r="P153">
            <v>3.323</v>
          </cell>
          <cell r="Q153">
            <v>7.5019999999999998</v>
          </cell>
          <cell r="R153">
            <v>2.98</v>
          </cell>
          <cell r="S153">
            <v>0.78400000000000003</v>
          </cell>
          <cell r="T153">
            <v>1.94</v>
          </cell>
          <cell r="U153">
            <v>11.353</v>
          </cell>
          <cell r="V153">
            <v>5.5659999999999998</v>
          </cell>
          <cell r="W153">
            <v>4.8494927539907469</v>
          </cell>
        </row>
        <row r="154">
          <cell r="B154" t="str">
            <v>Turkmenistan</v>
          </cell>
          <cell r="C154">
            <v>5.7825311290508274</v>
          </cell>
          <cell r="D154">
            <v>5.9692666570670072</v>
          </cell>
          <cell r="E154">
            <v>6.9419375690879193</v>
          </cell>
          <cell r="G154" t="str">
            <v>C</v>
          </cell>
          <cell r="H154">
            <v>73.971445285212496</v>
          </cell>
          <cell r="I154">
            <v>74</v>
          </cell>
          <cell r="J154">
            <v>12</v>
          </cell>
          <cell r="L154">
            <v>11.099999961554488</v>
          </cell>
          <cell r="M154">
            <v>10.200000101398992</v>
          </cell>
          <cell r="N154">
            <v>10.299999970545908</v>
          </cell>
          <cell r="O154">
            <v>2.9860000000000002</v>
          </cell>
          <cell r="P154">
            <v>-0.97699999999999998</v>
          </cell>
          <cell r="Q154">
            <v>4.7069999999999999</v>
          </cell>
          <cell r="R154">
            <v>0.88200000000000001</v>
          </cell>
          <cell r="S154">
            <v>-3.3889999999999998</v>
          </cell>
          <cell r="T154">
            <v>-2.9369999999999998</v>
          </cell>
          <cell r="U154">
            <v>4.62</v>
          </cell>
          <cell r="V154">
            <v>1.7889999999999999</v>
          </cell>
          <cell r="W154">
            <v>6.4556021130774628</v>
          </cell>
        </row>
        <row r="155">
          <cell r="B155" t="str">
            <v>Uganda</v>
          </cell>
          <cell r="C155">
            <v>3.8036415692147996</v>
          </cell>
          <cell r="D155">
            <v>4.8231874950755982</v>
          </cell>
          <cell r="E155">
            <v>4.6664450945707259</v>
          </cell>
          <cell r="G155" t="str">
            <v>C</v>
          </cell>
          <cell r="H155">
            <v>69.556086736265442</v>
          </cell>
          <cell r="I155">
            <v>91</v>
          </cell>
          <cell r="J155">
            <v>14</v>
          </cell>
          <cell r="L155">
            <v>3.8374556059033003</v>
          </cell>
          <cell r="M155">
            <v>3.586905826320109</v>
          </cell>
          <cell r="N155">
            <v>5.1063073243118193</v>
          </cell>
          <cell r="O155">
            <v>8.0060000000000002</v>
          </cell>
          <cell r="P155">
            <v>0.159</v>
          </cell>
          <cell r="Q155">
            <v>6.83</v>
          </cell>
          <cell r="R155">
            <v>5.5019999999999998</v>
          </cell>
          <cell r="S155">
            <v>7.782</v>
          </cell>
          <cell r="T155">
            <v>-1.3009999999999999</v>
          </cell>
          <cell r="U155">
            <v>6.0039999999999996</v>
          </cell>
          <cell r="V155">
            <v>4.9329999999999998</v>
          </cell>
          <cell r="W155">
            <v>4.7448162948231616</v>
          </cell>
        </row>
        <row r="156">
          <cell r="B156" t="str">
            <v>Ukraine</v>
          </cell>
          <cell r="C156">
            <v>-11.461901799668306</v>
          </cell>
          <cell r="D156">
            <v>-5.8295559101049328</v>
          </cell>
          <cell r="E156">
            <v>-4.15839598326132</v>
          </cell>
          <cell r="G156" t="str">
            <v>C</v>
          </cell>
          <cell r="H156">
            <v>74.079326507080765</v>
          </cell>
          <cell r="I156">
            <v>73</v>
          </cell>
          <cell r="J156">
            <v>39</v>
          </cell>
          <cell r="L156">
            <v>0.23868172076808841</v>
          </cell>
          <cell r="M156">
            <v>-2.66978900718703E-2</v>
          </cell>
          <cell r="N156">
            <v>-6.5526312936576572</v>
          </cell>
          <cell r="O156">
            <v>-9.7880000000000003</v>
          </cell>
          <cell r="P156">
            <v>2.4169999999999998</v>
          </cell>
          <cell r="Q156">
            <v>2.36</v>
          </cell>
          <cell r="R156">
            <v>3.488</v>
          </cell>
          <cell r="S156">
            <v>3.1989999999999998</v>
          </cell>
          <cell r="T156">
            <v>-3.7530000000000001</v>
          </cell>
          <cell r="U156">
            <v>3.3530000000000002</v>
          </cell>
          <cell r="V156">
            <v>-30.26</v>
          </cell>
          <cell r="W156">
            <v>-4.9939759466831264</v>
          </cell>
        </row>
        <row r="157">
          <cell r="B157" t="str">
            <v>United Arab Emirates</v>
          </cell>
          <cell r="C157">
            <v>1.9883983839421138</v>
          </cell>
          <cell r="D157">
            <v>1.9344501122165347</v>
          </cell>
          <cell r="E157">
            <v>2.9471413005852209</v>
          </cell>
          <cell r="G157" t="str">
            <v>A</v>
          </cell>
          <cell r="H157">
            <v>91.971735408895199</v>
          </cell>
          <cell r="I157">
            <v>22</v>
          </cell>
          <cell r="J157">
            <v>1</v>
          </cell>
          <cell r="L157">
            <v>4.4846260849086921</v>
          </cell>
          <cell r="M157">
            <v>5.0533458252665762</v>
          </cell>
          <cell r="N157">
            <v>4.2843036857947956</v>
          </cell>
          <cell r="O157">
            <v>6.7869999999999999</v>
          </cell>
          <cell r="P157">
            <v>5.5609999999999999</v>
          </cell>
          <cell r="Q157">
            <v>0.73499999999999999</v>
          </cell>
          <cell r="R157">
            <v>1.3140000000000001</v>
          </cell>
          <cell r="S157">
            <v>1.1080000000000001</v>
          </cell>
          <cell r="T157">
            <v>-4.9569999999999999</v>
          </cell>
          <cell r="U157">
            <v>3.9159999999999999</v>
          </cell>
          <cell r="V157">
            <v>7.4109999999999996</v>
          </cell>
          <cell r="W157">
            <v>2.4407957064008778</v>
          </cell>
        </row>
        <row r="158">
          <cell r="B158" t="str">
            <v>United Kingdom</v>
          </cell>
          <cell r="C158">
            <v>-0.15570963242206304</v>
          </cell>
          <cell r="D158">
            <v>0.73784192060712961</v>
          </cell>
          <cell r="E158">
            <v>1.4574433295258649</v>
          </cell>
          <cell r="G158" t="str">
            <v>A</v>
          </cell>
          <cell r="H158">
            <v>95.869504572225566</v>
          </cell>
          <cell r="I158">
            <v>16</v>
          </cell>
          <cell r="J158">
            <v>11</v>
          </cell>
          <cell r="L158">
            <v>1.4789239471568232</v>
          </cell>
          <cell r="M158">
            <v>2.1394857010831609</v>
          </cell>
          <cell r="N158">
            <v>2.6074759063105102</v>
          </cell>
          <cell r="O158">
            <v>2.3929999999999998</v>
          </cell>
          <cell r="P158">
            <v>2.165</v>
          </cell>
          <cell r="Q158">
            <v>2.444</v>
          </cell>
          <cell r="R158">
            <v>1.7050000000000001</v>
          </cell>
          <cell r="S158">
            <v>1.6040000000000001</v>
          </cell>
          <cell r="T158">
            <v>-11.031000000000001</v>
          </cell>
          <cell r="U158">
            <v>7.5970000000000004</v>
          </cell>
          <cell r="V158">
            <v>4.0449999999999999</v>
          </cell>
          <cell r="W158">
            <v>1.0976426250664972</v>
          </cell>
        </row>
        <row r="159">
          <cell r="B159" t="str">
            <v>United States</v>
          </cell>
          <cell r="C159">
            <v>1.6858959431595322</v>
          </cell>
          <cell r="D159">
            <v>2.0522235488571683</v>
          </cell>
          <cell r="E159">
            <v>2.1214909700318696</v>
          </cell>
          <cell r="G159" t="str">
            <v>A</v>
          </cell>
          <cell r="H159">
            <v>95.916666666666671</v>
          </cell>
          <cell r="I159">
            <v>14</v>
          </cell>
          <cell r="J159">
            <v>1</v>
          </cell>
          <cell r="L159">
            <v>2.249545852369943</v>
          </cell>
          <cell r="M159">
            <v>1.8420810710110016</v>
          </cell>
          <cell r="N159">
            <v>2.4519730353603584</v>
          </cell>
          <cell r="O159">
            <v>2.7069999999999999</v>
          </cell>
          <cell r="P159">
            <v>1.6679999999999999</v>
          </cell>
          <cell r="Q159">
            <v>2.242</v>
          </cell>
          <cell r="R159">
            <v>2.9449999999999998</v>
          </cell>
          <cell r="S159">
            <v>2.2949999999999999</v>
          </cell>
          <cell r="T159">
            <v>-2.7679999999999998</v>
          </cell>
          <cell r="U159">
            <v>5.9470000000000001</v>
          </cell>
          <cell r="V159">
            <v>2.0680000000000001</v>
          </cell>
          <cell r="W159">
            <v>2.0868572594445189</v>
          </cell>
        </row>
        <row r="160">
          <cell r="B160" t="str">
            <v>Uruguay</v>
          </cell>
          <cell r="C160">
            <v>0.91343850289404838</v>
          </cell>
          <cell r="D160">
            <v>2.2569945604846264</v>
          </cell>
          <cell r="E160">
            <v>2.3762166744240032</v>
          </cell>
          <cell r="G160" t="str">
            <v>B</v>
          </cell>
          <cell r="H160">
            <v>81.172173305315454</v>
          </cell>
          <cell r="I160">
            <v>43</v>
          </cell>
          <cell r="J160">
            <v>5</v>
          </cell>
          <cell r="L160">
            <v>3.5381787068568795</v>
          </cell>
          <cell r="M160">
            <v>4.6375386431141186</v>
          </cell>
          <cell r="N160">
            <v>3.2387912162160193</v>
          </cell>
          <cell r="O160">
            <v>0.371</v>
          </cell>
          <cell r="P160">
            <v>1.69</v>
          </cell>
          <cell r="Q160">
            <v>1.6279999999999999</v>
          </cell>
          <cell r="R160">
            <v>0.47799999999999998</v>
          </cell>
          <cell r="S160">
            <v>0.35</v>
          </cell>
          <cell r="T160">
            <v>-6.1150000000000002</v>
          </cell>
          <cell r="U160">
            <v>4.4020000000000001</v>
          </cell>
          <cell r="V160">
            <v>4.8860000000000001</v>
          </cell>
          <cell r="W160">
            <v>2.3166056174543148</v>
          </cell>
        </row>
        <row r="161">
          <cell r="B161" t="str">
            <v>Uzbekistan</v>
          </cell>
          <cell r="C161">
            <v>4.966226080132774</v>
          </cell>
          <cell r="D161">
            <v>5.1922367720162121</v>
          </cell>
          <cell r="E161">
            <v>5.7634254597189516</v>
          </cell>
          <cell r="G161" t="str">
            <v>D</v>
          </cell>
          <cell r="H161">
            <v>68.759088115548678</v>
          </cell>
          <cell r="I161">
            <v>99</v>
          </cell>
          <cell r="J161">
            <v>18</v>
          </cell>
          <cell r="L161">
            <v>7.1024448870695505</v>
          </cell>
          <cell r="M161">
            <v>7.2965503696402285</v>
          </cell>
          <cell r="N161">
            <v>6.8738384408295845</v>
          </cell>
          <cell r="O161">
            <v>7.2190000000000003</v>
          </cell>
          <cell r="P161">
            <v>5.9320000000000004</v>
          </cell>
          <cell r="Q161">
            <v>4.3949999999999996</v>
          </cell>
          <cell r="R161">
            <v>5.88</v>
          </cell>
          <cell r="S161">
            <v>5.9820000000000002</v>
          </cell>
          <cell r="T161">
            <v>1.996</v>
          </cell>
          <cell r="U161">
            <v>7.4029999999999996</v>
          </cell>
          <cell r="V161">
            <v>5.6689999999999996</v>
          </cell>
          <cell r="W161">
            <v>5.4778311158675823</v>
          </cell>
        </row>
        <row r="162">
          <cell r="B162" t="str">
            <v>Vietnam</v>
          </cell>
          <cell r="C162">
            <v>6.367284609117374</v>
          </cell>
          <cell r="D162">
            <v>8.0753375154714711</v>
          </cell>
          <cell r="E162">
            <v>8.6445538917790046</v>
          </cell>
          <cell r="G162" t="str">
            <v>D</v>
          </cell>
          <cell r="H162">
            <v>62.623537935388953</v>
          </cell>
          <cell r="I162">
            <v>120</v>
          </cell>
          <cell r="J162">
            <v>24</v>
          </cell>
          <cell r="L162">
            <v>12.410056463111571</v>
          </cell>
          <cell r="M162">
            <v>7.2891294784445284</v>
          </cell>
          <cell r="N162">
            <v>9.6841913021478785</v>
          </cell>
          <cell r="O162">
            <v>6.9870000000000001</v>
          </cell>
          <cell r="P162">
            <v>6.69</v>
          </cell>
          <cell r="Q162">
            <v>6.94</v>
          </cell>
          <cell r="R162">
            <v>7.4649999999999999</v>
          </cell>
          <cell r="S162">
            <v>7.359</v>
          </cell>
          <cell r="T162">
            <v>2.867</v>
          </cell>
          <cell r="U162">
            <v>2.5619999999999998</v>
          </cell>
          <cell r="V162">
            <v>8.0180000000000007</v>
          </cell>
          <cell r="W162">
            <v>8.3599457036252378</v>
          </cell>
        </row>
        <row r="163">
          <cell r="B163" t="str">
            <v>Yemen, Rep.</v>
          </cell>
          <cell r="C163">
            <v>-1.1017371120758623</v>
          </cell>
          <cell r="D163">
            <v>-1.4008554823266794</v>
          </cell>
          <cell r="E163">
            <v>0.43888765074564517</v>
          </cell>
          <cell r="G163" t="str">
            <v>E</v>
          </cell>
          <cell r="H163">
            <v>44.737558430285063</v>
          </cell>
          <cell r="I163">
            <v>145</v>
          </cell>
          <cell r="J163">
            <v>11</v>
          </cell>
          <cell r="L163">
            <v>16.665428768467855</v>
          </cell>
          <cell r="M163">
            <v>1.9894927620720551</v>
          </cell>
          <cell r="N163">
            <v>2.3769293269800476</v>
          </cell>
          <cell r="O163">
            <v>-27.995000000000001</v>
          </cell>
          <cell r="P163">
            <v>-9.375</v>
          </cell>
          <cell r="Q163">
            <v>-5.0720000000000001</v>
          </cell>
          <cell r="R163">
            <v>0.752</v>
          </cell>
          <cell r="S163">
            <v>1.4</v>
          </cell>
          <cell r="T163">
            <v>-8.5</v>
          </cell>
          <cell r="U163">
            <v>-1</v>
          </cell>
          <cell r="V163">
            <v>1.5</v>
          </cell>
          <cell r="W163">
            <v>-0.48098391579051714</v>
          </cell>
        </row>
        <row r="164">
          <cell r="B164" t="str">
            <v>Zambia</v>
          </cell>
          <cell r="C164">
            <v>1.6991659105087376</v>
          </cell>
          <cell r="D164">
            <v>2.110140268966143</v>
          </cell>
          <cell r="E164">
            <v>3.0449788505192199</v>
          </cell>
          <cell r="G164" t="str">
            <v>D</v>
          </cell>
          <cell r="H164">
            <v>61.004320674622747</v>
          </cell>
          <cell r="I164">
            <v>124</v>
          </cell>
          <cell r="J164">
            <v>29</v>
          </cell>
          <cell r="L164">
            <v>7.5975932105319126</v>
          </cell>
          <cell r="M164">
            <v>5.0572317397973361</v>
          </cell>
          <cell r="N164">
            <v>4.6979923625298614</v>
          </cell>
          <cell r="O164">
            <v>2.92</v>
          </cell>
          <cell r="P164">
            <v>3.7770000000000001</v>
          </cell>
          <cell r="Q164">
            <v>3.504</v>
          </cell>
          <cell r="R164">
            <v>4.0350000000000001</v>
          </cell>
          <cell r="S164">
            <v>1.4410000000000001</v>
          </cell>
          <cell r="T164">
            <v>-2.7850000000000001</v>
          </cell>
          <cell r="U164">
            <v>4.5990000000000002</v>
          </cell>
          <cell r="V164">
            <v>3.4409999999999998</v>
          </cell>
          <cell r="W164">
            <v>2.5775595597426815</v>
          </cell>
        </row>
        <row r="165">
          <cell r="B165" t="str">
            <v>Zimbabwe</v>
          </cell>
          <cell r="C165">
            <v>3.5464749905308901</v>
          </cell>
          <cell r="D165">
            <v>2.7818952866475843</v>
          </cell>
          <cell r="E165">
            <v>2.7261309103552733</v>
          </cell>
          <cell r="G165" t="str">
            <v>E</v>
          </cell>
          <cell r="H165">
            <v>55.033873809516088</v>
          </cell>
          <cell r="I165">
            <v>133</v>
          </cell>
          <cell r="J165">
            <v>33</v>
          </cell>
          <cell r="L165">
            <v>17.615397198362849</v>
          </cell>
          <cell r="M165">
            <v>10.75800212279124</v>
          </cell>
          <cell r="N165">
            <v>3.9762602630956336</v>
          </cell>
          <cell r="O165">
            <v>1.794</v>
          </cell>
          <cell r="P165">
            <v>0.47799999999999998</v>
          </cell>
          <cell r="Q165">
            <v>4.9829999999999997</v>
          </cell>
          <cell r="R165">
            <v>4.7320000000000002</v>
          </cell>
          <cell r="S165">
            <v>-6.1219999999999999</v>
          </cell>
          <cell r="T165">
            <v>-7.8250000000000002</v>
          </cell>
          <cell r="U165">
            <v>8.4619999999999997</v>
          </cell>
          <cell r="V165">
            <v>3.0289999999999999</v>
          </cell>
          <cell r="W165">
            <v>2.7540130985014288</v>
          </cell>
        </row>
      </sheetData>
      <sheetData sheetId="23"/>
      <sheetData sheetId="24" refreshError="1"/>
      <sheetData sheetId="25"/>
      <sheetData sheetId="26"/>
      <sheetData sheetId="27">
        <row r="1">
          <cell r="B1" t="str">
            <v>ENZL</v>
          </cell>
          <cell r="C1" t="str">
            <v>EWA</v>
          </cell>
          <cell r="D1" t="str">
            <v>EWC</v>
          </cell>
          <cell r="E1" t="str">
            <v>EWG</v>
          </cell>
          <cell r="F1" t="str">
            <v>EWJ</v>
          </cell>
          <cell r="G1" t="str">
            <v>EWL</v>
          </cell>
          <cell r="H1" t="str">
            <v>EWU</v>
          </cell>
          <cell r="I1" t="str">
            <v>QQQ</v>
          </cell>
          <cell r="J1" t="str">
            <v>SPY</v>
          </cell>
          <cell r="K1" t="str">
            <v>EWQ</v>
          </cell>
          <cell r="L1" t="str">
            <v>EWN</v>
          </cell>
          <cell r="M1" t="str">
            <v>EWD</v>
          </cell>
          <cell r="N1" t="str">
            <v>EWI</v>
          </cell>
        </row>
        <row r="2">
          <cell r="A2">
            <v>38352</v>
          </cell>
          <cell r="B2" t="str">
            <v/>
          </cell>
          <cell r="C2">
            <v>15.4970825561621</v>
          </cell>
          <cell r="D2">
            <v>14.6738571923606</v>
          </cell>
          <cell r="E2">
            <v>11.827555059993299</v>
          </cell>
          <cell r="F2">
            <v>9.4722639547096605</v>
          </cell>
          <cell r="G2">
            <v>15.9587717941353</v>
          </cell>
          <cell r="H2">
            <v>17.001374333558701</v>
          </cell>
          <cell r="I2">
            <v>14.817843581598</v>
          </cell>
          <cell r="J2">
            <v>15.586179020045901</v>
          </cell>
          <cell r="K2">
            <v>15.378510988127299</v>
          </cell>
          <cell r="L2">
            <v>20.502702273176801</v>
          </cell>
          <cell r="M2">
            <v>16.226109086479301</v>
          </cell>
          <cell r="N2">
            <v>12.7201174133668</v>
          </cell>
        </row>
        <row r="3">
          <cell r="A3">
            <v>38716</v>
          </cell>
          <cell r="B3" t="str">
            <v/>
          </cell>
          <cell r="C3">
            <v>16.532509518013999</v>
          </cell>
          <cell r="D3">
            <v>15.7709471724654</v>
          </cell>
          <cell r="E3">
            <v>12.5810872006639</v>
          </cell>
          <cell r="F3">
            <v>9.7108092859513899</v>
          </cell>
          <cell r="G3">
            <v>16.670944245646201</v>
          </cell>
          <cell r="H3">
            <v>17.4840740170497</v>
          </cell>
          <cell r="I3">
            <v>15.486694777592099</v>
          </cell>
          <cell r="J3">
            <v>16.732203856681899</v>
          </cell>
          <cell r="K3">
            <v>16.630213142081299</v>
          </cell>
          <cell r="L3">
            <v>18.438843283905701</v>
          </cell>
          <cell r="M3">
            <v>17.2247287220762</v>
          </cell>
          <cell r="N3">
            <v>14.3538872460945</v>
          </cell>
        </row>
        <row r="4">
          <cell r="A4">
            <v>39080</v>
          </cell>
          <cell r="B4" t="str">
            <v/>
          </cell>
          <cell r="C4">
            <v>17.019399648616702</v>
          </cell>
          <cell r="D4">
            <v>15.854713654361101</v>
          </cell>
          <cell r="E4">
            <v>13.372977849048</v>
          </cell>
          <cell r="F4">
            <v>9.9459490206900902</v>
          </cell>
          <cell r="G4">
            <v>17.319056104251299</v>
          </cell>
          <cell r="H4">
            <v>19.442574250405301</v>
          </cell>
          <cell r="I4">
            <v>16.833970499812899</v>
          </cell>
          <cell r="J4">
            <v>17.387356208818399</v>
          </cell>
          <cell r="K4">
            <v>15.408967362426599</v>
          </cell>
          <cell r="L4">
            <v>17.2963282197402</v>
          </cell>
          <cell r="M4">
            <v>18.210010684159698</v>
          </cell>
          <cell r="N4">
            <v>15.068908602684299</v>
          </cell>
        </row>
        <row r="5">
          <cell r="A5">
            <v>39447</v>
          </cell>
          <cell r="B5" t="str">
            <v/>
          </cell>
          <cell r="C5">
            <v>15.560991405865201</v>
          </cell>
          <cell r="D5">
            <v>16.5705490516163</v>
          </cell>
          <cell r="E5">
            <v>14.712722857709</v>
          </cell>
          <cell r="F5">
            <v>9.9106258464836792</v>
          </cell>
          <cell r="G5">
            <v>18.194046530628999</v>
          </cell>
          <cell r="H5">
            <v>18.922548163306399</v>
          </cell>
          <cell r="I5">
            <v>17.9560593685279</v>
          </cell>
          <cell r="J5">
            <v>17.7935626477889</v>
          </cell>
          <cell r="K5">
            <v>15.0205314626708</v>
          </cell>
          <cell r="L5">
            <v>16.622012430445402</v>
          </cell>
          <cell r="M5">
            <v>18.887175762553799</v>
          </cell>
          <cell r="N5">
            <v>13.812143044596301</v>
          </cell>
        </row>
        <row r="6">
          <cell r="A6">
            <v>39813</v>
          </cell>
          <cell r="B6" t="str">
            <v/>
          </cell>
          <cell r="C6">
            <v>13.5690116283254</v>
          </cell>
          <cell r="D6">
            <v>13.8099900139916</v>
          </cell>
          <cell r="E6">
            <v>11.5210886767193</v>
          </cell>
          <cell r="F6">
            <v>6.3264501132521804</v>
          </cell>
          <cell r="G6">
            <v>15.513687428345399</v>
          </cell>
          <cell r="H6">
            <v>14.973545163604699</v>
          </cell>
          <cell r="I6">
            <v>16.5654843697708</v>
          </cell>
          <cell r="J6">
            <v>13.938459770768899</v>
          </cell>
          <cell r="K6">
            <v>11.8797489821456</v>
          </cell>
          <cell r="L6">
            <v>13.982183103512799</v>
          </cell>
          <cell r="M6">
            <v>13.942889841066</v>
          </cell>
          <cell r="N6">
            <v>10.789750222635099</v>
          </cell>
        </row>
        <row r="7">
          <cell r="A7">
            <v>40178</v>
          </cell>
          <cell r="B7" t="str">
            <v/>
          </cell>
          <cell r="C7">
            <v>12.8492110125335</v>
          </cell>
          <cell r="D7">
            <v>11.8327104416904</v>
          </cell>
          <cell r="E7">
            <v>11.009433764833901</v>
          </cell>
          <cell r="F7">
            <v>5.7137456034125096</v>
          </cell>
          <cell r="G7">
            <v>17.2258858021045</v>
          </cell>
          <cell r="H7">
            <v>14.6457818658238</v>
          </cell>
          <cell r="I7">
            <v>17.596574126271399</v>
          </cell>
          <cell r="J7">
            <v>14.004346429543</v>
          </cell>
          <cell r="K7">
            <v>10.993409183456601</v>
          </cell>
          <cell r="L7">
            <v>13.3304023919735</v>
          </cell>
          <cell r="M7">
            <v>10.346174503291101</v>
          </cell>
          <cell r="N7">
            <v>8.0585564947070996</v>
          </cell>
        </row>
        <row r="8">
          <cell r="A8">
            <v>40543</v>
          </cell>
          <cell r="B8">
            <v>10.853226729587799</v>
          </cell>
          <cell r="C8">
            <v>14.2386354612725</v>
          </cell>
          <cell r="D8">
            <v>12.6984457284378</v>
          </cell>
          <cell r="E8">
            <v>13.0475804034897</v>
          </cell>
          <cell r="F8">
            <v>7.7760884645659401</v>
          </cell>
          <cell r="G8">
            <v>16.663378494351999</v>
          </cell>
          <cell r="H8">
            <v>16.154296497439798</v>
          </cell>
          <cell r="I8">
            <v>20.000374237164401</v>
          </cell>
          <cell r="J8">
            <v>15.039943345393599</v>
          </cell>
          <cell r="K8">
            <v>12.025937598748101</v>
          </cell>
          <cell r="L8">
            <v>14.659480994909201</v>
          </cell>
          <cell r="M8">
            <v>15.818215992178599</v>
          </cell>
          <cell r="N8">
            <v>8.8199042369870302</v>
          </cell>
        </row>
        <row r="9">
          <cell r="A9">
            <v>40907</v>
          </cell>
          <cell r="B9">
            <v>10.904873441364501</v>
          </cell>
          <cell r="C9">
            <v>14.168071267681</v>
          </cell>
          <cell r="D9">
            <v>13.509284892423301</v>
          </cell>
          <cell r="E9">
            <v>12.3546044213534</v>
          </cell>
          <cell r="F9">
            <v>7.2930951173439702</v>
          </cell>
          <cell r="G9">
            <v>15.1353221205521</v>
          </cell>
          <cell r="H9">
            <v>15.199607837615799</v>
          </cell>
          <cell r="I9">
            <v>20.959156893823899</v>
          </cell>
          <cell r="J9">
            <v>15.5262408812809</v>
          </cell>
          <cell r="K9">
            <v>10.817665506629901</v>
          </cell>
          <cell r="L9">
            <v>13.0989988533626</v>
          </cell>
          <cell r="M9">
            <v>15.7255547384444</v>
          </cell>
          <cell r="N9">
            <v>8.1166013658542493</v>
          </cell>
        </row>
        <row r="10">
          <cell r="A10">
            <v>41274</v>
          </cell>
          <cell r="B10">
            <v>11.45876758647</v>
          </cell>
          <cell r="C10">
            <v>12.692165288154101</v>
          </cell>
          <cell r="D10">
            <v>12.804929450575001</v>
          </cell>
          <cell r="E10">
            <v>12.103787649179401</v>
          </cell>
          <cell r="F10">
            <v>7.6046390639022201</v>
          </cell>
          <cell r="G10">
            <v>15.5882414428409</v>
          </cell>
          <cell r="H10">
            <v>14.4781479669762</v>
          </cell>
          <cell r="I10">
            <v>20.792196377515399</v>
          </cell>
          <cell r="J10">
            <v>15.3796547722071</v>
          </cell>
          <cell r="K10">
            <v>10.4079638226552</v>
          </cell>
          <cell r="L10">
            <v>12.002383507737299</v>
          </cell>
          <cell r="M10">
            <v>14.800794930168999</v>
          </cell>
          <cell r="N10">
            <v>7.8393954249384699</v>
          </cell>
        </row>
        <row r="11">
          <cell r="A11">
            <v>41639</v>
          </cell>
          <cell r="B11">
            <v>11.083258915241499</v>
          </cell>
          <cell r="C11">
            <v>13.1922555858139</v>
          </cell>
          <cell r="D11">
            <v>12.2925364029644</v>
          </cell>
          <cell r="E11">
            <v>12.1465108243325</v>
          </cell>
          <cell r="F11">
            <v>8.9088475830290008</v>
          </cell>
          <cell r="G11">
            <v>15.248395144965301</v>
          </cell>
          <cell r="H11">
            <v>13.364031588609899</v>
          </cell>
          <cell r="I11">
            <v>20.047298915306001</v>
          </cell>
          <cell r="J11">
            <v>15.870243784691599</v>
          </cell>
          <cell r="K11">
            <v>10.3975296667646</v>
          </cell>
          <cell r="L11">
            <v>12.148614557293399</v>
          </cell>
          <cell r="M11">
            <v>14.1943515647563</v>
          </cell>
          <cell r="N11">
            <v>7.3457599670942102</v>
          </cell>
        </row>
        <row r="12">
          <cell r="A12">
            <v>42004</v>
          </cell>
          <cell r="B12">
            <v>9.9451743168813902</v>
          </cell>
          <cell r="C12">
            <v>12.5644042089263</v>
          </cell>
          <cell r="D12">
            <v>11.8034021278505</v>
          </cell>
          <cell r="E12">
            <v>11.887358161661499</v>
          </cell>
          <cell r="F12">
            <v>9.0803886544970194</v>
          </cell>
          <cell r="G12">
            <v>14.502800920484599</v>
          </cell>
          <cell r="H12">
            <v>12.232650330571399</v>
          </cell>
          <cell r="I12">
            <v>22.0568276514703</v>
          </cell>
          <cell r="J12">
            <v>15.810673900759699</v>
          </cell>
          <cell r="K12">
            <v>9.8706002317655095</v>
          </cell>
          <cell r="L12">
            <v>12.219782956479699</v>
          </cell>
          <cell r="M12">
            <v>13.790896513923</v>
          </cell>
          <cell r="N12">
            <v>7.2987048712399796</v>
          </cell>
        </row>
        <row r="13">
          <cell r="A13">
            <v>42369</v>
          </cell>
          <cell r="B13">
            <v>9.9024265265903395</v>
          </cell>
          <cell r="C13">
            <v>10.732136523471301</v>
          </cell>
          <cell r="D13">
            <v>10.9923508764539</v>
          </cell>
          <cell r="E13">
            <v>12.028464941777401</v>
          </cell>
          <cell r="F13">
            <v>8.7788981831763504</v>
          </cell>
          <cell r="G13">
            <v>13.2798091113486</v>
          </cell>
          <cell r="H13">
            <v>11.1900784012713</v>
          </cell>
          <cell r="I13">
            <v>21.8504635786249</v>
          </cell>
          <cell r="J13">
            <v>15.858031312821501</v>
          </cell>
          <cell r="K13">
            <v>9.8254824560818506</v>
          </cell>
          <cell r="L13">
            <v>12.4442703427853</v>
          </cell>
          <cell r="M13">
            <v>13.0367586478869</v>
          </cell>
          <cell r="N13">
            <v>7.2893784265994803</v>
          </cell>
        </row>
        <row r="14">
          <cell r="A14">
            <v>42734</v>
          </cell>
          <cell r="B14">
            <v>9.7998658290307095</v>
          </cell>
          <cell r="C14">
            <v>11.5035211675747</v>
          </cell>
          <cell r="D14">
            <v>11.4792366602027</v>
          </cell>
          <cell r="E14">
            <v>11.8967042128795</v>
          </cell>
          <cell r="F14">
            <v>8.62096827520989</v>
          </cell>
          <cell r="G14">
            <v>13.3994953105419</v>
          </cell>
          <cell r="H14">
            <v>12.1967915012023</v>
          </cell>
          <cell r="I14">
            <v>21.114607645969102</v>
          </cell>
          <cell r="J14">
            <v>16.049912492851799</v>
          </cell>
          <cell r="K14">
            <v>9.8831539131807205</v>
          </cell>
          <cell r="L14">
            <v>11.8415876112609</v>
          </cell>
          <cell r="M14">
            <v>12.322553154201101</v>
          </cell>
          <cell r="N14">
            <v>7.6448050780743202</v>
          </cell>
        </row>
        <row r="15">
          <cell r="A15">
            <v>43098</v>
          </cell>
          <cell r="B15">
            <v>9.8479289685659399</v>
          </cell>
          <cell r="C15">
            <v>11.907299006987801</v>
          </cell>
          <cell r="D15">
            <v>11.3979128674428</v>
          </cell>
          <cell r="E15">
            <v>12.246920794364801</v>
          </cell>
          <cell r="F15">
            <v>9.2398651910043395</v>
          </cell>
          <cell r="G15">
            <v>13.9322208239423</v>
          </cell>
          <cell r="H15">
            <v>12.7329318595365</v>
          </cell>
          <cell r="I15">
            <v>22.078426350894102</v>
          </cell>
          <cell r="J15">
            <v>16.907948658911</v>
          </cell>
          <cell r="K15">
            <v>10.4363064842242</v>
          </cell>
          <cell r="L15">
            <v>13.007558022754999</v>
          </cell>
          <cell r="M15">
            <v>13.8549633296522</v>
          </cell>
          <cell r="N15">
            <v>9.0538496506424107</v>
          </cell>
        </row>
        <row r="16">
          <cell r="A16">
            <v>43465</v>
          </cell>
          <cell r="B16">
            <v>9.5217714261901296</v>
          </cell>
          <cell r="C16">
            <v>12.400931175281199</v>
          </cell>
          <cell r="D16">
            <v>12.499008182247699</v>
          </cell>
          <cell r="E16">
            <v>11.651015241557801</v>
          </cell>
          <cell r="F16">
            <v>9.4957067852596193</v>
          </cell>
          <cell r="G16">
            <v>14.645799683639201</v>
          </cell>
          <cell r="H16">
            <v>13.1887832891224</v>
          </cell>
          <cell r="I16">
            <v>26.490229336787198</v>
          </cell>
          <cell r="J16">
            <v>18.8923615036562</v>
          </cell>
          <cell r="K16">
            <v>11.328389580600501</v>
          </cell>
          <cell r="L16">
            <v>13.222867771113201</v>
          </cell>
          <cell r="M16">
            <v>13.3193557094803</v>
          </cell>
          <cell r="N16">
            <v>10.3909656073461</v>
          </cell>
        </row>
        <row r="17">
          <cell r="A17">
            <v>43830</v>
          </cell>
          <cell r="B17">
            <v>9.0038870875203099</v>
          </cell>
          <cell r="C17">
            <v>11.727245318431001</v>
          </cell>
          <cell r="D17">
            <v>11.978678387174501</v>
          </cell>
          <cell r="E17">
            <v>10.4475672104334</v>
          </cell>
          <cell r="F17">
            <v>8.3559628457147905</v>
          </cell>
          <cell r="G17">
            <v>14.538819869127099</v>
          </cell>
          <cell r="H17">
            <v>12.8737052164039</v>
          </cell>
          <cell r="I17">
            <v>25.011729164223802</v>
          </cell>
          <cell r="J17">
            <v>18.2929292668566</v>
          </cell>
          <cell r="K17">
            <v>10.914009651423299</v>
          </cell>
          <cell r="L17">
            <v>13.091763608270099</v>
          </cell>
          <cell r="M17">
            <v>13.411796816833499</v>
          </cell>
          <cell r="N17">
            <v>10.235305372573199</v>
          </cell>
        </row>
        <row r="18">
          <cell r="A18">
            <v>44196</v>
          </cell>
          <cell r="B18">
            <v>7.5322638919869096</v>
          </cell>
          <cell r="C18">
            <v>11.050859206460901</v>
          </cell>
          <cell r="D18">
            <v>11.192208682288101</v>
          </cell>
          <cell r="E18">
            <v>9.7140774229622799</v>
          </cell>
          <cell r="F18">
            <v>7.4385993978341904</v>
          </cell>
          <cell r="G18">
            <v>14.667779480083301</v>
          </cell>
          <cell r="H18">
            <v>11.205027047904499</v>
          </cell>
          <cell r="I18">
            <v>24.534442851527501</v>
          </cell>
          <cell r="J18">
            <v>17.229753184220598</v>
          </cell>
          <cell r="K18">
            <v>8.9424512398593592</v>
          </cell>
          <cell r="L18">
            <v>9.7785656554204401</v>
          </cell>
          <cell r="M18">
            <v>11.9070326803871</v>
          </cell>
          <cell r="N18">
            <v>8.27578853786002</v>
          </cell>
        </row>
        <row r="19">
          <cell r="A19">
            <v>44561</v>
          </cell>
          <cell r="B19">
            <v>6.44400181202057</v>
          </cell>
          <cell r="C19">
            <v>12.8471719199911</v>
          </cell>
          <cell r="D19">
            <v>14.1061782856045</v>
          </cell>
          <cell r="E19">
            <v>12.204735115631699</v>
          </cell>
          <cell r="F19">
            <v>9.2207657581018498</v>
          </cell>
          <cell r="G19">
            <v>16.3837417700753</v>
          </cell>
          <cell r="H19">
            <v>13.923468905247599</v>
          </cell>
          <cell r="I19">
            <v>26.6357645357499</v>
          </cell>
          <cell r="J19">
            <v>20.6860775499071</v>
          </cell>
          <cell r="K19">
            <v>12.254057827059899</v>
          </cell>
          <cell r="L19">
            <v>10.899145963703001</v>
          </cell>
          <cell r="M19">
            <v>15.3602779550365</v>
          </cell>
          <cell r="N19">
            <v>11.7277999998841</v>
          </cell>
        </row>
        <row r="20">
          <cell r="A20">
            <v>44925</v>
          </cell>
          <cell r="B20">
            <v>7.7689690341126996</v>
          </cell>
          <cell r="C20">
            <v>14.6580605840091</v>
          </cell>
          <cell r="D20">
            <v>14.0030454181917</v>
          </cell>
          <cell r="E20">
            <v>11.818809347067701</v>
          </cell>
          <cell r="F20">
            <v>9.2254456309335797</v>
          </cell>
          <cell r="G20">
            <v>16.690651729349099</v>
          </cell>
          <cell r="H20">
            <v>15.8610243525508</v>
          </cell>
          <cell r="I20">
            <v>24.048244147569601</v>
          </cell>
          <cell r="J20">
            <v>20.5984076408633</v>
          </cell>
          <cell r="K20">
            <v>13.147585254514</v>
          </cell>
          <cell r="L20">
            <v>12.015889172957699</v>
          </cell>
          <cell r="M20">
            <v>14.691294534808801</v>
          </cell>
          <cell r="N20">
            <v>13.320279015852901</v>
          </cell>
        </row>
        <row r="21">
          <cell r="A21">
            <v>45289</v>
          </cell>
          <cell r="B21">
            <v>6.5791075391831502</v>
          </cell>
          <cell r="C21">
            <v>13.2282302133121</v>
          </cell>
          <cell r="D21">
            <v>13.143831982753101</v>
          </cell>
          <cell r="E21">
            <v>11.933166723455001</v>
          </cell>
          <cell r="F21">
            <v>9.2978000426810592</v>
          </cell>
          <cell r="G21">
            <v>19.2850533603957</v>
          </cell>
          <cell r="H21">
            <v>14.7571642289371</v>
          </cell>
          <cell r="I21">
            <v>25.292825542801602</v>
          </cell>
          <cell r="J21">
            <v>20.335837808045401</v>
          </cell>
          <cell r="K21">
            <v>13.2206625586117</v>
          </cell>
          <cell r="L21">
            <v>12.7454576665132</v>
          </cell>
          <cell r="M21">
            <v>15.368047405644401</v>
          </cell>
          <cell r="N21">
            <v>13.358439707112201</v>
          </cell>
        </row>
        <row r="23">
          <cell r="A23" t="str">
            <v>Min</v>
          </cell>
          <cell r="B23">
            <v>6.44400181202057</v>
          </cell>
          <cell r="C23">
            <v>10.732136523471301</v>
          </cell>
          <cell r="D23">
            <v>10.9923508764539</v>
          </cell>
          <cell r="E23">
            <v>9.7140774229622799</v>
          </cell>
          <cell r="F23">
            <v>5.7137456034125096</v>
          </cell>
          <cell r="G23">
            <v>13.2798091113486</v>
          </cell>
          <cell r="H23">
            <v>11.1900784012713</v>
          </cell>
          <cell r="I23">
            <v>14.817843581598</v>
          </cell>
          <cell r="J23">
            <v>13.938459770768899</v>
          </cell>
          <cell r="K23">
            <v>8.9424512398593592</v>
          </cell>
          <cell r="L23">
            <v>9.7785656554204401</v>
          </cell>
          <cell r="M23">
            <v>10.346174503291101</v>
          </cell>
          <cell r="N23">
            <v>7.2893784265994803</v>
          </cell>
        </row>
        <row r="24">
          <cell r="A24" t="str">
            <v>median</v>
          </cell>
          <cell r="B24">
            <v>9.8238973987983247</v>
          </cell>
          <cell r="C24">
            <v>13.020733299173699</v>
          </cell>
          <cell r="D24">
            <v>12.7516875895064</v>
          </cell>
          <cell r="E24">
            <v>11.980815832616202</v>
          </cell>
          <cell r="F24">
            <v>8.994618118763011</v>
          </cell>
          <cell r="G24">
            <v>15.55096443559315</v>
          </cell>
          <cell r="H24">
            <v>14.561964916400001</v>
          </cell>
          <cell r="I24">
            <v>21.036882269896502</v>
          </cell>
          <cell r="J24">
            <v>16.391058174766847</v>
          </cell>
          <cell r="K24">
            <v>11.16089938202855</v>
          </cell>
          <cell r="L24">
            <v>13.049660815512549</v>
          </cell>
          <cell r="M24">
            <v>14.44282304978255</v>
          </cell>
          <cell r="N24">
            <v>9.644577511607805</v>
          </cell>
        </row>
        <row r="25">
          <cell r="A25" t="str">
            <v>Current</v>
          </cell>
          <cell r="B25">
            <v>6.5791075391831502</v>
          </cell>
          <cell r="C25">
            <v>13.2282302133121</v>
          </cell>
          <cell r="D25">
            <v>13.143831982753101</v>
          </cell>
          <cell r="E25">
            <v>11.933166723455001</v>
          </cell>
          <cell r="F25">
            <v>9.2978000426810592</v>
          </cell>
          <cell r="G25">
            <v>19.2850533603957</v>
          </cell>
          <cell r="H25">
            <v>14.7571642289371</v>
          </cell>
          <cell r="I25">
            <v>25.292825542801602</v>
          </cell>
          <cell r="J25">
            <v>20.335837808045401</v>
          </cell>
          <cell r="K25">
            <v>13.2206625586117</v>
          </cell>
          <cell r="L25">
            <v>12.7454576665132</v>
          </cell>
          <cell r="M25">
            <v>15.368047405644401</v>
          </cell>
          <cell r="N25">
            <v>13.358439707112201</v>
          </cell>
        </row>
      </sheetData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4" x14ac:dyDescent="0.3"/>
  <sheetData>
    <row r="1" spans="1:2" x14ac:dyDescent="0.3">
      <c r="B1" t="s">
        <v>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5:O69"/>
  <sheetViews>
    <sheetView tabSelected="1" topLeftCell="A42" zoomScale="93" zoomScaleNormal="93" workbookViewId="0">
      <selection activeCell="D35" sqref="D35"/>
    </sheetView>
  </sheetViews>
  <sheetFormatPr defaultRowHeight="14.4" x14ac:dyDescent="0.3"/>
  <cols>
    <col min="4" max="5" width="19.109375" customWidth="1"/>
    <col min="6" max="6" width="14.44140625" customWidth="1"/>
    <col min="7" max="7" width="14.109375" customWidth="1"/>
    <col min="8" max="8" width="14.33203125" customWidth="1"/>
    <col min="9" max="9" width="13.88671875" customWidth="1"/>
    <col min="10" max="10" width="14.33203125" customWidth="1"/>
    <col min="11" max="11" width="16.5546875" bestFit="1" customWidth="1"/>
    <col min="12" max="12" width="19.33203125" bestFit="1" customWidth="1"/>
    <col min="13" max="13" width="12" customWidth="1"/>
    <col min="14" max="14" width="15.109375" customWidth="1"/>
    <col min="15" max="15" width="16.6640625" bestFit="1" customWidth="1"/>
    <col min="16" max="16" width="11.88671875" customWidth="1"/>
    <col min="17" max="17" width="12.88671875" customWidth="1"/>
  </cols>
  <sheetData>
    <row r="5" spans="5:10" ht="15" thickBot="1" x14ac:dyDescent="0.35"/>
    <row r="6" spans="5:10" ht="15" thickBot="1" x14ac:dyDescent="0.35">
      <c r="E6" s="54" t="s">
        <v>162</v>
      </c>
      <c r="F6" s="55" t="s">
        <v>163</v>
      </c>
      <c r="G6" s="55" t="s">
        <v>167</v>
      </c>
      <c r="H6" s="56" t="s">
        <v>164</v>
      </c>
    </row>
    <row r="7" spans="5:10" x14ac:dyDescent="0.3">
      <c r="E7" s="29" t="s">
        <v>89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INVESTED</v>
      </c>
      <c r="H7" s="59" t="str">
        <f>IF(HLOOKUP($E7,'Factset Price Data'!$C$208:$Q$215,8,FALSE)&gt;=1,"INVESTED","CASH")</f>
        <v>INVESTED</v>
      </c>
    </row>
    <row r="8" spans="5:10" x14ac:dyDescent="0.3">
      <c r="E8" s="29" t="s">
        <v>150</v>
      </c>
      <c r="F8" t="str">
        <f>IF(HLOOKUP($E8,'Factset Price Data'!$C$208:$Q$215,6,FALSE)&gt;=1,"INVESTED","CASH")</f>
        <v>CASH</v>
      </c>
      <c r="G8" t="str">
        <f>IF(HLOOKUP($E8,'Factset Price Data'!$C$208:$Q$215,7,FALSE)&gt;=1,"INVESTED","CASH")</f>
        <v>INVESTED</v>
      </c>
      <c r="H8" s="59" t="str">
        <f>IF(HLOOKUP($E8,'Factset Price Data'!$C$208:$Q$215,8,FALSE)&gt;=1,"INVESTED","CASH")</f>
        <v>CASH</v>
      </c>
    </row>
    <row r="9" spans="5:10" x14ac:dyDescent="0.3">
      <c r="E9" s="29" t="s">
        <v>147</v>
      </c>
      <c r="F9" t="str">
        <f>IF(HLOOKUP($E9,'Factset Price Data'!$C$208:$Q$215,6,FALSE)&gt;=1,"INVESTED","CASH")</f>
        <v>CASH</v>
      </c>
      <c r="G9" t="str">
        <f>IF(HLOOKUP($E9,'Factset Price Data'!$C$208:$Q$215,7,FALSE)&gt;=1,"INVESTED","CASH")</f>
        <v>INVESTED</v>
      </c>
      <c r="H9" s="59" t="str">
        <f>IF(HLOOKUP($E9,'Factset Price Data'!$C$208:$Q$215,8,FALSE)&gt;=1,"INVESTED","CASH")</f>
        <v>INVESTED</v>
      </c>
    </row>
    <row r="10" spans="5:10" x14ac:dyDescent="0.3">
      <c r="E10" s="29" t="s">
        <v>149</v>
      </c>
      <c r="F10" t="str">
        <f>IF(HLOOKUP($E10,'Factset Price Data'!$C$208:$Q$215,6,FALSE)&gt;=1,"INVESTED","CASH")</f>
        <v>INVESTED</v>
      </c>
      <c r="G10" t="str">
        <f>IF(HLOOKUP($E10,'Factset Price Data'!$C$208:$Q$215,7,FALSE)&gt;=1,"INVESTED","CASH")</f>
        <v>CASH</v>
      </c>
      <c r="H10" s="59" t="str">
        <f>IF(HLOOKUP($E10,'Factset Price Data'!$C$208:$Q$215,8,FALSE)&gt;=1,"INVESTED","CASH")</f>
        <v>INVESTED</v>
      </c>
    </row>
    <row r="11" spans="5:10" ht="15" thickBot="1" x14ac:dyDescent="0.35">
      <c r="E11" s="11" t="s">
        <v>148</v>
      </c>
      <c r="F11" s="12" t="str">
        <f>IF(HLOOKUP($E11,'Factset Price Data'!$C$208:$Q$215,6,FALSE)&gt;=1,"INVESTED","CASH")</f>
        <v>INVESTED</v>
      </c>
      <c r="G11" s="12" t="str">
        <f>IF(HLOOKUP($E11,'Factset Price Data'!$C$208:$Q$215,7,FALSE)&gt;=1,"INVESTED","CASH")</f>
        <v>CASH</v>
      </c>
      <c r="H11" s="60" t="str">
        <f>IF(HLOOKUP($E11,'Factset Price Data'!$C$208:$Q$215,8,FALSE)&gt;=1,"INVESTED","CASH")</f>
        <v>CASH</v>
      </c>
    </row>
    <row r="13" spans="5:10" x14ac:dyDescent="0.3">
      <c r="E13" s="1" t="s">
        <v>169</v>
      </c>
    </row>
    <row r="14" spans="5:10" ht="15" thickBot="1" x14ac:dyDescent="0.35">
      <c r="E14" t="s">
        <v>156</v>
      </c>
      <c r="F14" t="s">
        <v>2</v>
      </c>
      <c r="G14" t="s">
        <v>21</v>
      </c>
      <c r="H14" t="s">
        <v>168</v>
      </c>
    </row>
    <row r="15" spans="5:10" ht="15" thickBot="1" x14ac:dyDescent="0.35">
      <c r="E15" s="42">
        <v>0.33</v>
      </c>
      <c r="F15" s="42">
        <v>0.33</v>
      </c>
      <c r="G15" s="42">
        <v>0.33</v>
      </c>
    </row>
    <row r="16" spans="5:10" ht="15" thickBot="1" x14ac:dyDescent="0.35">
      <c r="E16" s="32"/>
      <c r="F16" s="9"/>
      <c r="G16" s="9"/>
      <c r="H16" s="54" t="s">
        <v>163</v>
      </c>
      <c r="I16" s="55" t="s">
        <v>167</v>
      </c>
      <c r="J16" s="56" t="s">
        <v>164</v>
      </c>
    </row>
    <row r="17" spans="5:15" x14ac:dyDescent="0.3">
      <c r="E17" s="49" t="s">
        <v>4</v>
      </c>
      <c r="F17" s="45">
        <f>'Asset class'!S3</f>
        <v>8</v>
      </c>
      <c r="G17" s="45">
        <f t="shared" ref="G17:G27" si="0">F17</f>
        <v>8</v>
      </c>
      <c r="H17" t="str">
        <f>IF(HLOOKUP($E17,'Factset Price Data'!$C$208:$Q$215,6,FALSE)&gt;=1,"INVESTED","CASH")</f>
        <v>CASH</v>
      </c>
      <c r="I17" t="str">
        <f>IF(HLOOKUP($E17,'Factset Price Data'!$C$208:$Q$215,7,FALSE)&gt;=1,"INVESTED","CASH")</f>
        <v>INVESTED</v>
      </c>
      <c r="J17" s="59" t="str">
        <f>IF(HLOOKUP($E17,'Factset Price Data'!$C$208:$Q$215,8,FALSE)&gt;=1,"INVESTED","CASH")</f>
        <v>CASH</v>
      </c>
    </row>
    <row r="18" spans="5:15" x14ac:dyDescent="0.3">
      <c r="E18" s="49" t="s">
        <v>1</v>
      </c>
      <c r="F18" s="45">
        <f>'Asset class'!S4</f>
        <v>1</v>
      </c>
      <c r="G18" s="45">
        <f t="shared" si="0"/>
        <v>1</v>
      </c>
      <c r="H18" t="str">
        <f>IF(HLOOKUP($E18,'Factset Price Data'!$C$208:$Q$215,6,FALSE)&gt;=1,"INVESTED","CASH")</f>
        <v>INVESTED</v>
      </c>
      <c r="I18" t="str">
        <f>IF(HLOOKUP($E18,'Factset Price Data'!$C$208:$Q$215,7,FALSE)&gt;=1,"INVESTED","CASH")</f>
        <v>INVESTED</v>
      </c>
      <c r="J18" s="59" t="str">
        <f>IF(HLOOKUP($E18,'Factset Price Data'!$C$208:$Q$215,8,FALSE)&gt;=1,"INVESTED","CASH")</f>
        <v>INVESTED</v>
      </c>
    </row>
    <row r="19" spans="5:15" x14ac:dyDescent="0.3">
      <c r="E19" s="49" t="s">
        <v>147</v>
      </c>
      <c r="F19" s="45">
        <f>'Asset class'!S5</f>
        <v>5</v>
      </c>
      <c r="G19" s="45">
        <f t="shared" si="0"/>
        <v>5</v>
      </c>
      <c r="H19" t="str">
        <f>IF(HLOOKUP($E19,'Factset Price Data'!$C$208:$Q$215,6,FALSE)&gt;=1,"INVESTED","CASH")</f>
        <v>CASH</v>
      </c>
      <c r="I19" t="str">
        <f>IF(HLOOKUP($E19,'Factset Price Data'!$C$208:$Q$215,7,FALSE)&gt;=1,"INVESTED","CASH")</f>
        <v>INVESTED</v>
      </c>
      <c r="J19" s="59" t="str">
        <f>IF(HLOOKUP($E19,'Factset Price Data'!$C$208:$Q$215,8,FALSE)&gt;=1,"INVESTED","CASH")</f>
        <v>INVESTED</v>
      </c>
    </row>
    <row r="20" spans="5:15" x14ac:dyDescent="0.3">
      <c r="E20" s="49" t="s">
        <v>148</v>
      </c>
      <c r="F20" s="45">
        <f>'Asset class'!S6</f>
        <v>6</v>
      </c>
      <c r="G20" s="45">
        <f t="shared" si="0"/>
        <v>6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CASH</v>
      </c>
      <c r="J20" s="59" t="str">
        <f>IF(HLOOKUP($E20,'Factset Price Data'!$C$208:$Q$215,8,FALSE)&gt;=1,"INVESTED","CASH")</f>
        <v>CASH</v>
      </c>
    </row>
    <row r="21" spans="5:15" x14ac:dyDescent="0.3">
      <c r="E21" s="49" t="s">
        <v>15</v>
      </c>
      <c r="F21" s="45">
        <f>'Asset class'!S7</f>
        <v>0</v>
      </c>
      <c r="G21" s="45">
        <f t="shared" si="0"/>
        <v>0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59" t="str">
        <f>IF(HLOOKUP($E21,'Factset Price Data'!$C$208:$Q$215,8,FALSE)&gt;=1,"INVESTED","CASH")</f>
        <v>INVESTED</v>
      </c>
    </row>
    <row r="22" spans="5:15" x14ac:dyDescent="0.3">
      <c r="E22" s="49" t="s">
        <v>149</v>
      </c>
      <c r="F22" s="45">
        <f>'Asset class'!S8</f>
        <v>7</v>
      </c>
      <c r="G22" s="45">
        <f t="shared" si="0"/>
        <v>7</v>
      </c>
      <c r="H22" t="str">
        <f>IF(HLOOKUP($E22,'Factset Price Data'!$C$208:$Q$215,6,FALSE)&gt;=1,"INVESTED","CASH")</f>
        <v>INVESTED</v>
      </c>
      <c r="I22" t="str">
        <f>IF(HLOOKUP($E22,'Factset Price Data'!$C$208:$Q$215,7,FALSE)&gt;=1,"INVESTED","CASH")</f>
        <v>CASH</v>
      </c>
      <c r="J22" s="59" t="str">
        <f>IF(HLOOKUP($E22,'Factset Price Data'!$C$208:$Q$215,8,FALSE)&gt;=1,"INVESTED","CASH")</f>
        <v>INVESTED</v>
      </c>
    </row>
    <row r="23" spans="5:15" x14ac:dyDescent="0.3">
      <c r="E23" s="49" t="s">
        <v>158</v>
      </c>
      <c r="F23" s="45">
        <f>'Asset class'!S9</f>
        <v>9</v>
      </c>
      <c r="G23" s="45">
        <f t="shared" si="0"/>
        <v>9</v>
      </c>
      <c r="H23" t="str">
        <f>IF(HLOOKUP($E23,'Factset Price Data'!$C$208:$Q$215,6,FALSE)&gt;=1,"INVESTED","CASH")</f>
        <v>INVESTED</v>
      </c>
      <c r="I23" t="str">
        <f>IF(HLOOKUP($E23,'Factset Price Data'!$C$208:$Q$215,7,FALSE)&gt;=1,"INVESTED","CASH")</f>
        <v>CASH</v>
      </c>
      <c r="J23" s="59" t="str">
        <f>IF(HLOOKUP($E23,'Factset Price Data'!$C$208:$Q$215,8,FALSE)&gt;=1,"INVESTED","CASH")</f>
        <v>CASH</v>
      </c>
    </row>
    <row r="24" spans="5:15" x14ac:dyDescent="0.3">
      <c r="E24" s="49" t="s">
        <v>150</v>
      </c>
      <c r="F24" s="45">
        <f>'Asset class'!S10</f>
        <v>10</v>
      </c>
      <c r="G24" s="45">
        <f t="shared" si="0"/>
        <v>10</v>
      </c>
      <c r="H24" t="str">
        <f>IF(HLOOKUP($E24,'Factset Price Data'!$C$208:$Q$215,6,FALSE)&gt;=1,"INVESTED","CASH")</f>
        <v>CASH</v>
      </c>
      <c r="I24" t="str">
        <f>IF(HLOOKUP($E24,'Factset Price Data'!$C$208:$Q$215,7,FALSE)&gt;=1,"INVESTED","CASH")</f>
        <v>INVESTED</v>
      </c>
      <c r="J24" s="59" t="str">
        <f>IF(HLOOKUP($E24,'Factset Price Data'!$C$208:$Q$215,8,FALSE)&gt;=1,"INVESTED","CASH")</f>
        <v>CASH</v>
      </c>
    </row>
    <row r="25" spans="5:15" x14ac:dyDescent="0.3">
      <c r="E25" s="49" t="s">
        <v>71</v>
      </c>
      <c r="F25" s="45">
        <f>'Asset class'!S11</f>
        <v>3</v>
      </c>
      <c r="G25" s="45">
        <f t="shared" si="0"/>
        <v>3</v>
      </c>
      <c r="H25" t="str">
        <f>IF(HLOOKUP($E25,'Factset Price Data'!$C$208:$Q$215,6,FALSE)&gt;=1,"INVESTED","CASH")</f>
        <v>INVESTED</v>
      </c>
      <c r="I25" t="str">
        <f>IF(HLOOKUP($E25,'Factset Price Data'!$C$208:$Q$215,7,FALSE)&gt;=1,"INVESTED","CASH")</f>
        <v>INVESTED</v>
      </c>
      <c r="J25" s="59" t="str">
        <f>IF(HLOOKUP($E25,'Factset Price Data'!$C$208:$Q$215,8,FALSE)&gt;=1,"INVESTED","CASH")</f>
        <v>INVESTED</v>
      </c>
    </row>
    <row r="26" spans="5:15" x14ac:dyDescent="0.3">
      <c r="E26" s="49" t="s">
        <v>161</v>
      </c>
      <c r="F26" s="45">
        <f>'Asset class'!S12</f>
        <v>4</v>
      </c>
      <c r="G26" s="45">
        <f t="shared" ref="G26" si="1">F26</f>
        <v>4</v>
      </c>
      <c r="H26" t="str">
        <f>IF(HLOOKUP($E26,'Factset Price Data'!$C$208:$Q$215,6,FALSE)&gt;=1,"INVESTED","CASH")</f>
        <v>CASH</v>
      </c>
      <c r="I26" t="str">
        <f>IF(HLOOKUP($E26,'Factset Price Data'!$C$208:$Q$215,7,FALSE)&gt;=1,"INVESTED","CASH")</f>
        <v>INVESTED</v>
      </c>
      <c r="J26" s="59" t="str">
        <f>IF(HLOOKUP($E26,'Factset Price Data'!$C$208:$Q$215,8,FALSE)&gt;=1,"INVESTED","CASH")</f>
        <v>INVESTED</v>
      </c>
    </row>
    <row r="27" spans="5:15" ht="15" thickBot="1" x14ac:dyDescent="0.35">
      <c r="E27" s="50" t="s">
        <v>12</v>
      </c>
      <c r="F27" s="51">
        <f>'Asset class'!S13</f>
        <v>3</v>
      </c>
      <c r="G27" s="51">
        <f t="shared" si="0"/>
        <v>3</v>
      </c>
      <c r="H27" s="12" t="str">
        <f>IF(HLOOKUP($E27,'Factset Price Data'!$C$208:$Q$215,6,FALSE)&gt;=1,"INVESTED","CASH")</f>
        <v>INVESTED</v>
      </c>
      <c r="I27" s="12" t="str">
        <f>IF(HLOOKUP($E27,'Factset Price Data'!$C$208:$Q$215,7,FALSE)&gt;=1,"INVESTED","CASH")</f>
        <v>INVESTED</v>
      </c>
      <c r="J27" s="60" t="str">
        <f>IF(HLOOKUP($E27,'Factset Price Data'!$C$208:$Q$215,8,FALSE)&gt;=1,"INVESTED","CASH")</f>
        <v>INVESTED</v>
      </c>
    </row>
    <row r="28" spans="5:15" ht="15" thickBot="1" x14ac:dyDescent="0.35"/>
    <row r="29" spans="5:15" ht="15" thickBot="1" x14ac:dyDescent="0.35">
      <c r="E29" s="40" t="s">
        <v>165</v>
      </c>
      <c r="F29" s="9"/>
      <c r="G29" s="9"/>
      <c r="H29" s="9"/>
      <c r="I29" s="9"/>
      <c r="J29" s="9"/>
      <c r="K29" s="9"/>
      <c r="L29" s="9"/>
      <c r="M29" s="9"/>
      <c r="N29" s="9"/>
      <c r="O29" s="10"/>
    </row>
    <row r="30" spans="5:15" ht="28.8" x14ac:dyDescent="0.3">
      <c r="E30" s="32"/>
      <c r="F30" s="9" t="s">
        <v>25</v>
      </c>
      <c r="G30" s="9" t="s">
        <v>20</v>
      </c>
      <c r="H30" s="52" t="s">
        <v>156</v>
      </c>
      <c r="I30" s="9" t="s">
        <v>2</v>
      </c>
      <c r="J30" s="9" t="s">
        <v>3</v>
      </c>
      <c r="K30" s="9" t="s">
        <v>25</v>
      </c>
      <c r="L30" s="9" t="s">
        <v>20</v>
      </c>
      <c r="M30" s="52" t="s">
        <v>154</v>
      </c>
      <c r="N30" s="9" t="s">
        <v>2</v>
      </c>
      <c r="O30" s="53" t="s">
        <v>51</v>
      </c>
    </row>
    <row r="31" spans="5:15" x14ac:dyDescent="0.3">
      <c r="E31" s="29" t="str">
        <f>'Momnetum ranking'!B18</f>
        <v>Europe</v>
      </c>
      <c r="F31" s="8">
        <f>'Momnetum ranking'!J18</f>
        <v>3.0911901081916437E-3</v>
      </c>
      <c r="G31" s="5">
        <f>'Momnetum ranking'!K18</f>
        <v>0.64544025157232698</v>
      </c>
      <c r="H31" s="8">
        <f>'Momnetum ranking'!Q18</f>
        <v>0.98482630000000004</v>
      </c>
      <c r="I31" s="3">
        <f>'Momnetum ranking'!O18</f>
        <v>15.876018999999999</v>
      </c>
      <c r="K31">
        <f>_xlfn.RANK.EQ(F31,$F$31:$F$39)</f>
        <v>3</v>
      </c>
      <c r="L31">
        <f>_xlfn.RANK.EQ(G31,$G$31:$G$39)</f>
        <v>6</v>
      </c>
      <c r="M31">
        <f>_xlfn.RANK.EQ(H31,$H$31:$H$39)</f>
        <v>4</v>
      </c>
      <c r="N31">
        <f>_xlfn.RANK.EQ(I31,$I$31:$I$39)</f>
        <v>5</v>
      </c>
      <c r="O31" s="46">
        <f>MEDIAN(K31:N31)</f>
        <v>4.5</v>
      </c>
    </row>
    <row r="32" spans="5:15" x14ac:dyDescent="0.3">
      <c r="E32" s="29" t="str">
        <f>'Momnetum ranking'!B19</f>
        <v>EM</v>
      </c>
      <c r="F32" s="8">
        <f>'Momnetum ranking'!J19</f>
        <v>-0.1178479931682323</v>
      </c>
      <c r="G32" s="5">
        <f>'Momnetum ranking'!K19</f>
        <v>0.43137254901960803</v>
      </c>
      <c r="H32" s="8">
        <f>'Momnetum ranking'!Q19</f>
        <v>0.93178660000000002</v>
      </c>
      <c r="I32" s="3">
        <f>'Momnetum ranking'!O19</f>
        <v>8.7017419999999994</v>
      </c>
      <c r="K32">
        <f t="shared" ref="K32:K39" si="2">_xlfn.RANK.EQ(F32,$F$31:$F$39)</f>
        <v>8</v>
      </c>
      <c r="L32">
        <f t="shared" ref="L32:L39" si="3">_xlfn.RANK.EQ(G32,$G$31:$G$39)</f>
        <v>9</v>
      </c>
      <c r="M32">
        <f t="shared" ref="M32:M39" si="4">_xlfn.RANK.EQ(H32,$H$31:$H$39)</f>
        <v>9</v>
      </c>
      <c r="N32">
        <f t="shared" ref="N32:N39" si="5">_xlfn.RANK.EQ(I32,$I$31:$I$39)</f>
        <v>9</v>
      </c>
      <c r="O32" s="46">
        <f t="shared" ref="O32:O35" si="6">MEDIAN(K32:N32)</f>
        <v>9</v>
      </c>
    </row>
    <row r="33" spans="4:15" x14ac:dyDescent="0.3">
      <c r="E33" s="29" t="str">
        <f>'Momnetum ranking'!B20</f>
        <v>World</v>
      </c>
      <c r="F33" s="8">
        <f>'Momnetum ranking'!J20</f>
        <v>-2.695417789757415E-2</v>
      </c>
      <c r="G33" s="5">
        <f>'Momnetum ranking'!K20</f>
        <v>0.65899864682002696</v>
      </c>
      <c r="H33" s="8">
        <f>'Momnetum ranking'!Q20</f>
        <v>0.99719460000000004</v>
      </c>
      <c r="I33" s="3">
        <f>'Momnetum ranking'!O20</f>
        <v>17.837344999999999</v>
      </c>
      <c r="K33">
        <f t="shared" si="2"/>
        <v>6</v>
      </c>
      <c r="L33">
        <f t="shared" si="3"/>
        <v>5</v>
      </c>
      <c r="M33">
        <f t="shared" si="4"/>
        <v>1</v>
      </c>
      <c r="N33">
        <f t="shared" si="5"/>
        <v>4</v>
      </c>
      <c r="O33" s="46">
        <f t="shared" si="6"/>
        <v>4.5</v>
      </c>
    </row>
    <row r="34" spans="4:15" x14ac:dyDescent="0.3">
      <c r="E34" s="29" t="str">
        <f>'Momnetum ranking'!B21</f>
        <v>Japan</v>
      </c>
      <c r="F34" s="8">
        <f>'Momnetum ranking'!J21</f>
        <v>0</v>
      </c>
      <c r="G34" s="5">
        <f>'Momnetum ranking'!K21</f>
        <v>0.75221238938053103</v>
      </c>
      <c r="H34" s="8">
        <f>'Momnetum ranking'!Q21</f>
        <v>0.97816009999999998</v>
      </c>
      <c r="I34" s="3">
        <f>'Momnetum ranking'!O21</f>
        <v>15.646445999999999</v>
      </c>
      <c r="K34">
        <f t="shared" si="2"/>
        <v>4</v>
      </c>
      <c r="L34">
        <f t="shared" si="3"/>
        <v>3</v>
      </c>
      <c r="M34">
        <f t="shared" si="4"/>
        <v>6</v>
      </c>
      <c r="N34">
        <f t="shared" si="5"/>
        <v>6</v>
      </c>
      <c r="O34" s="46">
        <f t="shared" si="6"/>
        <v>5</v>
      </c>
    </row>
    <row r="35" spans="4:15" x14ac:dyDescent="0.3">
      <c r="E35" s="29" t="str">
        <f>'Momnetum ranking'!B22</f>
        <v>US</v>
      </c>
      <c r="F35" s="8">
        <f>'Momnetum ranking'!J22</f>
        <v>0.13492063492063489</v>
      </c>
      <c r="G35" s="5">
        <f>'Momnetum ranking'!K22</f>
        <v>0.70119521912350602</v>
      </c>
      <c r="H35" s="8">
        <f>'Momnetum ranking'!Q22</f>
        <v>0.99650395000000003</v>
      </c>
      <c r="I35" s="3">
        <f>'Momnetum ranking'!O22</f>
        <v>18.625509999999998</v>
      </c>
      <c r="K35">
        <f t="shared" si="2"/>
        <v>1</v>
      </c>
      <c r="L35">
        <f t="shared" si="3"/>
        <v>4</v>
      </c>
      <c r="M35">
        <f t="shared" si="4"/>
        <v>2</v>
      </c>
      <c r="N35">
        <f t="shared" si="5"/>
        <v>3</v>
      </c>
      <c r="O35" s="46">
        <f t="shared" si="6"/>
        <v>2.5</v>
      </c>
    </row>
    <row r="36" spans="4:15" x14ac:dyDescent="0.3">
      <c r="E36" s="29" t="s">
        <v>9</v>
      </c>
      <c r="F36" s="8">
        <f>'Momnetum ranking'!J23</f>
        <v>-0.18939393939393939</v>
      </c>
      <c r="G36" s="5">
        <f>'Momnetum ranking'!K23</f>
        <v>0.81679389312977091</v>
      </c>
      <c r="H36" s="8">
        <f>'Momnetum ranking'!Q23</f>
        <v>0.97988045000000001</v>
      </c>
      <c r="I36" s="3">
        <f>'Momnetum ranking'!O23</f>
        <v>15.118181</v>
      </c>
      <c r="K36">
        <f t="shared" si="2"/>
        <v>9</v>
      </c>
      <c r="L36">
        <f t="shared" si="3"/>
        <v>1</v>
      </c>
      <c r="M36">
        <f t="shared" si="4"/>
        <v>5</v>
      </c>
      <c r="N36">
        <f t="shared" si="5"/>
        <v>7</v>
      </c>
      <c r="O36" s="46">
        <f t="shared" ref="O36:O39" si="7">MEDIAN(K36:N36)</f>
        <v>6</v>
      </c>
    </row>
    <row r="37" spans="4:15" x14ac:dyDescent="0.3">
      <c r="E37" s="29" t="s">
        <v>161</v>
      </c>
      <c r="F37" s="8">
        <f>'Momnetum ranking'!J24</f>
        <v>-6.1428571428571443E-2</v>
      </c>
      <c r="G37" s="5">
        <f>'Momnetum ranking'!K24</f>
        <v>0.60682492581602399</v>
      </c>
      <c r="H37" s="8">
        <f>'Momnetum ranking'!Q24</f>
        <v>0.97380226999999997</v>
      </c>
      <c r="I37" s="3">
        <f>'Momnetum ranking'!O24</f>
        <v>14.363348</v>
      </c>
      <c r="K37">
        <f t="shared" si="2"/>
        <v>7</v>
      </c>
      <c r="L37">
        <f t="shared" si="3"/>
        <v>7</v>
      </c>
      <c r="M37">
        <f t="shared" si="4"/>
        <v>7</v>
      </c>
      <c r="N37">
        <f t="shared" si="5"/>
        <v>8</v>
      </c>
      <c r="O37" s="46">
        <f t="shared" si="7"/>
        <v>7</v>
      </c>
    </row>
    <row r="38" spans="4:15" x14ac:dyDescent="0.3">
      <c r="E38" s="29" t="s">
        <v>15</v>
      </c>
      <c r="F38" s="8">
        <f>'Momnetum ranking'!J25</f>
        <v>0.10784313725490197</v>
      </c>
      <c r="G38" s="5">
        <f>'Momnetum ranking'!K25</f>
        <v>0.77450980392156898</v>
      </c>
      <c r="H38" s="8">
        <f>'Momnetum ranking'!Q25</f>
        <v>0.98594855999999997</v>
      </c>
      <c r="I38" s="3">
        <f>'Momnetum ranking'!O25</f>
        <v>23.632133</v>
      </c>
      <c r="K38">
        <f t="shared" si="2"/>
        <v>2</v>
      </c>
      <c r="L38">
        <f t="shared" si="3"/>
        <v>2</v>
      </c>
      <c r="M38">
        <f t="shared" si="4"/>
        <v>3</v>
      </c>
      <c r="N38">
        <f t="shared" si="5"/>
        <v>1</v>
      </c>
      <c r="O38" s="46">
        <f t="shared" si="7"/>
        <v>2</v>
      </c>
    </row>
    <row r="39" spans="4:15" ht="15" thickBot="1" x14ac:dyDescent="0.35">
      <c r="E39" s="11" t="s">
        <v>175</v>
      </c>
      <c r="F39" s="39">
        <f>'Momnetum ranking'!J26</f>
        <v>-1.280081925243215E-2</v>
      </c>
      <c r="G39" s="13">
        <f>'Momnetum ranking'!K26</f>
        <v>0.586866597724922</v>
      </c>
      <c r="H39" s="39">
        <f>'Momnetum ranking'!Q26</f>
        <v>0.95372033000000001</v>
      </c>
      <c r="I39" s="41">
        <f>'Momnetum ranking'!O26</f>
        <v>19.844495999999999</v>
      </c>
      <c r="J39" s="12"/>
      <c r="K39" s="12">
        <f t="shared" si="2"/>
        <v>5</v>
      </c>
      <c r="L39" s="12">
        <f t="shared" si="3"/>
        <v>8</v>
      </c>
      <c r="M39" s="12">
        <f t="shared" si="4"/>
        <v>8</v>
      </c>
      <c r="N39" s="12">
        <f t="shared" si="5"/>
        <v>2</v>
      </c>
      <c r="O39" s="47">
        <f t="shared" si="7"/>
        <v>6.5</v>
      </c>
    </row>
    <row r="41" spans="4:15" ht="15" thickBot="1" x14ac:dyDescent="0.35">
      <c r="E41" s="57"/>
    </row>
    <row r="42" spans="4:15" ht="15" thickBot="1" x14ac:dyDescent="0.35">
      <c r="D42" s="54" t="s">
        <v>183</v>
      </c>
      <c r="E42" s="62"/>
      <c r="F42" s="55" t="s">
        <v>166</v>
      </c>
      <c r="G42" s="55" t="s">
        <v>167</v>
      </c>
      <c r="H42" s="56" t="s">
        <v>164</v>
      </c>
      <c r="J42" s="58"/>
      <c r="K42" s="55" t="s">
        <v>151</v>
      </c>
      <c r="L42" s="56" t="s">
        <v>152</v>
      </c>
    </row>
    <row r="43" spans="4:15" x14ac:dyDescent="0.3">
      <c r="D43" s="29" t="s">
        <v>71</v>
      </c>
      <c r="E43" s="1" t="s">
        <v>42</v>
      </c>
      <c r="F43" t="str">
        <f>IF(HLOOKUP($D43,'Factset Price Data'!$C$208:$Q$215,6,FALSE)&gt;=1,"INVESTED","CASH")</f>
        <v>INVESTED</v>
      </c>
      <c r="G43" t="str">
        <f>IF(HLOOKUP($D43,'Factset Price Data'!$C$208:$Q$215,7,FALSE)&gt;=1,"INVESTED","CASH")</f>
        <v>INVESTED</v>
      </c>
      <c r="H43" s="59" t="str">
        <f>IF(HLOOKUP($D43,'Factset Price Data'!$C$208:$Q$215,8,FALSE)&gt;=1,"INVESTED","CASH")</f>
        <v>INVESTED</v>
      </c>
      <c r="J43" s="29" t="s">
        <v>71</v>
      </c>
      <c r="K43" s="8">
        <f>'Momnetum ranking'!H18</f>
        <v>0.29598145285935085</v>
      </c>
      <c r="L43" s="30">
        <f>'Momnetum ranking'!I18</f>
        <v>0.2928902627511592</v>
      </c>
    </row>
    <row r="44" spans="4:15" x14ac:dyDescent="0.3">
      <c r="D44" s="29" t="s">
        <v>4</v>
      </c>
      <c r="E44" s="1" t="s">
        <v>87</v>
      </c>
      <c r="F44" t="str">
        <f>IF(HLOOKUP($D44,'Factset Price Data'!$C$208:$Q$215,6,FALSE)&gt;=1,"INVESTED","CASH")</f>
        <v>CASH</v>
      </c>
      <c r="G44" t="str">
        <f>IF(HLOOKUP($D44,'Factset Price Data'!$C$208:$Q$215,7,FALSE)&gt;=1,"INVESTED","CASH")</f>
        <v>INVESTED</v>
      </c>
      <c r="H44" s="59" t="str">
        <f>IF(HLOOKUP($D44,'Factset Price Data'!$C$208:$Q$215,8,FALSE)&gt;=1,"INVESTED","CASH")</f>
        <v>CASH</v>
      </c>
      <c r="J44" s="29" t="s">
        <v>4</v>
      </c>
      <c r="K44" s="8">
        <f>'Momnetum ranking'!H19</f>
        <v>0.15563620836891545</v>
      </c>
      <c r="L44" s="30">
        <f>'Momnetum ranking'!I19</f>
        <v>0.27348420153714775</v>
      </c>
    </row>
    <row r="45" spans="4:15" x14ac:dyDescent="0.3">
      <c r="D45" s="29" t="s">
        <v>89</v>
      </c>
      <c r="E45" s="1" t="s">
        <v>90</v>
      </c>
      <c r="F45" t="str">
        <f>IF(HLOOKUP($D45,'Factset Price Data'!$C$208:$Q$215,6,FALSE)&gt;=1,"INVESTED","CASH")</f>
        <v>INVESTED</v>
      </c>
      <c r="G45" t="str">
        <f>IF(HLOOKUP($D45,'Factset Price Data'!$C$208:$Q$215,7,FALSE)&gt;=1,"INVESTED","CASH")</f>
        <v>INVESTED</v>
      </c>
      <c r="H45" s="59" t="str">
        <f>IF(HLOOKUP($D45,'Factset Price Data'!$C$208:$Q$215,8,FALSE)&gt;=1,"INVESTED","CASH")</f>
        <v>INVESTED</v>
      </c>
      <c r="J45" s="29" t="s">
        <v>89</v>
      </c>
      <c r="K45" s="8">
        <f>'Momnetum ranking'!H20</f>
        <v>0.37398921832884097</v>
      </c>
      <c r="L45" s="30">
        <f>'Momnetum ranking'!I20</f>
        <v>0.40094339622641512</v>
      </c>
    </row>
    <row r="46" spans="4:15" x14ac:dyDescent="0.3">
      <c r="D46" s="29" t="s">
        <v>12</v>
      </c>
      <c r="E46" s="1" t="s">
        <v>120</v>
      </c>
      <c r="F46" t="str">
        <f>IF(HLOOKUP($D46,'Factset Price Data'!$C$208:$Q$215,6,FALSE)&gt;=1,"INVESTED","CASH")</f>
        <v>INVESTED</v>
      </c>
      <c r="G46" t="str">
        <f>IF(HLOOKUP($D46,'Factset Price Data'!$C$208:$Q$215,7,FALSE)&gt;=1,"INVESTED","CASH")</f>
        <v>INVESTED</v>
      </c>
      <c r="H46" s="59" t="str">
        <f>IF(HLOOKUP($D46,'Factset Price Data'!$C$208:$Q$215,8,FALSE)&gt;=1,"INVESTED","CASH")</f>
        <v>INVESTED</v>
      </c>
      <c r="J46" s="29" t="s">
        <v>12</v>
      </c>
      <c r="K46" s="8">
        <f>'Momnetum ranking'!H21</f>
        <v>0.38325991189427311</v>
      </c>
      <c r="L46" s="30">
        <f>'Momnetum ranking'!I21</f>
        <v>0.38325991189427311</v>
      </c>
    </row>
    <row r="47" spans="4:15" x14ac:dyDescent="0.3">
      <c r="D47" s="29" t="s">
        <v>1</v>
      </c>
      <c r="E47" s="1" t="s">
        <v>35</v>
      </c>
      <c r="F47" t="str">
        <f>IF(HLOOKUP($D47,'Factset Price Data'!$C$208:$Q$215,6,FALSE)&gt;=1,"INVESTED","CASH")</f>
        <v>INVESTED</v>
      </c>
      <c r="G47" t="str">
        <f>IF(HLOOKUP($D47,'Factset Price Data'!$C$208:$Q$215,7,FALSE)&gt;=1,"INVESTED","CASH")</f>
        <v>INVESTED</v>
      </c>
      <c r="H47" s="59" t="str">
        <f>IF(HLOOKUP($D47,'Factset Price Data'!$C$208:$Q$215,8,FALSE)&gt;=1,"INVESTED","CASH")</f>
        <v>INVESTED</v>
      </c>
      <c r="J47" s="29" t="s">
        <v>1</v>
      </c>
      <c r="K47" s="8">
        <f>'Momnetum ranking'!H22</f>
        <v>0.44246031746031744</v>
      </c>
      <c r="L47" s="30">
        <f>'Momnetum ranking'!I22</f>
        <v>0.30753968253968256</v>
      </c>
    </row>
    <row r="48" spans="4:15" x14ac:dyDescent="0.3">
      <c r="D48" s="29" t="s">
        <v>9</v>
      </c>
      <c r="E48" s="1" t="s">
        <v>9</v>
      </c>
      <c r="F48" t="str">
        <f>IF(HLOOKUP($D48,'Factset Price Data'!$C$208:$Q$215,6,FALSE)&gt;=1,"INVESTED","CASH")</f>
        <v>INVESTED</v>
      </c>
      <c r="G48" t="str">
        <f>IF(HLOOKUP($D48,'Factset Price Data'!$C$208:$Q$215,7,FALSE)&gt;=1,"INVESTED","CASH")</f>
        <v>INVESTED</v>
      </c>
      <c r="H48" s="59" t="str">
        <f>IF(HLOOKUP($D48,'Factset Price Data'!$C$208:$Q$215,8,FALSE)&gt;=1,"INVESTED","CASH")</f>
        <v>INVESTED</v>
      </c>
      <c r="J48" s="29" t="s">
        <v>9</v>
      </c>
      <c r="K48" s="8">
        <f>'Momnetum ranking'!H23</f>
        <v>0.33333333333333331</v>
      </c>
      <c r="L48" s="30">
        <f>'Momnetum ranking'!I23</f>
        <v>0.52272727272727271</v>
      </c>
    </row>
    <row r="49" spans="4:15" x14ac:dyDescent="0.3">
      <c r="D49" s="29" t="s">
        <v>161</v>
      </c>
      <c r="E49" s="1" t="s">
        <v>161</v>
      </c>
      <c r="F49" t="str">
        <f>IF(HLOOKUP($D49,'Factset Price Data'!$C$208:$Q$215,6,FALSE)&gt;=1,"INVESTED","CASH")</f>
        <v>CASH</v>
      </c>
      <c r="G49" t="str">
        <f>IF(HLOOKUP($D49,'Factset Price Data'!$C$208:$Q$215,7,FALSE)&gt;=1,"INVESTED","CASH")</f>
        <v>INVESTED</v>
      </c>
      <c r="H49" s="59" t="str">
        <f>IF(HLOOKUP($D49,'Factset Price Data'!$C$208:$Q$215,8,FALSE)&gt;=1,"INVESTED","CASH")</f>
        <v>INVESTED</v>
      </c>
      <c r="J49" s="29" t="s">
        <v>161</v>
      </c>
      <c r="K49" s="8">
        <f>'Momnetum ranking'!H24</f>
        <v>0.34285714285714286</v>
      </c>
      <c r="L49" s="30">
        <f>'Momnetum ranking'!I24</f>
        <v>0.4042857142857143</v>
      </c>
    </row>
    <row r="50" spans="4:15" x14ac:dyDescent="0.3">
      <c r="D50" s="29" t="s">
        <v>15</v>
      </c>
      <c r="E50" s="1" t="s">
        <v>15</v>
      </c>
      <c r="F50" t="str">
        <f>IF(HLOOKUP($D50,'Factset Price Data'!$C$208:$Q$215,6,FALSE)&gt;=1,"INVESTED","CASH")</f>
        <v>INVESTED</v>
      </c>
      <c r="G50" t="str">
        <f>IF(HLOOKUP($D50,'Factset Price Data'!$C$208:$Q$215,7,FALSE)&gt;=1,"INVESTED","CASH")</f>
        <v>INVESTED</v>
      </c>
      <c r="H50" s="59" t="str">
        <f>IF(HLOOKUP($D50,'Factset Price Data'!$C$208:$Q$215,8,FALSE)&gt;=1,"INVESTED","CASH")</f>
        <v>INVESTED</v>
      </c>
      <c r="J50" s="29" t="s">
        <v>15</v>
      </c>
      <c r="K50" s="8">
        <f>'Momnetum ranking'!H25</f>
        <v>0.39215686274509803</v>
      </c>
      <c r="L50" s="30">
        <f>'Momnetum ranking'!I25</f>
        <v>0.28431372549019607</v>
      </c>
    </row>
    <row r="51" spans="4:15" ht="15" thickBot="1" x14ac:dyDescent="0.35">
      <c r="D51" s="11" t="s">
        <v>175</v>
      </c>
      <c r="E51" s="61" t="s">
        <v>174</v>
      </c>
      <c r="F51" s="12" t="str">
        <f>IF(HLOOKUP($D51,'Factset Price Data'!$C$208:$Q$215,6,FALSE)&gt;=1,"INVESTED","CASH")</f>
        <v>CASH</v>
      </c>
      <c r="G51" s="12" t="str">
        <f>IF(HLOOKUP($D51,'Factset Price Data'!$C$208:$Q$215,7,FALSE)&gt;=1,"INVESTED","CASH")</f>
        <v>INVESTED</v>
      </c>
      <c r="H51" s="60" t="str">
        <f>IF(HLOOKUP($D51,'Factset Price Data'!$C$208:$Q$215,8,FALSE)&gt;=1,"INVESTED","CASH")</f>
        <v>INVESTED</v>
      </c>
      <c r="J51" s="29" t="s">
        <v>175</v>
      </c>
      <c r="K51" s="8">
        <f>'Momnetum ranking'!H26</f>
        <v>0.2119815668202765</v>
      </c>
      <c r="L51" s="30">
        <f>'Momnetum ranking'!I26</f>
        <v>0.22478238607270865</v>
      </c>
    </row>
    <row r="52" spans="4:15" ht="15" thickBot="1" x14ac:dyDescent="0.35">
      <c r="J52" s="11" t="s">
        <v>153</v>
      </c>
      <c r="K52" s="39">
        <f>'Momnetum ranking'!H27</f>
        <v>0.39215686274509803</v>
      </c>
      <c r="L52" s="31">
        <f>'Momnetum ranking'!I27</f>
        <v>0.45098039215686275</v>
      </c>
    </row>
    <row r="53" spans="4:15" x14ac:dyDescent="0.3">
      <c r="E53" s="1"/>
    </row>
    <row r="55" spans="4:15" x14ac:dyDescent="0.3">
      <c r="D55" s="1" t="s">
        <v>221</v>
      </c>
    </row>
    <row r="56" spans="4:15" ht="15" thickBot="1" x14ac:dyDescent="0.35"/>
    <row r="57" spans="4:15" x14ac:dyDescent="0.3">
      <c r="D57" s="32" t="s">
        <v>1</v>
      </c>
      <c r="E57" s="66">
        <f>'Gloval value '!G37</f>
        <v>0.10371687882463465</v>
      </c>
      <c r="J57" s="8"/>
    </row>
    <row r="58" spans="4:15" x14ac:dyDescent="0.3">
      <c r="D58" s="29" t="s">
        <v>15</v>
      </c>
      <c r="E58" s="30">
        <f>'Gloval value '!G36</f>
        <v>0.16745336561684576</v>
      </c>
      <c r="F58" s="8"/>
      <c r="J58" s="8"/>
    </row>
    <row r="59" spans="4:15" x14ac:dyDescent="0.3">
      <c r="D59" s="29" t="s">
        <v>12</v>
      </c>
      <c r="E59" s="30">
        <f>'Gloval value '!G33</f>
        <v>6.69162223927047E-2</v>
      </c>
      <c r="F59" s="8"/>
      <c r="J59" s="8"/>
    </row>
    <row r="60" spans="4:15" x14ac:dyDescent="0.3">
      <c r="D60" s="29" t="s">
        <v>89</v>
      </c>
      <c r="E60" s="30">
        <f>'Gloval value '!G43</f>
        <v>7.9851385204402325E-2</v>
      </c>
      <c r="F60" s="8"/>
      <c r="J60" s="8"/>
    </row>
    <row r="61" spans="4:15" x14ac:dyDescent="0.3">
      <c r="D61" s="29" t="s">
        <v>223</v>
      </c>
      <c r="E61" s="59"/>
      <c r="F61" s="8"/>
      <c r="J61" s="8"/>
      <c r="O61" s="28"/>
    </row>
    <row r="62" spans="4:15" x14ac:dyDescent="0.3">
      <c r="D62" s="29" t="s">
        <v>9</v>
      </c>
      <c r="E62" s="59"/>
      <c r="F62" s="8"/>
      <c r="J62" s="8"/>
    </row>
    <row r="63" spans="4:15" ht="15" thickBot="1" x14ac:dyDescent="0.35">
      <c r="D63" s="11"/>
      <c r="E63" s="60"/>
      <c r="F63" s="8"/>
      <c r="J63" s="8"/>
    </row>
    <row r="64" spans="4:15" x14ac:dyDescent="0.3">
      <c r="F64" s="8"/>
      <c r="J64" s="8"/>
    </row>
    <row r="65" spans="6:10" x14ac:dyDescent="0.3">
      <c r="F65" s="8"/>
      <c r="J65" s="8"/>
    </row>
    <row r="66" spans="6:10" x14ac:dyDescent="0.3">
      <c r="F66" s="8"/>
      <c r="J66" s="8"/>
    </row>
    <row r="67" spans="6:10" x14ac:dyDescent="0.3">
      <c r="F67" s="8"/>
      <c r="J67" s="8"/>
    </row>
    <row r="68" spans="6:10" x14ac:dyDescent="0.3">
      <c r="F68" s="8"/>
      <c r="J68" s="8"/>
    </row>
    <row r="69" spans="6:10" x14ac:dyDescent="0.3">
      <c r="F69" s="8"/>
      <c r="J69" s="8"/>
    </row>
  </sheetData>
  <conditionalFormatting sqref="F7:H11">
    <cfRule type="cellIs" dxfId="7" priority="20" operator="equal">
      <formula>"CASH"</formula>
    </cfRule>
    <cfRule type="cellIs" dxfId="6" priority="21" operator="equal">
      <formula>"INVESTED"</formula>
    </cfRule>
    <cfRule type="colorScale" priority="22">
      <colorScale>
        <cfvo type="formula" val="$H$21"/>
        <cfvo type="max"/>
        <color theme="9"/>
        <color rgb="FFFF0000"/>
      </colorScale>
    </cfRule>
    <cfRule type="colorScale" priority="23">
      <colorScale>
        <cfvo type="min"/>
        <cfvo type="max"/>
        <color rgb="FFFF7128"/>
        <color rgb="FFFFEF9C"/>
      </colorScale>
    </cfRule>
    <cfRule type="colorScale" priority="25">
      <colorScale>
        <cfvo type="min"/>
        <cfvo type="max"/>
        <color theme="9"/>
        <color rgb="FFFF0000"/>
      </colorScale>
    </cfRule>
  </conditionalFormatting>
  <conditionalFormatting sqref="F8:H11">
    <cfRule type="cellIs" dxfId="5" priority="16" operator="equal">
      <formula>"CASH"</formula>
    </cfRule>
    <cfRule type="cellIs" dxfId="4" priority="17" operator="equal">
      <formula>"INVESTED"</formula>
    </cfRule>
    <cfRule type="colorScale" priority="18">
      <colorScale>
        <cfvo type="formula" val="$H$21"/>
        <cfvo type="max"/>
        <color theme="9"/>
        <color rgb="FFFF0000"/>
      </colorScale>
    </cfRule>
    <cfRule type="colorScale" priority="19">
      <colorScale>
        <cfvo type="min"/>
        <cfvo type="max"/>
        <color rgb="FFFF7128"/>
        <color rgb="FFFFEF9C"/>
      </colorScale>
    </cfRule>
  </conditionalFormatting>
  <conditionalFormatting sqref="F43:H51">
    <cfRule type="cellIs" dxfId="3" priority="1" operator="equal">
      <formula>"CASH"</formula>
    </cfRule>
    <cfRule type="cellIs" dxfId="2" priority="2" operator="equal">
      <formula>"INVESTED"</formula>
    </cfRule>
    <cfRule type="colorScale" priority="3">
      <colorScale>
        <cfvo type="formula" val="$H$21"/>
        <cfvo type="max"/>
        <color theme="9"/>
        <color rgb="FFFF0000"/>
      </colorScale>
    </cfRule>
    <cfRule type="colorScale" priority="4">
      <colorScale>
        <cfvo type="min"/>
        <cfvo type="max"/>
        <color rgb="FFFF7128"/>
        <color rgb="FFFFEF9C"/>
      </colorScale>
    </cfRule>
    <cfRule type="colorScale" priority="5">
      <colorScale>
        <cfvo type="min"/>
        <cfvo type="max"/>
        <color theme="9"/>
        <color rgb="FFFF0000"/>
      </colorScale>
    </cfRule>
  </conditionalFormatting>
  <conditionalFormatting sqref="H17:J27">
    <cfRule type="cellIs" dxfId="1" priority="6" operator="equal">
      <formula>"CASH"</formula>
    </cfRule>
    <cfRule type="cellIs" dxfId="0" priority="7" operator="equal">
      <formula>"INVESTED"</formula>
    </cfRule>
    <cfRule type="colorScale" priority="8">
      <colorScale>
        <cfvo type="formula" val="$H$21"/>
        <cfvo type="max"/>
        <color theme="9"/>
        <color rgb="FFFF0000"/>
      </colorScale>
    </cfRule>
    <cfRule type="colorScale" priority="9">
      <colorScale>
        <cfvo type="min"/>
        <cfvo type="max"/>
        <color rgb="FFFF7128"/>
        <color rgb="FFFFEF9C"/>
      </colorScale>
    </cfRule>
    <cfRule type="colorScale" priority="10">
      <colorScale>
        <cfvo type="min"/>
        <cfvo type="max"/>
        <color theme="9"/>
        <color rgb="FFFF0000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G17:G28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0BC4-EDDC-41AC-B8E4-472ECEF31537}">
  <dimension ref="A2:AC51"/>
  <sheetViews>
    <sheetView workbookViewId="0">
      <selection activeCell="C42" sqref="C42"/>
    </sheetView>
  </sheetViews>
  <sheetFormatPr defaultRowHeight="14.4" x14ac:dyDescent="0.3"/>
  <cols>
    <col min="1" max="1" width="12" customWidth="1"/>
    <col min="2" max="2" width="15" bestFit="1" customWidth="1"/>
    <col min="3" max="3" width="41.44140625" customWidth="1"/>
    <col min="4" max="4" width="15.44140625" customWidth="1"/>
    <col min="5" max="5" width="18.109375" bestFit="1" customWidth="1"/>
    <col min="6" max="6" width="14.5546875" customWidth="1"/>
    <col min="7" max="7" width="17.109375" customWidth="1"/>
    <col min="8" max="8" width="11" customWidth="1"/>
    <col min="9" max="9" width="8.6640625" customWidth="1"/>
    <col min="10" max="10" width="14.6640625" customWidth="1"/>
    <col min="11" max="11" width="12.88671875" customWidth="1"/>
    <col min="12" max="12" width="8.6640625" customWidth="1"/>
    <col min="14" max="15" width="10.5546875" customWidth="1"/>
    <col min="16" max="16" width="15" customWidth="1"/>
    <col min="17" max="17" width="12.44140625" customWidth="1"/>
    <col min="18" max="20" width="13.33203125" customWidth="1"/>
    <col min="21" max="21" width="14" customWidth="1"/>
    <col min="22" max="22" width="16.33203125" customWidth="1"/>
    <col min="23" max="23" width="14.6640625" customWidth="1"/>
    <col min="24" max="24" width="14.33203125" customWidth="1"/>
    <col min="25" max="25" width="11.6640625" customWidth="1"/>
    <col min="26" max="26" width="14.6640625" customWidth="1"/>
    <col min="27" max="28" width="11.6640625" customWidth="1"/>
  </cols>
  <sheetData>
    <row r="2" spans="1:29" ht="43.2" x14ac:dyDescent="0.3">
      <c r="B2" t="s">
        <v>190</v>
      </c>
      <c r="D2" s="33" t="s">
        <v>0</v>
      </c>
      <c r="E2" s="33" t="s">
        <v>191</v>
      </c>
      <c r="F2" s="33"/>
      <c r="G2" s="33" t="s">
        <v>192</v>
      </c>
      <c r="H2" s="33" t="s">
        <v>193</v>
      </c>
      <c r="I2" s="33" t="s">
        <v>194</v>
      </c>
      <c r="J2" s="33" t="s">
        <v>195</v>
      </c>
      <c r="K2" s="33" t="s">
        <v>196</v>
      </c>
      <c r="L2" s="33" t="s">
        <v>197</v>
      </c>
      <c r="M2" s="33" t="s">
        <v>198</v>
      </c>
      <c r="N2" s="33" t="s">
        <v>199</v>
      </c>
      <c r="O2" s="33" t="s">
        <v>200</v>
      </c>
      <c r="P2" s="33" t="s">
        <v>201</v>
      </c>
      <c r="Q2" s="33" t="s">
        <v>202</v>
      </c>
      <c r="R2" s="33" t="s">
        <v>203</v>
      </c>
      <c r="S2" s="33" t="s">
        <v>204</v>
      </c>
      <c r="T2" s="33" t="s">
        <v>205</v>
      </c>
      <c r="U2" s="33" t="s">
        <v>206</v>
      </c>
      <c r="V2" s="33" t="s">
        <v>207</v>
      </c>
      <c r="W2" s="33" t="s">
        <v>208</v>
      </c>
      <c r="X2" s="33" t="s">
        <v>209</v>
      </c>
      <c r="Y2" s="33" t="s">
        <v>210</v>
      </c>
      <c r="Z2" s="33" t="s">
        <v>211</v>
      </c>
      <c r="AA2" s="65" t="s">
        <v>212</v>
      </c>
      <c r="AB2" s="33" t="s">
        <v>213</v>
      </c>
      <c r="AC2" s="33" t="s">
        <v>214</v>
      </c>
    </row>
    <row r="3" spans="1:29" x14ac:dyDescent="0.3">
      <c r="A3" t="s">
        <v>60</v>
      </c>
      <c r="B3" t="s">
        <v>41</v>
      </c>
      <c r="C3" t="str" cm="1">
        <f t="array" ref="C3">_xll.FDS(A3,"FG_COMPANY_NAME")</f>
        <v>iShares MSCI New Zealand ETF</v>
      </c>
      <c r="D3" t="s">
        <v>60</v>
      </c>
      <c r="E3" t="s">
        <v>82</v>
      </c>
      <c r="F3" s="2" cm="1">
        <f t="array" ref="F3">_xll.FDS(D3,"JULIAN(FMA_DIV_YLD(NTMA,NOW,NOW,M,""PORTAGG"",""MEANR"").dates)")</f>
        <v>45289</v>
      </c>
      <c r="G3" s="4" cm="1">
        <f t="array" ref="G3">_xll.FDS(D3,"FG_PE(0)")</f>
        <v>23.998301111646299</v>
      </c>
      <c r="H3" s="4" cm="1">
        <f t="array" ref="H3">_xll.FDS(D3,"FG_PE_NTM(0,,,90,0)")</f>
        <v>22.477173903975299</v>
      </c>
      <c r="I3" cm="1">
        <f t="array" ref="I3">_xll.FDS(D3,"FMA_DIV_YLD(NTMA,NOW,NOW,M,""PORTAGG"",""MEANR"")")</f>
        <v>2.9682775962558399</v>
      </c>
      <c r="J3" s="63" cm="1">
        <f t="array" ref="J3">IFERROR(_xll.FDS(D3,"FG_FCF_YIELD_NTM(0)"),(1/G3*100))</f>
        <v>0.70943753581982305</v>
      </c>
      <c r="K3" s="3" cm="1">
        <f t="array" ref="K3">_xll.FDS(D3,"FMA_EVAL_EBITDA(NTMA,0,,,""PORTAGG"",""MEANR"")")</f>
        <v>11.788703972061599</v>
      </c>
      <c r="L3" cm="1">
        <f t="array" ref="L3">_xll.FDS(D3,"FMA_EVAL_EBIT(LTMA,NOW,NOW,M,""PORTAGG"",""MEANR"")")</f>
        <v>19.693235601598801</v>
      </c>
      <c r="M3">
        <f>HLOOKUP(D3,'[1]Index ROE'!$A$1:$N$25,25,FALSE)</f>
        <v>6.5791075391831502</v>
      </c>
      <c r="N3">
        <f>VLOOKUP(A3,'[1]LIQIDITY 2'!$A$3:$E$16,5,FALSE)</f>
        <v>4.6825999999999999</v>
      </c>
      <c r="O3" cm="1">
        <f t="array" ref="O3">IFERROR(_xll.FDS(B3,"FDS_ECON_RCPI_Q(0)"),$D$23)</f>
        <v>4.6770573000000004</v>
      </c>
      <c r="P3">
        <f>VLOOKUP(E3,[1]GDP_GROWTH!$B$10:$W$165,22,FALSE)</f>
        <v>2.7196134550164452</v>
      </c>
      <c r="Q3">
        <f t="shared" ref="Q3:Q15" si="0">I3-N3</f>
        <v>-1.71432240374416</v>
      </c>
      <c r="R3" s="63">
        <f t="shared" ref="R3:R15" si="1">J3-N3</f>
        <v>-3.9731624641801768</v>
      </c>
      <c r="S3">
        <f t="shared" ref="S3:S15" si="2">M3-N3</f>
        <v>1.8965075391831503</v>
      </c>
      <c r="T3">
        <f t="shared" ref="T3:T15" si="3">M3-O3</f>
        <v>1.9020502391831497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U3*[1]Assumption!$E$39 + V3*[1]Assumption!$F$39 + X3*[1]Assumption!$G$39 + Y3*[1]Assumption!$H$39 + W3*[1]Assumption!$I$39 +Z3* [1]Assumption!$K$39 + AA3* [1]Assumption!$J$39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">
      <c r="A4" t="s">
        <v>11</v>
      </c>
      <c r="B4" t="s">
        <v>40</v>
      </c>
      <c r="C4" t="str" cm="1">
        <f t="array" ref="C4">_xll.FDS(A4,"FG_COMPANY_NAME")</f>
        <v>iShares MSCI Australia ETF</v>
      </c>
      <c r="D4" t="s">
        <v>11</v>
      </c>
      <c r="E4" t="s">
        <v>74</v>
      </c>
      <c r="F4" s="2" cm="1">
        <f t="array" ref="F4">_xll.FDS(D4,"JULIAN(FMA_DIV_YLD(NTMA,NOW,NOW,M,""PORTAGG"",""MEANR"").dates)")</f>
        <v>45289</v>
      </c>
      <c r="G4" s="4" cm="1">
        <f t="array" ref="G4">_xll.FDS(D4,"FG_PE(0)")</f>
        <v>15.736782777215501</v>
      </c>
      <c r="H4" s="4" cm="1">
        <f t="array" ref="H4">_xll.FDS(D4,"FG_PE_NTM(0,,,90,0)")</f>
        <v>16.2030061557534</v>
      </c>
      <c r="I4" cm="1">
        <f t="array" ref="I4">_xll.FDS(D4,"FMA_DIV_YLD(NTMA,NOW,NOW,M,""PORTAGG"",""MEANR"")")</f>
        <v>3.97495871443751</v>
      </c>
      <c r="J4" s="63" cm="1">
        <f t="array" ref="J4">IFERROR(_xll.FDS(D4,"FG_FCF_YIELD_NTM(0)"),(1/G4*100))</f>
        <v>4.6689383912991396</v>
      </c>
      <c r="K4" s="3" cm="1">
        <f t="array" ref="K4">_xll.FDS(D4,"FMA_EVAL_EBITDA(NTMA,0,,,""PORTAGG"",""MEANR"")")</f>
        <v>8.4966858579408004</v>
      </c>
      <c r="L4" cm="1">
        <f t="array" ref="L4">_xll.FDS(D4,"FMA_EVAL_EBIT(LTMA,NOW,NOW,M,""PORTAGG"",""MEANR"")")</f>
        <v>12.606183410052701</v>
      </c>
      <c r="M4">
        <f>HLOOKUP(D4,'[1]Index ROE'!$A$1:$N$25,25,FALSE)</f>
        <v>13.2282302133121</v>
      </c>
      <c r="N4">
        <f>VLOOKUP(A4,'[1]LIQIDITY 2'!$A$3:$E$16,5,FALSE)</f>
        <v>4.2389999999999999</v>
      </c>
      <c r="O4" cm="1">
        <f t="array" ref="O4">IFERROR(_xll.FDS(B4,"FDS_ECON_RCPI_Q(0)"),$D$23)</f>
        <v>3</v>
      </c>
      <c r="P4">
        <f>VLOOKUP(E4,[1]GDP_GROWTH!$B$10:$W$165,22,FALSE)</f>
        <v>2.0879441195558623</v>
      </c>
      <c r="Q4">
        <f t="shared" si="0"/>
        <v>-0.26404128556248985</v>
      </c>
      <c r="R4" s="63">
        <f t="shared" si="1"/>
        <v>0.42993839129913969</v>
      </c>
      <c r="S4">
        <f t="shared" si="2"/>
        <v>8.9892302133121014</v>
      </c>
      <c r="T4">
        <f t="shared" si="3"/>
        <v>10.2282302133121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57.2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50</v>
      </c>
      <c r="AA4" cm="1">
        <f t="array" ref="AA4">_xlfn.PERCENTRANK.EXC(_xlfn._xlws.FILTER(P$3:P$15, ISNUMBER(P$3:P$15)),P4)*100</f>
        <v>85.7</v>
      </c>
      <c r="AB4">
        <f>U4*[1]Assumption!$E$39 + V4*[1]Assumption!$F$39 + X4*[1]Assumption!$G$39 + Y4*[1]Assumption!$H$39 + W4*[1]Assumption!$I$39 +Z4* [1]Assumption!$K$39 + AA4* [1]Assumption!$J$39</f>
        <v>38.94</v>
      </c>
      <c r="AC4" cm="1">
        <f t="array" ref="AC4">_xlfn.PERCENTRANK.EXC(_xlfn._xlws.FILTER(AB$3:AB$15, ISNUMBER(AB$3:AB$15)),AB4)*100</f>
        <v>28.499999999999996</v>
      </c>
    </row>
    <row r="5" spans="1:29" x14ac:dyDescent="0.3">
      <c r="A5" t="s">
        <v>14</v>
      </c>
      <c r="B5" t="s">
        <v>36</v>
      </c>
      <c r="C5" t="str" cm="1">
        <f t="array" ref="C5">_xll.FDS(A5,"FG_COMPANY_NAME")</f>
        <v>iShares MSCI Canada ETF</v>
      </c>
      <c r="D5" t="s">
        <v>14</v>
      </c>
      <c r="E5" t="s">
        <v>75</v>
      </c>
      <c r="F5" s="2" cm="1">
        <f t="array" ref="F5">_xll.FDS(D5,"JULIAN(FMA_DIV_YLD(NTMA,NOW,NOW,M,""PORTAGG"",""MEANR"").dates)")</f>
        <v>45289</v>
      </c>
      <c r="G5" s="4" cm="1">
        <f t="array" ref="G5">_xll.FDS(D5,"FG_PE(0)")</f>
        <v>16.028204050571901</v>
      </c>
      <c r="H5" s="4" cm="1">
        <f t="array" ref="H5">_xll.FDS(D5,"FG_PE_NTM(0,,,90,0)")</f>
        <v>13.869255920214499</v>
      </c>
      <c r="I5" cm="1">
        <f t="array" ref="I5">_xll.FDS(D5,"FMA_DIV_YLD(NTMA,NOW,NOW,M,""PORTAGG"",""MEANR"")")</f>
        <v>3.3583955645561998</v>
      </c>
      <c r="J5" s="63" cm="1">
        <f t="array" ref="J5">IFERROR(_xll.FDS(D5,"FG_FCF_YIELD_NTM(0)"),(1/G5*100))</f>
        <v>5.0035122935885799</v>
      </c>
      <c r="K5" s="3" cm="1">
        <f t="array" ref="K5">_xll.FDS(D5,"FMA_EVAL_EBITDA(NTMA,0,,,""PORTAGG"",""MEANR"")")</f>
        <v>9.4881446263770695</v>
      </c>
      <c r="L5" cm="1">
        <f t="array" ref="L5">_xll.FDS(D5,"FMA_EVAL_EBIT(LTMA,NOW,NOW,M,""PORTAGG"",""MEANR"")")</f>
        <v>15.5816071516116</v>
      </c>
      <c r="M5">
        <f>HLOOKUP(D5,'[1]Index ROE'!$A$1:$N$25,25,FALSE)</f>
        <v>13.143831982753101</v>
      </c>
      <c r="N5">
        <f>VLOOKUP(A5,'[1]LIQIDITY 2'!$A$3:$E$16,5,FALSE)</f>
        <v>3.5358000000000001</v>
      </c>
      <c r="O5" cm="1">
        <f t="array" ref="O5">IFERROR(_xll.FDS(B5,"FDS_ECON_RCPI_Q(0)"),$D$23)</f>
        <v>3.1790657000000002</v>
      </c>
      <c r="P5">
        <f>VLOOKUP(E5,[1]GDP_GROWTH!$B$10:$W$165,22,FALSE)</f>
        <v>1.4598842535213041</v>
      </c>
      <c r="Q5">
        <f t="shared" si="0"/>
        <v>-0.17740443544380025</v>
      </c>
      <c r="R5" s="63">
        <f t="shared" si="1"/>
        <v>1.4677122935885798</v>
      </c>
      <c r="S5">
        <f t="shared" si="2"/>
        <v>9.6080319827531007</v>
      </c>
      <c r="T5">
        <f t="shared" si="3"/>
        <v>9.9647662827531001</v>
      </c>
      <c r="U5" cm="1">
        <f t="array" ref="U5">_xlfn.PERCENTRANK.EXC(_xlfn._xlws.FILTER(Q$3:Q$15, ISNUMBER(Q$3:Q$15)),Q5)*100</f>
        <v>35.699999999999996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35.699999999999996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U5*[1]Assumption!$E$39 + V5*[1]Assumption!$F$39 + X5*[1]Assumption!$G$39 + Y5*[1]Assumption!$H$39 + W5*[1]Assumption!$I$39 +Z5* [1]Assumption!$K$39 + AA5* [1]Assumption!$J$39</f>
        <v>48.910000000000004</v>
      </c>
      <c r="AC5" cm="1">
        <f t="array" ref="AC5">_xlfn.PERCENTRANK.EXC(_xlfn._xlws.FILTER(AB$3:AB$15, ISNUMBER(AB$3:AB$15)),AB5)*100</f>
        <v>42.8</v>
      </c>
    </row>
    <row r="6" spans="1:29" x14ac:dyDescent="0.3">
      <c r="A6" t="s">
        <v>6</v>
      </c>
      <c r="B6" t="s">
        <v>73</v>
      </c>
      <c r="C6" t="str" cm="1">
        <f t="array" ref="C6">_xll.FDS(A6,"FG_COMPANY_NAME")</f>
        <v>iShares MSCI Germany ETF</v>
      </c>
      <c r="D6" t="s">
        <v>6</v>
      </c>
      <c r="E6" t="s">
        <v>78</v>
      </c>
      <c r="F6" s="2" cm="1">
        <f t="array" ref="F6">_xll.FDS(D6,"JULIAN(FMA_DIV_YLD(NTMA,NOW,NOW,M,""PORTAGG"",""MEANR"").dates)")</f>
        <v>45289</v>
      </c>
      <c r="G6" s="4" cm="1">
        <f t="array" ref="G6">_xll.FDS(D6,"FG_PE(0)")</f>
        <v>10.908212312323901</v>
      </c>
      <c r="H6" s="4" cm="1">
        <f t="array" ref="H6">_xll.FDS(D6,"FG_PE_NTM(0,,,90,0)")</f>
        <v>11.376614589609</v>
      </c>
      <c r="I6" cm="1">
        <f t="array" ref="I6">_xll.FDS(D6,"FMA_DIV_YLD(NTMA,NOW,NOW,M,""PORTAGG"",""MEANR"")")</f>
        <v>3.5517811046924699</v>
      </c>
      <c r="J6" s="63" cm="1">
        <f t="array" ref="J6">IFERROR(_xll.FDS(D6,"FG_FCF_YIELD_NTM(0)"),(1/G6*100))</f>
        <v>6.6176033061041304</v>
      </c>
      <c r="K6" s="3" cm="1">
        <f t="array" ref="K6">_xll.FDS(D6,"FMA_EVAL_EBITDA(NTMA,0,,,""PORTAGG"",""MEANR"")")</f>
        <v>8.2973474184212392</v>
      </c>
      <c r="L6" cm="1">
        <f t="array" ref="L6">_xll.FDS(D6,"FMA_EVAL_EBIT(LTMA,NOW,NOW,M,""PORTAGG"",""MEANR"")")</f>
        <v>12.8807983948073</v>
      </c>
      <c r="M6">
        <f>HLOOKUP(D6,'[1]Index ROE'!$A$1:$N$25,25,FALSE)</f>
        <v>11.933166723455001</v>
      </c>
      <c r="N6">
        <f>VLOOKUP(A6,'[1]LIQIDITY 2'!$A$3:$E$16,5,FALSE)</f>
        <v>2.3090000000000002</v>
      </c>
      <c r="O6" cm="1">
        <f t="array" ref="O6">IFERROR(_xll.FDS(B6,"FDS_ECON_RCPI_Q(0)"),$D$23)</f>
        <v>3.5504693999999999</v>
      </c>
      <c r="P6">
        <f>VLOOKUP(E6,[1]GDP_GROWTH!$B$10:$W$165,22,FALSE)</f>
        <v>0.863192929992318</v>
      </c>
      <c r="Q6">
        <f t="shared" si="0"/>
        <v>1.2427811046924697</v>
      </c>
      <c r="R6" s="63">
        <f t="shared" si="1"/>
        <v>4.3086033061041302</v>
      </c>
      <c r="S6">
        <f t="shared" si="2"/>
        <v>9.6241667234550015</v>
      </c>
      <c r="T6">
        <f t="shared" si="3"/>
        <v>8.3826973234550017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92.800000000000011</v>
      </c>
      <c r="W6" cm="1">
        <f t="array" ref="W6">_xlfn.PERCENTRANK.EXC(_xlfn._xlws.FILTER(S$3:S$15, ISNUMBER(S$3:S$15)),S6)*100</f>
        <v>42.8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U6*[1]Assumption!$E$39 + V6*[1]Assumption!$F$39 + X6*[1]Assumption!$G$39 + Y6*[1]Assumption!$H$39 + W6*[1]Assumption!$I$39 +Z6* [1]Assumption!$K$39 + AA6* [1]Assumption!$J$39</f>
        <v>72.490000000000009</v>
      </c>
      <c r="AC6" cm="1">
        <f t="array" ref="AC6">_xlfn.PERCENTRANK.EXC(_xlfn._xlws.FILTER(AB$3:AB$15, ISNUMBER(AB$3:AB$15)),AB6)*100</f>
        <v>85.7</v>
      </c>
    </row>
    <row r="7" spans="1:29" x14ac:dyDescent="0.3">
      <c r="A7" t="s">
        <v>12</v>
      </c>
      <c r="B7" t="s">
        <v>37</v>
      </c>
      <c r="C7" t="str" cm="1">
        <f t="array" ref="C7">_xll.FDS(A7,"FG_COMPANY_NAME")</f>
        <v>iShares MSCI Japan ETF</v>
      </c>
      <c r="D7" t="s">
        <v>12</v>
      </c>
      <c r="E7" t="s">
        <v>80</v>
      </c>
      <c r="F7" s="2" cm="1">
        <f t="array" ref="F7">_xll.FDS(D7,"JULIAN(FMA_DIV_YLD(NTMA,NOW,NOW,M,""PORTAGG"",""MEANR"").dates)")</f>
        <v>45289</v>
      </c>
      <c r="G7" s="4" cm="1">
        <f t="array" ref="G7">_xll.FDS(D7,"FG_PE(0)")</f>
        <v>16.077402956603201</v>
      </c>
      <c r="H7" s="4" cm="1">
        <f t="array" ref="H7">_xll.FDS(D7,"FG_PE_NTM(0,,,90,0)")</f>
        <v>14.9785403352315</v>
      </c>
      <c r="I7" cm="1">
        <f t="array" ref="I7">_xll.FDS(D7,"FMA_DIV_YLD(NTMA,NOW,NOW,M,""PORTAGG"",""MEANR"")")</f>
        <v>2.4280108133002498</v>
      </c>
      <c r="J7" s="63" cm="1">
        <f t="array" ref="J7">IFERROR(_xll.FDS(D7,"FG_FCF_YIELD_NTM(0)"),(1/G7*100))</f>
        <v>4.2824476356555099</v>
      </c>
      <c r="K7" s="3" cm="1">
        <f t="array" ref="K7">_xll.FDS(D7,"FMA_EVAL_EBITDA(NTMA,0,,,""PORTAGG"",""MEANR"")")</f>
        <v>10.2151940361331</v>
      </c>
      <c r="L7" cm="1">
        <f t="array" ref="L7">_xll.FDS(D7,"FMA_EVAL_EBIT(LTMA,NOW,NOW,M,""PORTAGG"",""MEANR"")")</f>
        <v>16.337711117043899</v>
      </c>
      <c r="M7">
        <f>HLOOKUP(D7,'[1]Index ROE'!$A$1:$N$25,25,FALSE)</f>
        <v>9.2978000426810592</v>
      </c>
      <c r="N7">
        <f>VLOOKUP(A7,'[1]LIQIDITY 2'!$A$3:$E$16,5,FALSE)</f>
        <v>0.71050000000000002</v>
      </c>
      <c r="O7" cm="1">
        <f t="array" ref="O7">IFERROR(_xll.FDS(B7,"FDS_ECON_RCPI_Q(0)"),$D$23)</f>
        <v>2.9194740000000001</v>
      </c>
      <c r="P7">
        <f>VLOOKUP(E7,[1]GDP_GROWTH!$B$10:$W$165,22,FALSE)</f>
        <v>0.31456851442112077</v>
      </c>
      <c r="Q7">
        <f t="shared" si="0"/>
        <v>1.7175108133002497</v>
      </c>
      <c r="R7" s="63">
        <f t="shared" si="1"/>
        <v>3.5719476356555098</v>
      </c>
      <c r="S7">
        <f t="shared" si="2"/>
        <v>8.5873000426810595</v>
      </c>
      <c r="T7">
        <f t="shared" si="3"/>
        <v>6.3783260426810591</v>
      </c>
      <c r="U7" cm="1">
        <f t="array" ref="U7">_xlfn.PERCENTRANK.EXC(_xlfn._xlws.FILTER(Q$3:Q$15, ISNUMBER(Q$3:Q$15)),Q7)*100</f>
        <v>85.7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42.900000000000006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U7*[1]Assumption!$E$39 + V7*[1]Assumption!$F$39 + X7*[1]Assumption!$G$39 + Y7*[1]Assumption!$H$39 + W7*[1]Assumption!$I$39 +Z7* [1]Assumption!$K$39 + AA7* [1]Assumption!$J$39</f>
        <v>51.775000000000006</v>
      </c>
      <c r="AC7" cm="1">
        <f t="array" ref="AC7">_xlfn.PERCENTRANK.EXC(_xlfn._xlws.FILTER(AB$3:AB$15, ISNUMBER(AB$3:AB$15)),AB7)*100</f>
        <v>50</v>
      </c>
    </row>
    <row r="8" spans="1:29" x14ac:dyDescent="0.3">
      <c r="A8" t="s">
        <v>10</v>
      </c>
      <c r="B8" t="s">
        <v>44</v>
      </c>
      <c r="C8" t="str" cm="1">
        <f t="array" ref="C8">_xll.FDS(A8,"FG_COMPANY_NAME")</f>
        <v>iShares MSCI Switzerland ETF</v>
      </c>
      <c r="D8" t="s">
        <v>10</v>
      </c>
      <c r="E8" t="s">
        <v>84</v>
      </c>
      <c r="F8" s="2" cm="1">
        <f t="array" ref="F8">_xll.FDS(D8,"JULIAN(FMA_DIV_YLD(NTMA,NOW,NOW,M,""PORTAGG"",""MEANR"").dates)")</f>
        <v>45289</v>
      </c>
      <c r="G8" s="4" cm="1">
        <f t="array" ref="G8">_xll.FDS(D8,"FG_PE(0)")</f>
        <v>16.099233858005299</v>
      </c>
      <c r="H8" s="4" cm="1">
        <f t="array" ref="H8">_xll.FDS(D8,"FG_PE_NTM(0,,,90,0)")</f>
        <v>16.927920563402498</v>
      </c>
      <c r="I8" cm="1">
        <f t="array" ref="I8">_xll.FDS(D8,"FMA_DIV_YLD(NTMA,NOW,NOW,M,""PORTAGG"",""MEANR"")")</f>
        <v>3.2708203849849</v>
      </c>
      <c r="J8" s="63" cm="1">
        <f t="array" ref="J8">IFERROR(_xll.FDS(D8,"FG_FCF_YIELD_NTM(0)"),(1/G8*100))</f>
        <v>5.1068135459467703</v>
      </c>
      <c r="K8" s="3" cm="1">
        <f t="array" ref="K8">_xll.FDS(D8,"FMA_EVAL_EBITDA(NTMA,0,,,""PORTAGG"",""MEANR"")")</f>
        <v>12.848255251052899</v>
      </c>
      <c r="L8" cm="1">
        <f t="array" ref="L8">_xll.FDS(D8,"FMA_EVAL_EBIT(LTMA,NOW,NOW,M,""PORTAGG"",""MEANR"")")</f>
        <v>16.426554632938402</v>
      </c>
      <c r="M8">
        <f>HLOOKUP(D8,'[1]Index ROE'!$A$1:$N$25,25,FALSE)</f>
        <v>19.2850533603957</v>
      </c>
      <c r="N8">
        <f>VLOOKUP(A8,'[1]LIQIDITY 2'!$A$3:$E$16,5,FALSE)</f>
        <v>0.89900000000000002</v>
      </c>
      <c r="O8" cm="1">
        <f t="array" ref="O8">IFERROR(_xll.FDS(B8,"FDS_ECON_RCPI_Q(0)"),$D$23)</f>
        <v>1.6172597</v>
      </c>
      <c r="P8">
        <f>VLOOKUP(E8,[1]GDP_GROWTH!$B$10:$W$165,22,FALSE)</f>
        <v>2.077185911672963</v>
      </c>
      <c r="Q8">
        <f t="shared" si="0"/>
        <v>2.3718203849849</v>
      </c>
      <c r="R8" s="63">
        <f t="shared" si="1"/>
        <v>4.2078135459467703</v>
      </c>
      <c r="S8">
        <f t="shared" si="2"/>
        <v>18.386053360395699</v>
      </c>
      <c r="T8">
        <f t="shared" si="3"/>
        <v>17.667793660395702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85.7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35.799999999999997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U8*[1]Assumption!$E$39 + V8*[1]Assumption!$F$39 + X8*[1]Assumption!$G$39 + Y8*[1]Assumption!$H$39 + W8*[1]Assumption!$I$39 +Z8* [1]Assumption!$K$39 + AA8* [1]Assumption!$J$39</f>
        <v>59.305</v>
      </c>
      <c r="AC8" cm="1">
        <f t="array" ref="AC8">_xlfn.PERCENTRANK.EXC(_xlfn._xlws.FILTER(AB$3:AB$15, ISNUMBER(AB$3:AB$15)),AB8)*100</f>
        <v>57.099999999999994</v>
      </c>
    </row>
    <row r="9" spans="1:29" x14ac:dyDescent="0.3">
      <c r="A9" t="s">
        <v>13</v>
      </c>
      <c r="B9" t="s">
        <v>38</v>
      </c>
      <c r="C9" t="str" cm="1">
        <f t="array" ref="C9">_xll.FDS(A9,"FG_COMPANY_NAME")</f>
        <v>iShares MSCI United Kingdom ETF</v>
      </c>
      <c r="D9" t="s">
        <v>13</v>
      </c>
      <c r="E9" t="s">
        <v>85</v>
      </c>
      <c r="F9" s="2" cm="1">
        <f t="array" ref="F9">_xll.FDS(D9,"JULIAN(FMA_DIV_YLD(NTMA,NOW,NOW,M,""PORTAGG"",""MEANR"").dates)")</f>
        <v>45289</v>
      </c>
      <c r="G9" s="4" cm="1">
        <f t="array" ref="G9">_xll.FDS(D9,"FG_PE(0)")</f>
        <v>9.1020781088625302</v>
      </c>
      <c r="H9" s="4" cm="1">
        <f t="array" ref="H9">_xll.FDS(D9,"FG_PE_NTM(0,,,90,0)")</f>
        <v>10.9394173959578</v>
      </c>
      <c r="I9" cm="1">
        <f t="array" ref="I9">_xll.FDS(D9,"FMA_DIV_YLD(NTMA,NOW,NOW,M,""PORTAGG"",""MEANR"")")</f>
        <v>4.2701919402305402</v>
      </c>
      <c r="J9" s="63" cm="1">
        <f t="array" ref="J9">IFERROR(_xll.FDS(D9,"FG_FCF_YIELD_NTM(0)"),(1/G9*100))</f>
        <v>6.90536780825507</v>
      </c>
      <c r="K9" s="3" cm="1">
        <f t="array" ref="K9">_xll.FDS(D9,"FMA_EVAL_EBITDA(NTMA,0,,,""PORTAGG"",""MEANR"")")</f>
        <v>7.1984352079262504</v>
      </c>
      <c r="L9" cm="1">
        <f t="array" ref="L9">_xll.FDS(D9,"FMA_EVAL_EBIT(LTMA,NOW,NOW,M,""PORTAGG"",""MEANR"")")</f>
        <v>10.1502607373552</v>
      </c>
      <c r="M9">
        <f>HLOOKUP(D9,'[1]Index ROE'!$A$1:$N$25,25,FALSE)</f>
        <v>14.7571642289371</v>
      </c>
      <c r="N9">
        <f>VLOOKUP(A9,'[1]LIQIDITY 2'!$A$3:$E$16,5,FALSE)</f>
        <v>3.988</v>
      </c>
      <c r="O9" cm="1">
        <f t="array" ref="O9">IFERROR(_xll.FDS(B9,"FDS_ECON_RCPI_Q(0)"),$D$23)</f>
        <v>4.1831098000000004</v>
      </c>
      <c r="P9">
        <f>VLOOKUP(E9,[1]GDP_GROWTH!$B$10:$W$165,22,FALSE)</f>
        <v>1.0976426250664972</v>
      </c>
      <c r="Q9">
        <f t="shared" si="0"/>
        <v>0.28219194023054017</v>
      </c>
      <c r="R9" s="63">
        <f t="shared" si="1"/>
        <v>2.91736780825507</v>
      </c>
      <c r="S9">
        <f t="shared" si="2"/>
        <v>10.7691642289371</v>
      </c>
      <c r="T9">
        <f t="shared" si="3"/>
        <v>10.574054428937099</v>
      </c>
      <c r="U9" cm="1">
        <f t="array" ref="U9">_xlfn.PERCENTRANK.EXC(_xlfn._xlws.FILTER(Q$3:Q$15, ISNUMBER(Q$3:Q$15)),Q9)*100</f>
        <v>50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92.9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U9*[1]Assumption!$E$39 + V9*[1]Assumption!$F$39 + X9*[1]Assumption!$G$39 + Y9*[1]Assumption!$H$39 + W9*[1]Assumption!$I$39 +Z9* [1]Assumption!$K$39 + AA9* [1]Assumption!$J$39</f>
        <v>71.804999999999993</v>
      </c>
      <c r="AC9" cm="1">
        <f t="array" ref="AC9">_xlfn.PERCENTRANK.EXC(_xlfn._xlws.FILTER(AB$3:AB$15, ISNUMBER(AB$3:AB$15)),AB9)*100</f>
        <v>78.5</v>
      </c>
    </row>
    <row r="10" spans="1:29" x14ac:dyDescent="0.3">
      <c r="A10" t="s">
        <v>15</v>
      </c>
      <c r="B10" t="s">
        <v>39</v>
      </c>
      <c r="C10" t="str" cm="1">
        <f t="array" ref="C10">_xll.FDS(A10,"FG_COMPANY_NAME")</f>
        <v>Invesco QQQ Trust Series I</v>
      </c>
      <c r="D10" t="s">
        <v>15</v>
      </c>
      <c r="E10" t="s">
        <v>86</v>
      </c>
      <c r="F10" s="2" cm="1">
        <f t="array" ref="F10">_xll.FDS(D10,"JULIAN(FMA_DIV_YLD(NTMA,NOW,NOW,M,""PORTAGG"",""MEANR"").dates)")</f>
        <v>45289</v>
      </c>
      <c r="G10" s="4" cm="1">
        <f t="array" ref="G10">_xll.FDS(D10,"FG_PE(0)")</f>
        <v>32.0736111365784</v>
      </c>
      <c r="H10" s="4" cm="1">
        <f t="array" ref="H10">_xll.FDS(D10,"FG_PE_NTM(0,,,90,0)")</f>
        <v>25.921920424876699</v>
      </c>
      <c r="I10" cm="1">
        <f t="array" ref="I10">_xll.FDS(D10,"FMA_DIV_YLD(NTMA,NOW,NOW,M,""PORTAGG"",""MEANR"")")</f>
        <v>0.919259242114565</v>
      </c>
      <c r="J10" s="63" cm="1">
        <f t="array" ref="J10">IFERROR(_xll.FDS(D10,"FG_FCF_YIELD_NTM(0)"),(1/G10*100))</f>
        <v>3.75823424899</v>
      </c>
      <c r="K10" s="3" cm="1">
        <f t="array" ref="K10">_xll.FDS(D10,"FMA_EVAL_EBITDA(NTMA,0,,,""PORTAGG"",""MEANR"")")</f>
        <v>16.050851506833801</v>
      </c>
      <c r="L10" cm="1">
        <f t="array" ref="L10">_xll.FDS(D10,"FMA_EVAL_EBIT(LTMA,NOW,NOW,M,""PORTAGG"",""MEANR"")")</f>
        <v>23.958823438883002</v>
      </c>
      <c r="M10">
        <f>HLOOKUP(D10,'[1]Index ROE'!$A$1:$N$25,25,FALSE)</f>
        <v>25.292825542801602</v>
      </c>
      <c r="N10">
        <f>VLOOKUP(A10,'[1]LIQIDITY 2'!$A$3:$E$16,5,FALSE)</f>
        <v>4.1470000000000002</v>
      </c>
      <c r="O10" cm="1">
        <f t="array" ref="O10">IFERROR(_xll.FDS(B10,"FDS_ECON_RCPI_Q(0)"),$D$23)</f>
        <v>3.2170393000000002</v>
      </c>
      <c r="P10">
        <f>VLOOKUP(E10,[1]GDP_GROWTH!$B$10:$W$165,22,FALSE)</f>
        <v>2.0868572594445189</v>
      </c>
      <c r="Q10">
        <f t="shared" si="0"/>
        <v>-3.2277407578854351</v>
      </c>
      <c r="R10" s="63">
        <f t="shared" si="1"/>
        <v>-0.38876575101000022</v>
      </c>
      <c r="S10">
        <f t="shared" si="2"/>
        <v>21.145825542801603</v>
      </c>
      <c r="T10">
        <f t="shared" si="3"/>
        <v>22.075786242801602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U10*[1]Assumption!$E$39 + V10*[1]Assumption!$F$39 + X10*[1]Assumption!$G$39 + Y10*[1]Assumption!$H$39 + W10*[1]Assumption!$I$39 +Z10* [1]Assumption!$K$39 + AA10* [1]Assumption!$J$39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">
      <c r="A11" t="s">
        <v>1</v>
      </c>
      <c r="B11" t="s">
        <v>39</v>
      </c>
      <c r="C11" t="str" cm="1">
        <f t="array" ref="C11">_xll.FDS(A11,"FG_COMPANY_NAME")</f>
        <v>SPDR S&amp;P 500 ETF Trust</v>
      </c>
      <c r="D11" t="s">
        <v>1</v>
      </c>
      <c r="E11" t="s">
        <v>86</v>
      </c>
      <c r="F11" s="2" cm="1">
        <f t="array" ref="F11">_xll.FDS(D11,"JULIAN(FMA_DIV_YLD(NTMA,NOW,NOW,M,""PORTAGG"",""MEANR"").dates)")</f>
        <v>45289</v>
      </c>
      <c r="G11" s="4" cm="1">
        <f t="array" ref="G11">_xll.FDS(D11,"FG_PE(0)")</f>
        <v>23.4351377332159</v>
      </c>
      <c r="H11" s="4" cm="1">
        <f t="array" ref="H11">_xll.FDS(D11,"FG_PE_NTM(0,,,90,0)")</f>
        <v>20.0175381310146</v>
      </c>
      <c r="I11" cm="1">
        <f t="array" ref="I11">_xll.FDS(D11,"FMA_DIV_YLD(NTMA,NOW,NOW,M,""PORTAGG"",""MEANR"")")</f>
        <v>1.5429749636880199</v>
      </c>
      <c r="J11" s="63" cm="1">
        <f t="array" ref="J11">IFERROR(_xll.FDS(D11,"FG_FCF_YIELD_NTM(0)"),(1/G11*100))</f>
        <v>4.3836671671986798</v>
      </c>
      <c r="K11" s="3" cm="1">
        <f t="array" ref="K11">_xll.FDS(D11,"FMA_EVAL_EBITDA(NTMA,0,,,""PORTAGG"",""MEANR"")")</f>
        <v>13.715142649143401</v>
      </c>
      <c r="L11" cm="1">
        <f t="array" ref="L11">_xll.FDS(D11,"FMA_EVAL_EBIT(LTMA,NOW,NOW,M,""PORTAGG"",""MEANR"")")</f>
        <v>19.7852749846985</v>
      </c>
      <c r="M11">
        <f>HLOOKUP(D11,'[1]Index ROE'!$A$1:$N$25,25,FALSE)</f>
        <v>20.335837808045401</v>
      </c>
      <c r="N11">
        <f>VLOOKUP(A11,'[1]LIQIDITY 2'!$A$3:$E$16,5,FALSE)</f>
        <v>4.1470000000000002</v>
      </c>
      <c r="O11" cm="1">
        <f t="array" ref="O11">IFERROR(_xll.FDS(B11,"FDS_ECON_RCPI_Q(0)"),$D$23)</f>
        <v>3.2170393000000002</v>
      </c>
      <c r="P11">
        <f>VLOOKUP(E11,[1]GDP_GROWTH!$B$10:$W$165,22,FALSE)</f>
        <v>2.0868572594445189</v>
      </c>
      <c r="Q11">
        <f t="shared" si="0"/>
        <v>-2.6040250363119801</v>
      </c>
      <c r="R11" s="63">
        <f t="shared" si="1"/>
        <v>0.23666716719867953</v>
      </c>
      <c r="S11">
        <f t="shared" si="2"/>
        <v>16.188837808045399</v>
      </c>
      <c r="T11">
        <f t="shared" si="3"/>
        <v>17.118798508045401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U11*[1]Assumption!$E$39 + V11*[1]Assumption!$F$39 + X11*[1]Assumption!$G$39 + Y11*[1]Assumption!$H$39 + W11*[1]Assumption!$I$39 +Z11* [1]Assumption!$K$39 + AA11* [1]Assumption!$J$39</f>
        <v>32.51</v>
      </c>
      <c r="AC11" cm="1">
        <f t="array" ref="AC11">_xlfn.PERCENTRANK.EXC(_xlfn._xlws.FILTER(AB$3:AB$15, ISNUMBER(AB$3:AB$15)),AB11)*100</f>
        <v>21.4</v>
      </c>
    </row>
    <row r="12" spans="1:29" x14ac:dyDescent="0.3">
      <c r="A12" t="s">
        <v>141</v>
      </c>
      <c r="B12" t="s">
        <v>145</v>
      </c>
      <c r="C12" t="str" cm="1">
        <f t="array" ref="C12">_xll.FDS(A12,"FG_COMPANY_NAME")</f>
        <v>iShares MSCI France ETF</v>
      </c>
      <c r="D12" t="s">
        <v>141</v>
      </c>
      <c r="E12" t="s">
        <v>77</v>
      </c>
      <c r="F12" s="2" cm="1">
        <f t="array" ref="F12">_xll.FDS(D12,"JULIAN(FMA_DIV_YLD(NTMA,NOW,NOW,M,""PORTAGG"",""MEANR"").dates)")</f>
        <v>45289</v>
      </c>
      <c r="G12" s="4" cm="1">
        <f t="array" ref="G12">_xll.FDS(D12,"FG_PE(0)")</f>
        <v>14.808549326909</v>
      </c>
      <c r="H12" s="4" cm="1">
        <f t="array" ref="H12">_xll.FDS(D12,"FG_PE_NTM(0,,,90,0)")</f>
        <v>13.3549909617041</v>
      </c>
      <c r="I12" cm="1">
        <f t="array" ref="I12">_xll.FDS(D12,"FMA_DIV_YLD(NTMA,NOW,NOW,M,""PORTAGG"",""MEANR"")")</f>
        <v>3.2304032677291601</v>
      </c>
      <c r="J12" s="63" cm="1">
        <f t="array" ref="J12">IFERROR(_xll.FDS(D12,"FG_FCF_YIELD_NTM(0)"),(1/G12*100))</f>
        <v>6.1516598096320596</v>
      </c>
      <c r="K12" s="3" cm="1">
        <f t="array" ref="K12">_xll.FDS(D12,"FMA_EVAL_EBITDA(NTMA,0,,,""PORTAGG"",""MEANR"")")</f>
        <v>8.8518681364184193</v>
      </c>
      <c r="L12" cm="1">
        <f t="array" ref="L12">_xll.FDS(D12,"FMA_EVAL_EBIT(LTMA,NOW,NOW,M,""PORTAGG"",""MEANR"")")</f>
        <v>12.561324042189501</v>
      </c>
      <c r="M12">
        <f>HLOOKUP(D12,'[1]Index ROE'!$A$1:$N$25,25,FALSE)</f>
        <v>13.2206625586117</v>
      </c>
      <c r="N12">
        <f>VLOOKUP(A12,'[1]LIQIDITY 2'!$A$3:$E$16,5,FALSE)</f>
        <v>2.7959999999999998</v>
      </c>
      <c r="O12" cm="1">
        <f t="array" ref="O12">IFERROR(_xll.FDS(B12,"FDS_ECON_RCPI_Q(0)"),$D$23)</f>
        <v>3.8333430000000002</v>
      </c>
      <c r="P12">
        <f>VLOOKUP(E12,[1]GDP_GROWTH!$B$10:$W$165,22,FALSE)</f>
        <v>0.9426946158151317</v>
      </c>
      <c r="Q12">
        <f t="shared" si="0"/>
        <v>0.43440326772916027</v>
      </c>
      <c r="R12" s="63">
        <f t="shared" si="1"/>
        <v>3.3556598096320598</v>
      </c>
      <c r="S12">
        <f t="shared" si="2"/>
        <v>10.424662558611701</v>
      </c>
      <c r="T12">
        <f t="shared" si="3"/>
        <v>9.3873195586117006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71.399999999999991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28.499999999999996</v>
      </c>
      <c r="AA12" cm="1">
        <f t="array" ref="AA12">_xlfn.PERCENTRANK.EXC(_xlfn._xlws.FILTER(P$3:P$15, ISNUMBER(P$3:P$15)),P12)*100</f>
        <v>28.499999999999996</v>
      </c>
      <c r="AB12">
        <f>U12*[1]Assumption!$E$39 + V12*[1]Assumption!$F$39 + X12*[1]Assumption!$G$39 + Y12*[1]Assumption!$H$39 + W12*[1]Assumption!$I$39 +Z12* [1]Assumption!$K$39 + AA12* [1]Assumption!$J$39</f>
        <v>63.215000000000003</v>
      </c>
      <c r="AC12" cm="1">
        <f t="array" ref="AC12">_xlfn.PERCENTRANK.EXC(_xlfn._xlws.FILTER(AB$3:AB$15, ISNUMBER(AB$3:AB$15)),AB12)*100</f>
        <v>71.399999999999991</v>
      </c>
    </row>
    <row r="13" spans="1:29" x14ac:dyDescent="0.3">
      <c r="A13" t="s">
        <v>143</v>
      </c>
      <c r="B13" t="s">
        <v>146</v>
      </c>
      <c r="C13" t="str" cm="1">
        <f t="array" ref="C13">_xll.FDS(A13,"FG_COMPANY_NAME")</f>
        <v>iShares MSCI Netherlands ETF</v>
      </c>
      <c r="D13" t="s">
        <v>143</v>
      </c>
      <c r="E13" t="s">
        <v>81</v>
      </c>
      <c r="F13" s="2" cm="1">
        <f t="array" ref="F13">_xll.FDS(D13,"JULIAN(FMA_DIV_YLD(NTMA,NOW,NOW,M,""PORTAGG"",""MEANR"").dates)")</f>
        <v>45289</v>
      </c>
      <c r="G13" s="4" cm="1">
        <f t="array" ref="G13">_xll.FDS(D13,"FG_PE(0)")</f>
        <v>18.083729800528399</v>
      </c>
      <c r="H13" s="4" cm="1">
        <f t="array" ref="H13">_xll.FDS(D13,"FG_PE_NTM(0,,,90,0)")</f>
        <v>15.6466461926462</v>
      </c>
      <c r="I13" cm="1">
        <f t="array" ref="I13">_xll.FDS(D13,"FMA_DIV_YLD(NTMA,NOW,NOW,M,""PORTAGG"",""MEANR"")")</f>
        <v>2.6914191345605598</v>
      </c>
      <c r="J13" s="63" cm="1">
        <f t="array" ref="J13">IFERROR(_xll.FDS(D13,"FG_FCF_YIELD_NTM(0)"),(1/G13*100))</f>
        <v>3.94331545175586</v>
      </c>
      <c r="K13" s="3" cm="1">
        <f t="array" ref="K13">_xll.FDS(D13,"FMA_EVAL_EBITDA(NTMA,0,,,""PORTAGG"",""MEANR"")")</f>
        <v>12.976105635500501</v>
      </c>
      <c r="L13" cm="1">
        <f t="array" ref="L13">_xll.FDS(D13,"FMA_EVAL_EBIT(LTMA,NOW,NOW,M,""PORTAGG"",""MEANR"")")</f>
        <v>20.468451909310701</v>
      </c>
      <c r="M13">
        <f>HLOOKUP(D13,'[1]Index ROE'!$A$1:$N$25,25,FALSE)</f>
        <v>12.7454576665132</v>
      </c>
      <c r="N13">
        <f>VLOOKUP(A13,'[1]LIQIDITY 2'!$A$3:$E$16,5,FALSE)</f>
        <v>2.5830000000000002</v>
      </c>
      <c r="O13" cm="1">
        <f t="array" ref="O13">IFERROR(_xll.FDS(B13,"FDS_ECON_RCPI_Q(0)"),$D$23)</f>
        <v>0.8052127</v>
      </c>
      <c r="P13">
        <f>VLOOKUP(E13,[1]GDP_GROWTH!$B$10:$W$165,22,FALSE)</f>
        <v>1.7793785730007783</v>
      </c>
      <c r="Q13">
        <f t="shared" si="0"/>
        <v>0.10841913456055963</v>
      </c>
      <c r="R13" s="63">
        <f t="shared" si="1"/>
        <v>1.3603154517558598</v>
      </c>
      <c r="S13">
        <f t="shared" si="2"/>
        <v>10.1624576665132</v>
      </c>
      <c r="T13">
        <f t="shared" si="3"/>
        <v>11.9402449665132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42.900000000000006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U13*[1]Assumption!$E$39 + V13*[1]Assumption!$F$39 + X13*[1]Assumption!$G$39 + Y13*[1]Assumption!$H$39 + W13*[1]Assumption!$I$39 +Z13* [1]Assumption!$K$39 + AA13* [1]Assumption!$J$39</f>
        <v>40.36</v>
      </c>
      <c r="AC13" cm="1">
        <f t="array" ref="AC13">_xlfn.PERCENTRANK.EXC(_xlfn._xlws.FILTER(AB$3:AB$15, ISNUMBER(AB$3:AB$15)),AB13)*100</f>
        <v>35.699999999999996</v>
      </c>
    </row>
    <row r="14" spans="1:29" x14ac:dyDescent="0.3">
      <c r="A14" t="s">
        <v>140</v>
      </c>
      <c r="B14" t="s">
        <v>43</v>
      </c>
      <c r="C14" t="str" cm="1">
        <f t="array" ref="C14">_xll.FDS(A14,"FG_COMPANY_NAME")</f>
        <v>iShares MSCI Sweden ETF</v>
      </c>
      <c r="D14" t="s">
        <v>140</v>
      </c>
      <c r="E14" t="s">
        <v>83</v>
      </c>
      <c r="F14" s="2" cm="1">
        <f t="array" ref="F14">_xll.FDS(D14,"JULIAN(FMA_DIV_YLD(NTMA,NOW,NOW,M,""PORTAGG"",""MEANR"").dates)")</f>
        <v>45289</v>
      </c>
      <c r="G14" s="4" cm="1">
        <f t="array" ref="G14">_xll.FDS(D14,"FG_PE(0)")</f>
        <v>14.6275687922756</v>
      </c>
      <c r="H14" s="4" cm="1">
        <f t="array" ref="H14">_xll.FDS(D14,"FG_PE_NTM(0,,,90,0)")</f>
        <v>15.4142345169693</v>
      </c>
      <c r="I14" cm="1">
        <f t="array" ref="I14">_xll.FDS(D14,"FMA_DIV_YLD(NTMA,NOW,NOW,M,""PORTAGG"",""MEANR"")")</f>
        <v>2.92358459120593</v>
      </c>
      <c r="J14" s="63" cm="1">
        <f t="array" ref="J14">IFERROR(_xll.FDS(D14,"FG_FCF_YIELD_NTM(0)"),(1/G14*100))</f>
        <v>5.5546422798403103</v>
      </c>
      <c r="K14" s="3" cm="1">
        <f t="array" ref="K14">_xll.FDS(D14,"FMA_EVAL_EBITDA(NTMA,0,,,""PORTAGG"",""MEANR"")")</f>
        <v>10.829282164676</v>
      </c>
      <c r="L14" cm="1">
        <f t="array" ref="L14">_xll.FDS(D14,"FMA_EVAL_EBIT(LTMA,NOW,NOW,M,""PORTAGG"",""MEANR"")")</f>
        <v>15.6388844606912</v>
      </c>
      <c r="M14">
        <f>HLOOKUP(D14,'[1]Index ROE'!$A$1:$N$25,25,FALSE)</f>
        <v>15.368047405644401</v>
      </c>
      <c r="N14">
        <f>VLOOKUP(A14,'[1]LIQIDITY 2'!$A$3:$E$16,5,FALSE)</f>
        <v>2.3029999999999999</v>
      </c>
      <c r="O14" cm="1">
        <f t="array" ref="O14">IFERROR(_xll.FDS(B14,"FDS_ECON_RCPI_Q(0)"),$D$23)</f>
        <v>5.5508465999999999</v>
      </c>
      <c r="P14">
        <f>VLOOKUP(E14,[1]GDP_GROWTH!$B$10:$W$165,22,FALSE)</f>
        <v>1.8182767577278436</v>
      </c>
      <c r="Q14">
        <f t="shared" si="0"/>
        <v>0.62058459120593001</v>
      </c>
      <c r="R14" s="63">
        <f t="shared" si="1"/>
        <v>3.2516422798403104</v>
      </c>
      <c r="S14">
        <f t="shared" si="2"/>
        <v>13.0650474056444</v>
      </c>
      <c r="T14">
        <f t="shared" si="3"/>
        <v>9.8172008056444007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64.2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71.500000000000014</v>
      </c>
      <c r="Y14" cm="1">
        <f t="array" ref="Y14">(1-_xlfn.PERCENTRANK.EXC(_xlfn._xlws.FILTER(H$3:H$15, ISNUMBER(H$3:H$15)),H14))*100</f>
        <v>50</v>
      </c>
      <c r="Z14" cm="1">
        <f t="array" ref="Z14">_xlfn.PERCENTRANK.EXC(_xlfn._xlws.FILTER(T$3:T$15, ISNUMBER(T$3:T$15)),T14)*100</f>
        <v>35.699999999999996</v>
      </c>
      <c r="AA14" cm="1">
        <f t="array" ref="AA14">_xlfn.PERCENTRANK.EXC(_xlfn._xlws.FILTER(P$3:P$15, ISNUMBER(P$3:P$15)),P14)*100</f>
        <v>57.099999999999994</v>
      </c>
      <c r="AB14">
        <f>U14*[1]Assumption!$E$39 + V14*[1]Assumption!$F$39 + X14*[1]Assumption!$G$39 + Y14*[1]Assumption!$H$39 + W14*[1]Assumption!$I$39 +Z14* [1]Assumption!$K$39 + AA14* [1]Assumption!$J$39</f>
        <v>60.345000000000006</v>
      </c>
      <c r="AC14" cm="1">
        <f t="array" ref="AC14">_xlfn.PERCENTRANK.EXC(_xlfn._xlws.FILTER(AB$3:AB$15, ISNUMBER(AB$3:AB$15)),AB14)*100</f>
        <v>64.2</v>
      </c>
    </row>
    <row r="15" spans="1:29" x14ac:dyDescent="0.3">
      <c r="A15" t="s">
        <v>142</v>
      </c>
      <c r="B15" t="s">
        <v>144</v>
      </c>
      <c r="C15" t="str" cm="1">
        <f t="array" ref="C15">_xll.FDS(A15,"FG_COMPANY_NAME")</f>
        <v>iShares MSCI Italy ETF</v>
      </c>
      <c r="D15" t="s">
        <v>142</v>
      </c>
      <c r="E15" t="s">
        <v>79</v>
      </c>
      <c r="F15" s="2" cm="1">
        <f t="array" ref="F15">_xll.FDS(D15,"JULIAN(FMA_DIV_YLD(NTMA,NOW,NOW,M,""PORTAGG"",""MEANR"").dates)")</f>
        <v>45289</v>
      </c>
      <c r="G15" s="4" cm="1">
        <f t="array" ref="G15">_xll.FDS(D15,"FG_PE(0)")</f>
        <v>9.4437330783107996</v>
      </c>
      <c r="H15" s="4" cm="1">
        <f t="array" ref="H15">_xll.FDS(D15,"FG_PE_NTM(0,,,90,0)")</f>
        <v>8.9221876854937001</v>
      </c>
      <c r="I15" cm="1">
        <f t="array" ref="I15">_xll.FDS(D15,"FMA_DIV_YLD(NTMA,NOW,NOW,M,""PORTAGG"",""MEANR"")")</f>
        <v>5.4807228266494503</v>
      </c>
      <c r="J15" s="63" cm="1">
        <f t="array" ref="J15">IFERROR(_xll.FDS(D15,"FG_FCF_YIELD_NTM(0)"),(1/G15*100))</f>
        <v>6.9272967449897198</v>
      </c>
      <c r="K15" s="3" cm="1">
        <f t="array" ref="K15">_xll.FDS(D15,"FMA_EVAL_EBITDA(NTMA,0,,,""PORTAGG"",""MEANR"")")</f>
        <v>7.1213561765708198</v>
      </c>
      <c r="L15" cm="1">
        <f t="array" ref="L15">_xll.FDS(D15,"FMA_EVAL_EBIT(LTMA,NOW,NOW,M,""PORTAGG"",""MEANR"")")</f>
        <v>10.9106453399872</v>
      </c>
      <c r="M15">
        <f>HLOOKUP(D15,'[1]Index ROE'!$A$1:$N$25,25,FALSE)</f>
        <v>13.358439707112201</v>
      </c>
      <c r="N15">
        <f>VLOOKUP(A15,'[1]LIQIDITY 2'!$A$3:$E$16,5,FALSE)</f>
        <v>3.8340000000000001</v>
      </c>
      <c r="O15" cm="1">
        <f t="array" ref="O15">IFERROR(_xll.FDS(B15,"FDS_ECON_RCPI_Q(0)"),$D$23)</f>
        <v>0.98369870000000004</v>
      </c>
      <c r="P15">
        <f>VLOOKUP(E15,[1]GDP_GROWTH!$B$10:$W$165,22,FALSE)</f>
        <v>0.32855305426654491</v>
      </c>
      <c r="Q15">
        <f t="shared" si="0"/>
        <v>1.6467228266494502</v>
      </c>
      <c r="R15" s="63">
        <f t="shared" si="1"/>
        <v>3.0932967449897197</v>
      </c>
      <c r="S15">
        <f t="shared" si="2"/>
        <v>9.5244397071122009</v>
      </c>
      <c r="T15">
        <f t="shared" si="3"/>
        <v>12.374741007112201</v>
      </c>
      <c r="U15" cm="1">
        <f t="array" ref="U15">_xlfn.PERCENTRANK.EXC(_xlfn._xlws.FILTER(Q$3:Q$15, ISNUMBER(Q$3:Q$15)),Q15)*100</f>
        <v>78.5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28.499999999999996</v>
      </c>
      <c r="X15" cm="1">
        <f t="array" ref="X15">(1-_xlfn.PERCENTRANK.EXC(_xlfn._xlws.FILTER(G$3:G$15, ISNUMBER(G$3:G$15)),G15))*100</f>
        <v>85.8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U15*[1]Assumption!$E$39 + V15*[1]Assumption!$F$39 + X15*[1]Assumption!$G$39 + Y15*[1]Assumption!$H$39 + W15*[1]Assumption!$I$39 +Z15* [1]Assumption!$K$39 + AA15* [1]Assumption!$J$39</f>
        <v>72.864999999999995</v>
      </c>
      <c r="AC15" cm="1">
        <f t="array" ref="AC15">_xlfn.PERCENTRANK.EXC(_xlfn._xlws.FILTER(AB$3:AB$15, ISNUMBER(AB$3:AB$15)),AB15)*100</f>
        <v>92.800000000000011</v>
      </c>
    </row>
    <row r="16" spans="1:29" x14ac:dyDescent="0.3">
      <c r="F16" s="2"/>
      <c r="G16" s="4"/>
      <c r="H16" s="4"/>
      <c r="J16" s="63"/>
      <c r="K16" s="3"/>
    </row>
    <row r="17" spans="1:12" x14ac:dyDescent="0.3">
      <c r="F17" s="2"/>
      <c r="G17" s="4"/>
      <c r="H17" s="4"/>
      <c r="J17" s="63"/>
      <c r="K17" s="3"/>
    </row>
    <row r="18" spans="1:12" x14ac:dyDescent="0.3">
      <c r="A18" t="s">
        <v>215</v>
      </c>
      <c r="F18" s="2"/>
      <c r="G18" s="4"/>
      <c r="H18" s="4"/>
      <c r="J18" s="63"/>
      <c r="K18" s="3"/>
    </row>
    <row r="19" spans="1:12" x14ac:dyDescent="0.3">
      <c r="A19" t="s">
        <v>71</v>
      </c>
      <c r="B19" t="s">
        <v>216</v>
      </c>
      <c r="C19" t="s">
        <v>217</v>
      </c>
      <c r="D19" t="str">
        <f>A19</f>
        <v>VGK</v>
      </c>
      <c r="F19" s="2" cm="1">
        <f t="array" ref="F19">_xll.FDS(D19,"JULIAN(FMA_DIV_YLD(NTMA,NOW,NOW,M,""PORTAGG"",""MEANR"").dates)")</f>
        <v>45289</v>
      </c>
      <c r="G19" s="4" cm="1">
        <f t="array" ref="G19">_xll.FDS(D19,"FG_PE(0)")</f>
        <v>12.634106337951801</v>
      </c>
      <c r="H19" s="4" cm="1">
        <f t="array" ref="H19">_xll.FDS(D19,"FG_PE_NTM(0,,,90,0)")</f>
        <v>12.7377246847292</v>
      </c>
      <c r="I19" cm="1">
        <f t="array" ref="I19">_xll.FDS(D19,"FMA_DIV_YLD(NTMA,NOW,NOW,M,""PORTAGG"",""MEANR"")")</f>
        <v>3.6281818017892702</v>
      </c>
      <c r="J19" s="63" cm="1">
        <f t="array" ref="J19">_xll.FDS(D19,"FG_FCF_YIELD_NTM(0)")</f>
        <v>5.7171560400389296</v>
      </c>
      <c r="K19" s="3" cm="1">
        <f t="array" ref="K19">_xll.FDS(D19,"FMA_EVAL_EBITDA(NTMA,0,,,""PORTAGG"",""MEANR"")")</f>
        <v>8.5627841929774604</v>
      </c>
      <c r="L19" cm="1">
        <f t="array" ref="L19">_xll.FDS(D19,"FMA_EVAL_EBIT(LTMA,NOW,NOW,M,""PORTAGG"",""MEANR"")")</f>
        <v>12.8186022713661</v>
      </c>
    </row>
    <row r="20" spans="1:12" x14ac:dyDescent="0.3">
      <c r="A20" t="s">
        <v>4</v>
      </c>
      <c r="C20" t="s">
        <v>218</v>
      </c>
      <c r="D20" t="str">
        <f>A20</f>
        <v>VWO</v>
      </c>
      <c r="F20" s="2" cm="1">
        <f t="array" ref="F20">_xll.FDS(D20,"JULIAN(FMA_DIV_YLD(NTMA,NOW,NOW,M,""PORTAGG"",""MEANR"").dates)")</f>
        <v>45289</v>
      </c>
      <c r="G20" s="4" cm="1">
        <f t="array" ref="G20">_xll.FDS(D20,"FG_PE(0)")</f>
        <v>13.3680205477394</v>
      </c>
      <c r="H20" s="4" cm="1">
        <f t="array" ref="H20">_xll.FDS(D20,"FG_PE_NTM(0,,,90,0)")</f>
        <v>12.132802095070501</v>
      </c>
      <c r="I20" cm="1">
        <f t="array" ref="I20">_xll.FDS(D20,"FMA_DIV_YLD(NTMA,NOW,NOW,M,""PORTAGG"",""MEANR"")")</f>
        <v>3.05692126360062</v>
      </c>
      <c r="J20" s="63" cm="1">
        <f t="array" ref="J20">_xll.FDS(D20,"FG_FCF_YIELD_NTM(0)")</f>
        <v>5.5244672861639703</v>
      </c>
      <c r="K20" s="3" cm="1">
        <f t="array" ref="K20">_xll.FDS(D20,"FMA_EVAL_EBITDA(NTMA,0,,,""PORTAGG"",""MEANR"")")</f>
        <v>8.3349273909790291</v>
      </c>
      <c r="L20" cm="1">
        <f t="array" ref="L20">_xll.FDS(D20,"FMA_EVAL_EBIT(LTMA,NOW,NOW,M,""PORTAGG"",""MEANR"")")</f>
        <v>14.2271227686747</v>
      </c>
    </row>
    <row r="21" spans="1:12" x14ac:dyDescent="0.3">
      <c r="F21" s="2"/>
      <c r="G21" s="4"/>
      <c r="H21" s="4"/>
      <c r="J21" s="63"/>
      <c r="K21" s="3"/>
    </row>
    <row r="22" spans="1:12" x14ac:dyDescent="0.3">
      <c r="B22" t="s">
        <v>219</v>
      </c>
      <c r="C22" t="s">
        <v>72</v>
      </c>
      <c r="D22" t="s">
        <v>220</v>
      </c>
      <c r="F22" s="2"/>
      <c r="G22" s="4"/>
      <c r="H22" s="4"/>
      <c r="J22" s="63"/>
      <c r="K22" s="3"/>
    </row>
    <row r="23" spans="1:12" x14ac:dyDescent="0.3">
      <c r="B23" t="s">
        <v>39</v>
      </c>
      <c r="C23" t="s">
        <v>86</v>
      </c>
      <c r="D23">
        <v>3</v>
      </c>
    </row>
    <row r="28" spans="1:12" x14ac:dyDescent="0.3">
      <c r="E28" t="s">
        <v>185</v>
      </c>
      <c r="F28" t="s">
        <v>186</v>
      </c>
      <c r="G28" t="s">
        <v>187</v>
      </c>
      <c r="H28" t="s">
        <v>188</v>
      </c>
      <c r="J28" t="s">
        <v>189</v>
      </c>
    </row>
    <row r="29" spans="1:12" x14ac:dyDescent="0.3">
      <c r="D29" t="s">
        <v>60</v>
      </c>
      <c r="E29" s="63">
        <f>J3</f>
        <v>0.70943753581982305</v>
      </c>
      <c r="F29" s="64">
        <v>-9.3828148339384354E-3</v>
      </c>
      <c r="G29" s="8">
        <f>E29/100+F29</f>
        <v>-2.2884394757402048E-3</v>
      </c>
      <c r="H29">
        <f>N3</f>
        <v>4.6825999999999999</v>
      </c>
      <c r="J29" s="8">
        <f>G29-H29/100</f>
        <v>-4.9114439475740207E-2</v>
      </c>
    </row>
    <row r="30" spans="1:12" x14ac:dyDescent="0.3">
      <c r="D30" t="s">
        <v>11</v>
      </c>
      <c r="E30" s="63">
        <f t="shared" ref="E30:E41" si="4">J4</f>
        <v>4.6689383912991396</v>
      </c>
      <c r="F30" s="64">
        <v>1.118183823985186E-2</v>
      </c>
      <c r="G30" s="8">
        <f>E30/100+F30</f>
        <v>5.7871222152843259E-2</v>
      </c>
      <c r="H30">
        <f t="shared" ref="H30:H41" si="5">N4</f>
        <v>4.2389999999999999</v>
      </c>
      <c r="J30" s="8">
        <f t="shared" ref="J30:J41" si="6">G30-H30/100</f>
        <v>1.5481222152843262E-2</v>
      </c>
    </row>
    <row r="31" spans="1:12" x14ac:dyDescent="0.3">
      <c r="D31" t="s">
        <v>14</v>
      </c>
      <c r="E31" s="63">
        <f t="shared" si="4"/>
        <v>5.0035122935885799</v>
      </c>
      <c r="F31" s="64">
        <v>4.0913730819901684E-2</v>
      </c>
      <c r="G31" s="8">
        <f t="shared" ref="G31:G41" si="7">E31/100+F31</f>
        <v>9.0948853755787484E-2</v>
      </c>
      <c r="H31">
        <f t="shared" si="5"/>
        <v>3.5358000000000001</v>
      </c>
      <c r="J31" s="8">
        <f t="shared" si="6"/>
        <v>5.5590853755787484E-2</v>
      </c>
    </row>
    <row r="32" spans="1:12" x14ac:dyDescent="0.3">
      <c r="D32" t="s">
        <v>6</v>
      </c>
      <c r="E32" s="63">
        <f t="shared" si="4"/>
        <v>6.6176033061041304</v>
      </c>
      <c r="F32" s="64">
        <v>2.8248150063170385E-2</v>
      </c>
      <c r="G32" s="8">
        <f t="shared" si="7"/>
        <v>9.4424183124211691E-2</v>
      </c>
      <c r="H32">
        <f t="shared" si="5"/>
        <v>2.3090000000000002</v>
      </c>
      <c r="J32" s="8">
        <f t="shared" si="6"/>
        <v>7.1334183124211692E-2</v>
      </c>
    </row>
    <row r="33" spans="4:10" x14ac:dyDescent="0.3">
      <c r="D33" t="s">
        <v>12</v>
      </c>
      <c r="E33" s="63">
        <f t="shared" si="4"/>
        <v>4.2824476356555099</v>
      </c>
      <c r="F33" s="64">
        <v>2.4091746036149608E-2</v>
      </c>
      <c r="G33" s="8">
        <f t="shared" si="7"/>
        <v>6.69162223927047E-2</v>
      </c>
      <c r="H33">
        <f t="shared" si="5"/>
        <v>0.71050000000000002</v>
      </c>
      <c r="J33" s="8">
        <f t="shared" si="6"/>
        <v>5.9811222392704699E-2</v>
      </c>
    </row>
    <row r="34" spans="4:10" x14ac:dyDescent="0.3">
      <c r="D34" t="s">
        <v>10</v>
      </c>
      <c r="E34" s="63">
        <f t="shared" si="4"/>
        <v>5.1068135459467703</v>
      </c>
      <c r="F34" s="64">
        <v>4.6568940112279522E-2</v>
      </c>
      <c r="G34" s="8">
        <f t="shared" si="7"/>
        <v>9.7637075571747223E-2</v>
      </c>
      <c r="H34">
        <f t="shared" si="5"/>
        <v>0.89900000000000002</v>
      </c>
      <c r="J34" s="8">
        <f t="shared" si="6"/>
        <v>8.8647075571747225E-2</v>
      </c>
    </row>
    <row r="35" spans="4:10" x14ac:dyDescent="0.3">
      <c r="D35" t="s">
        <v>13</v>
      </c>
      <c r="E35" s="63">
        <f t="shared" si="4"/>
        <v>6.90536780825507</v>
      </c>
      <c r="F35" s="64">
        <v>3.8222003323122866E-3</v>
      </c>
      <c r="G35" s="8">
        <f t="shared" si="7"/>
        <v>7.2875878414862982E-2</v>
      </c>
      <c r="H35">
        <f t="shared" si="5"/>
        <v>3.988</v>
      </c>
      <c r="J35" s="8">
        <f t="shared" si="6"/>
        <v>3.2995878414862984E-2</v>
      </c>
    </row>
    <row r="36" spans="4:10" x14ac:dyDescent="0.3">
      <c r="D36" t="s">
        <v>15</v>
      </c>
      <c r="E36" s="63">
        <f t="shared" si="4"/>
        <v>3.75823424899</v>
      </c>
      <c r="F36" s="64">
        <v>0.12987102312694576</v>
      </c>
      <c r="G36" s="8">
        <f t="shared" si="7"/>
        <v>0.16745336561684576</v>
      </c>
      <c r="H36">
        <f t="shared" si="5"/>
        <v>4.1470000000000002</v>
      </c>
      <c r="J36" s="8">
        <f t="shared" si="6"/>
        <v>0.12598336561684575</v>
      </c>
    </row>
    <row r="37" spans="4:10" x14ac:dyDescent="0.3">
      <c r="D37" t="s">
        <v>1</v>
      </c>
      <c r="E37" s="63">
        <f t="shared" si="4"/>
        <v>4.3836671671986798</v>
      </c>
      <c r="F37" s="64">
        <v>5.9880207152647857E-2</v>
      </c>
      <c r="G37" s="8">
        <f t="shared" si="7"/>
        <v>0.10371687882463465</v>
      </c>
      <c r="H37">
        <f t="shared" si="5"/>
        <v>4.1470000000000002</v>
      </c>
      <c r="J37" s="8">
        <f t="shared" si="6"/>
        <v>6.2246878824634651E-2</v>
      </c>
    </row>
    <row r="38" spans="4:10" x14ac:dyDescent="0.3">
      <c r="D38" t="s">
        <v>141</v>
      </c>
      <c r="E38" s="63">
        <f t="shared" si="4"/>
        <v>6.1516598096320596</v>
      </c>
      <c r="F38" s="64">
        <v>1.8532039012292278E-2</v>
      </c>
      <c r="G38" s="8">
        <f t="shared" si="7"/>
        <v>8.0048637108612875E-2</v>
      </c>
      <c r="H38">
        <f t="shared" si="5"/>
        <v>2.7959999999999998</v>
      </c>
      <c r="J38" s="8">
        <f t="shared" si="6"/>
        <v>5.2088637108612876E-2</v>
      </c>
    </row>
    <row r="39" spans="4:10" x14ac:dyDescent="0.3">
      <c r="D39" t="s">
        <v>143</v>
      </c>
      <c r="E39" s="63">
        <f t="shared" si="4"/>
        <v>3.94331545175586</v>
      </c>
      <c r="F39" s="64">
        <v>3.4784346207782146E-2</v>
      </c>
      <c r="G39" s="8">
        <f t="shared" si="7"/>
        <v>7.4217500725340751E-2</v>
      </c>
      <c r="H39">
        <f t="shared" si="5"/>
        <v>2.5830000000000002</v>
      </c>
      <c r="J39" s="8">
        <f t="shared" si="6"/>
        <v>4.8387500725340746E-2</v>
      </c>
    </row>
    <row r="40" spans="4:10" x14ac:dyDescent="0.3">
      <c r="D40" t="s">
        <v>140</v>
      </c>
      <c r="E40" s="63">
        <f t="shared" si="4"/>
        <v>5.5546422798403103</v>
      </c>
      <c r="F40" s="64">
        <v>2.430496240599922E-2</v>
      </c>
      <c r="G40" s="8">
        <f t="shared" si="7"/>
        <v>7.9851385204402325E-2</v>
      </c>
      <c r="H40">
        <f t="shared" si="5"/>
        <v>2.3029999999999999</v>
      </c>
      <c r="J40" s="8">
        <f t="shared" si="6"/>
        <v>5.682138520440233E-2</v>
      </c>
    </row>
    <row r="41" spans="4:10" x14ac:dyDescent="0.3">
      <c r="D41" t="s">
        <v>142</v>
      </c>
      <c r="E41" s="63">
        <f t="shared" si="4"/>
        <v>6.9272967449897198</v>
      </c>
      <c r="F41" s="64">
        <v>9.2744046638129074E-3</v>
      </c>
      <c r="G41" s="8">
        <f t="shared" si="7"/>
        <v>7.8547372113710101E-2</v>
      </c>
      <c r="H41">
        <f t="shared" si="5"/>
        <v>3.8340000000000001</v>
      </c>
      <c r="J41" s="8">
        <f t="shared" si="6"/>
        <v>4.0207372113710102E-2</v>
      </c>
    </row>
    <row r="43" spans="4:10" x14ac:dyDescent="0.3">
      <c r="D43" t="s">
        <v>222</v>
      </c>
      <c r="G43" s="8">
        <f>MEDIAN(G29:G41)</f>
        <v>7.9851385204402325E-2</v>
      </c>
      <c r="H43" s="8"/>
      <c r="I43" s="8"/>
      <c r="J43" s="8">
        <f t="shared" ref="J43" si="8">MEDIAN(J29:J41)</f>
        <v>5.5590853755787484E-2</v>
      </c>
    </row>
    <row r="45" spans="4:10" x14ac:dyDescent="0.3">
      <c r="D45" s="1"/>
      <c r="E45" s="1"/>
    </row>
    <row r="50" spans="4:5" x14ac:dyDescent="0.3">
      <c r="D50" s="1"/>
      <c r="E50" s="1"/>
    </row>
    <row r="51" spans="4:5" x14ac:dyDescent="0.3">
      <c r="D51" s="1"/>
      <c r="E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V10" sqref="V10"/>
    </sheetView>
  </sheetViews>
  <sheetFormatPr defaultRowHeight="14.4" x14ac:dyDescent="0.3"/>
  <cols>
    <col min="1" max="1" width="12" customWidth="1"/>
    <col min="2" max="2" width="25.33203125" customWidth="1"/>
    <col min="3" max="3" width="20.88671875" customWidth="1"/>
    <col min="4" max="4" width="0.33203125" customWidth="1"/>
    <col min="5" max="5" width="18" customWidth="1"/>
    <col min="6" max="6" width="13.44140625" customWidth="1"/>
    <col min="7" max="7" width="15.33203125" customWidth="1"/>
    <col min="8" max="8" width="16.33203125" customWidth="1"/>
    <col min="9" max="9" width="7.33203125" customWidth="1"/>
    <col min="10" max="10" width="6.5546875" customWidth="1"/>
    <col min="11" max="11" width="18.88671875" customWidth="1"/>
    <col min="12" max="12" width="13.33203125" customWidth="1"/>
    <col min="13" max="13" width="13" customWidth="1"/>
    <col min="14" max="14" width="13.44140625" customWidth="1"/>
    <col min="15" max="15" width="5" customWidth="1"/>
    <col min="16" max="16" width="9.6640625" customWidth="1"/>
  </cols>
  <sheetData>
    <row r="1" spans="1:19" ht="15" thickBot="1" x14ac:dyDescent="0.35">
      <c r="C1" t="s">
        <v>0</v>
      </c>
      <c r="E1" t="s">
        <v>155</v>
      </c>
      <c r="F1" t="s">
        <v>2</v>
      </c>
      <c r="G1" t="s">
        <v>3</v>
      </c>
      <c r="H1" t="s">
        <v>5</v>
      </c>
      <c r="K1" t="s">
        <v>156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157</v>
      </c>
    </row>
    <row r="2" spans="1:19" s="15" customFormat="1" ht="15" thickBot="1" x14ac:dyDescent="0.35">
      <c r="A2" s="14"/>
      <c r="K2" s="42">
        <f>'Aset class Rankings'!E15</f>
        <v>0.33</v>
      </c>
      <c r="L2" s="42">
        <f>'Aset class Rankings'!F15</f>
        <v>0.33</v>
      </c>
      <c r="M2" s="42">
        <f>'Aset class Rankings'!G15</f>
        <v>0.33</v>
      </c>
    </row>
    <row r="3" spans="1:19" x14ac:dyDescent="0.3">
      <c r="A3" t="s">
        <v>4</v>
      </c>
      <c r="C3" t="str">
        <f>A3</f>
        <v>VWO</v>
      </c>
      <c r="E3" s="3" cm="1">
        <f t="array" ref="E3">_xll.FDS(C3,"FG_TOTAL_RETURNC(0,-1AM)")</f>
        <v>-0.88844895000000002</v>
      </c>
      <c r="F3" s="3" cm="1">
        <f t="array" ref="F3">_xll.FDS(C3,"FG_TOTAL_RETURNC(0,-3AM)")</f>
        <v>8.7017419999999994</v>
      </c>
      <c r="G3" s="3" cm="1">
        <f t="array" ref="G3">_xll.FDS(C3,"FG_TOTAL_RETURNC(0,-6AM)")</f>
        <v>-2.6167511999999999</v>
      </c>
      <c r="H3" s="8" cm="1">
        <f t="array" ref="H3">_xll.FDS(C3,"P_PRICE(0)/P_PRICE_HIGH_PR(0,,,USD,,,""PRICE"",""INTRA"",""52W"")")</f>
        <v>0.93178660000000002</v>
      </c>
      <c r="K3" s="4">
        <f>_xlfn.RANK.EQ(H3,H$3:H$14)</f>
        <v>8</v>
      </c>
      <c r="L3" s="4">
        <f>_xlfn.RANK.EQ(F3,F$3:F$14)</f>
        <v>7</v>
      </c>
      <c r="M3" s="4">
        <f>_xlfn.RANK.EQ(G3,G$3:G$14)</f>
        <v>10</v>
      </c>
      <c r="N3" s="4"/>
      <c r="P3" s="3">
        <f t="shared" ref="P3:P13" si="0">SUMPRODUCT($K$2:$M$2,K3:M3)</f>
        <v>8.25</v>
      </c>
      <c r="Q3">
        <f t="shared" ref="Q3:Q13" si="1">COUNTIF(K3:N3,"&gt;70")</f>
        <v>0</v>
      </c>
      <c r="S3" s="3">
        <f>12-_xlfn.RANK.EQ(P3,$P$3:$P$14)</f>
        <v>8</v>
      </c>
    </row>
    <row r="4" spans="1:19" x14ac:dyDescent="0.3">
      <c r="A4" t="s">
        <v>1</v>
      </c>
      <c r="C4" t="str">
        <f t="shared" ref="C4:C14" si="2">A4</f>
        <v>SPY</v>
      </c>
      <c r="E4" s="3" cm="1">
        <f t="array" ref="E4">_xll.FDS(C4,"FG_TOTAL_RETURNC(0,-1AM)")</f>
        <v>2.4724126000000002</v>
      </c>
      <c r="F4" s="3" cm="1">
        <f t="array" ref="F4">_xll.FDS(C4,"FG_TOTAL_RETURNC(0,-3AM)")</f>
        <v>18.625509999999998</v>
      </c>
      <c r="G4" s="3" cm="1">
        <f t="array" ref="G4">_xll.FDS(C4,"FG_TOTAL_RETURNC(0,-6AM)")</f>
        <v>7.8213452999999999</v>
      </c>
      <c r="H4" s="8" cm="1">
        <f t="array" ref="H4">_xll.FDS(C4,"P_PRICE(0)/P_PRICE_HIGH_PR(0,,,USD,,,""PRICE"",""INTRA"",""52W"")")</f>
        <v>0.99650395000000003</v>
      </c>
      <c r="I4" s="43"/>
      <c r="K4" s="4">
        <f t="shared" ref="K4:K14" si="3">_xlfn.RANK.EQ(H4,H$3:H$14)</f>
        <v>1</v>
      </c>
      <c r="L4" s="4">
        <f t="shared" ref="L4:L14" si="4">_xlfn.RANK.EQ(F4,F$3:F$14)</f>
        <v>2</v>
      </c>
      <c r="M4" s="4">
        <f t="shared" ref="M4:M14" si="5">_xlfn.RANK.EQ(G4,G$3:G$14)</f>
        <v>2</v>
      </c>
      <c r="N4" s="4"/>
      <c r="P4" s="3">
        <f t="shared" si="0"/>
        <v>1.65</v>
      </c>
      <c r="Q4">
        <f t="shared" si="1"/>
        <v>0</v>
      </c>
      <c r="S4" s="3">
        <f t="shared" ref="S4:S14" si="6">12-_xlfn.RANK.EQ(P4,$P$3:$P$14)</f>
        <v>1</v>
      </c>
    </row>
    <row r="5" spans="1:19" x14ac:dyDescent="0.3">
      <c r="A5" t="s">
        <v>147</v>
      </c>
      <c r="C5" t="str">
        <f t="shared" si="2"/>
        <v>GLD</v>
      </c>
      <c r="E5" s="3" cm="1">
        <f t="array" ref="E5">_xll.FDS(C5,"FG_TOTAL_RETURNC(0,-1AM)")</f>
        <v>-2.4567127000000002</v>
      </c>
      <c r="F5" s="3" cm="1">
        <f t="array" ref="F5">_xll.FDS(C5,"FG_TOTAL_RETURNC(0,-3AM)")</f>
        <v>1.630342</v>
      </c>
      <c r="G5" s="3" cm="1">
        <f t="array" ref="G5">_xll.FDS(C5,"FG_TOTAL_RETURNC(0,-6AM)")</f>
        <v>2.0239950000000002</v>
      </c>
      <c r="H5" s="8" cm="1">
        <f t="array" ref="H5">_xll.FDS(C5,"P_PRICE(0)/P_PRICE_HIGH_PR(0,,,USD,,,""PRICE"",""INTRA"",""52W"")")</f>
        <v>0.96804935000000003</v>
      </c>
      <c r="I5" s="43"/>
      <c r="K5" s="4">
        <f t="shared" si="3"/>
        <v>6</v>
      </c>
      <c r="L5" s="4">
        <f t="shared" si="4"/>
        <v>9</v>
      </c>
      <c r="M5" s="4">
        <f t="shared" si="5"/>
        <v>7</v>
      </c>
      <c r="N5" s="4"/>
      <c r="P5" s="3">
        <f t="shared" si="0"/>
        <v>7.26</v>
      </c>
      <c r="Q5">
        <f t="shared" si="1"/>
        <v>0</v>
      </c>
      <c r="S5" s="3">
        <f t="shared" si="6"/>
        <v>5</v>
      </c>
    </row>
    <row r="6" spans="1:19" x14ac:dyDescent="0.3">
      <c r="A6" t="s">
        <v>148</v>
      </c>
      <c r="C6" t="str">
        <f t="shared" si="2"/>
        <v>UUP</v>
      </c>
      <c r="E6" s="3" cm="1">
        <f t="array" ref="E6">_xll.FDS(C6,"FG_TOTAL_RETURNC(0,-1AM)")</f>
        <v>2.5470614</v>
      </c>
      <c r="F6" s="3" cm="1">
        <f t="array" ref="F6">_xll.FDS(C6,"FG_TOTAL_RETURNC(0,-3AM)")</f>
        <v>-1.5207588999999999</v>
      </c>
      <c r="G6" s="3" cm="1">
        <f t="array" ref="G6">_xll.FDS(C6,"FG_TOTAL_RETURNC(0,-6AM)")</f>
        <v>5.7374596999999996</v>
      </c>
      <c r="H6" s="8" cm="1">
        <f t="array" ref="H6">_xll.FDS(C6,"P_PRICE(0)/P_PRICE_HIGH_PR(0,,,USD,,,""PRICE"",""INTRA"",""52W"")")</f>
        <v>0.92093486000000002</v>
      </c>
      <c r="I6" s="43"/>
      <c r="K6" s="4">
        <f t="shared" si="3"/>
        <v>9</v>
      </c>
      <c r="L6" s="4">
        <f t="shared" si="4"/>
        <v>10</v>
      </c>
      <c r="M6" s="4">
        <f t="shared" si="5"/>
        <v>3</v>
      </c>
      <c r="N6" s="4"/>
      <c r="P6" s="3">
        <f t="shared" si="0"/>
        <v>7.2600000000000007</v>
      </c>
      <c r="Q6">
        <f t="shared" si="1"/>
        <v>0</v>
      </c>
      <c r="S6" s="3">
        <f t="shared" si="6"/>
        <v>6</v>
      </c>
    </row>
    <row r="7" spans="1:19" x14ac:dyDescent="0.3">
      <c r="A7" t="s">
        <v>15</v>
      </c>
      <c r="C7" t="str">
        <f t="shared" si="2"/>
        <v>QQQ</v>
      </c>
      <c r="E7" s="3" cm="1">
        <f t="array" ref="E7">_xll.FDS(C7,"FG_TOTAL_RETURNC(0,-1AM)")</f>
        <v>3.2010078000000002</v>
      </c>
      <c r="F7" s="3" cm="1">
        <f t="array" ref="F7">_xll.FDS(C7,"FG_TOTAL_RETURNC(0,-3AM)")</f>
        <v>23.632133</v>
      </c>
      <c r="G7" s="3" cm="1">
        <f t="array" ref="G7">_xll.FDS(C7,"FG_TOTAL_RETURNC(0,-6AM)")</f>
        <v>12.706099999999999</v>
      </c>
      <c r="H7" s="8" cm="1">
        <f t="array" ref="H7">_xll.FDS(C7,"P_PRICE(0)/P_PRICE_HIGH_PR(0,,,USD,,,""PRICE"",""INTRA"",""52W"")")</f>
        <v>0.98594855999999997</v>
      </c>
      <c r="I7" s="1"/>
      <c r="K7" s="4">
        <f t="shared" si="3"/>
        <v>2</v>
      </c>
      <c r="L7" s="4">
        <f t="shared" si="4"/>
        <v>1</v>
      </c>
      <c r="M7" s="4">
        <f t="shared" si="5"/>
        <v>1</v>
      </c>
      <c r="N7" s="4"/>
      <c r="P7" s="3">
        <f t="shared" si="0"/>
        <v>1.32</v>
      </c>
      <c r="Q7">
        <f t="shared" si="1"/>
        <v>0</v>
      </c>
      <c r="S7" s="3">
        <f t="shared" si="6"/>
        <v>0</v>
      </c>
    </row>
    <row r="8" spans="1:19" x14ac:dyDescent="0.3">
      <c r="A8" t="s">
        <v>149</v>
      </c>
      <c r="C8" t="str">
        <f t="shared" si="2"/>
        <v>DBA</v>
      </c>
      <c r="E8" s="3" cm="1">
        <f t="array" ref="E8">_xll.FDS(C8,"FG_TOTAL_RETURNC(0,-1AM)")</f>
        <v>2.2402405999999999</v>
      </c>
      <c r="F8" s="3" cm="1">
        <f t="array" ref="F8">_xll.FDS(C8,"FG_TOTAL_RETURNC(0,-3AM)")</f>
        <v>2.6549100000000001</v>
      </c>
      <c r="G8" s="3" cm="1">
        <f t="array" ref="G8">_xll.FDS(C8,"FG_TOTAL_RETURNC(0,-6AM)")</f>
        <v>0.53831340000000005</v>
      </c>
      <c r="H8" s="8" cm="1">
        <f t="array" ref="H8">_xll.FDS(C8,"P_PRICE(0)/P_PRICE_HIGH_PR(0,,,USD,,,""PRICE"",""INTRA"",""52W"")")</f>
        <v>0.95375730000000003</v>
      </c>
      <c r="I8" s="1"/>
      <c r="K8" s="4">
        <f t="shared" si="3"/>
        <v>7</v>
      </c>
      <c r="L8" s="4">
        <f t="shared" si="4"/>
        <v>8</v>
      </c>
      <c r="M8" s="4">
        <f t="shared" si="5"/>
        <v>9</v>
      </c>
      <c r="N8" s="4"/>
      <c r="P8" s="3">
        <f t="shared" si="0"/>
        <v>7.92</v>
      </c>
      <c r="Q8">
        <f t="shared" si="1"/>
        <v>0</v>
      </c>
      <c r="S8" s="3">
        <f t="shared" si="6"/>
        <v>7</v>
      </c>
    </row>
    <row r="9" spans="1:19" x14ac:dyDescent="0.3">
      <c r="A9" t="s">
        <v>158</v>
      </c>
      <c r="C9" t="str">
        <f t="shared" si="2"/>
        <v>USO</v>
      </c>
      <c r="E9" s="3" cm="1">
        <f t="array" ref="E9">_xll.FDS(C9,"FG_TOTAL_RETURNC(0,-1AM)")</f>
        <v>4.1162251999999997</v>
      </c>
      <c r="F9" s="3" cm="1">
        <f t="array" ref="F9">_xll.FDS(C9,"FG_TOTAL_RETURNC(0,-3AM)")</f>
        <v>-4.929119</v>
      </c>
      <c r="G9" s="3" cm="1">
        <f t="array" ref="G9">_xll.FDS(C9,"FG_TOTAL_RETURNC(0,-6AM)")</f>
        <v>3.4531474000000002</v>
      </c>
      <c r="H9" s="8" cm="1">
        <f t="array" ref="H9">_xll.FDS(C9,"P_PRICE(0)/P_PRICE_HIGH_PR(0,,,USD,,,""PRICE"",""INTRA"",""52W"")")</f>
        <v>0.87765634000000003</v>
      </c>
      <c r="I9" s="1"/>
      <c r="K9" s="4">
        <f t="shared" si="3"/>
        <v>10</v>
      </c>
      <c r="L9" s="4">
        <f t="shared" si="4"/>
        <v>11</v>
      </c>
      <c r="M9" s="4">
        <f t="shared" si="5"/>
        <v>5</v>
      </c>
      <c r="N9" s="4"/>
      <c r="P9" s="3">
        <f t="shared" si="0"/>
        <v>8.58</v>
      </c>
      <c r="Q9">
        <f t="shared" si="1"/>
        <v>0</v>
      </c>
      <c r="S9" s="3">
        <f t="shared" si="6"/>
        <v>9</v>
      </c>
    </row>
    <row r="10" spans="1:19" x14ac:dyDescent="0.3">
      <c r="A10" t="s">
        <v>150</v>
      </c>
      <c r="C10" t="str">
        <f t="shared" si="2"/>
        <v>TLT</v>
      </c>
      <c r="E10" s="3" cm="1">
        <f t="array" ref="E10">_xll.FDS(C10,"FG_TOTAL_RETURNC(0,-1AM)")</f>
        <v>-5.042529</v>
      </c>
      <c r="F10" s="3" cm="1">
        <f t="array" ref="F10">_xll.FDS(C10,"FG_TOTAL_RETURNC(0,-3AM)")</f>
        <v>11.747646</v>
      </c>
      <c r="G10" s="3" cm="1">
        <f t="array" ref="G10">_xll.FDS(C10,"FG_TOTAL_RETURNC(0,-6AM)")</f>
        <v>-5.6531786999999998</v>
      </c>
      <c r="H10" s="8" cm="1">
        <f t="array" ref="H10">_xll.FDS(C10,"P_PRICE(0)/P_PRICE_HIGH_PR(0,,,USD,,,""PRICE"",""INTRA"",""52W"")")</f>
        <v>0.85759750000000001</v>
      </c>
      <c r="K10" s="4">
        <f t="shared" si="3"/>
        <v>11</v>
      </c>
      <c r="L10" s="4">
        <f t="shared" si="4"/>
        <v>6</v>
      </c>
      <c r="M10" s="4">
        <f t="shared" si="5"/>
        <v>11</v>
      </c>
      <c r="N10" s="4"/>
      <c r="P10" s="3">
        <f t="shared" si="0"/>
        <v>9.24</v>
      </c>
      <c r="Q10">
        <f t="shared" si="1"/>
        <v>0</v>
      </c>
      <c r="S10" s="3">
        <f t="shared" si="6"/>
        <v>10</v>
      </c>
    </row>
    <row r="11" spans="1:19" x14ac:dyDescent="0.3">
      <c r="A11" t="s">
        <v>71</v>
      </c>
      <c r="C11" t="str">
        <f t="shared" si="2"/>
        <v>VGK</v>
      </c>
      <c r="E11" s="3" cm="1">
        <f t="array" ref="E11">_xll.FDS(C11,"FG_TOTAL_RETURNC(0,-1AM)")</f>
        <v>-0.88372229999999996</v>
      </c>
      <c r="F11" s="3" cm="1">
        <f t="array" ref="F11">_xll.FDS(C11,"FG_TOTAL_RETURNC(0,-3AM)")</f>
        <v>15.876018999999999</v>
      </c>
      <c r="G11" s="3" cm="1">
        <f t="array" ref="G11">_xll.FDS(C11,"FG_TOTAL_RETURNC(0,-6AM)")</f>
        <v>2.1065353999999998</v>
      </c>
      <c r="H11" s="8" cm="1">
        <f t="array" ref="H11">_xll.FDS(C11,"P_PRICE(0)/P_PRICE_HIGH_PR(0,,,USD,,,""PRICE"",""INTRA"",""52W"")")</f>
        <v>0.98482630000000004</v>
      </c>
      <c r="K11" s="4">
        <f t="shared" si="3"/>
        <v>3</v>
      </c>
      <c r="L11" s="4">
        <f t="shared" si="4"/>
        <v>3</v>
      </c>
      <c r="M11" s="4">
        <f t="shared" si="5"/>
        <v>6</v>
      </c>
      <c r="P11" s="3">
        <f t="shared" si="0"/>
        <v>3.96</v>
      </c>
      <c r="Q11">
        <f t="shared" si="1"/>
        <v>0</v>
      </c>
      <c r="S11" s="3">
        <f t="shared" si="6"/>
        <v>3</v>
      </c>
    </row>
    <row r="12" spans="1:19" x14ac:dyDescent="0.3">
      <c r="A12" t="s">
        <v>161</v>
      </c>
      <c r="C12" t="str">
        <f t="shared" si="2"/>
        <v>EMXC</v>
      </c>
      <c r="E12" s="3" cm="1">
        <f t="array" ref="E12">_xll.FDS(C12,"FG_TOTAL_RETURNC(0,-1AM)")</f>
        <v>-1.2015283000000001</v>
      </c>
      <c r="F12" s="3" cm="1">
        <f t="array" ref="F12">_xll.FDS(C12,"FG_TOTAL_RETURNC(0,-3AM)")</f>
        <v>14.363348</v>
      </c>
      <c r="G12" s="3" cm="1">
        <f t="array" ref="G12">_xll.FDS(C12,"FG_TOTAL_RETURNC(0,-6AM)")</f>
        <v>1.2673497</v>
      </c>
      <c r="H12" s="8" cm="1">
        <f t="array" ref="H12">_xll.FDS(C12,"P_PRICE(0)/P_PRICE_HIGH_PR(0,,,USD,,,""PRICE"",""INTRA"",""52W"")")</f>
        <v>0.97380226999999997</v>
      </c>
      <c r="K12" s="4">
        <f t="shared" si="3"/>
        <v>5</v>
      </c>
      <c r="L12" s="4">
        <f t="shared" si="4"/>
        <v>5</v>
      </c>
      <c r="M12" s="4">
        <f t="shared" si="5"/>
        <v>8</v>
      </c>
      <c r="P12" s="3">
        <f t="shared" ref="P12" si="7">SUMPRODUCT($K$2:$M$2,K12:M12)</f>
        <v>5.94</v>
      </c>
      <c r="Q12">
        <f t="shared" ref="Q12" si="8">COUNTIF(K12:N12,"&gt;70")</f>
        <v>0</v>
      </c>
      <c r="S12" s="3">
        <f t="shared" si="6"/>
        <v>4</v>
      </c>
    </row>
    <row r="13" spans="1:19" x14ac:dyDescent="0.3">
      <c r="A13" t="s">
        <v>12</v>
      </c>
      <c r="C13" t="str">
        <f t="shared" si="2"/>
        <v>EWJ</v>
      </c>
      <c r="E13" s="3" cm="1">
        <f t="array" ref="E13">_xll.FDS(C13,"FG_TOTAL_RETURNC(0,-1AM)")</f>
        <v>3.2854199999999998</v>
      </c>
      <c r="F13" s="3" cm="1">
        <f t="array" ref="F13">_xll.FDS(C13,"FG_TOTAL_RETURNC(0,-3AM)")</f>
        <v>15.646445999999999</v>
      </c>
      <c r="G13" s="3" cm="1">
        <f t="array" ref="G13">_xll.FDS(C13,"FG_TOTAL_RETURNC(0,-6AM)")</f>
        <v>5.5414079999999997</v>
      </c>
      <c r="H13" s="8" cm="1">
        <f t="array" ref="H13">_xll.FDS(C13,"P_PRICE(0)/P_PRICE_HIGH_PR(0,,,USD,,,""PRICE"",""INTRA"",""52W"")")</f>
        <v>0.97816009999999998</v>
      </c>
      <c r="K13" s="4">
        <f t="shared" si="3"/>
        <v>4</v>
      </c>
      <c r="L13" s="4">
        <f t="shared" si="4"/>
        <v>4</v>
      </c>
      <c r="M13" s="4">
        <f t="shared" si="5"/>
        <v>4</v>
      </c>
      <c r="P13" s="3">
        <f t="shared" si="0"/>
        <v>3.96</v>
      </c>
      <c r="Q13">
        <f t="shared" si="1"/>
        <v>0</v>
      </c>
      <c r="S13" s="3">
        <f t="shared" si="6"/>
        <v>3</v>
      </c>
    </row>
    <row r="14" spans="1:19" x14ac:dyDescent="0.3">
      <c r="A14" t="s">
        <v>153</v>
      </c>
      <c r="C14" t="str">
        <f t="shared" si="2"/>
        <v>FXI</v>
      </c>
      <c r="E14" s="3" cm="1">
        <f t="array" ref="E14">_xll.FDS(C14,"FG_TOTAL_RETURNC(0,-1AM)")</f>
        <v>-2.6701093</v>
      </c>
      <c r="F14" s="3" cm="1">
        <f t="array" ref="F14">_xll.FDS(C14,"FG_TOTAL_RETURNC(0,-3AM)")</f>
        <v>-9.307188</v>
      </c>
      <c r="G14" s="3" cm="1">
        <f t="array" ref="G14">_xll.FDS(C14,"FG_TOTAL_RETURNC(0,-6AM)")</f>
        <v>-19.919841999999999</v>
      </c>
      <c r="H14" s="8" cm="1">
        <f t="array" ref="H14">_xll.FDS(C14,"P_PRICE(0)/P_PRICE_HIGH_PR(0,,,USD,,,""PRICE"",""INTRA"",""52W"")")</f>
        <v>0.67715360000000002</v>
      </c>
      <c r="K14" s="4">
        <f t="shared" si="3"/>
        <v>12</v>
      </c>
      <c r="L14" s="4">
        <f t="shared" si="4"/>
        <v>12</v>
      </c>
      <c r="M14" s="4">
        <f t="shared" si="5"/>
        <v>12</v>
      </c>
      <c r="P14" s="3">
        <f>SUMPRODUCT($K$2:$M$2,K14:M14)</f>
        <v>11.879999999999999</v>
      </c>
      <c r="Q14">
        <f>COUNTIF(K14:N14,"&gt;70")</f>
        <v>0</v>
      </c>
      <c r="S14" s="3">
        <f t="shared" si="6"/>
        <v>11</v>
      </c>
    </row>
    <row r="22" spans="3:3" ht="15" customHeight="1" x14ac:dyDescent="0.3"/>
    <row r="23" spans="3:3" ht="15" customHeight="1" x14ac:dyDescent="0.3"/>
    <row r="24" spans="3:3" ht="15" customHeight="1" x14ac:dyDescent="0.3"/>
    <row r="25" spans="3:3" ht="15" customHeight="1" x14ac:dyDescent="0.3">
      <c r="C25" s="1"/>
    </row>
    <row r="26" spans="3:3" ht="15" customHeight="1" x14ac:dyDescent="0.3"/>
    <row r="27" spans="3:3" ht="15" customHeight="1" x14ac:dyDescent="0.3"/>
    <row r="28" spans="3:3" ht="15" customHeight="1" x14ac:dyDescent="0.3"/>
    <row r="29" spans="3:3" ht="15" customHeight="1" x14ac:dyDescent="0.3"/>
    <row r="30" spans="3:3" ht="15" customHeight="1" x14ac:dyDescent="0.3"/>
    <row r="31" spans="3:3" ht="15" customHeight="1" x14ac:dyDescent="0.3"/>
    <row r="32" spans="3:3" ht="15" customHeight="1" x14ac:dyDescent="0.3">
      <c r="C32" s="1"/>
    </row>
    <row r="33" spans="3:3" ht="15" customHeight="1" x14ac:dyDescent="0.3"/>
    <row r="34" spans="3:3" ht="15" customHeight="1" x14ac:dyDescent="0.3"/>
    <row r="35" spans="3:3" ht="15" customHeight="1" x14ac:dyDescent="0.3"/>
    <row r="36" spans="3:3" ht="15" customHeight="1" x14ac:dyDescent="0.3"/>
    <row r="37" spans="3:3" ht="15" customHeight="1" x14ac:dyDescent="0.3">
      <c r="C37" s="1"/>
    </row>
    <row r="38" spans="3:3" ht="15" customHeight="1" x14ac:dyDescent="0.3"/>
    <row r="39" spans="3:3" ht="15" customHeight="1" x14ac:dyDescent="0.3"/>
    <row r="40" spans="3:3" ht="15" customHeight="1" x14ac:dyDescent="0.3"/>
    <row r="41" spans="3:3" ht="15" customHeight="1" x14ac:dyDescent="0.3"/>
    <row r="42" spans="3:3" ht="15" customHeight="1" x14ac:dyDescent="0.3">
      <c r="C42" s="1"/>
    </row>
    <row r="43" spans="3:3" ht="15" customHeight="1" x14ac:dyDescent="0.3">
      <c r="C43" s="1"/>
    </row>
    <row r="44" spans="3:3" ht="15" customHeight="1" x14ac:dyDescent="0.3"/>
    <row r="45" spans="3:3" ht="15" customHeight="1" x14ac:dyDescent="0.3"/>
    <row r="46" spans="3:3" ht="15" customHeight="1" x14ac:dyDescent="0.3"/>
    <row r="47" spans="3:3" ht="15" customHeight="1" x14ac:dyDescent="0.3"/>
    <row r="48" spans="3: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M27" sqref="M27"/>
    </sheetView>
  </sheetViews>
  <sheetFormatPr defaultRowHeight="14.4" x14ac:dyDescent="0.3"/>
  <cols>
    <col min="1" max="1" width="12" customWidth="1"/>
    <col min="2" max="2" width="41.44140625" customWidth="1"/>
    <col min="3" max="3" width="22.44140625" customWidth="1"/>
    <col min="4" max="4" width="14.5546875" bestFit="1" customWidth="1"/>
    <col min="5" max="5" width="13.88671875" customWidth="1"/>
    <col min="6" max="6" width="11.33203125" customWidth="1"/>
    <col min="7" max="7" width="12.5546875" customWidth="1"/>
    <col min="8" max="8" width="10.33203125" bestFit="1" customWidth="1"/>
    <col min="9" max="9" width="12" customWidth="1"/>
    <col min="10" max="10" width="11.5546875" customWidth="1"/>
    <col min="11" max="11" width="25" customWidth="1"/>
    <col min="12" max="12" width="17.44140625" customWidth="1"/>
    <col min="13" max="13" width="20.109375" customWidth="1"/>
    <col min="14" max="14" width="0.33203125" customWidth="1"/>
    <col min="15" max="15" width="15.6640625" bestFit="1" customWidth="1"/>
    <col min="16" max="16" width="15.33203125" customWidth="1"/>
    <col min="17" max="17" width="18.44140625" customWidth="1"/>
    <col min="18" max="18" width="17.109375" customWidth="1"/>
    <col min="19" max="19" width="6.5546875" customWidth="1"/>
    <col min="20" max="21" width="17.5546875" customWidth="1"/>
    <col min="22" max="22" width="18.88671875" customWidth="1"/>
    <col min="23" max="23" width="13.33203125" customWidth="1"/>
    <col min="24" max="24" width="13" customWidth="1"/>
    <col min="25" max="25" width="13.44140625" customWidth="1"/>
    <col min="26" max="26" width="13" customWidth="1"/>
    <col min="27" max="27" width="12.109375" customWidth="1"/>
    <col min="28" max="28" width="11.44140625" customWidth="1"/>
    <col min="29" max="31" width="13.6640625" customWidth="1"/>
    <col min="32" max="32" width="10.33203125" customWidth="1"/>
    <col min="33" max="33" width="7" customWidth="1"/>
    <col min="34" max="34" width="9.6640625" customWidth="1"/>
  </cols>
  <sheetData>
    <row r="1" spans="1:37" ht="62.25" customHeight="1" thickBot="1" x14ac:dyDescent="0.35">
      <c r="C1" t="s">
        <v>0</v>
      </c>
      <c r="D1" s="26" t="s">
        <v>137</v>
      </c>
      <c r="E1" s="33" t="s">
        <v>138</v>
      </c>
      <c r="F1" s="33" t="s">
        <v>8</v>
      </c>
      <c r="G1" s="33" t="s">
        <v>17</v>
      </c>
      <c r="H1" s="33" t="s">
        <v>16</v>
      </c>
      <c r="I1" s="33" t="s">
        <v>19</v>
      </c>
      <c r="J1" s="33" t="s">
        <v>25</v>
      </c>
      <c r="K1" t="s">
        <v>18</v>
      </c>
      <c r="L1" t="s">
        <v>46</v>
      </c>
      <c r="M1" t="s">
        <v>47</v>
      </c>
      <c r="O1" t="s">
        <v>2</v>
      </c>
      <c r="P1" t="s">
        <v>3</v>
      </c>
      <c r="Q1" t="s">
        <v>5</v>
      </c>
      <c r="R1" t="s">
        <v>63</v>
      </c>
      <c r="T1" t="s">
        <v>65</v>
      </c>
      <c r="U1" t="s">
        <v>66</v>
      </c>
      <c r="V1" t="s">
        <v>64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48</v>
      </c>
      <c r="AD1" t="s">
        <v>49</v>
      </c>
      <c r="AE1" s="33" t="s">
        <v>139</v>
      </c>
      <c r="AH1" s="1" t="s">
        <v>26</v>
      </c>
      <c r="AI1" t="s">
        <v>27</v>
      </c>
    </row>
    <row r="2" spans="1:37" s="15" customFormat="1" ht="15" thickBot="1" x14ac:dyDescent="0.35">
      <c r="A2" s="14"/>
      <c r="U2" s="16" t="e">
        <f>#REF!</f>
        <v>#REF!</v>
      </c>
      <c r="V2" s="16" t="e">
        <f>#REF!</f>
        <v>#REF!</v>
      </c>
      <c r="W2" s="16" t="e">
        <f>#REF!</f>
        <v>#REF!</v>
      </c>
      <c r="X2" s="16" t="e">
        <f>#REF!</f>
        <v>#REF!</v>
      </c>
      <c r="Z2" s="15" t="e">
        <f>#REF!</f>
        <v>#REF!</v>
      </c>
      <c r="AA2" s="16" t="e">
        <f>#REF!</f>
        <v>#REF!</v>
      </c>
      <c r="AB2" s="16" t="e">
        <f>#REF!</f>
        <v>#REF!</v>
      </c>
      <c r="AC2" s="16" t="e">
        <f>#REF!</f>
        <v>#REF!</v>
      </c>
      <c r="AD2" s="16" t="e">
        <f>#REF!</f>
        <v>#REF!</v>
      </c>
      <c r="AE2" s="16" t="e">
        <f>#REF!</f>
        <v>#REF!</v>
      </c>
      <c r="AF2" s="16" t="e">
        <f>SUM(V2:AD2)</f>
        <v>#REF!</v>
      </c>
    </row>
    <row r="3" spans="1:37" hidden="1" x14ac:dyDescent="0.3">
      <c r="A3" t="s">
        <v>60</v>
      </c>
      <c r="B3" t="str" cm="1">
        <f t="array" ref="B3">_xll.FDS(A3,"FG_COMPANY_NAME")</f>
        <v>iShares MSCI New Zealand ETF</v>
      </c>
      <c r="C3" t="s">
        <v>60</v>
      </c>
      <c r="D3" s="37" t="e">
        <f>VLOOKUP(C3,#REF!,5,FALSE)</f>
        <v>#REF!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2</v>
      </c>
      <c r="G3" cm="1">
        <f t="array" ref="G3">_xll.FDS(A3,"SIZE(FG_CONSTITUENTS)")</f>
        <v>16</v>
      </c>
      <c r="H3" s="8">
        <f t="shared" ref="H3:H11" si="0">E3/$G3</f>
        <v>0.1875</v>
      </c>
      <c r="I3" s="8">
        <f t="shared" ref="I3:I11" si="1">F3/$G3</f>
        <v>0.125</v>
      </c>
      <c r="J3" s="8">
        <f t="shared" ref="J3:J11" si="2">H3-I3</f>
        <v>6.25E-2</v>
      </c>
      <c r="K3" s="5" cm="1">
        <f t="array" ref="K3">_xll.FDS(A3,"FMA_PCT_ABOVE_MAVG(200,0,,,,""PORTAGG"")")/100</f>
        <v>0.5</v>
      </c>
      <c r="L3" s="19" cm="1">
        <f t="array" ref="L3">_xll.FDSB(A3,"PERCENT_CHANGE(FMA_EPS(+1,0,,,,""PORTAGG"",""MEAN""),FMA_EPS(+1,-1AM,,,,""PORTAGG"",""MEAN""))")</f>
        <v>-2.3363642031511498</v>
      </c>
      <c r="M3" s="19" cm="1">
        <f t="array" ref="M3">_xll.FDSB(A3,"PERCENT_CHANGE(FMA_EPS(+1,0,,,,""PORTAGG"",""MEAN""),FMA_EPS(+1,-3AM,,,,""PORTAGG"",""MEAN""))")</f>
        <v>-5.6643351355208598</v>
      </c>
      <c r="O3" s="3" cm="1">
        <f t="array" ref="O3">_xll.FDS(C3,"FG_TOTAL_RETURNC(0,-3AM)")</f>
        <v>15.336048</v>
      </c>
      <c r="P3" s="3" cm="1">
        <f t="array" ref="P3">_xll.FDS(C3,"FG_TOTAL_RETURNC(0,-6AM)")</f>
        <v>-3.300351</v>
      </c>
      <c r="Q3" s="8" cm="1">
        <f t="array" ref="Q3">_xll.FDS(C3,"P_PRICE(0)/P_PRICE_HIGH_PR(0,,,USD,,,""PRICE"",""INTRA"",""52W"")")</f>
        <v>0.87910029999999995</v>
      </c>
      <c r="R3" s="8" cm="1">
        <f t="array" ref="R3">_xll.FDS(C3,"P_PRICE(0)/P_PRICE_low_PR(0,,,USD,,,""PRICE"",""INTRA"",""52W"")-1")</f>
        <v>0.1430633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28.499999999999996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71.399999999999991</v>
      </c>
      <c r="AC3" s="4">
        <f>_xlfn.PERCENTRANK.EXC($L$3:$L$15,L3)*100</f>
        <v>78.5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">
      <c r="A4" t="s">
        <v>11</v>
      </c>
      <c r="B4" t="str" cm="1">
        <f t="array" ref="B4">_xll.FDS(A4,"FG_COMPANY_NAME")</f>
        <v>iShares MSCI Australia ETF</v>
      </c>
      <c r="C4" t="s">
        <v>11</v>
      </c>
      <c r="D4" s="37" t="e">
        <f>VLOOKUP(C4,#REF!,5,FALSE)</f>
        <v>#REF!</v>
      </c>
      <c r="E4" cm="1">
        <f t="array" ref="E4">_xll.FDS(C4,"FMA_COS_UP(""EPS"",""1M"",+1,0,,,""PORTAGG"",""MEANR"")")</f>
        <v>28</v>
      </c>
      <c r="F4" cm="1">
        <f t="array" ref="F4">_xll.FDS(C4,"FMA_COS_DOWN(""EPS"",""1M"",+1,0,,,""PORTAGG"",""MEANR"")")</f>
        <v>18</v>
      </c>
      <c r="G4" cm="1">
        <f t="array" ref="G4">_xll.FDS(A4,"SIZE(FG_CONSTITUENTS)")</f>
        <v>59</v>
      </c>
      <c r="H4" s="8">
        <f t="shared" si="0"/>
        <v>0.47457627118644069</v>
      </c>
      <c r="I4" s="8">
        <f t="shared" si="1"/>
        <v>0.30508474576271188</v>
      </c>
      <c r="J4" s="8">
        <f t="shared" si="2"/>
        <v>0.16949152542372881</v>
      </c>
      <c r="K4" s="5" cm="1">
        <f t="array" ref="K4">_xll.FDS(A4,"FMA_PCT_ABOVE_MAVG(200,0,,,,""PORTAGG"")")/100</f>
        <v>0.644067796610169</v>
      </c>
      <c r="L4" s="19" cm="1">
        <f t="array" ref="L4">_xll.FDSB(A4,"PERCENT_CHANGE(FMA_EPS(+1,0,,,,""PORTAGG"",""MEAN""),FMA_EPS(+1,-1AM,,,,""PORTAGG"",""MEAN""))")</f>
        <v>-3.6390439212587902</v>
      </c>
      <c r="M4" s="19" cm="1">
        <f t="array" ref="M4">_xll.FDSB(A4,"PERCENT_CHANGE(FMA_EPS(+1,0,,,,""PORTAGG"",""MEAN""),FMA_EPS(+1,-3AM,,,,""PORTAGG"",""MEAN""))")</f>
        <v>0.48973666457384801</v>
      </c>
      <c r="O4" s="3" cm="1">
        <f t="array" ref="O4">_xll.FDS(C4,"FG_TOTAL_RETURNC(0,-3AM)")</f>
        <v>17.312442999999998</v>
      </c>
      <c r="P4" s="3" cm="1">
        <f t="array" ref="P4">_xll.FDS(C4,"FG_TOTAL_RETURNC(0,-6AM)")</f>
        <v>3.0170321000000002</v>
      </c>
      <c r="Q4" s="8" cm="1">
        <f t="array" ref="Q4">_xll.FDS(C4,"P_PRICE(0)/P_PRICE_HIGH_PR(0,,,USD,,,""PRICE"",""INTRA"",""52W"")")</f>
        <v>0.93933390000000005</v>
      </c>
      <c r="R4" s="8" cm="1">
        <f t="array" ref="R4">_xll.FDS(C4,"P_PRICE(0)/P_PRICE_low_PR(0,,,USD,,,""PRICE"",""INTRA"",""52W"")-1")</f>
        <v>0.15786910000000001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57.099999999999994</v>
      </c>
      <c r="X4" s="4" cm="1">
        <f t="array" ref="X4">_xlfn.PERCENTRANK.EXC(_xlfn._xlws.FILTER($P$3:$P$15, ISNUMBER($P$3:$P$15)),P4)*100</f>
        <v>50</v>
      </c>
      <c r="Z4" s="4" cm="1">
        <f t="array" ref="Z4">_xlfn.PERCENTRANK.EXC(_xlfn._xlws.FILTER($K$3:$K$15, ISNUMBER($K$3:$K$15)),K4)*100</f>
        <v>42.8</v>
      </c>
      <c r="AA4" s="4" cm="1">
        <f t="array" ref="AA4">_xlfn.PERCENTRANK.EXC(_xlfn._xlws.FILTER($H$3:$H$15, ISNUMBER($H$3:$H$15)),H4)*100</f>
        <v>92.800000000000011</v>
      </c>
      <c r="AB4" s="4" cm="1">
        <f t="array" ref="AB4">_xlfn.PERCENTRANK.EXC(_xlfn._xlws.FILTER($J$3:$J$15, ISNUMBER($J$3:$J$15)),J4)*100</f>
        <v>92.800000000000011</v>
      </c>
      <c r="AC4" s="4">
        <f t="shared" ref="AC4:AC15" si="6">_xlfn.PERCENTRANK.EXC($L$3:$L$15,L4)*100</f>
        <v>35.699999999999996</v>
      </c>
      <c r="AD4" s="4">
        <f t="shared" ref="AD4:AD15" si="7">_xlfn.PERCENTRANK.EXC($M$3:$M$15,M4)*100</f>
        <v>78.5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2</v>
      </c>
      <c r="AK4" s="4"/>
    </row>
    <row r="5" spans="1:37" hidden="1" x14ac:dyDescent="0.3">
      <c r="A5" t="s">
        <v>14</v>
      </c>
      <c r="B5" t="str" cm="1">
        <f t="array" ref="B5">_xll.FDS(A5,"FG_COMPANY_NAME")</f>
        <v>iShares MSCI Canada ETF</v>
      </c>
      <c r="C5" t="s">
        <v>14</v>
      </c>
      <c r="D5" s="37" t="e">
        <f>VLOOKUP(C5,#REF!,5,FALSE)</f>
        <v>#REF!</v>
      </c>
      <c r="E5" cm="1">
        <f t="array" ref="E5">_xll.FDS(C5,"FMA_COS_UP(""EPS"",""1M"",+1,0,,,""PORTAGG"",""MEANR"")")</f>
        <v>24</v>
      </c>
      <c r="F5" cm="1">
        <f t="array" ref="F5">_xll.FDS(C5,"FMA_COS_DOWN(""EPS"",""1M"",+1,0,,,""PORTAGG"",""MEANR"")")</f>
        <v>34</v>
      </c>
      <c r="G5" cm="1">
        <f t="array" ref="G5">_xll.FDS(A5,"SIZE(FG_CONSTITUENTS)")</f>
        <v>89</v>
      </c>
      <c r="H5" s="8">
        <f t="shared" si="0"/>
        <v>0.2696629213483146</v>
      </c>
      <c r="I5" s="8">
        <f t="shared" si="1"/>
        <v>0.38202247191011235</v>
      </c>
      <c r="J5" s="8">
        <f t="shared" si="2"/>
        <v>-0.11235955056179775</v>
      </c>
      <c r="K5" s="5" cm="1">
        <f t="array" ref="K5">_xll.FDS(A5,"FMA_PCT_ABOVE_MAVG(200,0,,,,""PORTAGG"")")/100</f>
        <v>0.651685393258427</v>
      </c>
      <c r="L5" s="19" cm="1">
        <f t="array" ref="L5">_xll.FDSB(A5,"PERCENT_CHANGE(FMA_EPS(+1,0,,,,""PORTAGG"",""MEAN""),FMA_EPS(+1,-1AM,,,,""PORTAGG"",""MEAN""))")</f>
        <v>-3.8460091058999</v>
      </c>
      <c r="M5" s="19" cm="1">
        <f t="array" ref="M5">_xll.FDSB(A5,"PERCENT_CHANGE(FMA_EPS(+1,0,,,,""PORTAGG"",""MEAN""),FMA_EPS(+1,-3AM,,,,""PORTAGG"",""MEAN""))")</f>
        <v>-2.6794376146420098</v>
      </c>
      <c r="O5" s="3" cm="1">
        <f t="array" ref="O5">_xll.FDS(C5,"FG_TOTAL_RETURNC(0,-3AM)")</f>
        <v>16.175090000000001</v>
      </c>
      <c r="P5" s="3" cm="1">
        <f t="array" ref="P5">_xll.FDS(C5,"FG_TOTAL_RETURNC(0,-6AM)")</f>
        <v>3.0292987999999998</v>
      </c>
      <c r="Q5" s="8" cm="1">
        <f t="array" ref="Q5">_xll.FDS(C5,"P_PRICE(0)/P_PRICE_HIGH_PR(0,,,USD,,,""PRICE"",""INTRA"",""52W"")")</f>
        <v>0.98594210000000004</v>
      </c>
      <c r="R5" s="8" cm="1">
        <f t="array" ref="R5">_xll.FDS(C5,"P_PRICE(0)/P_PRICE_low_PR(0,,,USD,,,""PRICE"",""INTRA"",""52W"")-1")</f>
        <v>0.16109525999999999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71.399999999999991</v>
      </c>
      <c r="W5" s="4" cm="1">
        <f t="array" ref="W5">_xlfn.PERCENTRANK.EXC(_xlfn._xlws.FILTER($O$3:$O$15, ISNUMBER($O$3:$O$15)),O5)*100</f>
        <v>50</v>
      </c>
      <c r="X5" s="4" cm="1">
        <f t="array" ref="X5">_xlfn.PERCENTRANK.EXC(_xlfn._xlws.FILTER($P$3:$P$15, ISNUMBER($P$3:$P$15)),P5)*100</f>
        <v>57.099999999999994</v>
      </c>
      <c r="Z5" s="4" cm="1">
        <f t="array" ref="Z5">_xlfn.PERCENTRANK.EXC(_xlfn._xlws.FILTER($K$3:$K$15, ISNUMBER($K$3:$K$15)),K5)*100</f>
        <v>50</v>
      </c>
      <c r="AA5" s="4" cm="1">
        <f t="array" ref="AA5">_xlfn.PERCENTRANK.EXC(_xlfn._xlws.FILTER($H$3:$H$15, ISNUMBER($H$3:$H$15)),H5)*100</f>
        <v>28.499999999999996</v>
      </c>
      <c r="AB5" s="4" cm="1">
        <f t="array" ref="AB5">_xlfn.PERCENTRANK.EXC(_xlfn._xlws.FILTER($J$3:$J$15, ISNUMBER($J$3:$J$15)),J5)*100</f>
        <v>50</v>
      </c>
      <c r="AC5" s="4">
        <f t="shared" si="6"/>
        <v>21.4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3">
      <c r="A6" t="s">
        <v>6</v>
      </c>
      <c r="B6" t="str" cm="1">
        <f t="array" ref="B6">_xll.FDS(A6,"FG_COMPANY_NAME")</f>
        <v>iShares MSCI Germany ETF</v>
      </c>
      <c r="C6" t="s">
        <v>6</v>
      </c>
      <c r="D6" s="37" t="e">
        <f>VLOOKUP(C6,#REF!,5,FALSE)</f>
        <v>#REF!</v>
      </c>
      <c r="E6" cm="1">
        <f t="array" ref="E6">_xll.FDS(C6,"FMA_COS_UP(""EPS"",""1M"",+1,0,,,""PORTAGG"",""MEANR"")")</f>
        <v>21</v>
      </c>
      <c r="F6" cm="1">
        <f t="array" ref="F6">_xll.FDS(C6,"FMA_COS_DOWN(""EPS"",""1M"",+1,0,,,""PORTAGG"",""MEANR"")")</f>
        <v>30</v>
      </c>
      <c r="G6" cm="1">
        <f t="array" ref="G6">_xll.FDS(A6,"SIZE(FG_CONSTITUENTS)")</f>
        <v>60</v>
      </c>
      <c r="H6" s="8">
        <f t="shared" si="0"/>
        <v>0.35</v>
      </c>
      <c r="I6" s="8">
        <f t="shared" si="1"/>
        <v>0.5</v>
      </c>
      <c r="J6" s="8">
        <f t="shared" si="2"/>
        <v>-0.15000000000000002</v>
      </c>
      <c r="K6" s="5" cm="1">
        <f t="array" ref="K6">_xll.FDS(A6,"FMA_PCT_ABOVE_MAVG(200,0,,,,""PORTAGG"")")/100</f>
        <v>0.52542372881355903</v>
      </c>
      <c r="L6" s="19" cm="1">
        <f t="array" ref="L6">_xll.FDSB(A6,"PERCENT_CHANGE(FMA_EPS(+1,0,,,,""PORTAGG"",""MEAN""),FMA_EPS(+1,-1AM,,,,""PORTAGG"",""MEAN""))")</f>
        <v>-3.7732806417535598</v>
      </c>
      <c r="M6" s="19" cm="1">
        <f t="array" ref="M6">_xll.FDSB(A6,"PERCENT_CHANGE(FMA_EPS(+1,0,,,,""PORTAGG"",""MEAN""),FMA_EPS(+1,-3AM,,,,""PORTAGG"",""MEAN""))")</f>
        <v>-0.34095755774205699</v>
      </c>
      <c r="O6" s="3" cm="1">
        <f t="array" ref="O6">_xll.FDS(C6,"FG_TOTAL_RETURNC(0,-3AM)")</f>
        <v>18.418766000000002</v>
      </c>
      <c r="P6" s="3" cm="1">
        <f t="array" ref="P6">_xll.FDS(C6,"FG_TOTAL_RETURNC(0,-6AM)")</f>
        <v>1.4901161000000001</v>
      </c>
      <c r="Q6" s="8" cm="1">
        <f t="array" ref="Q6">_xll.FDS(C6,"P_PRICE(0)/P_PRICE_HIGH_PR(0,,,USD,,,""PRICE"",""INTRA"",""52W"")")</f>
        <v>0.98294309999999996</v>
      </c>
      <c r="R6" s="8" cm="1">
        <f t="array" ref="R6">_xll.FDS(C6,"P_PRICE(0)/P_PRICE_low_PR(0,,,USD,,,""PRICE"",""INTRA"",""52W"")-1")</f>
        <v>0.18963766000000001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64.2</v>
      </c>
      <c r="W6" s="4" cm="1">
        <f t="array" ref="W6">_xlfn.PERCENTRANK.EXC(_xlfn._xlws.FILTER($O$3:$O$15, ISNUMBER($O$3:$O$15)),O6)*100</f>
        <v>64.2</v>
      </c>
      <c r="X6" s="4" cm="1">
        <f t="array" ref="X6">_xlfn.PERCENTRANK.EXC(_xlfn._xlws.FILTER($P$3:$P$15, ISNUMBER($P$3:$P$15)),P6)*100</f>
        <v>35.699999999999996</v>
      </c>
      <c r="Z6" s="4" cm="1">
        <f t="array" ref="Z6">_xlfn.PERCENTRANK.EXC(_xlfn._xlws.FILTER($K$3:$K$15, ISNUMBER($K$3:$K$15)),K6)*100</f>
        <v>14.2</v>
      </c>
      <c r="AA6" s="4" cm="1">
        <f t="array" ref="AA6">_xlfn.PERCENTRANK.EXC(_xlfn._xlws.FILTER($H$3:$H$15, ISNUMBER($H$3:$H$15)),H6)*100</f>
        <v>57.099999999999994</v>
      </c>
      <c r="AB6" s="4" cm="1">
        <f t="array" ref="AB6">_xlfn.PERCENTRANK.EXC(_xlfn._xlws.FILTER($J$3:$J$15, ISNUMBER($J$3:$J$15)),J6)*100</f>
        <v>42.8</v>
      </c>
      <c r="AC6" s="4">
        <f t="shared" si="6"/>
        <v>28.499999999999996</v>
      </c>
      <c r="AD6" s="4">
        <f t="shared" si="7"/>
        <v>57.099999999999994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0</v>
      </c>
      <c r="AK6" s="4"/>
    </row>
    <row r="7" spans="1:37" hidden="1" x14ac:dyDescent="0.3">
      <c r="A7" t="s">
        <v>12</v>
      </c>
      <c r="B7" t="str" cm="1">
        <f t="array" ref="B7">_xll.FDS(A7,"FG_COMPANY_NAME")</f>
        <v>iShares MSCI Japan ETF</v>
      </c>
      <c r="C7" t="s">
        <v>12</v>
      </c>
      <c r="D7" s="37" t="e">
        <f>VLOOKUP(C7,#REF!,5,FALSE)</f>
        <v>#REF!</v>
      </c>
      <c r="E7" cm="1">
        <f t="array" ref="E7">_xll.FDS(C7,"FMA_COS_UP(""EPS"",""1M"",+1,0,,,""PORTAGG"",""MEANR"")")</f>
        <v>87</v>
      </c>
      <c r="F7" cm="1">
        <f t="array" ref="F7">_xll.FDS(C7,"FMA_COS_DOWN(""EPS"",""1M"",+1,0,,,""PORTAGG"",""MEANR"")")</f>
        <v>87</v>
      </c>
      <c r="G7" cm="1">
        <f t="array" ref="G7">_xll.FDS(A7,"SIZE(FG_CONSTITUENTS)")</f>
        <v>227</v>
      </c>
      <c r="H7" s="8">
        <f t="shared" si="0"/>
        <v>0.38325991189427311</v>
      </c>
      <c r="I7" s="8">
        <f t="shared" si="1"/>
        <v>0.38325991189427311</v>
      </c>
      <c r="J7" s="8">
        <f t="shared" si="2"/>
        <v>0</v>
      </c>
      <c r="K7" s="5" cm="1">
        <f t="array" ref="K7">_xll.FDS(A7,"FMA_PCT_ABOVE_MAVG(200,0,,,,""PORTAGG"")")/100</f>
        <v>0.75221238938053103</v>
      </c>
      <c r="L7" s="19" cm="1">
        <f t="array" ref="L7">_xll.FDSB(A7,"PERCENT_CHANGE(FMA_EPS(+1,0,,,,""PORTAGG"",""MEAN""),FMA_EPS(+1,-1AM,,,,""PORTAGG"",""MEAN""))")</f>
        <v>-3.5507754774062201</v>
      </c>
      <c r="M7" s="19" cm="1">
        <f t="array" ref="M7">_xll.FDSB(A7,"PERCENT_CHANGE(FMA_EPS(+1,0,,,,""PORTAGG"",""MEAN""),FMA_EPS(+1,-3AM,,,,""PORTAGG"",""MEAN""))")</f>
        <v>3.14053455069197</v>
      </c>
      <c r="O7" s="3" cm="1">
        <f t="array" ref="O7">_xll.FDS(C7,"FG_TOTAL_RETURNC(0,-3AM)")</f>
        <v>15.646445999999999</v>
      </c>
      <c r="P7" s="3" cm="1">
        <f t="array" ref="P7">_xll.FDS(C7,"FG_TOTAL_RETURNC(0,-6AM)")</f>
        <v>5.5414079999999997</v>
      </c>
      <c r="Q7" s="8" cm="1">
        <f t="array" ref="Q7">_xll.FDS(C7,"P_PRICE(0)/P_PRICE_HIGH_PR(0,,,USD,,,""PRICE"",""INTRA"",""52W"")")</f>
        <v>0.97816009999999998</v>
      </c>
      <c r="R7" s="8" cm="1">
        <f t="array" ref="R7">_xll.FDS(C7,"P_PRICE(0)/P_PRICE_low_PR(0,,,USD,,,""PRICE"",""INTRA"",""52W"")-1")</f>
        <v>0.19860685</v>
      </c>
      <c r="T7" s="4" cm="1">
        <f t="array" ref="T7">_xlfn.PERCENTRANK.EXC(_xlfn._xlws.FILTER($R$3:$R$15, ISNUMBER($R$3:$R$15)),R7)*100</f>
        <v>57.099999999999994</v>
      </c>
      <c r="U7" s="4">
        <f t="shared" si="3"/>
        <v>42.900000000000006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42.8</v>
      </c>
      <c r="X7" s="4" cm="1">
        <f t="array" ref="X7">_xlfn.PERCENTRANK.EXC(_xlfn._xlws.FILTER($P$3:$P$15, ISNUMBER($P$3:$P$15)),P7)*100</f>
        <v>71.399999999999991</v>
      </c>
      <c r="Z7" s="4" cm="1">
        <f t="array" ref="Z7">_xlfn.PERCENTRANK.EXC(_xlfn._xlws.FILTER($K$3:$K$15, ISNUMBER($K$3:$K$15)),K7)*100</f>
        <v>85.7</v>
      </c>
      <c r="AA7" s="4" cm="1">
        <f t="array" ref="AA7">_xlfn.PERCENTRANK.EXC(_xlfn._xlws.FILTER($H$3:$H$15, ISNUMBER($H$3:$H$15)),H7)*100</f>
        <v>64.2</v>
      </c>
      <c r="AB7" s="4" cm="1">
        <f t="array" ref="AB7">_xlfn.PERCENTRANK.EXC(_xlfn._xlws.FILTER($J$3:$J$15, ISNUMBER($J$3:$J$15)),J7)*100</f>
        <v>57.099999999999994</v>
      </c>
      <c r="AC7" s="4">
        <f t="shared" si="6"/>
        <v>42.8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">
      <c r="A8" t="s">
        <v>10</v>
      </c>
      <c r="B8" t="str" cm="1">
        <f t="array" ref="B8">_xll.FDS(A8,"FG_COMPANY_NAME")</f>
        <v>iShares MSCI Switzerland ETF</v>
      </c>
      <c r="C8" t="s">
        <v>10</v>
      </c>
      <c r="D8" s="37" t="e">
        <f>VLOOKUP(C8,#REF!,5,FALSE)</f>
        <v>#REF!</v>
      </c>
      <c r="E8" cm="1">
        <f t="array" ref="E8">_xll.FDS(C8,"FMA_COS_UP(""EPS"",""1M"",+1,0,,,""PORTAGG"",""MEANR"")")</f>
        <v>13</v>
      </c>
      <c r="F8" cm="1">
        <f t="array" ref="F8">_xll.FDS(C8,"FMA_COS_DOWN(""EPS"",""1M"",+1,0,,,""PORTAGG"",""MEANR"")")</f>
        <v>31</v>
      </c>
      <c r="G8" cm="1">
        <f t="array" ref="G8">_xll.FDS(A8,"SIZE(FG_CONSTITUENTS)")</f>
        <v>47</v>
      </c>
      <c r="H8" s="8">
        <f t="shared" si="0"/>
        <v>0.27659574468085107</v>
      </c>
      <c r="I8" s="8">
        <f t="shared" si="1"/>
        <v>0.65957446808510634</v>
      </c>
      <c r="J8" s="8">
        <f t="shared" si="2"/>
        <v>-0.38297872340425526</v>
      </c>
      <c r="K8" s="5" cm="1">
        <f t="array" ref="K8">_xll.FDS(A8,"FMA_PCT_ABOVE_MAVG(200,0,,,,""PORTAGG"")")/100</f>
        <v>0.53333333333333299</v>
      </c>
      <c r="L8" s="19" cm="1">
        <f t="array" ref="L8">_xll.FDSB(A8,"PERCENT_CHANGE(FMA_EPS(+1,0,,,,""PORTAGG"",""MEAN""),FMA_EPS(+1,-1AM,,,,""PORTAGG"",""MEAN""))")</f>
        <v>-3.34099851178726</v>
      </c>
      <c r="M8" s="19" cm="1">
        <f t="array" ref="M8">_xll.FDSB(A8,"PERCENT_CHANGE(FMA_EPS(+1,0,,,,""PORTAGG"",""MEAN""),FMA_EPS(+1,-3AM,,,,""PORTAGG"",""MEAN""))")</f>
        <v>-1.38681640694641</v>
      </c>
      <c r="O8" s="3" cm="1">
        <f t="array" ref="O8">_xll.FDS(C8,"FG_TOTAL_RETURNC(0,-3AM)")</f>
        <v>13.857138000000001</v>
      </c>
      <c r="P8" s="3" cm="1">
        <f t="array" ref="P8">_xll.FDS(C8,"FG_TOTAL_RETURNC(0,-6AM)")</f>
        <v>0.27259588000000001</v>
      </c>
      <c r="Q8" s="8" cm="1">
        <f t="array" ref="Q8">_xll.FDS(C8,"P_PRICE(0)/P_PRICE_HIGH_PR(0,,,USD,,,""PRICE"",""INTRA"",""52W"")")</f>
        <v>0.97721462999999997</v>
      </c>
      <c r="R8" s="8" cm="1">
        <f t="array" ref="R8">_xll.FDS(C8,"P_PRICE(0)/P_PRICE_low_PR(0,,,USD,,,""PRICE"",""INTRA"",""52W"")-1")</f>
        <v>0.15090250999999999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50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21.4</v>
      </c>
      <c r="Z8" s="4" cm="1">
        <f t="array" ref="Z8">_xlfn.PERCENTRANK.EXC(_xlfn._xlws.FILTER($K$3:$K$15, ISNUMBER($K$3:$K$15)),K8)*100</f>
        <v>21.4</v>
      </c>
      <c r="AA8" s="4" cm="1">
        <f t="array" ref="AA8">_xlfn.PERCENTRANK.EXC(_xlfn._xlws.FILTER($H$3:$H$15, ISNUMBER($H$3:$H$15)),H8)*100</f>
        <v>42.8</v>
      </c>
      <c r="AB8" s="4" cm="1">
        <f t="array" ref="AB8">_xlfn.PERCENTRANK.EXC(_xlfn._xlws.FILTER($J$3:$J$15, ISNUMBER($J$3:$J$15)),J8)*100</f>
        <v>7.1</v>
      </c>
      <c r="AC8" s="4">
        <f t="shared" si="6"/>
        <v>50</v>
      </c>
      <c r="AD8" s="4">
        <f t="shared" si="7"/>
        <v>42.8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37" t="e">
        <f>VLOOKUP(C9,#REF!,5,FALSE)</f>
        <v>#REF!</v>
      </c>
      <c r="E9" cm="1">
        <f t="array" ref="E9">_xll.FDS(C9,"FMA_COS_UP(""EPS"",""1M"",+1,0,,,""PORTAGG"",""MEANR"")")</f>
        <v>39</v>
      </c>
      <c r="F9" cm="1">
        <f t="array" ref="F9">_xll.FDS(C9,"FMA_COS_DOWN(""EPS"",""1M"",+1,0,,,""PORTAGG"",""MEANR"")")</f>
        <v>36</v>
      </c>
      <c r="G9" cm="1">
        <f t="array" ref="G9">_xll.FDS(A9,"SIZE(FG_CONSTITUENTS)")</f>
        <v>86</v>
      </c>
      <c r="H9" s="8">
        <f t="shared" si="0"/>
        <v>0.45348837209302323</v>
      </c>
      <c r="I9" s="8">
        <f t="shared" si="1"/>
        <v>0.41860465116279072</v>
      </c>
      <c r="J9" s="8">
        <f t="shared" si="2"/>
        <v>3.4883720930232509E-2</v>
      </c>
      <c r="K9" s="5" cm="1">
        <f t="array" ref="K9">_xll.FDS(A9,"FMA_PCT_ABOVE_MAVG(200,0,,,,""PORTAGG"")")/100</f>
        <v>0.53571428571428603</v>
      </c>
      <c r="L9" s="19" cm="1">
        <f t="array" ref="L9">_xll.FDSB(A9,"PERCENT_CHANGE(FMA_EPS(+1,0,,,,""PORTAGG"",""MEAN""),FMA_EPS(+1,-1AM,,,,""PORTAGG"",""MEAN""))")</f>
        <v>-4.21993710913714</v>
      </c>
      <c r="M9" s="19" cm="1">
        <f t="array" ref="M9">_xll.FDSB(A9,"PERCENT_CHANGE(FMA_EPS(+1,0,,,,""PORTAGG"",""MEAN""),FMA_EPS(+1,-3AM,,,,""PORTAGG"",""MEAN""))")</f>
        <v>-5.1466706970280001</v>
      </c>
      <c r="O9" s="3" cm="1">
        <f t="array" ref="O9">_xll.FDS(C9,"FG_TOTAL_RETURNC(0,-3AM)")</f>
        <v>9.3724969999999992</v>
      </c>
      <c r="P9" s="3" cm="1">
        <f t="array" ref="P9">_xll.FDS(C9,"FG_TOTAL_RETURNC(0,-6AM)")</f>
        <v>-0.56158304000000003</v>
      </c>
      <c r="Q9" s="8" cm="1">
        <f t="array" ref="Q9">_xll.FDS(C9,"P_PRICE(0)/P_PRICE_HIGH_PR(0,,,USD,,,""PRICE"",""INTRA"",""52W"")")</f>
        <v>0.95873109999999995</v>
      </c>
      <c r="R9" s="8" cm="1">
        <f t="array" ref="R9">_xll.FDS(C9,"P_PRICE(0)/P_PRICE_low_PR(0,,,USD,,,""PRICE"",""INTRA"",""52W"")-1")</f>
        <v>8.7999939999999999E-2</v>
      </c>
      <c r="T9" s="4" cm="1">
        <f t="array" ref="T9">_xlfn.PERCENTRANK.EXC(_xlfn._xlws.FILTER($R$3:$R$15, ISNUMBER($R$3:$R$15)),R9)*100</f>
        <v>7.1</v>
      </c>
      <c r="U9" s="4">
        <f t="shared" si="3"/>
        <v>92.9</v>
      </c>
      <c r="V9" s="4" cm="1">
        <f t="array" ref="V9">_xlfn.PERCENTRANK.EXC(_xlfn._xlws.FILTER($Q$3:$Q$15, ISNUMBER($Q$3:$Q$15)),Q9)*100</f>
        <v>28.499999999999996</v>
      </c>
      <c r="W9" s="4" cm="1">
        <f t="array" ref="W9">_xlfn.PERCENTRANK.EXC(_xlfn._xlws.FILTER($O$3:$O$15, ISNUMBER($O$3:$O$15)),O9)*100</f>
        <v>7.1</v>
      </c>
      <c r="X9" s="4" cm="1">
        <f t="array" ref="X9">_xlfn.PERCENTRANK.EXC(_xlfn._xlws.FILTER($P$3:$P$15, ISNUMBER($P$3:$P$15)),P9)*100</f>
        <v>14.2</v>
      </c>
      <c r="Z9" s="4" cm="1">
        <f t="array" ref="Z9">_xlfn.PERCENTRANK.EXC(_xlfn._xlws.FILTER($K$3:$K$15, ISNUMBER($K$3:$K$15)),K9)*100</f>
        <v>28.499999999999996</v>
      </c>
      <c r="AA9" s="4" cm="1">
        <f t="array" ref="AA9">_xlfn.PERCENTRANK.EXC(_xlfn._xlws.FILTER($H$3:$H$15, ISNUMBER($H$3:$H$15)),H9)*100</f>
        <v>85.7</v>
      </c>
      <c r="AB9" s="4" cm="1">
        <f t="array" ref="AB9">_xlfn.PERCENTRANK.EXC(_xlfn._xlws.FILTER($J$3:$J$15, ISNUMBER($J$3:$J$15)),J9)*100</f>
        <v>64.2</v>
      </c>
      <c r="AC9" s="4">
        <f t="shared" si="6"/>
        <v>14.2</v>
      </c>
      <c r="AD9" s="4">
        <f t="shared" si="7"/>
        <v>21.4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1</v>
      </c>
      <c r="AK9" s="4"/>
    </row>
    <row r="10" spans="1:37" hidden="1" x14ac:dyDescent="0.3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37" t="e">
        <f>VLOOKUP(C10,#REF!,5,FALSE)</f>
        <v>#REF!</v>
      </c>
      <c r="E10" cm="1">
        <f t="array" ref="E10">_xll.FDS(C10,"FMA_COS_UP(""EPS"",""1M"",+1,0,,,""PORTAGG"",""MEANR"")")</f>
        <v>40</v>
      </c>
      <c r="F10" cm="1">
        <f t="array" ref="F10">_xll.FDS(C10,"FMA_COS_DOWN(""EPS"",""1M"",+1,0,,,""PORTAGG"",""MEANR"")")</f>
        <v>29</v>
      </c>
      <c r="G10" cm="1">
        <f t="array" ref="G10">_xll.FDS(A10,"SIZE(FG_CONSTITUENTS)")</f>
        <v>102</v>
      </c>
      <c r="H10" s="8">
        <f t="shared" si="0"/>
        <v>0.39215686274509803</v>
      </c>
      <c r="I10" s="8">
        <f t="shared" si="1"/>
        <v>0.28431372549019607</v>
      </c>
      <c r="J10" s="8">
        <f t="shared" si="2"/>
        <v>0.10784313725490197</v>
      </c>
      <c r="K10" s="5" cm="1">
        <f t="array" ref="K10">_xll.FDS(A10,"FMA_PCT_ABOVE_MAVG(200,0,,,,""PORTAGG"")")/100</f>
        <v>0.77450980392156898</v>
      </c>
      <c r="L10" s="19" cm="1">
        <f t="array" ref="L10">_xll.FDSB(A10,"PERCENT_CHANGE(FMA_EPS(+1,0,,,,""PORTAGG"",""MEAN""),FMA_EPS(+1,-1AM,,,,""PORTAGG"",""MEAN""))")</f>
        <v>-0.89413885061014697</v>
      </c>
      <c r="M10" s="19" cm="1">
        <f t="array" ref="M10">_xll.FDSB(A10,"PERCENT_CHANGE(FMA_EPS(+1,0,,,,""PORTAGG"",""MEAN""),FMA_EPS(+1,-3AM,,,,""PORTAGG"",""MEAN""))")</f>
        <v>0.33315927105054199</v>
      </c>
      <c r="O10" s="3" cm="1">
        <f t="array" ref="O10">_xll.FDS(C10,"FG_TOTAL_RETURNC(0,-3AM)")</f>
        <v>23.632133</v>
      </c>
      <c r="P10" s="3" cm="1">
        <f t="array" ref="P10">_xll.FDS(C10,"FG_TOTAL_RETURNC(0,-6AM)")</f>
        <v>12.706099999999999</v>
      </c>
      <c r="Q10" s="8" cm="1">
        <f t="array" ref="Q10">_xll.FDS(C10,"P_PRICE(0)/P_PRICE_HIGH_PR(0,,,USD,,,""PRICE"",""INTRA"",""52W"")")</f>
        <v>0.98594855999999997</v>
      </c>
      <c r="R10" s="8" cm="1">
        <f t="array" ref="R10">_xll.FDS(C10,"P_PRICE(0)/P_PRICE_low_PR(0,,,USD,,,""PRICE"",""INTRA"",""52W"")-1")</f>
        <v>0.48606192999999998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78.5</v>
      </c>
      <c r="W10" s="4" cm="1">
        <f t="array" ref="W10">_xlfn.PERCENTRANK.EXC(_xlfn._xlws.FILTER($O$3:$O$15, ISNUMBER($O$3:$O$15)),O10)*100</f>
        <v>85.7</v>
      </c>
      <c r="X10" s="4" cm="1">
        <f t="array" ref="X10">_xlfn.PERCENTRANK.EXC(_xlfn._xlws.FILTER($P$3:$P$15, ISNUMBER($P$3:$P$15)),P10)*100</f>
        <v>92.800000000000011</v>
      </c>
      <c r="Z10" s="4" cm="1">
        <f t="array" ref="Z10">_xlfn.PERCENTRANK.EXC(_xlfn._xlws.FILTER($K$3:$K$15, ISNUMBER($K$3:$K$15)),K10)*100</f>
        <v>92.800000000000011</v>
      </c>
      <c r="AA10" s="4" cm="1">
        <f t="array" ref="AA10">_xlfn.PERCENTRANK.EXC(_xlfn._xlws.FILTER($H$3:$H$15, ISNUMBER($H$3:$H$15)),H10)*100</f>
        <v>71.399999999999991</v>
      </c>
      <c r="AB10" s="4" cm="1">
        <f t="array" ref="AB10">_xlfn.PERCENTRANK.EXC(_xlfn._xlws.FILTER($J$3:$J$15, ISNUMBER($J$3:$J$15)),J10)*100</f>
        <v>78.5</v>
      </c>
      <c r="AC10" s="4">
        <f t="shared" si="6"/>
        <v>85.7</v>
      </c>
      <c r="AD10" s="4">
        <f t="shared" si="7"/>
        <v>71.399999999999991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6</v>
      </c>
      <c r="AK10" s="4"/>
    </row>
    <row r="11" spans="1:37" hidden="1" x14ac:dyDescent="0.3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37" t="e">
        <f>VLOOKUP(C11,#REF!,5,FALSE)</f>
        <v>#REF!</v>
      </c>
      <c r="E11" cm="1">
        <f t="array" ref="E11">_xll.FDS(C11,"FMA_COS_UP(""EPS"",""1M"",+1,0,,,""PORTAGG"",""MEANR"")")</f>
        <v>223</v>
      </c>
      <c r="F11" cm="1">
        <f t="array" ref="F11">_xll.FDS(C11,"FMA_COS_DOWN(""EPS"",""1M"",+1,0,,,""PORTAGG"",""MEANR"")")</f>
        <v>155</v>
      </c>
      <c r="G11" cm="1">
        <f t="array" ref="G11">_xll.FDS(A11,"SIZE(FG_CONSTITUENTS)")</f>
        <v>504</v>
      </c>
      <c r="H11" s="8">
        <f t="shared" si="0"/>
        <v>0.44246031746031744</v>
      </c>
      <c r="I11" s="8">
        <f t="shared" si="1"/>
        <v>0.30753968253968256</v>
      </c>
      <c r="J11" s="8">
        <f t="shared" si="2"/>
        <v>0.13492063492063489</v>
      </c>
      <c r="K11" s="5" cm="1">
        <f t="array" ref="K11">_xll.FDS(A11,"FMA_PCT_ABOVE_MAVG(200,0,,,,""PORTAGG"")")/100</f>
        <v>0.70119521912350602</v>
      </c>
      <c r="L11" s="19" cm="1">
        <f t="array" ref="L11">_xll.FDSB(A11,"PERCENT_CHANGE(FMA_EPS(+1,0,,,,""PORTAGG"",""MEAN""),FMA_EPS(+1,-1AM,,,,""PORTAGG"",""MEAN""))")</f>
        <v>-0.73456816354728505</v>
      </c>
      <c r="M11" s="19" cm="1">
        <f t="array" ref="M11">_xll.FDSB(A11,"PERCENT_CHANGE(FMA_EPS(+1,0,,,,""PORTAGG"",""MEAN""),FMA_EPS(+1,-3AM,,,,""PORTAGG"",""MEAN""))")</f>
        <v>-1.54372808415427</v>
      </c>
      <c r="O11" s="3" cm="1">
        <f t="array" ref="O11">_xll.FDS(C11,"FG_TOTAL_RETURNC(0,-3AM)")</f>
        <v>18.625509999999998</v>
      </c>
      <c r="P11" s="3" cm="1">
        <f t="array" ref="P11">_xll.FDS(C11,"FG_TOTAL_RETURNC(0,-6AM)")</f>
        <v>7.8213452999999999</v>
      </c>
      <c r="Q11" s="8" cm="1">
        <f t="array" ref="Q11">_xll.FDS(C11,"P_PRICE(0)/P_PRICE_HIGH_PR(0,,,USD,,,""PRICE"",""INTRA"",""52W"")")</f>
        <v>0.99650395000000003</v>
      </c>
      <c r="R11" s="8" cm="1">
        <f t="array" ref="R11">_xll.FDS(C11,"P_PRICE(0)/P_PRICE_low_PR(0,,,USD,,,""PRICE"",""INTRA"",""52W"")-1")</f>
        <v>0.28046763000000002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85.7</v>
      </c>
      <c r="Z11" s="4" cm="1">
        <f t="array" ref="Z11">_xlfn.PERCENTRANK.EXC(_xlfn._xlws.FILTER($K$3:$K$15, ISNUMBER($K$3:$K$15)),K11)*100</f>
        <v>57.099999999999994</v>
      </c>
      <c r="AA11" s="4" cm="1">
        <f t="array" ref="AA11">_xlfn.PERCENTRANK.EXC(_xlfn._xlws.FILTER($H$3:$H$15, ISNUMBER($H$3:$H$15)),H11)*100</f>
        <v>78.5</v>
      </c>
      <c r="AB11" s="4" cm="1">
        <f t="array" ref="AB11">_xlfn.PERCENTRANK.EXC(_xlfn._xlws.FILTER($J$3:$J$15, ISNUMBER($J$3:$J$15)),J11)*100</f>
        <v>85.7</v>
      </c>
      <c r="AC11" s="4">
        <f t="shared" si="6"/>
        <v>92.800000000000011</v>
      </c>
      <c r="AD11" s="4">
        <f t="shared" si="7"/>
        <v>35.699999999999996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5</v>
      </c>
      <c r="AK11" s="4"/>
    </row>
    <row r="12" spans="1:37" hidden="1" x14ac:dyDescent="0.3">
      <c r="A12" t="s">
        <v>141</v>
      </c>
      <c r="B12" t="str" cm="1">
        <f t="array" ref="B12">_xll.FDS(A12,"FG_COMPANY_NAME")</f>
        <v>iShares MSCI France ETF</v>
      </c>
      <c r="C12" t="s">
        <v>141</v>
      </c>
      <c r="D12" s="37" t="e">
        <f>VLOOKUP(C12,#REF!,5,FALSE)</f>
        <v>#REF!</v>
      </c>
      <c r="E12" cm="1">
        <f t="array" ref="E12">_xll.FDS(C12,"FMA_COS_UP(""EPS"",""1M"",+1,0,,,""PORTAGG"",""MEANR"")")</f>
        <v>20</v>
      </c>
      <c r="F12" cm="1">
        <f t="array" ref="F12">_xll.FDS(C12,"FMA_COS_DOWN(""EPS"",""1M"",+1,0,,,""PORTAGG"",""MEANR"")")</f>
        <v>33</v>
      </c>
      <c r="G12" cm="1">
        <f t="array" ref="G12">_xll.FDS(A12,"SIZE(FG_CONSTITUENTS)")</f>
        <v>62</v>
      </c>
      <c r="H12" s="8">
        <f t="shared" ref="H12:H15" si="9">E12/$G12</f>
        <v>0.32258064516129031</v>
      </c>
      <c r="I12" s="8">
        <f t="shared" ref="I12:I15" si="10">F12/$G12</f>
        <v>0.532258064516129</v>
      </c>
      <c r="J12" s="8">
        <f t="shared" ref="J12:J15" si="11">H12-I12</f>
        <v>-0.20967741935483869</v>
      </c>
      <c r="K12" s="5" cm="1">
        <f t="array" ref="K12">_xll.FDS(A12,"FMA_PCT_ABOVE_MAVG(200,0,,,,""PORTAGG"")")/100</f>
        <v>0.72580645161290303</v>
      </c>
      <c r="L12" s="19" cm="1">
        <f t="array" ref="L12">_xll.FDSB(A12,"PERCENT_CHANGE(FMA_EPS(+1,0,,,,""PORTAGG"",""MEAN""),FMA_EPS(+1,-1AM,,,,""PORTAGG"",""MEAN""))")</f>
        <v>-3.1887983386325698</v>
      </c>
      <c r="M12" s="19" cm="1">
        <f t="array" ref="M12">_xll.FDSB(A12,"PERCENT_CHANGE(FMA_EPS(+1,0,,,,""PORTAGG"",""MEAN""),FMA_EPS(+1,-3AM,,,,""PORTAGG"",""MEAN""))")</f>
        <v>-1.12806063240472</v>
      </c>
      <c r="O12" s="3" cm="1">
        <f t="array" ref="O12">_xll.FDS(C12,"FG_TOTAL_RETURNC(0,-3AM)")</f>
        <v>14.773666</v>
      </c>
      <c r="P12" s="3" cm="1">
        <f t="array" ref="P12">_xll.FDS(C12,"FG_TOTAL_RETURNC(0,-6AM)")</f>
        <v>1.3789654</v>
      </c>
      <c r="Q12" s="8" cm="1">
        <f t="array" ref="Q12">_xll.FDS(C12,"P_PRICE(0)/P_PRICE_HIGH_PR(0,,,USD,,,""PRICE"",""INTRA"",""52W"")")</f>
        <v>0.97647052999999995</v>
      </c>
      <c r="R12" s="8" cm="1">
        <f t="array" ref="R12">_xll.FDS(C12,"P_PRICE(0)/P_PRICE_low_PR(0,,,USD,,,""PRICE"",""INTRA"",""52W"")-1")</f>
        <v>0.15894233999999999</v>
      </c>
      <c r="T12" s="4" cm="1">
        <f t="array" ref="T12">_xlfn.PERCENTRANK.EXC(_xlfn._xlws.FILTER($R$3:$R$15, ISNUMBER($R$3:$R$15)),R12)*100</f>
        <v>35.699999999999996</v>
      </c>
      <c r="U12" s="4">
        <f t="shared" ref="U12:U15" si="12">100-T12</f>
        <v>64.300000000000011</v>
      </c>
      <c r="V12" s="4" cm="1">
        <f t="array" ref="V12">_xlfn.PERCENTRANK.EXC(_xlfn._xlws.FILTER($Q$3:$Q$15, ISNUMBER($Q$3:$Q$15)),Q12)*100</f>
        <v>42.8</v>
      </c>
      <c r="W12" s="4" cm="1">
        <f t="array" ref="W12">_xlfn.PERCENTRANK.EXC(_xlfn._xlws.FILTER($O$3:$O$15, ISNUMBER($O$3:$O$15)),O12)*100</f>
        <v>21.4</v>
      </c>
      <c r="X12" s="4" cm="1">
        <f t="array" ref="X12">_xlfn.PERCENTRANK.EXC(_xlfn._xlws.FILTER($P$3:$P$15, ISNUMBER($P$3:$P$15)),P12)*100</f>
        <v>28.499999999999996</v>
      </c>
      <c r="Z12" s="4" cm="1">
        <f t="array" ref="Z12">_xlfn.PERCENTRANK.EXC(_xlfn._xlws.FILTER($K$3:$K$15, ISNUMBER($K$3:$K$15)),K12)*100</f>
        <v>78.5</v>
      </c>
      <c r="AA12" s="4" cm="1">
        <f t="array" ref="AA12">_xlfn.PERCENTRANK.EXC(_xlfn._xlws.FILTER($H$3:$H$15, ISNUMBER($H$3:$H$15)),H12)*100</f>
        <v>50</v>
      </c>
      <c r="AB12" s="4" cm="1">
        <f t="array" ref="AB12">_xlfn.PERCENTRANK.EXC(_xlfn._xlws.FILTER($J$3:$J$15, ISNUMBER($J$3:$J$15)),J12)*100</f>
        <v>28.499999999999996</v>
      </c>
      <c r="AC12" s="4">
        <f t="shared" si="6"/>
        <v>57.099999999999994</v>
      </c>
      <c r="AD12" s="4">
        <f t="shared" si="7"/>
        <v>50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">
      <c r="A13" t="s">
        <v>143</v>
      </c>
      <c r="B13" t="str" cm="1">
        <f t="array" ref="B13">_xll.FDS(A13,"FG_COMPANY_NAME")</f>
        <v>iShares MSCI Netherlands ETF</v>
      </c>
      <c r="C13" t="s">
        <v>143</v>
      </c>
      <c r="D13" s="37" t="e">
        <f>VLOOKUP(C13,#REF!,5,FALSE)</f>
        <v>#REF!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25</v>
      </c>
      <c r="G13" cm="1">
        <f t="array" ref="G13">_xll.FDS(A13,"SIZE(FG_CONSTITUENTS)")</f>
        <v>55</v>
      </c>
      <c r="H13" s="8">
        <f t="shared" si="9"/>
        <v>0.27272727272727271</v>
      </c>
      <c r="I13" s="8">
        <f t="shared" si="10"/>
        <v>0.45454545454545453</v>
      </c>
      <c r="J13" s="8">
        <f t="shared" si="11"/>
        <v>-0.18181818181818182</v>
      </c>
      <c r="K13" s="5" cm="1">
        <f t="array" ref="K13">_xll.FDS(A13,"FMA_PCT_ABOVE_MAVG(200,0,,,,""PORTAGG"")")/100</f>
        <v>0.53703703703703698</v>
      </c>
      <c r="L13" s="19" cm="1">
        <f t="array" ref="L13">_xll.FDSB(A13,"PERCENT_CHANGE(FMA_EPS(+1,0,,,,""PORTAGG"",""MEAN""),FMA_EPS(+1,-1AM,,,,""PORTAGG"",""MEAN""))")</f>
        <v>-2.8177358025558101</v>
      </c>
      <c r="M13" s="19" cm="1">
        <f t="array" ref="M13">_xll.FDSB(A13,"PERCENT_CHANGE(FMA_EPS(+1,0,,,,""PORTAGG"",""MEAN""),FMA_EPS(+1,-3AM,,,,""PORTAGG"",""MEAN""))")</f>
        <v>1.04065953776456</v>
      </c>
      <c r="O13" s="3" cm="1">
        <f t="array" ref="O13">_xll.FDS(C13,"FG_TOTAL_RETURNC(0,-3AM)")</f>
        <v>25.778818000000001</v>
      </c>
      <c r="P13" s="3" cm="1">
        <f t="array" ref="P13">_xll.FDS(C13,"FG_TOTAL_RETURNC(0,-6AM)")</f>
        <v>5.1609755000000002</v>
      </c>
      <c r="Q13" s="8" cm="1">
        <f t="array" ref="Q13">_xll.FDS(C13,"P_PRICE(0)/P_PRICE_HIGH_PR(0,,,USD,,,""PRICE"",""INTRA"",""52W"")")</f>
        <v>0.99652929999999995</v>
      </c>
      <c r="R13" s="8" cm="1">
        <f t="array" ref="R13">_xll.FDS(C13,"P_PRICE(0)/P_PRICE_low_PR(0,,,USD,,,""PRICE"",""INTRA"",""52W"")-1")</f>
        <v>0.26591336999999998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92.800000000000011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64.2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35.699999999999996</v>
      </c>
      <c r="AB13" s="4" cm="1">
        <f t="array" ref="AB13">_xlfn.PERCENTRANK.EXC(_xlfn._xlws.FILTER($J$3:$J$15, ISNUMBER($J$3:$J$15)),J13)*100</f>
        <v>35.699999999999996</v>
      </c>
      <c r="AC13" s="4">
        <f t="shared" si="6"/>
        <v>64.2</v>
      </c>
      <c r="AD13" s="4">
        <f t="shared" si="7"/>
        <v>85.7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">
      <c r="A14" t="s">
        <v>140</v>
      </c>
      <c r="B14" t="str" cm="1">
        <f t="array" ref="B14">_xll.FDS(A14,"FG_COMPANY_NAME")</f>
        <v>iShares MSCI Sweden ETF</v>
      </c>
      <c r="C14" t="s">
        <v>140</v>
      </c>
      <c r="D14" s="37" t="e">
        <f>VLOOKUP(C14,#REF!,5,FALSE)</f>
        <v>#REF!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21</v>
      </c>
      <c r="G14" cm="1">
        <f t="array" ref="G14">_xll.FDS(A14,"SIZE(FG_CONSTITUENTS)")</f>
        <v>45</v>
      </c>
      <c r="H14" s="8">
        <f t="shared" si="9"/>
        <v>0.22222222222222221</v>
      </c>
      <c r="I14" s="8">
        <f t="shared" si="10"/>
        <v>0.46666666666666667</v>
      </c>
      <c r="J14" s="8">
        <f t="shared" si="11"/>
        <v>-0.24444444444444446</v>
      </c>
      <c r="K14" s="5" cm="1">
        <f t="array" ref="K14">_xll.FDS(A14,"FMA_PCT_ABOVE_MAVG(200,0,,,,""PORTAGG"")")/100</f>
        <v>0.72093023255813904</v>
      </c>
      <c r="L14" s="19" cm="1">
        <f t="array" ref="L14">_xll.FDSB(A14,"PERCENT_CHANGE(FMA_EPS(+1,0,,,,""PORTAGG"",""MEAN""),FMA_EPS(+1,-1AM,,,,""PORTAGG"",""MEAN""))")</f>
        <v>-5.8891437021863204</v>
      </c>
      <c r="M14" s="19" cm="1">
        <f t="array" ref="M14">_xll.FDSB(A14,"PERCENT_CHANGE(FMA_EPS(+1,0,,,,""PORTAGG"",""MEAN""),FMA_EPS(+1,-3AM,,,,""PORTAGG"",""MEAN""))")</f>
        <v>-5.3334546112322503</v>
      </c>
      <c r="O14" s="3" cm="1">
        <f t="array" ref="O14">_xll.FDS(C14,"FG_TOTAL_RETURNC(0,-3AM)")</f>
        <v>23.148298</v>
      </c>
      <c r="P14" s="3" cm="1">
        <f t="array" ref="P14">_xll.FDS(C14,"FG_TOTAL_RETURNC(0,-6AM)")</f>
        <v>5.8481573999999998</v>
      </c>
      <c r="Q14" s="8" cm="1">
        <f t="array" ref="Q14">_xll.FDS(C14,"P_PRICE(0)/P_PRICE_HIGH_PR(0,,,USD,,,""PRICE"",""INTRA"",""52W"")")</f>
        <v>0.93135034999999999</v>
      </c>
      <c r="R14" s="8" cm="1">
        <f t="array" ref="R14">_xll.FDS(C14,"P_PRICE(0)/P_PRICE_low_PR(0,,,USD,,,""PRICE"",""INTRA"",""52W"")-1")</f>
        <v>0.21492589000000001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14.2</v>
      </c>
      <c r="W14" s="4" cm="1">
        <f t="array" ref="W14">_xlfn.PERCENTRANK.EXC(_xlfn._xlws.FILTER($O$3:$O$15, ISNUMBER($O$3:$O$15)),O14)*100</f>
        <v>78.5</v>
      </c>
      <c r="X14" s="4" cm="1">
        <f t="array" ref="X14">_xlfn.PERCENTRANK.EXC(_xlfn._xlws.FILTER($P$3:$P$15, ISNUMBER($P$3:$P$15)),P14)*100</f>
        <v>78.5</v>
      </c>
      <c r="Z14" s="4" cm="1">
        <f t="array" ref="Z14">_xlfn.PERCENTRANK.EXC(_xlfn._xlws.FILTER($K$3:$K$15, ISNUMBER($K$3:$K$15)),K14)*100</f>
        <v>71.399999999999991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21.4</v>
      </c>
      <c r="AC14" s="4">
        <f t="shared" si="6"/>
        <v>7.1</v>
      </c>
      <c r="AD14" s="4">
        <f t="shared" si="7"/>
        <v>14.2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3</v>
      </c>
    </row>
    <row r="15" spans="1:37" hidden="1" x14ac:dyDescent="0.3">
      <c r="A15" t="s">
        <v>142</v>
      </c>
      <c r="B15" t="str" cm="1">
        <f t="array" ref="B15">_xll.FDS(A15,"FG_COMPANY_NAME")</f>
        <v>iShares MSCI Italy ETF</v>
      </c>
      <c r="C15" t="s">
        <v>142</v>
      </c>
      <c r="D15" s="37" t="e">
        <f>VLOOKUP(C15,#REF!,5,FALSE)</f>
        <v>#REF!</v>
      </c>
      <c r="E15" cm="1">
        <f t="array" ref="E15">_xll.FDS(C15,"FMA_COS_UP(""EPS"",""1M"",+1,0,,,""PORTAGG"",""MEANR"")")</f>
        <v>6</v>
      </c>
      <c r="F15" cm="1">
        <f t="array" ref="F15">_xll.FDS(C15,"FMA_COS_DOWN(""EPS"",""1M"",+1,0,,,""PORTAGG"",""MEANR"")")</f>
        <v>13</v>
      </c>
      <c r="G15" cm="1">
        <f t="array" ref="G15">_xll.FDS(A15,"SIZE(FG_CONSTITUENTS)")</f>
        <v>26</v>
      </c>
      <c r="H15" s="8">
        <f t="shared" si="9"/>
        <v>0.23076923076923078</v>
      </c>
      <c r="I15" s="8">
        <f t="shared" si="10"/>
        <v>0.5</v>
      </c>
      <c r="J15" s="8">
        <f t="shared" si="11"/>
        <v>-0.26923076923076922</v>
      </c>
      <c r="K15" s="5" cm="1">
        <f t="array" ref="K15">_xll.FDS(A15,"FMA_PCT_ABOVE_MAVG(200,0,,,,""PORTAGG"")")/100</f>
        <v>0.72</v>
      </c>
      <c r="L15" s="19" cm="1">
        <f t="array" ref="L15">_xll.FDSB(A15,"PERCENT_CHANGE(FMA_EPS(+1,0,,,,""PORTAGG"",""MEAN""),FMA_EPS(+1,-1AM,,,,""PORTAGG"",""MEAN""))")</f>
        <v>-2.56266426664765</v>
      </c>
      <c r="M15" s="19" cm="1">
        <f t="array" ref="M15">_xll.FDSB(A15,"PERCENT_CHANGE(FMA_EPS(+1,0,,,,""PORTAGG"",""MEAN""),FMA_EPS(+1,-3AM,,,,""PORTAGG"",""MEAN""))")</f>
        <v>-0.331049008113385</v>
      </c>
      <c r="O15" s="3" cm="1">
        <f t="array" ref="O15">_xll.FDS(C15,"FG_TOTAL_RETURNC(0,-3AM)")</f>
        <v>15.520393</v>
      </c>
      <c r="P15" s="3" cm="1">
        <f t="array" ref="P15">_xll.FDS(C15,"FG_TOTAL_RETURNC(0,-6AM)")</f>
        <v>2.0546079000000002</v>
      </c>
      <c r="Q15" s="8" cm="1">
        <f t="array" ref="Q15">_xll.FDS(C15,"P_PRICE(0)/P_PRICE_HIGH_PR(0,,,USD,,,""PRICE"",""INTRA"",""52W"")")</f>
        <v>0.97607933999999996</v>
      </c>
      <c r="R15" s="8" cm="1">
        <f t="array" ref="R15">_xll.FDS(C15,"P_PRICE(0)/P_PRICE_low_PR(0,,,USD,,,""PRICE"",""INTRA"",""52W"")-1")</f>
        <v>0.2022996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35.699999999999996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42.8</v>
      </c>
      <c r="Z15" s="4" cm="1">
        <f t="array" ref="Z15">_xlfn.PERCENTRANK.EXC(_xlfn._xlws.FILTER($K$3:$K$15, ISNUMBER($K$3:$K$15)),K15)*100</f>
        <v>64.2</v>
      </c>
      <c r="AA15" s="4" cm="1">
        <f t="array" ref="AA15">_xlfn.PERCENTRANK.EXC(_xlfn._xlws.FILTER($H$3:$H$15, ISNUMBER($H$3:$H$15)),H15)*100</f>
        <v>21.4</v>
      </c>
      <c r="AB15" s="4" cm="1">
        <f t="array" ref="AB15">_xlfn.PERCENTRANK.EXC(_xlfn._xlws.FILTER($J$3:$J$15, ISNUMBER($J$3:$J$15)),J15)*100</f>
        <v>14.2</v>
      </c>
      <c r="AC15" s="4">
        <f t="shared" si="6"/>
        <v>71.399999999999991</v>
      </c>
      <c r="AD15" s="4">
        <f t="shared" si="7"/>
        <v>64.2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0</v>
      </c>
    </row>
    <row r="16" spans="1:37" x14ac:dyDescent="0.3">
      <c r="H16" s="8"/>
      <c r="I16" s="8"/>
      <c r="J16" s="8"/>
      <c r="K16" s="5"/>
      <c r="L16" s="19"/>
      <c r="M16" s="19"/>
      <c r="O16" s="3"/>
      <c r="Q16" s="8"/>
      <c r="R16" s="8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">
      <c r="A17" s="1" t="s">
        <v>88</v>
      </c>
      <c r="H17" s="8"/>
      <c r="I17" s="8"/>
      <c r="J17" s="8"/>
      <c r="K17" s="5"/>
      <c r="L17" s="19"/>
      <c r="M17" s="19"/>
      <c r="O17" s="3"/>
      <c r="Q17" s="8"/>
      <c r="R17" s="8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">
      <c r="A18" t="s">
        <v>71</v>
      </c>
      <c r="B18" t="s">
        <v>42</v>
      </c>
      <c r="C18" t="str">
        <f>A18</f>
        <v>VGK</v>
      </c>
      <c r="E18" cm="1">
        <f t="array" ref="E18">_xll.FDS(C18,"FMA_COS_UP(""EPS"",""1M"",+1,0,,,""PORTAGG"",""MEANR"")")</f>
        <v>383</v>
      </c>
      <c r="F18" cm="1">
        <f t="array" ref="F18">_xll.FDS(C18,"FMA_COS_DOWN(""EPS"",""1M"",+1,0,,,""PORTAGG"",""MEANR"")")</f>
        <v>379</v>
      </c>
      <c r="G18" cm="1">
        <f t="array" ref="G18">_xll.FDS(A18,"SIZE(FG_CONSTITUENTS)")</f>
        <v>1294</v>
      </c>
      <c r="H18" s="8">
        <f>E18/$G18</f>
        <v>0.29598145285935085</v>
      </c>
      <c r="I18" s="8">
        <f>F18/$G18</f>
        <v>0.2928902627511592</v>
      </c>
      <c r="J18" s="8">
        <f t="shared" ref="J18" si="15">H18-I18</f>
        <v>3.0911901081916437E-3</v>
      </c>
      <c r="K18" s="5" cm="1">
        <f t="array" ref="K18">_xll.FDS(A18,"FMA_PCT_ABOVE_MAVG(200,0,,,,""PORTAGG"")")/100</f>
        <v>0.64544025157232698</v>
      </c>
      <c r="L18" s="19" cm="1">
        <f t="array" ref="L18">_xll.FDSB(A18,"PERCENT_CHANGE(FMA_EPS(+1,0,,,,""PORTAGG"",""MEAN""),FMA_EPS(+1,-1AM,,,,""PORTAGG"",""MEAN""))")</f>
        <v>-0.27643832895587001</v>
      </c>
      <c r="M18" s="19" cm="1">
        <f t="array" ref="M18">_xll.FDSB(A18,"PERCENT_CHANGE(FMA_EPS(+1,0,,,,""PORTAGG"",""MEAN""),FMA_EPS(+1,-3AM,,,,""PORTAGG"",""MEAN""))")</f>
        <v>2.13812512841139</v>
      </c>
      <c r="O18" s="3" cm="1">
        <f t="array" ref="O18">_xll.FDS(C18,"FG_TOTAL_RETURNC(0,-3AM)")</f>
        <v>15.876018999999999</v>
      </c>
      <c r="P18" s="3" cm="1">
        <f t="array" ref="P18">_xll.FDS(C18,"FG_TOTAL_RETURNC(0,-6AM)")</f>
        <v>2.1065353999999998</v>
      </c>
      <c r="Q18" s="8" cm="1">
        <f t="array" ref="Q18">_xll.FDS(C18,"P_PRICE(0)/P_PRICE_HIGH_PR(0,,,USD,,,""PRICE"",""INTRA"",""52W"")")</f>
        <v>0.98482630000000004</v>
      </c>
      <c r="R18" s="8" cm="1">
        <f t="array" ref="R18">_xll.FDS(C18,"P_PRICE(0)/P_PRICE_low_PR(0,,,USD,,,""PRICE"",""INTRA"",""52W"")-1")</f>
        <v>0.16109693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">
      <c r="A19" t="s">
        <v>4</v>
      </c>
      <c r="B19" t="s">
        <v>87</v>
      </c>
      <c r="C19" t="str">
        <f>A19</f>
        <v>VWO</v>
      </c>
      <c r="E19" cm="1">
        <f t="array" ref="E19">_xll.FDS(C19,"FMA_COS_UP(""EPS"",""1M"",+1,0,,,""PORTAGG"",""MEANR"")")</f>
        <v>729</v>
      </c>
      <c r="F19" cm="1">
        <f t="array" ref="F19">_xll.FDS(C19,"FMA_COS_DOWN(""EPS"",""1M"",+1,0,,,""PORTAGG"",""MEANR"")")</f>
        <v>1281</v>
      </c>
      <c r="G19" cm="1">
        <f t="array" ref="G19">_xll.FDS(A19,"SIZE(FG_CONSTITUENTS)")</f>
        <v>4684</v>
      </c>
      <c r="H19" s="8">
        <f>E19/$G19</f>
        <v>0.15563620836891545</v>
      </c>
      <c r="I19" s="8">
        <f>F19/$G19</f>
        <v>0.27348420153714775</v>
      </c>
      <c r="J19" s="8">
        <f t="shared" ref="J19" si="16">H19-I19</f>
        <v>-0.1178479931682323</v>
      </c>
      <c r="K19" s="5" cm="1">
        <f t="array" ref="K19">_xll.FDS(A19,"FMA_PCT_ABOVE_MAVG(200,0,,,,""PORTAGG"")")/100</f>
        <v>0.43137254901960803</v>
      </c>
      <c r="L19" s="19" cm="1">
        <f t="array" ref="L19">_xll.FDSB(A19,"PERCENT_CHANGE(FMA_EPS(+1,0,,,,""PORTAGG"",""MEAN""),FMA_EPS(+1,-1AM,,,,""PORTAGG"",""MEAN""))")</f>
        <v>-2.1271545200038502</v>
      </c>
      <c r="M19" s="19" cm="1">
        <f t="array" ref="M19">_xll.FDSB(A19,"PERCENT_CHANGE(FMA_EPS(+1,0,,,,""PORTAGG"",""MEAN""),FMA_EPS(+1,-3AM,,,,""PORTAGG"",""MEAN""))")</f>
        <v>0.303980209028829</v>
      </c>
      <c r="O19" s="3" cm="1">
        <f t="array" ref="O19">_xll.FDS(C19,"FG_TOTAL_RETURNC(0,-3AM)")</f>
        <v>8.7017419999999994</v>
      </c>
      <c r="P19" s="3" cm="1">
        <f t="array" ref="P19">_xll.FDS(C19,"FG_TOTAL_RETURNC(0,-6AM)")</f>
        <v>-2.6167511999999999</v>
      </c>
      <c r="Q19" s="8" cm="1">
        <f t="array" ref="Q19">_xll.FDS(C19,"P_PRICE(0)/P_PRICE_HIGH_PR(0,,,USD,,,""PRICE"",""INTRA"",""52W"")")</f>
        <v>0.93178660000000002</v>
      </c>
      <c r="R19" s="8" cm="1">
        <f t="array" ref="R19">_xll.FDS(C19,"P_PRICE(0)/P_PRICE_low_PR(0,,,USD,,,""PRICE"",""INTRA"",""52W"")-1")</f>
        <v>7.2219969999999994E-2</v>
      </c>
    </row>
    <row r="20" spans="1:35" x14ac:dyDescent="0.3">
      <c r="A20" t="s">
        <v>89</v>
      </c>
      <c r="B20" t="s">
        <v>90</v>
      </c>
      <c r="C20" t="str">
        <f t="shared" ref="C20" si="17">A20</f>
        <v>URTH</v>
      </c>
      <c r="E20" cm="1">
        <f t="array" ref="E20">_xll.FDS(C20,"FMA_COS_UP(""EPS"",""1M"",+1,0,,,""PORTAGG"",""MEANR"")")</f>
        <v>555</v>
      </c>
      <c r="F20" cm="1">
        <f t="array" ref="F20">_xll.FDS(C20,"FMA_COS_DOWN(""EPS"",""1M"",+1,0,,,""PORTAGG"",""MEANR"")")</f>
        <v>595</v>
      </c>
      <c r="G20" cm="1">
        <f t="array" ref="G20">_xll.FDS(A20,"SIZE(FG_CONSTITUENTS)")</f>
        <v>1484</v>
      </c>
      <c r="H20" s="8">
        <f t="shared" ref="H20" si="18">E20/$G20</f>
        <v>0.37398921832884097</v>
      </c>
      <c r="I20" s="8">
        <f t="shared" ref="I20" si="19">F20/$G20</f>
        <v>0.40094339622641512</v>
      </c>
      <c r="J20" s="8">
        <f t="shared" ref="J20" si="20">H20-I20</f>
        <v>-2.695417789757415E-2</v>
      </c>
      <c r="K20" s="5" cm="1">
        <f t="array" ref="K20">_xll.FDS(A20,"FMA_PCT_ABOVE_MAVG(200,0,,,,""PORTAGG"")")/100</f>
        <v>0.65899864682002696</v>
      </c>
      <c r="L20" s="19" cm="1">
        <f t="array" ref="L20">_xll.FDSB(A20,"PERCENT_CHANGE(FMA_EPS(+1,0,,,,""PORTAGG"",""MEAN""),FMA_EPS(+1,-1AM,,,,""PORTAGG"",""MEAN""))")</f>
        <v>-1.6450423930167399</v>
      </c>
      <c r="M20" s="19" cm="1">
        <f t="array" ref="M20">_xll.FDSB(A20,"PERCENT_CHANGE(FMA_EPS(+1,0,,,,""PORTAGG"",""MEAN""),FMA_EPS(+1,-3AM,,,,""PORTAGG"",""MEAN""))")</f>
        <v>-0.99611099016457905</v>
      </c>
      <c r="O20" s="3" cm="1">
        <f t="array" ref="O20">_xll.FDS(C20,"FG_TOTAL_RETURNC(0,-3AM)")</f>
        <v>17.837344999999999</v>
      </c>
      <c r="P20" s="3" cm="1">
        <f t="array" ref="P20">_xll.FDS(C20,"FG_TOTAL_RETURNC(0,-6AM)")</f>
        <v>6.3951373</v>
      </c>
      <c r="Q20" s="8" cm="1">
        <f t="array" ref="Q20">_xll.FDS(C20,"P_PRICE(0)/P_PRICE_HIGH_PR(0,,,USD,,,""PRICE"",""INTRA"",""52W"")")</f>
        <v>0.99719460000000004</v>
      </c>
      <c r="R20" s="8" cm="1">
        <f t="array" ref="R20">_xll.FDS(C20,"P_PRICE(0)/P_PRICE_low_PR(0,,,USD,,,""PRICE"",""INTRA"",""52W"")-1")</f>
        <v>0.23374139999999999</v>
      </c>
    </row>
    <row r="21" spans="1:35" x14ac:dyDescent="0.3">
      <c r="A21" t="s">
        <v>12</v>
      </c>
      <c r="B21" t="s">
        <v>80</v>
      </c>
      <c r="C21" t="str">
        <f t="shared" ref="C21:C22" si="21">A21</f>
        <v>EWJ</v>
      </c>
      <c r="E21" cm="1">
        <f t="array" ref="E21">_xll.FDS(C21,"FMA_COS_UP(""EPS"",""1M"",+1,0,,,""PORTAGG"",""MEANR"")")</f>
        <v>87</v>
      </c>
      <c r="F21" cm="1">
        <f t="array" ref="F21">_xll.FDS(C21,"FMA_COS_DOWN(""EPS"",""1M"",+1,0,,,""PORTAGG"",""MEANR"")")</f>
        <v>87</v>
      </c>
      <c r="G21" cm="1">
        <f t="array" ref="G21">_xll.FDS(A21,"SIZE(FG_CONSTITUENTS)")</f>
        <v>227</v>
      </c>
      <c r="H21" s="8">
        <f t="shared" ref="H21:H22" si="22">E21/$G21</f>
        <v>0.38325991189427311</v>
      </c>
      <c r="I21" s="8">
        <f t="shared" ref="I21:I22" si="23">F21/$G21</f>
        <v>0.38325991189427311</v>
      </c>
      <c r="J21" s="8">
        <f t="shared" ref="J21:J22" si="24">H21-I21</f>
        <v>0</v>
      </c>
      <c r="K21" s="5" cm="1">
        <f t="array" ref="K21">_xll.FDS(A21,"FMA_PCT_ABOVE_MAVG(200,0,,,,""PORTAGG"")")/100</f>
        <v>0.75221238938053103</v>
      </c>
      <c r="L21" s="19" cm="1">
        <f t="array" ref="L21">_xll.FDSB(A21,"PERCENT_CHANGE(FMA_EPS(+1,0,,,,""PORTAGG"",""MEAN""),FMA_EPS(+1,-1AM,,,,""PORTAGG"",""MEAN""))")</f>
        <v>-3.5507754774062201</v>
      </c>
      <c r="M21" s="19" cm="1">
        <f t="array" ref="M21">_xll.FDSB(A21,"PERCENT_CHANGE(FMA_EPS(+1,0,,,,""PORTAGG"",""MEAN""),FMA_EPS(+1,-3AM,,,,""PORTAGG"",""MEAN""))")</f>
        <v>3.14053455069197</v>
      </c>
      <c r="O21" s="3" cm="1">
        <f t="array" ref="O21">_xll.FDS(C21,"FG_TOTAL_RETURNC(0,-3AM)")</f>
        <v>15.646445999999999</v>
      </c>
      <c r="P21" s="3" cm="1">
        <f t="array" ref="P21">_xll.FDS(C21,"FG_TOTAL_RETURNC(0,-6AM)")</f>
        <v>5.5414079999999997</v>
      </c>
      <c r="Q21" s="8" cm="1">
        <f t="array" ref="Q21">_xll.FDS(C21,"P_PRICE(0)/P_PRICE_HIGH_PR(0,,,USD,,,""PRICE"",""INTRA"",""52W"")")</f>
        <v>0.97816009999999998</v>
      </c>
      <c r="R21" s="8" cm="1">
        <f t="array" ref="R21">_xll.FDS(C21,"P_PRICE(0)/P_PRICE_low_PR(0,,,USD,,,""PRICE"",""INTRA"",""52W"")-1")</f>
        <v>0.19860685</v>
      </c>
    </row>
    <row r="22" spans="1:35" x14ac:dyDescent="0.3">
      <c r="A22" t="s">
        <v>1</v>
      </c>
      <c r="B22" t="s">
        <v>35</v>
      </c>
      <c r="C22" t="str">
        <f t="shared" si="21"/>
        <v>SPY</v>
      </c>
      <c r="E22" cm="1">
        <f t="array" ref="E22">_xll.FDS(C22,"FMA_COS_UP(""EPS"",""1M"",+1,0,,,""PORTAGG"",""MEANR"")")</f>
        <v>223</v>
      </c>
      <c r="F22" cm="1">
        <f t="array" ref="F22">_xll.FDS(C22,"FMA_COS_DOWN(""EPS"",""1M"",+1,0,,,""PORTAGG"",""MEANR"")")</f>
        <v>155</v>
      </c>
      <c r="G22" cm="1">
        <f t="array" ref="G22">_xll.FDS(A22,"SIZE(FG_CONSTITUENTS)")</f>
        <v>504</v>
      </c>
      <c r="H22" s="8">
        <f t="shared" si="22"/>
        <v>0.44246031746031744</v>
      </c>
      <c r="I22" s="8">
        <f t="shared" si="23"/>
        <v>0.30753968253968256</v>
      </c>
      <c r="J22" s="8">
        <f t="shared" si="24"/>
        <v>0.13492063492063489</v>
      </c>
      <c r="K22" s="5" cm="1">
        <f t="array" ref="K22">_xll.FDS(A22,"FMA_PCT_ABOVE_MAVG(200,0,,,,""PORTAGG"")")/100</f>
        <v>0.70119521912350602</v>
      </c>
      <c r="L22" s="19" cm="1">
        <f t="array" ref="L22">_xll.FDSB(A22,"PERCENT_CHANGE(FMA_EPS(+1,0,,,,""PORTAGG"",""MEAN""),FMA_EPS(+1,-1AM,,,,""PORTAGG"",""MEAN""))")</f>
        <v>-0.73456816354728505</v>
      </c>
      <c r="M22" s="19" cm="1">
        <f t="array" ref="M22">_xll.FDSB(A22,"PERCENT_CHANGE(FMA_EPS(+1,0,,,,""PORTAGG"",""MEAN""),FMA_EPS(+1,-3AM,,,,""PORTAGG"",""MEAN""))")</f>
        <v>-1.54372808415427</v>
      </c>
      <c r="O22" s="3" cm="1">
        <f t="array" ref="O22">_xll.FDS(C22,"FG_TOTAL_RETURNC(0,-3AM)")</f>
        <v>18.625509999999998</v>
      </c>
      <c r="P22" s="3" cm="1">
        <f t="array" ref="P22">_xll.FDS(C22,"FG_TOTAL_RETURNC(0,-6AM)")</f>
        <v>7.8213452999999999</v>
      </c>
      <c r="Q22" s="8" cm="1">
        <f t="array" ref="Q22">_xll.FDS(C22,"P_PRICE(0)/P_PRICE_HIGH_PR(0,,,USD,,,""PRICE"",""INTRA"",""52W"")")</f>
        <v>0.99650395000000003</v>
      </c>
      <c r="R22" s="8" cm="1">
        <f t="array" ref="R22">_xll.FDS(C22,"P_PRICE(0)/P_PRICE_low_PR(0,,,USD,,,""PRICE"",""INTRA"",""52W"")-1")</f>
        <v>0.28046763000000002</v>
      </c>
    </row>
    <row r="23" spans="1:35" x14ac:dyDescent="0.3">
      <c r="A23" t="s">
        <v>9</v>
      </c>
      <c r="B23" t="s">
        <v>184</v>
      </c>
      <c r="C23" t="str">
        <f t="shared" ref="C23:C27" si="25">A23</f>
        <v>INDA</v>
      </c>
      <c r="E23" cm="1">
        <f t="array" ref="E23">_xll.FDS(C23,"FMA_COS_UP(""EPS"",""1M"",+1,0,,,""PORTAGG"",""MEANR"")")</f>
        <v>44</v>
      </c>
      <c r="F23" cm="1">
        <f t="array" ref="F23">_xll.FDS(C23,"FMA_COS_DOWN(""EPS"",""1M"",+1,0,,,""PORTAGG"",""MEANR"")")</f>
        <v>69</v>
      </c>
      <c r="G23" cm="1">
        <f t="array" ref="G23">_xll.FDS(A23,"SIZE(FG_CONSTITUENTS)")</f>
        <v>132</v>
      </c>
      <c r="H23" s="8">
        <f t="shared" ref="H23" si="26">E23/$G23</f>
        <v>0.33333333333333331</v>
      </c>
      <c r="I23" s="8">
        <f t="shared" ref="I23" si="27">F23/$G23</f>
        <v>0.52272727272727271</v>
      </c>
      <c r="J23" s="8">
        <f t="shared" ref="J23" si="28">H23-I23</f>
        <v>-0.18939393939393939</v>
      </c>
      <c r="K23" s="5" cm="1">
        <f t="array" ref="K23">_xll.FDS(A23,"FMA_PCT_ABOVE_MAVG(200,0,,,,""PORTAGG"")")/100</f>
        <v>0.81679389312977091</v>
      </c>
      <c r="L23" s="19" cm="1">
        <f t="array" ref="L23">_xll.FDSB(A23,"PERCENT_CHANGE(FMA_EPS(+1,0,,,,""PORTAGG"",""MEAN""),FMA_EPS(+1,-1AM,,,,""PORTAGG"",""MEAN""))")</f>
        <v>-0.15088706164818799</v>
      </c>
      <c r="M23" s="19" cm="1">
        <f t="array" ref="M23">_xll.FDSB(A23,"PERCENT_CHANGE(FMA_EPS(+1,0,,,,""PORTAGG"",""MEAN""),FMA_EPS(+1,-3AM,,,,""PORTAGG"",""MEAN""))")</f>
        <v>-1.02389000946144</v>
      </c>
      <c r="O23" s="3" cm="1">
        <f t="array" ref="O23">_xll.FDS(C23,"FG_TOTAL_RETURNC(0,-3AM)")</f>
        <v>15.118181</v>
      </c>
      <c r="P23" s="3" cm="1">
        <f t="array" ref="P23">_xll.FDS(C23,"FG_TOTAL_RETURNC(0,-6AM)")</f>
        <v>10.093999</v>
      </c>
      <c r="Q23" s="8" cm="1">
        <f t="array" ref="Q23">_xll.FDS(C23,"P_PRICE(0)/P_PRICE_HIGH_PR(0,,,USD,,,""PRICE"",""INTRA"",""52W"")")</f>
        <v>0.97988045000000001</v>
      </c>
      <c r="R23" s="8" cm="1">
        <f t="array" ref="R23">_xll.FDS(C23,"P_PRICE(0)/P_PRICE_low_PR(0,,,USD,,,""PRICE"",""INTRA"",""52W"")-1")</f>
        <v>0.30252874000000002</v>
      </c>
    </row>
    <row r="24" spans="1:35" x14ac:dyDescent="0.3">
      <c r="A24" t="s">
        <v>161</v>
      </c>
      <c r="C24" t="str">
        <f t="shared" si="25"/>
        <v>EMXC</v>
      </c>
      <c r="E24" cm="1">
        <f t="array" ref="E24">_xll.FDS(C24,"FMA_COS_UP(""EPS"",""1M"",+1,0,,,""PORTAGG"",""MEANR"")")</f>
        <v>240</v>
      </c>
      <c r="F24" cm="1">
        <f t="array" ref="F24">_xll.FDS(C24,"FMA_COS_DOWN(""EPS"",""1M"",+1,0,,,""PORTAGG"",""MEANR"")")</f>
        <v>283</v>
      </c>
      <c r="G24" cm="1">
        <f t="array" ref="G24">_xll.FDS(A24,"SIZE(FG_CONSTITUENTS)")</f>
        <v>700</v>
      </c>
      <c r="H24" s="8">
        <f t="shared" ref="H24" si="29">E24/$G24</f>
        <v>0.34285714285714286</v>
      </c>
      <c r="I24" s="8">
        <f t="shared" ref="I24" si="30">F24/$G24</f>
        <v>0.4042857142857143</v>
      </c>
      <c r="J24" s="8">
        <f t="shared" ref="J24" si="31">H24-I24</f>
        <v>-6.1428571428571443E-2</v>
      </c>
      <c r="K24" s="5" cm="1">
        <f t="array" ref="K24">_xll.FDS(A24,"FMA_PCT_ABOVE_MAVG(200,0,,,,""PORTAGG"")")/100</f>
        <v>0.60682492581602399</v>
      </c>
      <c r="L24" s="19" cm="1">
        <f t="array" ref="L24">_xll.FDSB(A24,"PERCENT_CHANGE(FMA_EPS(+1,0,,,,""PORTAGG"",""MEAN""),FMA_EPS(+1,-1AM,,,,""PORTAGG"",""MEAN""))")</f>
        <v>-2.09908008561561</v>
      </c>
      <c r="M24" s="19" cm="1">
        <f t="array" ref="M24">_xll.FDSB(A24,"PERCENT_CHANGE(FMA_EPS(+1,0,,,,""PORTAGG"",""MEAN""),FMA_EPS(+1,-3AM,,,,""PORTAGG"",""MEAN""))")</f>
        <v>2.47089731993381E-2</v>
      </c>
      <c r="O24" s="3" cm="1">
        <f t="array" ref="O24">_xll.FDS(C24,"FG_TOTAL_RETURNC(0,-3AM)")</f>
        <v>14.363348</v>
      </c>
      <c r="P24" s="3" cm="1">
        <f t="array" ref="P24">_xll.FDS(C24,"FG_TOTAL_RETURNC(0,-6AM)")</f>
        <v>1.2673497</v>
      </c>
      <c r="Q24" s="8" cm="1">
        <f t="array" ref="Q24">_xll.FDS(C24,"P_PRICE(0)/P_PRICE_HIGH_PR(0,,,USD,,,""PRICE"",""INTRA"",""52W"")")</f>
        <v>0.97380226999999997</v>
      </c>
      <c r="R24" s="8" cm="1">
        <f t="array" ref="R24">_xll.FDS(C24,"P_PRICE(0)/P_PRICE_low_PR(0,,,USD,,,""PRICE"",""INTRA"",""52W"")-1")</f>
        <v>0.16785026</v>
      </c>
    </row>
    <row r="25" spans="1:35" x14ac:dyDescent="0.3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40</v>
      </c>
      <c r="F25" cm="1">
        <f t="array" ref="F25">_xll.FDS(C25,"FMA_COS_DOWN(""EPS"",""1M"",+1,0,,,""PORTAGG"",""MEANR"")")</f>
        <v>29</v>
      </c>
      <c r="G25" cm="1">
        <f t="array" ref="G25">_xll.FDS(A25,"SIZE(FG_CONSTITUENTS)")</f>
        <v>102</v>
      </c>
      <c r="H25" s="8">
        <f t="shared" ref="H25:H27" si="32">E25/$G25</f>
        <v>0.39215686274509803</v>
      </c>
      <c r="I25" s="8">
        <f t="shared" ref="I25:I27" si="33">F25/$G25</f>
        <v>0.28431372549019607</v>
      </c>
      <c r="J25" s="8">
        <f t="shared" ref="J25:J27" si="34">H25-I25</f>
        <v>0.10784313725490197</v>
      </c>
      <c r="K25" s="5" cm="1">
        <f t="array" ref="K25">_xll.FDS(A25,"FMA_PCT_ABOVE_MAVG(200,0,,,,""PORTAGG"")")/100</f>
        <v>0.77450980392156898</v>
      </c>
      <c r="L25" s="19" cm="1">
        <f t="array" ref="L25">_xll.FDSB(A25,"PERCENT_CHANGE(FMA_EPS(+1,0,,,,""PORTAGG"",""MEAN""),FMA_EPS(+1,-1AM,,,,""PORTAGG"",""MEAN""))")</f>
        <v>-0.89413885061014697</v>
      </c>
      <c r="M25" s="19" cm="1">
        <f t="array" ref="M25">_xll.FDSB(A25,"PERCENT_CHANGE(FMA_EPS(+1,0,,,,""PORTAGG"",""MEAN""),FMA_EPS(+1,-3AM,,,,""PORTAGG"",""MEAN""))")</f>
        <v>0.33315927105054199</v>
      </c>
      <c r="O25" s="3" cm="1">
        <f t="array" ref="O25">_xll.FDS(C25,"FG_TOTAL_RETURNC(0,-3AM)")</f>
        <v>23.632133</v>
      </c>
      <c r="P25" s="3" cm="1">
        <f t="array" ref="P25">_xll.FDS(C25,"FG_TOTAL_RETURNC(0,-6AM)")</f>
        <v>12.706099999999999</v>
      </c>
      <c r="Q25" s="8" cm="1">
        <f t="array" ref="Q25">_xll.FDS(C25,"P_PRICE(0)/P_PRICE_HIGH_PR(0,,,USD,,,""PRICE"",""INTRA"",""52W"")")</f>
        <v>0.98594855999999997</v>
      </c>
      <c r="R25" s="8" cm="1">
        <f t="array" ref="R25">_xll.FDS(C25,"P_PRICE(0)/P_PRICE_low_PR(0,,,USD,,,""PRICE"",""INTRA"",""52W"")-1")</f>
        <v>0.48606192999999998</v>
      </c>
    </row>
    <row r="26" spans="1:35" ht="15" customHeight="1" x14ac:dyDescent="0.3">
      <c r="A26" t="s">
        <v>175</v>
      </c>
      <c r="C26" t="str">
        <f t="shared" si="25"/>
        <v>IWM</v>
      </c>
      <c r="E26" cm="1">
        <f t="array" ref="E26">_xll.FDS(C26,"FMA_COS_UP(""EPS"",""1M"",+1,0,,,""PORTAGG"",""MEANR"")")</f>
        <v>414</v>
      </c>
      <c r="F26" cm="1">
        <f t="array" ref="F26">_xll.FDS(C26,"FMA_COS_DOWN(""EPS"",""1M"",+1,0,,,""PORTAGG"",""MEANR"")")</f>
        <v>439</v>
      </c>
      <c r="G26" cm="1">
        <f t="array" ref="G26">_xll.FDS(A26,"SIZE(FG_CONSTITUENTS)")</f>
        <v>1953</v>
      </c>
      <c r="H26" s="8">
        <f t="shared" si="32"/>
        <v>0.2119815668202765</v>
      </c>
      <c r="I26" s="8">
        <f t="shared" si="33"/>
        <v>0.22478238607270865</v>
      </c>
      <c r="J26" s="8">
        <f t="shared" si="34"/>
        <v>-1.280081925243215E-2</v>
      </c>
      <c r="K26" s="5" cm="1">
        <f t="array" ref="K26">_xll.FDS(A26,"FMA_PCT_ABOVE_MAVG(200,0,,,,""PORTAGG"")")/100</f>
        <v>0.586866597724922</v>
      </c>
      <c r="L26" s="19" cm="1">
        <f t="array" ref="L26">_xll.FDSB(A26,"PERCENT_CHANGE(FMA_EPS(+1,0,,,,""PORTAGG"",""MEAN""),FMA_EPS(+1,-1AM,,,,""PORTAGG"",""MEAN""))")</f>
        <v>-2.4148439538054101</v>
      </c>
      <c r="M26" s="19" cm="1">
        <f t="array" ref="M26">_xll.FDSB(A26,"PERCENT_CHANGE(FMA_EPS(+1,0,,,,""PORTAGG"",""MEAN""),FMA_EPS(+1,-3AM,,,,""PORTAGG"",""MEAN""))")</f>
        <v>-9.0796985575790696</v>
      </c>
      <c r="O26" s="3" cm="1">
        <f t="array" ref="O26">_xll.FDS(C26,"FG_TOTAL_RETURNC(0,-3AM)")</f>
        <v>19.844495999999999</v>
      </c>
      <c r="P26" s="3" cm="1">
        <f t="array" ref="P26">_xll.FDS(C26,"FG_TOTAL_RETURNC(0,-6AM)")</f>
        <v>0.60464143999999997</v>
      </c>
      <c r="Q26" s="8" cm="1">
        <f t="array" ref="Q26">_xll.FDS(C26,"P_PRICE(0)/P_PRICE_HIGH_PR(0,,,USD,,,""PRICE"",""INTRA"",""52W"")")</f>
        <v>0.95372033000000001</v>
      </c>
      <c r="R26" s="8" cm="1">
        <f t="array" ref="R26">_xll.FDS(C26,"P_PRICE(0)/P_PRICE_low_PR(0,,,USD,,,""PRICE"",""INTRA"",""52W"")-1")</f>
        <v>0.21222246</v>
      </c>
    </row>
    <row r="27" spans="1:35" ht="15" customHeight="1" x14ac:dyDescent="0.3">
      <c r="A27" t="s">
        <v>153</v>
      </c>
      <c r="B27" t="s">
        <v>76</v>
      </c>
      <c r="C27" t="str">
        <f t="shared" si="25"/>
        <v>FXI</v>
      </c>
      <c r="E27" cm="1">
        <f t="array" ref="E27">_xll.FDS(C27,"FMA_COS_UP(""EPS"",""1M"",+1,0,,,""PORTAGG"",""MEANR"")")</f>
        <v>20</v>
      </c>
      <c r="F27" cm="1">
        <f t="array" ref="F27">_xll.FDS(C27,"FMA_COS_DOWN(""EPS"",""1M"",+1,0,,,""PORTAGG"",""MEANR"")")</f>
        <v>23</v>
      </c>
      <c r="G27" cm="1">
        <f t="array" ref="G27">_xll.FDS(A27,"SIZE(FG_CONSTITUENTS)")</f>
        <v>51</v>
      </c>
      <c r="H27" s="8">
        <f t="shared" si="32"/>
        <v>0.39215686274509803</v>
      </c>
      <c r="I27" s="8">
        <f t="shared" si="33"/>
        <v>0.45098039215686275</v>
      </c>
      <c r="J27" s="8">
        <f t="shared" si="34"/>
        <v>-5.8823529411764719E-2</v>
      </c>
      <c r="K27" s="5" cm="1">
        <f t="array" ref="K27">_xll.FDS(A27,"FMA_PCT_ABOVE_MAVG(200,0,,,,""PORTAGG"")")/100</f>
        <v>0.19607843137254899</v>
      </c>
      <c r="L27" s="19" cm="1">
        <f t="array" ref="L27">_xll.FDSB(A27,"PERCENT_CHANGE(FMA_EPS(+1,0,,,,""PORTAGG"",""MEAN""),FMA_EPS(+1,-1AM,,,,""PORTAGG"",""MEAN""))")</f>
        <v>-1.9355903330267501</v>
      </c>
      <c r="M27" s="19" cm="1">
        <f t="array" ref="M27">_xll.FDSB(A27,"PERCENT_CHANGE(FMA_EPS(+1,0,,,,""PORTAGG"",""MEAN""),FMA_EPS(+1,-3AM,,,,""PORTAGG"",""MEAN""))")</f>
        <v>-4.29127385667383</v>
      </c>
      <c r="O27" s="3" cm="1">
        <f t="array" ref="O27">_xll.FDS(C27,"FG_TOTAL_RETURNC(0,-3AM)")</f>
        <v>-9.307188</v>
      </c>
      <c r="P27" s="3" cm="1">
        <f t="array" ref="P27">_xll.FDS(C27,"FG_TOTAL_RETURNC(0,-6AM)")</f>
        <v>-19.919841999999999</v>
      </c>
      <c r="Q27" s="8" cm="1">
        <f t="array" ref="Q27">_xll.FDS(C27,"P_PRICE(0)/P_PRICE_HIGH_PR(0,,,USD,,,""PRICE"",""INTRA"",""52W"")")</f>
        <v>0.67715360000000002</v>
      </c>
      <c r="R27" s="8" cm="1">
        <f t="array" ref="R27">_xll.FDS(C27,"P_PRICE(0)/P_PRICE_low_PR(0,,,USD,,,""PRICE"",""INTRA"",""52W"")-1")</f>
        <v>8.341324E-2</v>
      </c>
    </row>
    <row r="28" spans="1:35" ht="15" customHeight="1" x14ac:dyDescent="0.3">
      <c r="E28" s="21"/>
      <c r="F28" s="21"/>
      <c r="Q28" s="8"/>
      <c r="R28" s="8"/>
    </row>
    <row r="29" spans="1:35" ht="15" customHeight="1" x14ac:dyDescent="0.3">
      <c r="C29" s="1"/>
      <c r="D29" s="1"/>
      <c r="E29" s="21"/>
      <c r="F29" s="21"/>
      <c r="Q29" s="8"/>
      <c r="R29" s="8"/>
    </row>
    <row r="30" spans="1:35" ht="15" customHeight="1" x14ac:dyDescent="0.3">
      <c r="E30" s="21"/>
      <c r="F30" s="21"/>
      <c r="Q30" s="8"/>
      <c r="R30" s="8"/>
    </row>
    <row r="31" spans="1:35" ht="15" customHeight="1" x14ac:dyDescent="0.3">
      <c r="E31" s="21"/>
      <c r="F31" s="21"/>
      <c r="Q31" s="8"/>
      <c r="R31" s="8"/>
    </row>
    <row r="32" spans="1:35" ht="15" customHeight="1" x14ac:dyDescent="0.3">
      <c r="E32" s="21"/>
      <c r="F32" s="21"/>
      <c r="Q32" s="8"/>
      <c r="R32" s="8"/>
    </row>
    <row r="33" spans="3:18" ht="15" customHeight="1" x14ac:dyDescent="0.3">
      <c r="E33" s="21"/>
      <c r="F33" s="21"/>
      <c r="P33" s="1"/>
      <c r="Q33" s="8"/>
      <c r="R33" s="8"/>
    </row>
    <row r="34" spans="3:18" ht="15" customHeight="1" x14ac:dyDescent="0.3">
      <c r="E34" s="21"/>
      <c r="F34" s="21"/>
      <c r="Q34" s="8"/>
      <c r="R34" s="8"/>
    </row>
    <row r="35" spans="3:18" ht="15" customHeight="1" x14ac:dyDescent="0.3">
      <c r="E35" s="21"/>
      <c r="F35" s="21"/>
      <c r="Q35" s="8"/>
      <c r="R35" s="8"/>
    </row>
    <row r="36" spans="3:18" ht="15" customHeight="1" x14ac:dyDescent="0.3">
      <c r="C36" s="1"/>
      <c r="D36" s="1"/>
      <c r="E36" s="21"/>
      <c r="F36" s="21"/>
      <c r="Q36" s="8"/>
      <c r="R36" s="8"/>
    </row>
    <row r="37" spans="3:18" ht="15" customHeight="1" x14ac:dyDescent="0.3">
      <c r="E37" s="21"/>
      <c r="F37" s="21"/>
      <c r="Q37" s="8"/>
      <c r="R37" s="8"/>
    </row>
    <row r="38" spans="3:18" ht="15" customHeight="1" x14ac:dyDescent="0.3">
      <c r="E38" s="21"/>
      <c r="F38" s="21"/>
      <c r="Q38" s="8"/>
      <c r="R38" s="8"/>
    </row>
    <row r="39" spans="3:18" ht="15" customHeight="1" x14ac:dyDescent="0.3">
      <c r="E39" s="21"/>
      <c r="F39" s="21"/>
      <c r="Q39" s="8"/>
      <c r="R39" s="8"/>
    </row>
    <row r="40" spans="3:18" ht="15" customHeight="1" x14ac:dyDescent="0.3">
      <c r="E40" s="21"/>
      <c r="F40" s="21"/>
      <c r="Q40" s="8"/>
      <c r="R40" s="8"/>
    </row>
    <row r="41" spans="3:18" ht="15" customHeight="1" x14ac:dyDescent="0.3">
      <c r="C41" s="1"/>
      <c r="D41" s="1"/>
      <c r="E41" s="21"/>
      <c r="F41" s="21"/>
      <c r="Q41" s="8"/>
      <c r="R41" s="8"/>
    </row>
    <row r="42" spans="3:18" ht="15" customHeight="1" x14ac:dyDescent="0.3">
      <c r="E42" s="21"/>
      <c r="F42" s="21"/>
      <c r="Q42" s="8"/>
      <c r="R42" s="8"/>
    </row>
    <row r="43" spans="3:18" ht="15" customHeight="1" x14ac:dyDescent="0.3">
      <c r="E43" s="21"/>
      <c r="F43" s="21"/>
      <c r="Q43" s="8"/>
      <c r="R43" s="8"/>
    </row>
    <row r="44" spans="3:18" ht="15" customHeight="1" x14ac:dyDescent="0.3">
      <c r="E44" s="21"/>
      <c r="F44" s="21"/>
      <c r="Q44" s="8"/>
      <c r="R44" s="8"/>
    </row>
    <row r="45" spans="3:18" ht="15" customHeight="1" x14ac:dyDescent="0.3">
      <c r="E45" s="21"/>
      <c r="F45" s="21"/>
      <c r="Q45" s="8"/>
      <c r="R45" s="8"/>
    </row>
    <row r="46" spans="3:18" ht="15" customHeight="1" x14ac:dyDescent="0.3">
      <c r="C46" s="1"/>
      <c r="D46" s="1"/>
      <c r="E46" s="21"/>
      <c r="F46" s="21"/>
      <c r="Q46" s="8"/>
      <c r="R46" s="8"/>
    </row>
    <row r="47" spans="3:18" ht="15" customHeight="1" x14ac:dyDescent="0.3">
      <c r="C47" s="1"/>
      <c r="D47" s="1"/>
      <c r="E47" s="21"/>
      <c r="F47" s="21"/>
    </row>
    <row r="48" spans="3:18" ht="15" customHeight="1" x14ac:dyDescent="0.3">
      <c r="E48" s="21"/>
      <c r="F48" s="21"/>
    </row>
    <row r="49" spans="5:7" ht="15" customHeight="1" x14ac:dyDescent="0.3">
      <c r="E49" s="21"/>
      <c r="F49" s="21"/>
    </row>
    <row r="50" spans="5:7" ht="15" customHeight="1" x14ac:dyDescent="0.3">
      <c r="E50" s="22"/>
      <c r="F50" s="22"/>
      <c r="G50" s="1"/>
    </row>
    <row r="51" spans="5:7" ht="15" customHeight="1" x14ac:dyDescent="0.3">
      <c r="E51" s="21"/>
      <c r="F51" s="21"/>
    </row>
    <row r="52" spans="5:7" ht="15" customHeight="1" x14ac:dyDescent="0.3">
      <c r="E52" s="21"/>
      <c r="F52" s="21"/>
    </row>
    <row r="53" spans="5:7" ht="15" customHeight="1" x14ac:dyDescent="0.3">
      <c r="E53" s="21"/>
      <c r="F53" s="21"/>
    </row>
    <row r="54" spans="5:7" ht="15" customHeight="1" x14ac:dyDescent="0.3">
      <c r="E54" s="21"/>
      <c r="F54" s="21"/>
    </row>
    <row r="55" spans="5:7" ht="15" customHeight="1" x14ac:dyDescent="0.3">
      <c r="E55" s="21"/>
      <c r="F55" s="21"/>
    </row>
    <row r="56" spans="5:7" ht="15" customHeight="1" x14ac:dyDescent="0.3">
      <c r="E56" s="21"/>
      <c r="F56" s="21"/>
    </row>
    <row r="57" spans="5:7" ht="15" customHeight="1" x14ac:dyDescent="0.3">
      <c r="E57" s="21"/>
      <c r="F57" s="21"/>
    </row>
    <row r="58" spans="5:7" ht="15" customHeight="1" x14ac:dyDescent="0.3">
      <c r="E58" s="22"/>
      <c r="F58" s="22"/>
      <c r="G58" s="1"/>
    </row>
    <row r="59" spans="5:7" ht="15" customHeight="1" x14ac:dyDescent="0.3">
      <c r="E59" s="21"/>
      <c r="F59" s="21"/>
    </row>
    <row r="60" spans="5:7" ht="15" customHeight="1" x14ac:dyDescent="0.3">
      <c r="E60" s="21"/>
      <c r="F60" s="21"/>
    </row>
    <row r="61" spans="5:7" ht="15" customHeight="1" x14ac:dyDescent="0.3">
      <c r="E61" s="21"/>
      <c r="F61" s="21"/>
    </row>
    <row r="62" spans="5:7" ht="15" customHeight="1" x14ac:dyDescent="0.3">
      <c r="E62" s="21"/>
      <c r="F62" s="21"/>
    </row>
    <row r="63" spans="5:7" ht="15" customHeight="1" x14ac:dyDescent="0.3">
      <c r="E63" s="21"/>
      <c r="F63" s="21"/>
    </row>
    <row r="64" spans="5:7" ht="15" customHeight="1" x14ac:dyDescent="0.3">
      <c r="E64" s="21"/>
      <c r="F64" s="21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  <row r="70" spans="6:6" x14ac:dyDescent="0.3">
      <c r="F70" s="4"/>
    </row>
    <row r="71" spans="6:6" x14ac:dyDescent="0.3">
      <c r="F71" s="4"/>
    </row>
    <row r="72" spans="6:6" x14ac:dyDescent="0.3">
      <c r="F72" s="4"/>
    </row>
    <row r="73" spans="6:6" x14ac:dyDescent="0.3">
      <c r="F73" s="4"/>
    </row>
    <row r="74" spans="6:6" x14ac:dyDescent="0.3">
      <c r="F74" s="4"/>
    </row>
    <row r="75" spans="6:6" x14ac:dyDescent="0.3">
      <c r="F75" s="4"/>
    </row>
    <row r="76" spans="6:6" x14ac:dyDescent="0.3">
      <c r="F76" s="4"/>
    </row>
    <row r="77" spans="6:6" x14ac:dyDescent="0.3">
      <c r="F77" s="4"/>
    </row>
    <row r="78" spans="6:6" x14ac:dyDescent="0.3">
      <c r="F78" s="4"/>
    </row>
    <row r="79" spans="6:6" x14ac:dyDescent="0.3">
      <c r="F79" s="4"/>
    </row>
    <row r="80" spans="6:6" x14ac:dyDescent="0.3">
      <c r="F80" s="4"/>
    </row>
    <row r="81" spans="6:6" x14ac:dyDescent="0.3">
      <c r="F81" s="4"/>
    </row>
    <row r="82" spans="6:6" x14ac:dyDescent="0.3">
      <c r="F82" s="4"/>
    </row>
    <row r="83" spans="6:6" x14ac:dyDescent="0.3">
      <c r="F83" s="4"/>
    </row>
    <row r="84" spans="6:6" x14ac:dyDescent="0.3">
      <c r="F84" s="4"/>
    </row>
    <row r="85" spans="6:6" x14ac:dyDescent="0.3">
      <c r="F85" s="4"/>
    </row>
    <row r="86" spans="6:6" x14ac:dyDescent="0.3">
      <c r="F86" s="4"/>
    </row>
    <row r="87" spans="6:6" x14ac:dyDescent="0.3">
      <c r="F87" s="4"/>
    </row>
    <row r="88" spans="6:6" x14ac:dyDescent="0.3">
      <c r="F88" s="4"/>
    </row>
    <row r="89" spans="6:6" x14ac:dyDescent="0.3">
      <c r="F89" s="4"/>
    </row>
    <row r="90" spans="6:6" x14ac:dyDescent="0.3">
      <c r="F90" s="4"/>
    </row>
    <row r="91" spans="6:6" x14ac:dyDescent="0.3">
      <c r="F91" s="4"/>
    </row>
    <row r="92" spans="6:6" x14ac:dyDescent="0.3">
      <c r="F92" s="4"/>
    </row>
    <row r="93" spans="6:6" x14ac:dyDescent="0.3">
      <c r="F93" s="4"/>
    </row>
    <row r="94" spans="6:6" x14ac:dyDescent="0.3">
      <c r="F94" s="4"/>
    </row>
    <row r="95" spans="6:6" x14ac:dyDescent="0.3">
      <c r="F95" s="4"/>
    </row>
    <row r="96" spans="6:6" x14ac:dyDescent="0.3">
      <c r="F96" s="4"/>
    </row>
    <row r="97" spans="6:6" x14ac:dyDescent="0.3">
      <c r="F97" s="4"/>
    </row>
    <row r="98" spans="6:6" x14ac:dyDescent="0.3">
      <c r="F98" s="4"/>
    </row>
    <row r="99" spans="6:6" x14ac:dyDescent="0.3">
      <c r="F99" s="4"/>
    </row>
    <row r="100" spans="6:6" x14ac:dyDescent="0.3">
      <c r="F100" s="4"/>
    </row>
    <row r="101" spans="6:6" x14ac:dyDescent="0.3">
      <c r="F101" s="4"/>
    </row>
    <row r="102" spans="6:6" x14ac:dyDescent="0.3">
      <c r="F102" s="4"/>
    </row>
    <row r="103" spans="6:6" x14ac:dyDescent="0.3">
      <c r="F103" s="4"/>
    </row>
    <row r="104" spans="6:6" x14ac:dyDescent="0.3">
      <c r="F104" s="4"/>
    </row>
    <row r="105" spans="6:6" x14ac:dyDescent="0.3">
      <c r="F105" s="4"/>
    </row>
    <row r="106" spans="6:6" x14ac:dyDescent="0.3">
      <c r="F106" s="4"/>
    </row>
    <row r="107" spans="6:6" x14ac:dyDescent="0.3">
      <c r="F107" s="4"/>
    </row>
    <row r="108" spans="6:6" x14ac:dyDescent="0.3">
      <c r="F108" s="4"/>
    </row>
    <row r="109" spans="6:6" x14ac:dyDescent="0.3">
      <c r="F109" s="4"/>
    </row>
    <row r="110" spans="6:6" x14ac:dyDescent="0.3">
      <c r="F110" s="4"/>
    </row>
    <row r="111" spans="6:6" x14ac:dyDescent="0.3">
      <c r="F111" s="4"/>
    </row>
    <row r="112" spans="6:6" x14ac:dyDescent="0.3">
      <c r="F112" s="4"/>
    </row>
    <row r="113" spans="6:6" x14ac:dyDescent="0.3">
      <c r="F113" s="4"/>
    </row>
    <row r="114" spans="6:6" x14ac:dyDescent="0.3">
      <c r="F114" s="4"/>
    </row>
    <row r="115" spans="6:6" x14ac:dyDescent="0.3">
      <c r="F115" s="4"/>
    </row>
    <row r="116" spans="6:6" x14ac:dyDescent="0.3">
      <c r="F116" s="4"/>
    </row>
    <row r="117" spans="6:6" x14ac:dyDescent="0.3">
      <c r="F117" s="4"/>
    </row>
    <row r="118" spans="6:6" x14ac:dyDescent="0.3">
      <c r="F118" s="4"/>
    </row>
    <row r="119" spans="6:6" x14ac:dyDescent="0.3">
      <c r="F119" s="4"/>
    </row>
    <row r="120" spans="6:6" x14ac:dyDescent="0.3">
      <c r="F120" s="4"/>
    </row>
    <row r="121" spans="6:6" x14ac:dyDescent="0.3">
      <c r="F121" s="4"/>
    </row>
    <row r="122" spans="6:6" x14ac:dyDescent="0.3">
      <c r="F122" s="4"/>
    </row>
    <row r="123" spans="6:6" x14ac:dyDescent="0.3">
      <c r="F123" s="4"/>
    </row>
    <row r="124" spans="6:6" x14ac:dyDescent="0.3">
      <c r="F124" s="4"/>
    </row>
    <row r="125" spans="6:6" x14ac:dyDescent="0.3">
      <c r="F125" s="4"/>
    </row>
    <row r="126" spans="6:6" x14ac:dyDescent="0.3">
      <c r="F126" s="4"/>
    </row>
    <row r="127" spans="6:6" x14ac:dyDescent="0.3">
      <c r="F127" s="4"/>
    </row>
    <row r="128" spans="6:6" x14ac:dyDescent="0.3">
      <c r="F128" s="4"/>
    </row>
    <row r="129" spans="6:6" x14ac:dyDescent="0.3">
      <c r="F129" s="4"/>
    </row>
    <row r="130" spans="6:6" x14ac:dyDescent="0.3">
      <c r="F130" s="4"/>
    </row>
    <row r="131" spans="6:6" x14ac:dyDescent="0.3">
      <c r="F131" s="4"/>
    </row>
    <row r="132" spans="6:6" x14ac:dyDescent="0.3">
      <c r="F132" s="4"/>
    </row>
    <row r="133" spans="6:6" x14ac:dyDescent="0.3">
      <c r="F133" s="4"/>
    </row>
    <row r="134" spans="6:6" x14ac:dyDescent="0.3">
      <c r="F134" s="4"/>
    </row>
    <row r="135" spans="6:6" x14ac:dyDescent="0.3">
      <c r="F135" s="4"/>
    </row>
    <row r="136" spans="6:6" x14ac:dyDescent="0.3">
      <c r="F136" s="4"/>
    </row>
    <row r="137" spans="6:6" x14ac:dyDescent="0.3">
      <c r="F137" s="4"/>
    </row>
    <row r="138" spans="6:6" x14ac:dyDescent="0.3">
      <c r="F138" s="4"/>
    </row>
    <row r="139" spans="6:6" x14ac:dyDescent="0.3">
      <c r="F139" s="4"/>
    </row>
    <row r="140" spans="6:6" x14ac:dyDescent="0.3">
      <c r="F140" s="4"/>
    </row>
    <row r="141" spans="6:6" x14ac:dyDescent="0.3">
      <c r="F141" s="4"/>
    </row>
    <row r="142" spans="6:6" x14ac:dyDescent="0.3">
      <c r="F142" s="4"/>
    </row>
    <row r="143" spans="6:6" x14ac:dyDescent="0.3">
      <c r="F143" s="4"/>
    </row>
    <row r="144" spans="6:6" x14ac:dyDescent="0.3">
      <c r="F144" s="4"/>
    </row>
    <row r="145" spans="6:6" x14ac:dyDescent="0.3">
      <c r="F145" s="4"/>
    </row>
    <row r="146" spans="6:6" x14ac:dyDescent="0.3">
      <c r="F146" s="4"/>
    </row>
    <row r="147" spans="6:6" x14ac:dyDescent="0.3">
      <c r="F147" s="4"/>
    </row>
    <row r="148" spans="6:6" x14ac:dyDescent="0.3">
      <c r="F148" s="4"/>
    </row>
    <row r="149" spans="6:6" x14ac:dyDescent="0.3">
      <c r="F149" s="4"/>
    </row>
    <row r="150" spans="6:6" x14ac:dyDescent="0.3">
      <c r="F150" s="4"/>
    </row>
    <row r="151" spans="6:6" x14ac:dyDescent="0.3">
      <c r="F151" s="4"/>
    </row>
    <row r="152" spans="6:6" x14ac:dyDescent="0.3">
      <c r="F152" s="4"/>
    </row>
    <row r="153" spans="6:6" x14ac:dyDescent="0.3">
      <c r="F153" s="4"/>
    </row>
    <row r="154" spans="6:6" x14ac:dyDescent="0.3">
      <c r="F154" s="4"/>
    </row>
    <row r="155" spans="6:6" x14ac:dyDescent="0.3">
      <c r="F155" s="4"/>
    </row>
    <row r="156" spans="6:6" x14ac:dyDescent="0.3">
      <c r="F156" s="4"/>
    </row>
    <row r="157" spans="6:6" x14ac:dyDescent="0.3">
      <c r="F157" s="4"/>
    </row>
    <row r="158" spans="6:6" x14ac:dyDescent="0.3">
      <c r="F158" s="4"/>
    </row>
    <row r="159" spans="6:6" x14ac:dyDescent="0.3">
      <c r="F159" s="4"/>
    </row>
    <row r="160" spans="6:6" x14ac:dyDescent="0.3">
      <c r="F160" s="4"/>
    </row>
    <row r="161" spans="6:6" x14ac:dyDescent="0.3">
      <c r="F161" s="4"/>
    </row>
    <row r="162" spans="6:6" x14ac:dyDescent="0.3">
      <c r="F162" s="4"/>
    </row>
    <row r="163" spans="6:6" x14ac:dyDescent="0.3">
      <c r="F163" s="4"/>
    </row>
    <row r="164" spans="6:6" x14ac:dyDescent="0.3">
      <c r="F164" s="4"/>
    </row>
    <row r="165" spans="6:6" x14ac:dyDescent="0.3">
      <c r="F165" s="4"/>
    </row>
    <row r="166" spans="6:6" x14ac:dyDescent="0.3">
      <c r="F166" s="4"/>
    </row>
    <row r="167" spans="6:6" x14ac:dyDescent="0.3">
      <c r="F167" s="4"/>
    </row>
    <row r="168" spans="6:6" x14ac:dyDescent="0.3">
      <c r="F168" s="4"/>
    </row>
    <row r="169" spans="6:6" x14ac:dyDescent="0.3">
      <c r="F169" s="4"/>
    </row>
    <row r="170" spans="6:6" x14ac:dyDescent="0.3">
      <c r="F170" s="4"/>
    </row>
    <row r="171" spans="6:6" x14ac:dyDescent="0.3">
      <c r="F171" s="4"/>
    </row>
    <row r="172" spans="6:6" x14ac:dyDescent="0.3">
      <c r="F172" s="4"/>
    </row>
    <row r="173" spans="6:6" x14ac:dyDescent="0.3">
      <c r="F173" s="4"/>
    </row>
    <row r="174" spans="6:6" x14ac:dyDescent="0.3">
      <c r="F174" s="4"/>
    </row>
    <row r="175" spans="6:6" x14ac:dyDescent="0.3">
      <c r="F175" s="4"/>
    </row>
    <row r="176" spans="6:6" x14ac:dyDescent="0.3">
      <c r="F176" s="4"/>
    </row>
    <row r="177" spans="6:6" x14ac:dyDescent="0.3">
      <c r="F177" s="4"/>
    </row>
    <row r="178" spans="6:6" x14ac:dyDescent="0.3">
      <c r="F178" s="4"/>
    </row>
    <row r="179" spans="6:6" x14ac:dyDescent="0.3">
      <c r="F179" s="4"/>
    </row>
    <row r="180" spans="6:6" x14ac:dyDescent="0.3">
      <c r="F180" s="4"/>
    </row>
    <row r="181" spans="6:6" x14ac:dyDescent="0.3">
      <c r="F181" s="4"/>
    </row>
    <row r="182" spans="6:6" x14ac:dyDescent="0.3">
      <c r="F182" s="4"/>
    </row>
    <row r="183" spans="6:6" x14ac:dyDescent="0.3">
      <c r="F183" s="4"/>
    </row>
    <row r="184" spans="6:6" x14ac:dyDescent="0.3">
      <c r="F184" s="4"/>
    </row>
    <row r="185" spans="6:6" x14ac:dyDescent="0.3">
      <c r="F185" s="4"/>
    </row>
    <row r="186" spans="6:6" x14ac:dyDescent="0.3">
      <c r="F186" s="4"/>
    </row>
    <row r="187" spans="6:6" x14ac:dyDescent="0.3">
      <c r="F187" s="4"/>
    </row>
    <row r="188" spans="6:6" x14ac:dyDescent="0.3">
      <c r="F188" s="4"/>
    </row>
    <row r="189" spans="6:6" x14ac:dyDescent="0.3">
      <c r="F189" s="4"/>
    </row>
    <row r="190" spans="6:6" x14ac:dyDescent="0.3">
      <c r="F190" s="4"/>
    </row>
    <row r="191" spans="6:6" x14ac:dyDescent="0.3">
      <c r="F191" s="4"/>
    </row>
    <row r="192" spans="6:6" x14ac:dyDescent="0.3">
      <c r="F192" s="4"/>
    </row>
    <row r="193" spans="6:6" x14ac:dyDescent="0.3">
      <c r="F193" s="4"/>
    </row>
    <row r="194" spans="6:6" x14ac:dyDescent="0.3">
      <c r="F194" s="4"/>
    </row>
    <row r="195" spans="6:6" x14ac:dyDescent="0.3">
      <c r="F195" s="4"/>
    </row>
    <row r="196" spans="6:6" x14ac:dyDescent="0.3">
      <c r="F196" s="4"/>
    </row>
    <row r="197" spans="6:6" x14ac:dyDescent="0.3">
      <c r="F197" s="4"/>
    </row>
    <row r="198" spans="6:6" x14ac:dyDescent="0.3">
      <c r="F198" s="4"/>
    </row>
    <row r="199" spans="6:6" x14ac:dyDescent="0.3">
      <c r="F199" s="4"/>
    </row>
    <row r="200" spans="6:6" x14ac:dyDescent="0.3">
      <c r="F200" s="4"/>
    </row>
    <row r="201" spans="6:6" x14ac:dyDescent="0.3">
      <c r="F201" s="4"/>
    </row>
    <row r="202" spans="6:6" x14ac:dyDescent="0.3">
      <c r="F202" s="4"/>
    </row>
    <row r="203" spans="6:6" x14ac:dyDescent="0.3">
      <c r="F203" s="4"/>
    </row>
    <row r="204" spans="6:6" x14ac:dyDescent="0.3">
      <c r="F204" s="4"/>
    </row>
    <row r="205" spans="6:6" x14ac:dyDescent="0.3">
      <c r="F205" s="4"/>
    </row>
    <row r="206" spans="6:6" x14ac:dyDescent="0.3">
      <c r="F206" s="4"/>
    </row>
    <row r="207" spans="6:6" x14ac:dyDescent="0.3">
      <c r="F207" s="4"/>
    </row>
    <row r="208" spans="6:6" x14ac:dyDescent="0.3">
      <c r="F208" s="4"/>
    </row>
    <row r="209" spans="6:6" x14ac:dyDescent="0.3">
      <c r="F209" s="4"/>
    </row>
    <row r="210" spans="6:6" x14ac:dyDescent="0.3">
      <c r="F210" s="4"/>
    </row>
    <row r="211" spans="6:6" x14ac:dyDescent="0.3">
      <c r="F211" s="4"/>
    </row>
    <row r="212" spans="6:6" x14ac:dyDescent="0.3">
      <c r="F212" s="4"/>
    </row>
    <row r="213" spans="6:6" x14ac:dyDescent="0.3">
      <c r="F213" s="4"/>
    </row>
    <row r="214" spans="6:6" x14ac:dyDescent="0.3">
      <c r="F214" s="4"/>
    </row>
    <row r="215" spans="6:6" x14ac:dyDescent="0.3">
      <c r="F215" s="4"/>
    </row>
    <row r="216" spans="6:6" x14ac:dyDescent="0.3">
      <c r="F216" s="4"/>
    </row>
    <row r="217" spans="6:6" x14ac:dyDescent="0.3">
      <c r="F217" s="4"/>
    </row>
    <row r="218" spans="6:6" x14ac:dyDescent="0.3">
      <c r="F218" s="4"/>
    </row>
    <row r="219" spans="6:6" x14ac:dyDescent="0.3">
      <c r="F219" s="4"/>
    </row>
    <row r="220" spans="6:6" x14ac:dyDescent="0.3">
      <c r="F220" s="4"/>
    </row>
    <row r="221" spans="6:6" x14ac:dyDescent="0.3">
      <c r="F221" s="4"/>
    </row>
    <row r="222" spans="6:6" x14ac:dyDescent="0.3">
      <c r="F222" s="4"/>
    </row>
    <row r="223" spans="6:6" x14ac:dyDescent="0.3">
      <c r="F223" s="4"/>
    </row>
    <row r="224" spans="6:6" x14ac:dyDescent="0.3">
      <c r="F224" s="4"/>
    </row>
    <row r="225" spans="6:6" x14ac:dyDescent="0.3">
      <c r="F225" s="4"/>
    </row>
    <row r="226" spans="6:6" x14ac:dyDescent="0.3">
      <c r="F226" s="4"/>
    </row>
    <row r="227" spans="6:6" x14ac:dyDescent="0.3">
      <c r="F227" s="4"/>
    </row>
    <row r="228" spans="6:6" x14ac:dyDescent="0.3">
      <c r="F228" s="4"/>
    </row>
    <row r="229" spans="6:6" x14ac:dyDescent="0.3">
      <c r="F229" s="4"/>
    </row>
    <row r="230" spans="6:6" x14ac:dyDescent="0.3">
      <c r="F230" s="4"/>
    </row>
    <row r="231" spans="6:6" x14ac:dyDescent="0.3">
      <c r="F231" s="4"/>
    </row>
    <row r="232" spans="6:6" x14ac:dyDescent="0.3">
      <c r="F232" s="4"/>
    </row>
    <row r="233" spans="6:6" x14ac:dyDescent="0.3">
      <c r="F233" s="4"/>
    </row>
    <row r="234" spans="6:6" x14ac:dyDescent="0.3">
      <c r="F234" s="4"/>
    </row>
    <row r="235" spans="6:6" x14ac:dyDescent="0.3">
      <c r="F235" s="4"/>
    </row>
    <row r="236" spans="6:6" x14ac:dyDescent="0.3">
      <c r="F236" s="4"/>
    </row>
    <row r="237" spans="6:6" x14ac:dyDescent="0.3">
      <c r="F237" s="4"/>
    </row>
    <row r="238" spans="6:6" x14ac:dyDescent="0.3">
      <c r="F238" s="4"/>
    </row>
    <row r="239" spans="6:6" x14ac:dyDescent="0.3">
      <c r="F239" s="4"/>
    </row>
    <row r="240" spans="6:6" x14ac:dyDescent="0.3">
      <c r="F240" s="4"/>
    </row>
    <row r="241" spans="6:6" x14ac:dyDescent="0.3">
      <c r="F241" s="4"/>
    </row>
    <row r="242" spans="6:6" x14ac:dyDescent="0.3">
      <c r="F242" s="4"/>
    </row>
    <row r="243" spans="6:6" x14ac:dyDescent="0.3">
      <c r="F243" s="4"/>
    </row>
    <row r="244" spans="6:6" x14ac:dyDescent="0.3">
      <c r="F244" s="4"/>
    </row>
    <row r="245" spans="6:6" x14ac:dyDescent="0.3">
      <c r="F245" s="4"/>
    </row>
    <row r="246" spans="6:6" x14ac:dyDescent="0.3">
      <c r="F246" s="4"/>
    </row>
    <row r="247" spans="6:6" x14ac:dyDescent="0.3">
      <c r="F247" s="4"/>
    </row>
    <row r="248" spans="6:6" x14ac:dyDescent="0.3">
      <c r="F248" s="4"/>
    </row>
    <row r="249" spans="6:6" x14ac:dyDescent="0.3">
      <c r="F249" s="4"/>
    </row>
    <row r="250" spans="6:6" x14ac:dyDescent="0.3">
      <c r="F250" s="4"/>
    </row>
    <row r="251" spans="6:6" x14ac:dyDescent="0.3">
      <c r="F251" s="4"/>
    </row>
    <row r="252" spans="6:6" x14ac:dyDescent="0.3">
      <c r="F252" s="4"/>
    </row>
    <row r="253" spans="6:6" x14ac:dyDescent="0.3">
      <c r="F253" s="4"/>
    </row>
    <row r="254" spans="6:6" x14ac:dyDescent="0.3">
      <c r="F254" s="4"/>
    </row>
    <row r="255" spans="6:6" x14ac:dyDescent="0.3">
      <c r="F255" s="4"/>
    </row>
    <row r="256" spans="6:6" x14ac:dyDescent="0.3">
      <c r="F256" s="4"/>
    </row>
    <row r="257" spans="6:6" x14ac:dyDescent="0.3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workbookViewId="0">
      <selection activeCell="D4" sqref="D4"/>
    </sheetView>
  </sheetViews>
  <sheetFormatPr defaultRowHeight="14.4" x14ac:dyDescent="0.3"/>
  <cols>
    <col min="3" max="3" width="45.6640625" customWidth="1"/>
    <col min="4" max="4" width="14.5546875" customWidth="1"/>
    <col min="5" max="5" width="10.88671875" customWidth="1"/>
    <col min="6" max="7" width="8.44140625" customWidth="1"/>
    <col min="8" max="8" width="24.109375" customWidth="1"/>
    <col min="9" max="9" width="20.44140625" customWidth="1"/>
    <col min="10" max="10" width="24.33203125" bestFit="1" customWidth="1"/>
    <col min="11" max="11" width="13.44140625" customWidth="1"/>
    <col min="12" max="12" width="14.33203125" customWidth="1"/>
    <col min="13" max="13" width="15.6640625" customWidth="1"/>
    <col min="14" max="14" width="12.33203125" customWidth="1"/>
    <col min="16" max="16" width="9.6640625" customWidth="1"/>
  </cols>
  <sheetData>
    <row r="1" spans="2:18" ht="57.6" x14ac:dyDescent="0.3">
      <c r="L1" t="s">
        <v>69</v>
      </c>
      <c r="M1" t="s">
        <v>68</v>
      </c>
      <c r="N1" s="26" t="s">
        <v>59</v>
      </c>
      <c r="P1" s="26" t="s">
        <v>58</v>
      </c>
    </row>
    <row r="2" spans="2:18" x14ac:dyDescent="0.3">
      <c r="L2" s="6" t="e">
        <f>#REF!</f>
        <v>#REF!</v>
      </c>
      <c r="M2" s="6" t="e">
        <f>#REF!</f>
        <v>#REF!</v>
      </c>
      <c r="N2" s="6" t="e">
        <f>#REF!</f>
        <v>#REF!</v>
      </c>
    </row>
    <row r="3" spans="2:18" x14ac:dyDescent="0.3">
      <c r="D3" t="s">
        <v>56</v>
      </c>
      <c r="E3" s="24" t="s">
        <v>32</v>
      </c>
      <c r="H3" t="s">
        <v>57</v>
      </c>
      <c r="I3" t="s">
        <v>33</v>
      </c>
      <c r="J3" s="1"/>
      <c r="P3" t="s">
        <v>70</v>
      </c>
      <c r="R3" t="s">
        <v>95</v>
      </c>
    </row>
    <row r="4" spans="2:18" x14ac:dyDescent="0.3">
      <c r="B4" t="s">
        <v>60</v>
      </c>
      <c r="C4" t="str" cm="1">
        <f t="array" ref="C4">_xll.FDS(B4,"FG_COMPANY_NAME")</f>
        <v>iShares MSCI New Zealand ETF</v>
      </c>
      <c r="D4" s="8" t="e">
        <f>HLOOKUP(B4,'Monthly Returns'!$A$1:$O$134, 127, FALSE)</f>
        <v>#N/A</v>
      </c>
      <c r="E4" s="8" t="e">
        <f>HLOOKUP(B4,'Monthly Returns'!$A$1:$O$134, 132, FALSE)</f>
        <v>#N/A</v>
      </c>
      <c r="H4" s="8" t="e">
        <f>HLOOKUP(B4,'Yearly returns'!$B$1:$N$140, 133, FALSE)</f>
        <v>#N/A</v>
      </c>
      <c r="I4" s="8" t="e">
        <f>HLOOKUP(B4,'Yearly returns'!$B$1:$N$140, 138, FALSE)</f>
        <v>#N/A</v>
      </c>
      <c r="L4" s="25" t="e">
        <f>(1-PERCENTRANK($E$4:$E$16,E4))*100</f>
        <v>#N/A</v>
      </c>
      <c r="M4" s="25" t="e">
        <f>(1-PERCENTRANK($H$4:$H$16,H4))*100</f>
        <v>#N/A</v>
      </c>
      <c r="N4" s="25" t="e">
        <f>(1-PERCENTRANK($I$4:$I$16,I4))*100</f>
        <v>#N/A</v>
      </c>
      <c r="P4" t="e">
        <f>L4*#REF! + M4*#REF! + N4*#REF!</f>
        <v>#N/A</v>
      </c>
      <c r="R4" t="e" cm="1" vm="1">
        <f t="array" ref="R4">_xlfn.PERCENTRANK.EXC(_xlfn._xlws.FILTER(P$4:P$16, ISNUMBER(P$4:P$16)),P4)*100</f>
        <v>#VALUE!</v>
      </c>
    </row>
    <row r="5" spans="2:18" x14ac:dyDescent="0.3">
      <c r="B5" t="s">
        <v>11</v>
      </c>
      <c r="C5" t="str" cm="1">
        <f t="array" ref="C5">_xll.FDS(B5,"FG_COMPANY_NAME")</f>
        <v>iShares MSCI Australia ETF</v>
      </c>
      <c r="D5" s="8" t="e">
        <f>HLOOKUP(B5,'Monthly Returns'!$A$1:$O$134, 127, FALSE)</f>
        <v>#N/A</v>
      </c>
      <c r="E5" s="8" t="e">
        <f>HLOOKUP(B5,'Monthly Returns'!$A$1:$O$134, 132, FALSE)</f>
        <v>#N/A</v>
      </c>
      <c r="H5" s="8" t="e">
        <f>HLOOKUP(B5,'Yearly returns'!$B$1:$N$140, 133, FALSE)</f>
        <v>#N/A</v>
      </c>
      <c r="I5" s="8" t="e">
        <f>HLOOKUP(B5,'Yearly returns'!$B$1:$N$140, 138, FALSE)</f>
        <v>#N/A</v>
      </c>
      <c r="L5" s="25" t="e">
        <f t="shared" ref="L5:L16" si="0">(1-PERCENTRANK($E$4:$E$16,E5))*100</f>
        <v>#N/A</v>
      </c>
      <c r="M5" s="25" t="e">
        <f t="shared" ref="M5:M16" si="1">(1-PERCENTRANK($H$4:$H$16,H5))*100</f>
        <v>#N/A</v>
      </c>
      <c r="N5" s="25" t="e">
        <f t="shared" ref="N5:N16" si="2">(1-PERCENTRANK($I$4:$I$16,I5))*100</f>
        <v>#N/A</v>
      </c>
      <c r="P5" t="e">
        <f>L5*#REF! + M5*#REF! + N5*#REF!</f>
        <v>#N/A</v>
      </c>
      <c r="R5" t="e" cm="1" vm="1">
        <f t="array" ref="R5">_xlfn.PERCENTRANK.EXC(_xlfn._xlws.FILTER(P$4:P$16, ISNUMBER(P$4:P$16)),P5)*100</f>
        <v>#VALUE!</v>
      </c>
    </row>
    <row r="6" spans="2:18" x14ac:dyDescent="0.3">
      <c r="B6" t="s">
        <v>14</v>
      </c>
      <c r="C6" t="str" cm="1">
        <f t="array" ref="C6">_xll.FDS(B6,"FG_COMPANY_NAME")</f>
        <v>iShares MSCI Canada ETF</v>
      </c>
      <c r="D6" s="8" t="e">
        <f>HLOOKUP(B6,'Monthly Returns'!$A$1:$O$134, 127, FALSE)</f>
        <v>#N/A</v>
      </c>
      <c r="E6" s="8" t="e">
        <f>HLOOKUP(B6,'Monthly Returns'!$A$1:$O$134, 132, FALSE)</f>
        <v>#N/A</v>
      </c>
      <c r="H6" s="8" t="e">
        <f>HLOOKUP(B6,'Yearly returns'!$B$1:$N$140, 133, FALSE)</f>
        <v>#N/A</v>
      </c>
      <c r="I6" s="8" t="e">
        <f>HLOOKUP(B6,'Yearly returns'!$B$1:$N$140, 138, FALSE)</f>
        <v>#N/A</v>
      </c>
      <c r="L6" s="25" t="e">
        <f t="shared" si="0"/>
        <v>#N/A</v>
      </c>
      <c r="M6" s="25" t="e">
        <f t="shared" si="1"/>
        <v>#N/A</v>
      </c>
      <c r="N6" s="25" t="e">
        <f t="shared" si="2"/>
        <v>#N/A</v>
      </c>
      <c r="P6" t="e">
        <f>L6*#REF! + M6*#REF! + N6*#REF!</f>
        <v>#N/A</v>
      </c>
      <c r="R6" t="e" cm="1" vm="1">
        <f t="array" ref="R6">_xlfn.PERCENTRANK.EXC(_xlfn._xlws.FILTER(P$4:P$16, ISNUMBER(P$4:P$16)),P6)*100</f>
        <v>#VALUE!</v>
      </c>
    </row>
    <row r="7" spans="2:18" x14ac:dyDescent="0.3">
      <c r="B7" t="s">
        <v>6</v>
      </c>
      <c r="C7" t="str" cm="1">
        <f t="array" ref="C7">_xll.FDS(B7,"FG_COMPANY_NAME")</f>
        <v>iShares MSCI Germany ETF</v>
      </c>
      <c r="D7" s="8" t="e">
        <f>HLOOKUP(B7,'Monthly Returns'!$A$1:$O$134, 127, FALSE)</f>
        <v>#N/A</v>
      </c>
      <c r="E7" s="8" t="e">
        <f>HLOOKUP(B7,'Monthly Returns'!$A$1:$O$134, 132, FALSE)</f>
        <v>#N/A</v>
      </c>
      <c r="H7" s="8" t="e">
        <f>HLOOKUP(B7,'Yearly returns'!$B$1:$N$140, 133, FALSE)</f>
        <v>#N/A</v>
      </c>
      <c r="I7" s="8" t="e">
        <f>HLOOKUP(B7,'Yearly returns'!$B$1:$N$140, 138, FALSE)</f>
        <v>#N/A</v>
      </c>
      <c r="L7" s="25" t="e">
        <f t="shared" si="0"/>
        <v>#N/A</v>
      </c>
      <c r="M7" s="25" t="e">
        <f t="shared" si="1"/>
        <v>#N/A</v>
      </c>
      <c r="N7" s="25" t="e">
        <f t="shared" si="2"/>
        <v>#N/A</v>
      </c>
      <c r="P7" t="e">
        <f>L7*#REF! + M7*#REF! + N7*#REF!</f>
        <v>#N/A</v>
      </c>
      <c r="R7" t="e" cm="1" vm="1">
        <f t="array" ref="R7">_xlfn.PERCENTRANK.EXC(_xlfn._xlws.FILTER(P$4:P$16, ISNUMBER(P$4:P$16)),P7)*100</f>
        <v>#VALUE!</v>
      </c>
    </row>
    <row r="8" spans="2:18" x14ac:dyDescent="0.3">
      <c r="B8" t="s">
        <v>12</v>
      </c>
      <c r="C8" t="str" cm="1">
        <f t="array" ref="C8">_xll.FDS(B8,"FG_COMPANY_NAME")</f>
        <v>iShares MSCI Japan ETF</v>
      </c>
      <c r="D8" s="8">
        <f>HLOOKUP(B8,'Monthly Returns'!$A$1:$O$134, 127, FALSE)</f>
        <v>-0.10808128</v>
      </c>
      <c r="E8" s="8">
        <f>HLOOKUP(B8,'Monthly Returns'!$A$1:$O$134, 132, FALSE)</f>
        <v>0</v>
      </c>
      <c r="H8" s="8">
        <f>HLOOKUP(B8,'Yearly returns'!$B$1:$N$140, 133, FALSE)</f>
        <v>0</v>
      </c>
      <c r="I8" s="8">
        <f>HLOOKUP(B8,'Yearly returns'!$B$1:$N$140, 138, FALSE)</f>
        <v>0.69599999999999995</v>
      </c>
      <c r="L8" s="25" t="e">
        <f t="shared" si="0"/>
        <v>#N/A</v>
      </c>
      <c r="M8" s="25" t="e">
        <f t="shared" si="1"/>
        <v>#N/A</v>
      </c>
      <c r="N8" s="25" t="e">
        <f t="shared" si="2"/>
        <v>#N/A</v>
      </c>
      <c r="P8" t="e">
        <f>L8*#REF! + M8*#REF! + N8*#REF!</f>
        <v>#N/A</v>
      </c>
      <c r="R8" t="e" cm="1" vm="1">
        <f t="array" ref="R8">_xlfn.PERCENTRANK.EXC(_xlfn._xlws.FILTER(P$4:P$16, ISNUMBER(P$4:P$16)),P8)*100</f>
        <v>#VALUE!</v>
      </c>
    </row>
    <row r="9" spans="2:18" x14ac:dyDescent="0.3">
      <c r="B9" t="s">
        <v>10</v>
      </c>
      <c r="C9" t="str" cm="1">
        <f t="array" ref="C9">_xll.FDS(B9,"FG_COMPANY_NAME")</f>
        <v>iShares MSCI Switzerland ETF</v>
      </c>
      <c r="D9" s="8" t="e">
        <f>HLOOKUP(B9,'Monthly Returns'!$A$1:$O$134, 127, FALSE)</f>
        <v>#N/A</v>
      </c>
      <c r="E9" s="8" t="e">
        <f>HLOOKUP(B9,'Monthly Returns'!$A$1:$O$134, 132, FALSE)</f>
        <v>#N/A</v>
      </c>
      <c r="H9" s="8" t="e">
        <f>HLOOKUP(B9,'Yearly returns'!$B$1:$N$140, 133, FALSE)</f>
        <v>#N/A</v>
      </c>
      <c r="I9" s="8" t="e">
        <f>HLOOKUP(B9,'Yearly returns'!$B$1:$N$140, 138, FALSE)</f>
        <v>#N/A</v>
      </c>
      <c r="L9" s="25" t="e">
        <f t="shared" si="0"/>
        <v>#N/A</v>
      </c>
      <c r="M9" s="25" t="e">
        <f t="shared" si="1"/>
        <v>#N/A</v>
      </c>
      <c r="N9" s="25" t="e">
        <f t="shared" si="2"/>
        <v>#N/A</v>
      </c>
      <c r="P9" t="e">
        <f>L9*#REF! + M9*#REF! + N9*#REF!</f>
        <v>#N/A</v>
      </c>
      <c r="R9" t="e" cm="1" vm="1">
        <f t="array" ref="R9">_xlfn.PERCENTRANK.EXC(_xlfn._xlws.FILTER(P$4:P$16, ISNUMBER(P$4:P$16)),P9)*100</f>
        <v>#VALUE!</v>
      </c>
    </row>
    <row r="10" spans="2:18" x14ac:dyDescent="0.3">
      <c r="B10" t="s">
        <v>13</v>
      </c>
      <c r="C10" t="str" cm="1">
        <f t="array" ref="C10">_xll.FDS(B10,"FG_COMPANY_NAME")</f>
        <v>iShares MSCI United Kingdom ETF</v>
      </c>
      <c r="D10" s="8" t="e">
        <f>HLOOKUP(B10,'Monthly Returns'!$A$1:$O$134, 127, FALSE)</f>
        <v>#N/A</v>
      </c>
      <c r="E10" s="8" t="e">
        <f>HLOOKUP(B10,'Monthly Returns'!$A$1:$O$134, 132, FALSE)</f>
        <v>#N/A</v>
      </c>
      <c r="H10" s="8" t="e">
        <f>HLOOKUP(B10,'Yearly returns'!$B$1:$N$140, 133, FALSE)</f>
        <v>#N/A</v>
      </c>
      <c r="I10" s="8" t="e">
        <f>HLOOKUP(B10,'Yearly returns'!$B$1:$N$140, 138, FALSE)</f>
        <v>#N/A</v>
      </c>
      <c r="L10" s="25" t="e">
        <f t="shared" si="0"/>
        <v>#N/A</v>
      </c>
      <c r="M10" s="25" t="e">
        <f t="shared" si="1"/>
        <v>#N/A</v>
      </c>
      <c r="N10" s="25" t="e">
        <f t="shared" si="2"/>
        <v>#N/A</v>
      </c>
      <c r="P10" t="e">
        <f>L10*#REF! + M10*#REF! + N10*#REF!</f>
        <v>#N/A</v>
      </c>
      <c r="R10" t="e" cm="1" vm="1">
        <f t="array" ref="R10">_xlfn.PERCENTRANK.EXC(_xlfn._xlws.FILTER(P$4:P$16, ISNUMBER(P$4:P$16)),P10)*100</f>
        <v>#VALUE!</v>
      </c>
    </row>
    <row r="11" spans="2:18" x14ac:dyDescent="0.3">
      <c r="B11" t="s">
        <v>15</v>
      </c>
      <c r="C11" t="str" cm="1">
        <f t="array" ref="C11">_xll.FDS(B11,"FG_COMPANY_NAME")</f>
        <v>Invesco QQQ Trust Series I</v>
      </c>
      <c r="D11" s="8">
        <f>HLOOKUP(B11,'Monthly Returns'!$A$1:$O$134, 127, FALSE)</f>
        <v>-0.13189059</v>
      </c>
      <c r="E11" s="8">
        <f>HLOOKUP(B11,'Monthly Returns'!$A$1:$O$134, 132, FALSE)</f>
        <v>0</v>
      </c>
      <c r="H11" s="8">
        <f>HLOOKUP(B11,'Yearly returns'!$B$1:$N$140, 133, FALSE)</f>
        <v>0</v>
      </c>
      <c r="I11" s="8">
        <f>HLOOKUP(B11,'Yearly returns'!$B$1:$N$140, 138, FALSE)</f>
        <v>0.91800000000000004</v>
      </c>
      <c r="L11" s="25" t="e">
        <f t="shared" si="0"/>
        <v>#N/A</v>
      </c>
      <c r="M11" s="25" t="e">
        <f t="shared" si="1"/>
        <v>#N/A</v>
      </c>
      <c r="N11" s="25" t="e">
        <f t="shared" si="2"/>
        <v>#N/A</v>
      </c>
      <c r="P11" t="e">
        <f>L11*#REF! + M11*#REF! + N11*#REF!</f>
        <v>#N/A</v>
      </c>
      <c r="R11" t="e" cm="1" vm="1">
        <f t="array" ref="R11">_xlfn.PERCENTRANK.EXC(_xlfn._xlws.FILTER(P$4:P$16, ISNUMBER(P$4:P$16)),P11)*100</f>
        <v>#VALUE!</v>
      </c>
    </row>
    <row r="12" spans="2:18" x14ac:dyDescent="0.3">
      <c r="B12" t="s">
        <v>1</v>
      </c>
      <c r="C12" t="str" cm="1">
        <f t="array" ref="C12">_xll.FDS(B12,"FG_COMPANY_NAME")</f>
        <v>SPDR S&amp;P 500 ETF Trust</v>
      </c>
      <c r="D12" s="8">
        <f>HLOOKUP(B12,'Monthly Returns'!$A$1:$O$134, 127, FALSE)</f>
        <v>-0.15632545</v>
      </c>
      <c r="E12" s="8">
        <f>HLOOKUP(B12,'Monthly Returns'!$A$1:$O$134, 132, FALSE)</f>
        <v>0</v>
      </c>
      <c r="H12" s="8">
        <f>HLOOKUP(B12,'Yearly returns'!$B$1:$N$140, 133, FALSE)</f>
        <v>0</v>
      </c>
      <c r="I12" s="8">
        <f>HLOOKUP(B12,'Yearly returns'!$B$1:$N$140, 138, FALSE)</f>
        <v>0.81899999999999995</v>
      </c>
      <c r="L12" s="25" t="e">
        <f t="shared" si="0"/>
        <v>#N/A</v>
      </c>
      <c r="M12" s="25" t="e">
        <f t="shared" si="1"/>
        <v>#N/A</v>
      </c>
      <c r="N12" s="25" t="e">
        <f t="shared" si="2"/>
        <v>#N/A</v>
      </c>
      <c r="P12" t="e">
        <f>L12*#REF! + M12*#REF! + N12*#REF!</f>
        <v>#N/A</v>
      </c>
      <c r="R12" t="e" cm="1" vm="1">
        <f t="array" ref="R12">_xlfn.PERCENTRANK.EXC(_xlfn._xlws.FILTER(P$4:P$16, ISNUMBER(P$4:P$16)),P12)*100</f>
        <v>#VALUE!</v>
      </c>
    </row>
    <row r="13" spans="2:18" x14ac:dyDescent="0.3">
      <c r="B13" t="s">
        <v>141</v>
      </c>
      <c r="C13" t="str" cm="1">
        <f t="array" ref="C13">_xll.FDS(B13,"FG_COMPANY_NAME")</f>
        <v>iShares MSCI France ETF</v>
      </c>
      <c r="D13" s="8" t="e">
        <f>HLOOKUP(B13,'Monthly Returns'!$A$1:$O$134, 127, FALSE)</f>
        <v>#N/A</v>
      </c>
      <c r="E13" s="8" t="e">
        <f>HLOOKUP(B13,'Monthly Returns'!$A$1:$O$134, 132, FALSE)</f>
        <v>#N/A</v>
      </c>
      <c r="H13" s="8" t="e">
        <f>HLOOKUP(B13,'Yearly returns'!$B$1:$N$140, 133, FALSE)</f>
        <v>#N/A</v>
      </c>
      <c r="I13" s="8" t="e">
        <f>HLOOKUP(B13,'Yearly returns'!$B$1:$N$140, 138, FALSE)</f>
        <v>#N/A</v>
      </c>
      <c r="L13" s="25" t="e">
        <f t="shared" si="0"/>
        <v>#N/A</v>
      </c>
      <c r="M13" s="25" t="e">
        <f t="shared" si="1"/>
        <v>#N/A</v>
      </c>
      <c r="N13" s="25" t="e">
        <f t="shared" si="2"/>
        <v>#N/A</v>
      </c>
      <c r="P13" t="e">
        <f>L13*#REF! + M13*#REF! + N13*#REF!</f>
        <v>#N/A</v>
      </c>
      <c r="R13" t="e" cm="1" vm="1">
        <f t="array" ref="R13">_xlfn.PERCENTRANK.EXC(_xlfn._xlws.FILTER(P$4:P$16, ISNUMBER(P$4:P$16)),P13)*100</f>
        <v>#VALUE!</v>
      </c>
    </row>
    <row r="14" spans="2:18" x14ac:dyDescent="0.3">
      <c r="B14" t="s">
        <v>143</v>
      </c>
      <c r="C14" t="str" cm="1">
        <f t="array" ref="C14">_xll.FDS(B14,"FG_COMPANY_NAME")</f>
        <v>iShares MSCI Netherlands ETF</v>
      </c>
      <c r="D14" s="8" t="e">
        <f>HLOOKUP(B14,'Monthly Returns'!$A$1:$O$134, 127, FALSE)</f>
        <v>#N/A</v>
      </c>
      <c r="E14" s="8" t="e">
        <f>HLOOKUP(B14,'Monthly Returns'!$A$1:$O$134, 132, FALSE)</f>
        <v>#N/A</v>
      </c>
      <c r="H14" s="8" t="e">
        <f>HLOOKUP(B14,'Yearly returns'!$B$1:$N$140, 133, FALSE)</f>
        <v>#N/A</v>
      </c>
      <c r="I14" s="8" t="e">
        <f>HLOOKUP(B14,'Yearly returns'!$B$1:$N$140, 138, FALSE)</f>
        <v>#N/A</v>
      </c>
      <c r="L14" s="25" t="e">
        <f t="shared" si="0"/>
        <v>#N/A</v>
      </c>
      <c r="M14" s="25" t="e">
        <f t="shared" si="1"/>
        <v>#N/A</v>
      </c>
      <c r="N14" s="25" t="e">
        <f t="shared" si="2"/>
        <v>#N/A</v>
      </c>
      <c r="P14" t="e">
        <f>L14*#REF! + M14*#REF! + N14*#REF!</f>
        <v>#N/A</v>
      </c>
      <c r="R14" t="e" cm="1" vm="1">
        <f t="array" ref="R14">_xlfn.PERCENTRANK.EXC(_xlfn._xlws.FILTER(P$4:P$16, ISNUMBER(P$4:P$16)),P14)*100</f>
        <v>#VALUE!</v>
      </c>
    </row>
    <row r="15" spans="2:18" x14ac:dyDescent="0.3">
      <c r="B15" t="s">
        <v>140</v>
      </c>
      <c r="C15" t="str" cm="1">
        <f t="array" ref="C15">_xll.FDS(B15,"FG_COMPANY_NAME")</f>
        <v>iShares MSCI Sweden ETF</v>
      </c>
      <c r="D15" s="8">
        <f>HLOOKUP(B15,'Monthly Returns'!$A$1:$O$134, 127, FALSE)</f>
        <v>-0.18855327999999999</v>
      </c>
      <c r="E15" s="8">
        <f>HLOOKUP(B15,'Monthly Returns'!$A$1:$O$134, 132, FALSE)</f>
        <v>0</v>
      </c>
      <c r="H15" s="8">
        <f>HLOOKUP(B15,'Yearly returns'!$B$1:$N$140, 133, FALSE)</f>
        <v>0</v>
      </c>
      <c r="I15" s="8">
        <f>HLOOKUP(B15,'Yearly returns'!$B$1:$N$140, 138, FALSE)</f>
        <v>0.58099999999999996</v>
      </c>
      <c r="L15" s="25" t="e">
        <f t="shared" si="0"/>
        <v>#N/A</v>
      </c>
      <c r="M15" s="25" t="e">
        <f t="shared" si="1"/>
        <v>#N/A</v>
      </c>
      <c r="N15" s="25" t="e">
        <f t="shared" si="2"/>
        <v>#N/A</v>
      </c>
      <c r="P15" t="e">
        <f>L15*#REF! + M15*#REF! + N15*#REF!</f>
        <v>#N/A</v>
      </c>
      <c r="R15" t="e" cm="1" vm="1">
        <f t="array" ref="R15">_xlfn.PERCENTRANK.EXC(_xlfn._xlws.FILTER(P$4:P$16, ISNUMBER(P$4:P$16)),P15)*100</f>
        <v>#VALUE!</v>
      </c>
    </row>
    <row r="16" spans="2:18" x14ac:dyDescent="0.3">
      <c r="B16" t="s">
        <v>142</v>
      </c>
      <c r="C16" t="str" cm="1">
        <f t="array" ref="C16">_xll.FDS(B16,"FG_COMPANY_NAME")</f>
        <v>iShares MSCI Italy ETF</v>
      </c>
      <c r="D16" s="8">
        <f>HLOOKUP(B16,'Monthly Returns'!$A$1:$O$134, 127, FALSE)</f>
        <v>-0.2241379</v>
      </c>
      <c r="E16" s="8">
        <f>HLOOKUP(B16,'Monthly Returns'!$A$1:$O$134, 132, FALSE)</f>
        <v>0</v>
      </c>
      <c r="H16" s="8">
        <f>HLOOKUP(B16,'Yearly returns'!$B$1:$N$140, 133, FALSE)</f>
        <v>0</v>
      </c>
      <c r="I16" s="8">
        <f>HLOOKUP(B16,'Yearly returns'!$B$1:$N$140, 138, FALSE)</f>
        <v>0.67200000000000004</v>
      </c>
      <c r="L16" s="25" t="e">
        <f t="shared" si="0"/>
        <v>#N/A</v>
      </c>
      <c r="M16" s="25" t="e">
        <f t="shared" si="1"/>
        <v>#N/A</v>
      </c>
      <c r="N16" s="25" t="e">
        <f t="shared" si="2"/>
        <v>#N/A</v>
      </c>
      <c r="P16" t="e">
        <f>L16*#REF! + M16*#REF! + N16*#REF!</f>
        <v>#N/A</v>
      </c>
      <c r="R16" t="e" cm="1" vm="1">
        <f t="array" ref="R16">_xlfn.PERCENTRANK.EXC(_xlfn._xlws.FILTER(P$4:P$16, ISNUMBER(P$4:P$16)),P16)*100</f>
        <v>#VALUE!</v>
      </c>
    </row>
    <row r="17" spans="4:4" x14ac:dyDescent="0.3">
      <c r="D17" s="8"/>
    </row>
    <row r="18" spans="4:4" x14ac:dyDescent="0.3">
      <c r="D18" s="8"/>
    </row>
    <row r="19" spans="4:4" x14ac:dyDescent="0.3">
      <c r="D19" s="8"/>
    </row>
    <row r="20" spans="4:4" x14ac:dyDescent="0.3">
      <c r="D2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zoomScaleNormal="100" workbookViewId="0">
      <selection activeCell="B23" sqref="B23"/>
    </sheetView>
  </sheetViews>
  <sheetFormatPr defaultRowHeight="14.4" x14ac:dyDescent="0.3"/>
  <cols>
    <col min="1" max="1" width="15.109375" bestFit="1" customWidth="1"/>
    <col min="2" max="2" width="34.33203125" customWidth="1"/>
    <col min="3" max="3" width="10" bestFit="1" customWidth="1"/>
    <col min="4" max="4" width="18.109375" bestFit="1" customWidth="1"/>
    <col min="5" max="5" width="11.5546875" customWidth="1"/>
    <col min="6" max="6" width="21" customWidth="1"/>
    <col min="7" max="7" width="11.109375" bestFit="1" customWidth="1"/>
    <col min="8" max="8" width="15.6640625" style="18" customWidth="1"/>
    <col min="9" max="9" width="24.44140625" style="18" customWidth="1"/>
    <col min="10" max="10" width="14.109375" style="18" customWidth="1"/>
    <col min="12" max="12" width="10.44140625" customWidth="1"/>
    <col min="13" max="13" width="10.5546875" customWidth="1"/>
    <col min="14" max="14" width="14.44140625" customWidth="1"/>
    <col min="15" max="15" width="6.44140625" customWidth="1"/>
    <col min="18" max="18" width="14.88671875" bestFit="1" customWidth="1"/>
    <col min="19" max="19" width="11.109375" customWidth="1"/>
    <col min="20" max="20" width="14.109375" bestFit="1" customWidth="1"/>
    <col min="21" max="21" width="13.33203125" bestFit="1" customWidth="1"/>
    <col min="22" max="22" width="14.6640625" bestFit="1" customWidth="1"/>
  </cols>
  <sheetData>
    <row r="1" spans="1:22" x14ac:dyDescent="0.3">
      <c r="H1"/>
      <c r="I1"/>
      <c r="J1"/>
    </row>
    <row r="2" spans="1:22" x14ac:dyDescent="0.3">
      <c r="H2"/>
      <c r="I2"/>
      <c r="J2"/>
      <c r="K2" t="s">
        <v>92</v>
      </c>
      <c r="L2" s="5"/>
    </row>
    <row r="3" spans="1:22" x14ac:dyDescent="0.3">
      <c r="H3"/>
      <c r="I3"/>
      <c r="J3"/>
      <c r="K3" t="s">
        <v>93</v>
      </c>
      <c r="L3" s="5"/>
    </row>
    <row r="4" spans="1:22" x14ac:dyDescent="0.3">
      <c r="A4" t="s">
        <v>125</v>
      </c>
      <c r="B4" t="s">
        <v>67</v>
      </c>
      <c r="C4" t="s">
        <v>124</v>
      </c>
      <c r="D4" t="s">
        <v>72</v>
      </c>
      <c r="F4" t="s">
        <v>94</v>
      </c>
      <c r="G4" s="35" t="s">
        <v>122</v>
      </c>
      <c r="H4" s="35" t="s">
        <v>121</v>
      </c>
      <c r="I4" s="35" t="s">
        <v>128</v>
      </c>
      <c r="J4" s="35" t="s">
        <v>123</v>
      </c>
      <c r="L4" s="35" t="s">
        <v>121</v>
      </c>
      <c r="M4" s="35" t="s">
        <v>128</v>
      </c>
      <c r="N4" s="35" t="s">
        <v>123</v>
      </c>
      <c r="P4" t="s">
        <v>159</v>
      </c>
      <c r="S4" s="35" t="s">
        <v>122</v>
      </c>
      <c r="T4" s="35" t="s">
        <v>121</v>
      </c>
      <c r="U4" s="35" t="s">
        <v>128</v>
      </c>
      <c r="V4" s="35" t="s">
        <v>123</v>
      </c>
    </row>
    <row r="5" spans="1:22" x14ac:dyDescent="0.3">
      <c r="A5" t="s">
        <v>41</v>
      </c>
      <c r="B5" t="str" cm="1">
        <f t="array" ref="B5">_xll.FDS(C5,"FG_COMPANY_NAME")</f>
        <v>iShares MSCI New Zealand ETF</v>
      </c>
      <c r="C5" t="s">
        <v>60</v>
      </c>
      <c r="D5" t="s">
        <v>82</v>
      </c>
      <c r="E5" s="3" t="s">
        <v>60</v>
      </c>
      <c r="F5" s="8" t="e">
        <f>HLOOKUP(E5,'Monthly Returns'!$A$1:$AA$136,134,FALSE)</f>
        <v>#N/A</v>
      </c>
      <c r="G5" s="36" cm="1">
        <f t="array" ref="G5">_xll.FDSZ(C5,"FG_PRICE(0)")</f>
        <v>46.9</v>
      </c>
      <c r="H5" s="36" cm="1">
        <f t="array" ref="H5">_xll.FDSZ(C5,"FG_PRICE_MAVG(0,,,,30)")</f>
        <v>47.466166999999999</v>
      </c>
      <c r="I5" s="36" cm="1">
        <f t="array" ref="I5">_xll.FDSZ(C5,"FG_PRICE_MAVG(0,,,,60)")</f>
        <v>46.217666999999999</v>
      </c>
      <c r="J5" s="36" cm="1">
        <f t="array" ref="J5">_xll.FDSZ(C5,"FG_PRICE_MAVG(0,,,,200)")</f>
        <v>46.927844999999998</v>
      </c>
      <c r="L5">
        <f>IF($G5&gt;H5, 1, 0)</f>
        <v>0</v>
      </c>
      <c r="M5">
        <f>IF($G5&gt;I5, 1, 0)</f>
        <v>1</v>
      </c>
      <c r="N5">
        <f>IF($G5&gt;J5, 1, 0)</f>
        <v>0</v>
      </c>
      <c r="P5">
        <f>SUM(L5:N5)</f>
        <v>1</v>
      </c>
      <c r="R5" t="s">
        <v>130</v>
      </c>
      <c r="S5" s="7" cm="1">
        <f t="array" ref="S5">_xll.FDSZ($R5,"FG_PRICE(0)")</f>
        <v>394.01794000000001</v>
      </c>
      <c r="T5" s="7" cm="1">
        <f t="array" ref="T5">_xll.FDSZ($R5,"FG_PRICE(0)")</f>
        <v>394.01794000000001</v>
      </c>
      <c r="U5" s="7" cm="1">
        <f t="array" ref="U5">_xll.FDSZ($R5,"FG_PRICE(0)")</f>
        <v>394.01794000000001</v>
      </c>
      <c r="V5" s="7" cm="1">
        <f t="array" ref="V5">_xll.FDSZ($R5,"FG_PRICE(0)")</f>
        <v>394.01794000000001</v>
      </c>
    </row>
    <row r="6" spans="1:22" x14ac:dyDescent="0.3">
      <c r="A6" t="s">
        <v>40</v>
      </c>
      <c r="B6" t="str" cm="1">
        <f t="array" ref="B6">_xll.FDS(C6,"FG_COMPANY_NAME")</f>
        <v>iShares MSCI Australia ETF</v>
      </c>
      <c r="C6" t="s">
        <v>11</v>
      </c>
      <c r="D6" t="s">
        <v>74</v>
      </c>
      <c r="E6" s="3" t="s">
        <v>11</v>
      </c>
      <c r="F6" s="8" t="e">
        <f>HLOOKUP(E6,'Monthly Returns'!$A$1:$AA$136,134,FALSE)</f>
        <v>#N/A</v>
      </c>
      <c r="G6" s="36" cm="1">
        <f t="array" ref="G6">_xll.FDSZ(C6,"FG_PRICE(0)")</f>
        <v>23.69</v>
      </c>
      <c r="H6" s="36" cm="1">
        <f t="array" ref="H6">_xll.FDSZ(C6,"FG_PRICE_MAVG(0,,,,30)")</f>
        <v>23.806667000000001</v>
      </c>
      <c r="I6" s="36" cm="1">
        <f t="array" ref="I6">_xll.FDSZ(C6,"FG_PRICE_MAVG(0,,,,60)")</f>
        <v>22.959667</v>
      </c>
      <c r="J6" s="36" cm="1">
        <f t="array" ref="J6">_xll.FDSZ(C6,"FG_PRICE_MAVG(0,,,,200)")</f>
        <v>22.50835</v>
      </c>
      <c r="L6">
        <f t="shared" ref="L6:L17" si="0">IF($G6&gt;H6, 1, 0)</f>
        <v>0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2</v>
      </c>
      <c r="R6" t="s">
        <v>131</v>
      </c>
      <c r="S6" s="7" cm="1">
        <f t="array" ref="S6">_xll.FDSZ($R6,"FG_PRICE(0)")</f>
        <v>347.62616000000003</v>
      </c>
      <c r="T6" s="7" cm="1">
        <f t="array" ref="T6">_xll.FDSZ($R6,"FG_PRICE(0)")</f>
        <v>347.62616000000003</v>
      </c>
      <c r="U6" s="7" cm="1">
        <f t="array" ref="U6">_xll.FDSZ($R6,"FG_PRICE(0)")</f>
        <v>347.62616000000003</v>
      </c>
      <c r="V6" s="7" cm="1">
        <f t="array" ref="V6">_xll.FDSZ($R6,"FG_PRICE(0)")</f>
        <v>347.62616000000003</v>
      </c>
    </row>
    <row r="7" spans="1:22" x14ac:dyDescent="0.3">
      <c r="A7" t="s">
        <v>36</v>
      </c>
      <c r="B7" t="str" cm="1">
        <f t="array" ref="B7">_xll.FDS(C7,"FG_COMPANY_NAME")</f>
        <v>iShares MSCI Canada ETF</v>
      </c>
      <c r="C7" t="s">
        <v>14</v>
      </c>
      <c r="D7" t="s">
        <v>75</v>
      </c>
      <c r="E7" s="3" t="s">
        <v>14</v>
      </c>
      <c r="F7" s="8" t="e">
        <f>HLOOKUP(E7,'Monthly Returns'!$A$1:$AA$136,134,FALSE)</f>
        <v>#N/A</v>
      </c>
      <c r="G7" s="36" cm="1">
        <f t="array" ref="G7">_xll.FDSZ(C7,"FG_PRICE(0)")</f>
        <v>36.47</v>
      </c>
      <c r="H7" s="36" cm="1">
        <f t="array" ref="H7">_xll.FDSZ(C7,"FG_PRICE_MAVG(0,,,,30)")</f>
        <v>36.249670000000002</v>
      </c>
      <c r="I7" s="36" cm="1">
        <f t="array" ref="I7">_xll.FDSZ(C7,"FG_PRICE_MAVG(0,,,,60)")</f>
        <v>35.214170000000003</v>
      </c>
      <c r="J7" s="36" cm="1">
        <f t="array" ref="J7">_xll.FDSZ(C7,"FG_PRICE_MAVG(0,,,,200)")</f>
        <v>34.612250000000003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132</v>
      </c>
      <c r="S7" s="7" cm="1">
        <f t="array" ref="S7">_xll.FDSZ($R7,"FG_PRICE(0)")</f>
        <v>280.76566000000003</v>
      </c>
      <c r="T7" s="7" cm="1">
        <f t="array" ref="T7">_xll.FDSZ($R7,"FG_PRICE(0)")</f>
        <v>280.76566000000003</v>
      </c>
      <c r="U7" s="7" cm="1">
        <f t="array" ref="U7">_xll.FDSZ($R7,"FG_PRICE(0)")</f>
        <v>280.76566000000003</v>
      </c>
      <c r="V7" s="7" cm="1">
        <f t="array" ref="V7">_xll.FDSZ($R7,"FG_PRICE(0)")</f>
        <v>280.76566000000003</v>
      </c>
    </row>
    <row r="8" spans="1:22" x14ac:dyDescent="0.3">
      <c r="A8" t="s">
        <v>73</v>
      </c>
      <c r="B8" t="str" cm="1">
        <f t="array" ref="B8">_xll.FDS(C8,"FG_COMPANY_NAME")</f>
        <v>iShares MSCI Germany ETF</v>
      </c>
      <c r="C8" t="s">
        <v>6</v>
      </c>
      <c r="D8" t="s">
        <v>78</v>
      </c>
      <c r="E8" s="3" t="s">
        <v>6</v>
      </c>
      <c r="F8" s="8" t="e">
        <f>HLOOKUP(E8,'Monthly Returns'!$A$1:$AA$136,134,FALSE)</f>
        <v>#N/A</v>
      </c>
      <c r="G8" s="36" cm="1">
        <f t="array" ref="G8">_xll.FDSZ(C8,"FG_PRICE(0)")</f>
        <v>29.39</v>
      </c>
      <c r="H8" s="36" cm="1">
        <f t="array" ref="H8">_xll.FDSZ(C8,"FG_PRICE_MAVG(0,,,,30)")</f>
        <v>29.250333999999999</v>
      </c>
      <c r="I8" s="36" cm="1">
        <f t="array" ref="I8">_xll.FDSZ(C8,"FG_PRICE_MAVG(0,,,,60)")</f>
        <v>28.403500000000001</v>
      </c>
      <c r="J8" s="36" cm="1">
        <f t="array" ref="J8">_xll.FDSZ(C8,"FG_PRICE_MAVG(0,,,,200)")</f>
        <v>28.037949999999999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129</v>
      </c>
      <c r="S8" s="7" cm="1">
        <f t="array" ref="S8">_xll.FDSZ($R8,"FG_PRICE(0)")</f>
        <v>9.3245319999999996</v>
      </c>
      <c r="T8" s="7" cm="1">
        <f t="array" ref="T8">_xll.FDSZ($R8,"FG_PRICE(0)")</f>
        <v>9.3245319999999996</v>
      </c>
      <c r="U8" s="7" cm="1">
        <f t="array" ref="U8">_xll.FDSZ($R8,"FG_PRICE(0)")</f>
        <v>9.3245319999999996</v>
      </c>
      <c r="V8" s="7" cm="1">
        <f t="array" ref="V8">_xll.FDSZ($R8,"FG_PRICE(0)")</f>
        <v>9.3245319999999996</v>
      </c>
    </row>
    <row r="9" spans="1:22" x14ac:dyDescent="0.3">
      <c r="A9" t="s">
        <v>37</v>
      </c>
      <c r="B9" t="str" cm="1">
        <f t="array" ref="B9">_xll.FDS(C9,"FG_COMPANY_NAME")</f>
        <v>iShares MSCI Japan ETF</v>
      </c>
      <c r="C9" t="s">
        <v>12</v>
      </c>
      <c r="D9" t="s">
        <v>80</v>
      </c>
      <c r="E9" s="3" t="s">
        <v>12</v>
      </c>
      <c r="F9" s="8">
        <f>HLOOKUP(E9,'Monthly Returns'!$A$1:$AA$136,134,FALSE)</f>
        <v>0.79500000000000004</v>
      </c>
      <c r="G9" s="36" cm="1">
        <f t="array" ref="G9">_xll.FDSZ(C9,"FG_PRICE(0)")</f>
        <v>65.39</v>
      </c>
      <c r="H9" s="36" cm="1">
        <f t="array" ref="H9">_xll.FDSZ(C9,"FG_PRICE_MAVG(0,,,,30)")</f>
        <v>64.437669999999997</v>
      </c>
      <c r="I9" s="36" cm="1">
        <f t="array" ref="I9">_xll.FDSZ(C9,"FG_PRICE_MAVG(0,,,,60)")</f>
        <v>63.098166999999997</v>
      </c>
      <c r="J9" s="36" cm="1">
        <f t="array" ref="J9">_xll.FDSZ(C9,"FG_PRICE_MAVG(0,,,,200)")</f>
        <v>61.491799999999998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133</v>
      </c>
      <c r="S9" s="7" cm="1">
        <f t="array" ref="S9">_xll.FDSZ($R9,"FG_PRICE(0)")</f>
        <v>167.85265999999999</v>
      </c>
      <c r="T9" s="7" cm="1">
        <f t="array" ref="T9">_xll.FDSZ($R9,"FG_PRICE(0)")</f>
        <v>167.85265999999999</v>
      </c>
      <c r="U9" s="7" cm="1">
        <f t="array" ref="U9">_xll.FDSZ($R9,"FG_PRICE(0)")</f>
        <v>167.85265999999999</v>
      </c>
      <c r="V9" s="7" cm="1">
        <f t="array" ref="V9">_xll.FDSZ($R9,"FG_PRICE(0)")</f>
        <v>167.85265999999999</v>
      </c>
    </row>
    <row r="10" spans="1:22" x14ac:dyDescent="0.3">
      <c r="A10" t="s">
        <v>44</v>
      </c>
      <c r="B10" t="str" cm="1">
        <f t="array" ref="B10">_xll.FDS(C10,"FG_COMPANY_NAME")</f>
        <v>iShares MSCI Switzerland ETF</v>
      </c>
      <c r="C10" t="s">
        <v>10</v>
      </c>
      <c r="D10" t="s">
        <v>84</v>
      </c>
      <c r="E10" s="3" t="s">
        <v>10</v>
      </c>
      <c r="F10" s="8" t="e">
        <f>HLOOKUP(E10,'Monthly Returns'!$A$1:$AA$136,134,FALSE)</f>
        <v>#N/A</v>
      </c>
      <c r="G10" s="36" cm="1">
        <f t="array" ref="G10">_xll.FDSZ(C10,"FG_PRICE(0)")</f>
        <v>47.82</v>
      </c>
      <c r="H10" s="36" cm="1">
        <f t="array" ref="H10">_xll.FDSZ(C10,"FG_PRICE_MAVG(0,,,,30)")</f>
        <v>47.42</v>
      </c>
      <c r="I10" s="36" cm="1">
        <f t="array" ref="I10">_xll.FDSZ(C10,"FG_PRICE_MAVG(0,,,,60)")</f>
        <v>45.926000000000002</v>
      </c>
      <c r="J10" s="36" cm="1">
        <f t="array" ref="J10">_xll.FDSZ(C10,"FG_PRICE_MAVG(0,,,,200)")</f>
        <v>45.967700000000001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134</v>
      </c>
      <c r="S10" s="7" cm="1">
        <f t="array" ref="S10">_xll.FDSZ($R10,"FG_PRICE(0)")</f>
        <v>330.17142000000001</v>
      </c>
      <c r="T10" s="7" cm="1">
        <f t="array" ref="T10">_xll.FDSZ($R10,"FG_PRICE(0)")</f>
        <v>330.17142000000001</v>
      </c>
      <c r="U10" s="7" cm="1">
        <f t="array" ref="U10">_xll.FDSZ($R10,"FG_PRICE(0)")</f>
        <v>330.17142000000001</v>
      </c>
      <c r="V10" s="7" cm="1">
        <f t="array" ref="V10">_xll.FDSZ($R10,"FG_PRICE(0)")</f>
        <v>330.17142000000001</v>
      </c>
    </row>
    <row r="11" spans="1:22" x14ac:dyDescent="0.3">
      <c r="A11" t="s">
        <v>38</v>
      </c>
      <c r="B11" t="str" cm="1">
        <f t="array" ref="B11">_xll.FDS(C11,"FG_COMPANY_NAME")</f>
        <v>iShares MSCI United Kingdom ETF</v>
      </c>
      <c r="C11" t="s">
        <v>13</v>
      </c>
      <c r="D11" t="s">
        <v>85</v>
      </c>
      <c r="E11" s="3" t="s">
        <v>13</v>
      </c>
      <c r="F11" s="8" t="e">
        <f>HLOOKUP(E11,'Monthly Returns'!$A$1:$AA$136,134,FALSE)</f>
        <v>#N/A</v>
      </c>
      <c r="G11" s="36" cm="1">
        <f t="array" ref="G11">_xll.FDSZ(C11,"FG_PRICE(0)")</f>
        <v>32.64</v>
      </c>
      <c r="H11" s="36" cm="1">
        <f t="array" ref="H11">_xll.FDSZ(C11,"FG_PRICE_MAVG(0,,,,30)")</f>
        <v>32.683666000000002</v>
      </c>
      <c r="I11" s="36" cm="1">
        <f t="array" ref="I11">_xll.FDSZ(C11,"FG_PRICE_MAVG(0,,,,60)")</f>
        <v>32.290669999999999</v>
      </c>
      <c r="J11" s="36" cm="1">
        <f t="array" ref="J11">_xll.FDSZ(C11,"FG_PRICE_MAVG(0,,,,200)")</f>
        <v>32.345100000000002</v>
      </c>
      <c r="L11">
        <f t="shared" si="0"/>
        <v>0</v>
      </c>
      <c r="M11">
        <f t="shared" si="1"/>
        <v>1</v>
      </c>
      <c r="N11">
        <f t="shared" si="2"/>
        <v>1</v>
      </c>
      <c r="P11">
        <f t="shared" si="3"/>
        <v>2</v>
      </c>
      <c r="R11" t="s">
        <v>135</v>
      </c>
      <c r="S11" s="7" cm="1">
        <f t="array" ref="S11">_xll.FDSZ($R11,"FG_PRICE(0)")</f>
        <v>119.17794000000001</v>
      </c>
      <c r="T11" s="7" cm="1">
        <f t="array" ref="T11">_xll.FDSZ($R11,"FG_PRICE(0)")</f>
        <v>119.17794000000001</v>
      </c>
      <c r="U11" s="7" cm="1">
        <f t="array" ref="U11">_xll.FDSZ($R11,"FG_PRICE(0)")</f>
        <v>119.17794000000001</v>
      </c>
      <c r="V11" s="7" cm="1">
        <f t="array" ref="V11">_xll.FDSZ($R11,"FG_PRICE(0)")</f>
        <v>119.17794000000001</v>
      </c>
    </row>
    <row r="12" spans="1:22" x14ac:dyDescent="0.3">
      <c r="A12" t="s">
        <v>39</v>
      </c>
      <c r="B12" t="str" cm="1">
        <f t="array" ref="B12">_xll.FDS(C12,"FG_COMPANY_NAME")</f>
        <v>Invesco QQQ Trust Series I</v>
      </c>
      <c r="C12" t="s">
        <v>15</v>
      </c>
      <c r="D12" t="s">
        <v>86</v>
      </c>
      <c r="E12" s="3" t="s">
        <v>15</v>
      </c>
      <c r="F12" s="8">
        <f>HLOOKUP(E12,'Monthly Returns'!$A$1:$AA$136,134,FALSE)</f>
        <v>0.59</v>
      </c>
      <c r="G12" s="36" cm="1">
        <f t="array" ref="G12">_xll.FDSZ(C12,"FG_PRICE(0)")</f>
        <v>423.81</v>
      </c>
      <c r="H12" s="36" cm="1">
        <f t="array" ref="H12">_xll.FDSZ(C12,"FG_PRICE_MAVG(0,,,,30)")</f>
        <v>409.84332000000001</v>
      </c>
      <c r="I12" s="36" cm="1">
        <f t="array" ref="I12">_xll.FDSZ(C12,"FG_PRICE_MAVG(0,,,,60)")</f>
        <v>395.99849999999998</v>
      </c>
      <c r="J12" s="36" cm="1">
        <f t="array" ref="J12">_xll.FDSZ(C12,"FG_PRICE_MAVG(0,,,,200)")</f>
        <v>368.23880000000003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136</v>
      </c>
      <c r="S12" s="7" cm="1">
        <f t="array" ref="S12">_xll.FDSZ($R12,"FG_PRICE(0)")</f>
        <v>368.28969999999998</v>
      </c>
      <c r="T12" s="7" cm="1">
        <f t="array" ref="T12">_xll.FDSZ($R12,"FG_PRICE(0)")</f>
        <v>368.28969999999998</v>
      </c>
      <c r="U12" s="7" cm="1">
        <f t="array" ref="U12">_xll.FDSZ($R12,"FG_PRICE(0)")</f>
        <v>368.28969999999998</v>
      </c>
      <c r="V12" s="7" cm="1">
        <f t="array" ref="V12">_xll.FDSZ($R12,"FG_PRICE(0)")</f>
        <v>368.28969999999998</v>
      </c>
    </row>
    <row r="13" spans="1:22" x14ac:dyDescent="0.3">
      <c r="A13" t="s">
        <v>39</v>
      </c>
      <c r="B13" t="str" cm="1">
        <f t="array" ref="B13">_xll.FDS(C13,"FG_COMPANY_NAME")</f>
        <v>SPDR S&amp;P 500 ETF Trust</v>
      </c>
      <c r="C13" t="s">
        <v>1</v>
      </c>
      <c r="D13" t="s">
        <v>86</v>
      </c>
      <c r="E13" s="3" t="s">
        <v>1</v>
      </c>
      <c r="F13" s="8">
        <f>HLOOKUP(E13,'Monthly Returns'!$A$1:$AA$136,134,FALSE)</f>
        <v>0.60599999999999998</v>
      </c>
      <c r="G13" s="36" cm="1">
        <f t="array" ref="G13">_xll.FDSZ(C13,"FG_PRICE(0)")</f>
        <v>487.41</v>
      </c>
      <c r="H13" s="36" cm="1">
        <f t="array" ref="H13">_xll.FDSZ(C13,"FG_PRICE_MAVG(0,,,,30)")</f>
        <v>475.58031999999997</v>
      </c>
      <c r="I13" s="36" cm="1">
        <f t="array" ref="I13">_xll.FDSZ(C13,"FG_PRICE_MAVG(0,,,,60)")</f>
        <v>461.79333000000003</v>
      </c>
      <c r="J13" s="36" cm="1">
        <f t="array" ref="J13">_xll.FDSZ(C13,"FG_PRICE_MAVG(0,,,,200)")</f>
        <v>441.19600000000003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136</v>
      </c>
      <c r="S13" s="7" cm="1">
        <f t="array" ref="S13">_xll.FDSZ($R13,"FG_PRICE(0)")</f>
        <v>368.28969999999998</v>
      </c>
      <c r="T13" s="7" cm="1">
        <f t="array" ref="T13">_xll.FDSZ($R13,"FG_PRICE(0)")</f>
        <v>368.28969999999998</v>
      </c>
      <c r="U13" s="7" cm="1">
        <f t="array" ref="U13">_xll.FDSZ($R13,"FG_PRICE(0)")</f>
        <v>368.28969999999998</v>
      </c>
      <c r="V13" s="7" cm="1">
        <f t="array" ref="V13">_xll.FDSZ($R13,"FG_PRICE(0)")</f>
        <v>368.28969999999998</v>
      </c>
    </row>
    <row r="14" spans="1:22" x14ac:dyDescent="0.3">
      <c r="A14" t="s">
        <v>145</v>
      </c>
      <c r="B14" t="str" cm="1">
        <f t="array" ref="B14">_xll.FDS(C14,"FG_COMPANY_NAME")</f>
        <v>iShares MSCI France ETF</v>
      </c>
      <c r="C14" t="s">
        <v>141</v>
      </c>
      <c r="D14" t="s">
        <v>77</v>
      </c>
      <c r="E14" t="s">
        <v>141</v>
      </c>
      <c r="F14" s="8" t="e">
        <f>HLOOKUP(E14,'Monthly Returns'!$A$1:$AA$136,134,FALSE)</f>
        <v>#N/A</v>
      </c>
      <c r="G14" s="36" cm="1">
        <f t="array" ref="G14">_xll.FDSZ(C14,"FG_PRICE(0)")</f>
        <v>39.01</v>
      </c>
      <c r="H14" s="36" cm="1">
        <f t="array" ref="H14">_xll.FDSZ(C14,"FG_PRICE_MAVG(0,,,,30)")</f>
        <v>38.545499999999997</v>
      </c>
      <c r="I14" s="36" cm="1">
        <f t="array" ref="I14">_xll.FDSZ(C14,"FG_PRICE_MAVG(0,,,,60)")</f>
        <v>37.694415999999997</v>
      </c>
      <c r="J14" s="36" cm="1">
        <f t="array" ref="J14">_xll.FDSZ(C14,"FG_PRICE_MAVG(0,,,,200)")</f>
        <v>37.572723000000003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136</v>
      </c>
      <c r="S14" s="7" cm="1">
        <f t="array" ref="S14">_xll.FDSZ($R14,"FG_PRICE(0)")</f>
        <v>368.28969999999998</v>
      </c>
      <c r="T14" s="7" cm="1">
        <f t="array" ref="T14">_xll.FDSZ($R14,"FG_PRICE(0)")</f>
        <v>368.28969999999998</v>
      </c>
      <c r="U14" s="7" cm="1">
        <f t="array" ref="U14">_xll.FDSZ($R14,"FG_PRICE(0)")</f>
        <v>368.28969999999998</v>
      </c>
      <c r="V14" s="7" cm="1">
        <f t="array" ref="V14">_xll.FDSZ($R14,"FG_PRICE(0)")</f>
        <v>368.28969999999998</v>
      </c>
    </row>
    <row r="15" spans="1:22" x14ac:dyDescent="0.3">
      <c r="A15" t="s">
        <v>146</v>
      </c>
      <c r="B15" t="str" cm="1">
        <f t="array" ref="B15">_xll.FDS(C15,"FG_COMPANY_NAME")</f>
        <v>iShares MSCI Netherlands ETF</v>
      </c>
      <c r="C15" t="s">
        <v>143</v>
      </c>
      <c r="D15" t="s">
        <v>81</v>
      </c>
      <c r="E15" t="s">
        <v>143</v>
      </c>
      <c r="F15" s="8" t="e">
        <f>HLOOKUP(E15,'Monthly Returns'!$A$1:$AA$136,134,FALSE)</f>
        <v>#N/A</v>
      </c>
      <c r="G15" s="36" cm="1">
        <f t="array" ref="G15">_xll.FDSZ(C15,"FG_PRICE(0)")</f>
        <v>45.94</v>
      </c>
      <c r="H15" s="36" cm="1">
        <f t="array" ref="H15">_xll.FDSZ(C15,"FG_PRICE_MAVG(0,,,,30)")</f>
        <v>44.092567000000003</v>
      </c>
      <c r="I15" s="36" cm="1">
        <f t="array" ref="I15">_xll.FDSZ(C15,"FG_PRICE_MAVG(0,,,,60)")</f>
        <v>42.654449999999997</v>
      </c>
      <c r="J15" s="36" cm="1">
        <f t="array" ref="J15">_xll.FDSZ(C15,"FG_PRICE_MAVG(0,,,,200)")</f>
        <v>41.737380000000002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136</v>
      </c>
      <c r="S15" s="7" cm="1">
        <f t="array" ref="S15">_xll.FDSZ($R15,"FG_PRICE(0)")</f>
        <v>368.28969999999998</v>
      </c>
      <c r="T15" s="7" cm="1">
        <f t="array" ref="T15">_xll.FDSZ($R15,"FG_PRICE(0)")</f>
        <v>368.28969999999998</v>
      </c>
      <c r="U15" s="7" cm="1">
        <f t="array" ref="U15">_xll.FDSZ($R15,"FG_PRICE(0)")</f>
        <v>368.28969999999998</v>
      </c>
      <c r="V15" s="7" cm="1">
        <f t="array" ref="V15">_xll.FDSZ($R15,"FG_PRICE(0)")</f>
        <v>368.28969999999998</v>
      </c>
    </row>
    <row r="16" spans="1:22" x14ac:dyDescent="0.3">
      <c r="A16" t="s">
        <v>43</v>
      </c>
      <c r="B16" t="str" cm="1">
        <f t="array" ref="B16">_xll.FDS(C16,"FG_COMPANY_NAME")</f>
        <v>iShares MSCI Sweden ETF</v>
      </c>
      <c r="C16" t="s">
        <v>140</v>
      </c>
      <c r="D16" t="s">
        <v>83</v>
      </c>
      <c r="E16" t="s">
        <v>140</v>
      </c>
      <c r="F16" s="8">
        <f>HLOOKUP(E16,'Monthly Returns'!$A$1:$AA$136,134,FALSE)</f>
        <v>0.122</v>
      </c>
      <c r="G16" s="36" cm="1">
        <f t="array" ref="G16">_xll.FDSZ(C16,"FG_PRICE(0)")</f>
        <v>37.28</v>
      </c>
      <c r="H16" s="36" cm="1">
        <f t="array" ref="H16">_xll.FDSZ(C16,"FG_PRICE_MAVG(0,,,,30)")</f>
        <v>38.146667000000001</v>
      </c>
      <c r="I16" s="36" cm="1">
        <f t="array" ref="I16">_xll.FDSZ(C16,"FG_PRICE_MAVG(0,,,,60)")</f>
        <v>36.580666000000001</v>
      </c>
      <c r="J16" s="36" cm="1">
        <f t="array" ref="J16">_xll.FDSZ(C16,"FG_PRICE_MAVG(0,,,,200)")</f>
        <v>35.122399999999999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136</v>
      </c>
      <c r="S16" s="7" cm="1">
        <f t="array" ref="S16">_xll.FDSZ($R16,"FG_PRICE(0)")</f>
        <v>368.28969999999998</v>
      </c>
      <c r="T16" s="7" cm="1">
        <f t="array" ref="T16">_xll.FDSZ($R16,"FG_PRICE(0)")</f>
        <v>368.28969999999998</v>
      </c>
      <c r="U16" s="7" cm="1">
        <f t="array" ref="U16">_xll.FDSZ($R16,"FG_PRICE(0)")</f>
        <v>368.28969999999998</v>
      </c>
      <c r="V16" s="7" cm="1">
        <f t="array" ref="V16">_xll.FDSZ($R16,"FG_PRICE(0)")</f>
        <v>368.28969999999998</v>
      </c>
    </row>
    <row r="17" spans="1:22" x14ac:dyDescent="0.3">
      <c r="A17" t="s">
        <v>144</v>
      </c>
      <c r="B17" t="str" cm="1">
        <f t="array" ref="B17">_xll.FDS(C17,"FG_COMPANY_NAME")</f>
        <v>iShares MSCI Italy ETF</v>
      </c>
      <c r="C17" t="s">
        <v>142</v>
      </c>
      <c r="D17" t="s">
        <v>79</v>
      </c>
      <c r="E17" t="s">
        <v>142</v>
      </c>
      <c r="F17" s="8">
        <f>HLOOKUP(E17,'Monthly Returns'!$A$1:$AA$136,134,FALSE)</f>
        <v>0.35199999999999998</v>
      </c>
      <c r="G17" s="36" cm="1">
        <f t="array" ref="G17">_xll.FDSZ(C17,"FG_PRICE(0)")</f>
        <v>33.46</v>
      </c>
      <c r="H17" s="36" cm="1">
        <f t="array" ref="H17">_xll.FDSZ(C17,"FG_PRICE_MAVG(0,,,,30)")</f>
        <v>33.626666999999998</v>
      </c>
      <c r="I17" s="36" cm="1">
        <f t="array" ref="I17">_xll.FDSZ(C17,"FG_PRICE_MAVG(0,,,,60)")</f>
        <v>32.915165000000002</v>
      </c>
      <c r="J17" s="36" cm="1">
        <f t="array" ref="J17">_xll.FDSZ(C17,"FG_PRICE_MAVG(0,,,,200)")</f>
        <v>31.768000000000001</v>
      </c>
      <c r="L17">
        <f t="shared" si="0"/>
        <v>0</v>
      </c>
      <c r="M17">
        <f t="shared" si="1"/>
        <v>1</v>
      </c>
      <c r="N17">
        <f t="shared" si="2"/>
        <v>1</v>
      </c>
      <c r="P17">
        <f t="shared" si="3"/>
        <v>2</v>
      </c>
      <c r="R17" t="s">
        <v>136</v>
      </c>
      <c r="S17" s="7" cm="1">
        <f t="array" ref="S17">_xll.FDSZ($R17,"FG_PRICE(0)")</f>
        <v>368.28969999999998</v>
      </c>
      <c r="T17" s="7" cm="1">
        <f t="array" ref="T17">_xll.FDSZ($R17,"FG_PRICE(0)")</f>
        <v>368.28969999999998</v>
      </c>
      <c r="U17" s="7" cm="1">
        <f t="array" ref="U17">_xll.FDSZ($R17,"FG_PRICE(0)")</f>
        <v>368.28969999999998</v>
      </c>
      <c r="V17" s="7" cm="1">
        <f t="array" ref="V17">_xll.FDSZ($R17,"FG_PRICE(0)")</f>
        <v>368.28969999999998</v>
      </c>
    </row>
    <row r="19" spans="1:22" x14ac:dyDescent="0.3">
      <c r="K19" s="1" t="s">
        <v>160</v>
      </c>
      <c r="L19" s="1">
        <f>SUM(L5:L17)</f>
        <v>8</v>
      </c>
      <c r="M19" s="1">
        <f t="shared" ref="M19:N19" si="4">SUM(M5:M17)</f>
        <v>13</v>
      </c>
      <c r="N19" s="1">
        <f t="shared" si="4"/>
        <v>12</v>
      </c>
    </row>
    <row r="20" spans="1:22" x14ac:dyDescent="0.3">
      <c r="K20" s="1" t="s">
        <v>29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">
      <c r="K21" s="1"/>
      <c r="L21" s="1"/>
      <c r="M21" s="1"/>
      <c r="N21" s="1"/>
    </row>
    <row r="22" spans="1:22" x14ac:dyDescent="0.3">
      <c r="K22" s="1" t="s">
        <v>31</v>
      </c>
      <c r="L22" s="44">
        <f>L19/L20</f>
        <v>0.61538461538461542</v>
      </c>
      <c r="M22" s="44">
        <f t="shared" ref="M22:N22" si="6">M19/M20</f>
        <v>1</v>
      </c>
      <c r="N22" s="44">
        <f t="shared" si="6"/>
        <v>0.92307692307692313</v>
      </c>
    </row>
    <row r="23" spans="1:22" x14ac:dyDescent="0.3">
      <c r="A23" t="s">
        <v>141</v>
      </c>
      <c r="B23" t="s">
        <v>145</v>
      </c>
      <c r="C23" t="str" cm="1">
        <f t="array" ref="C23">_xll.FDS(A23,"FG_COMPANY_NAME")</f>
        <v>iShares MSCI France ETF</v>
      </c>
      <c r="D23" t="s">
        <v>141</v>
      </c>
    </row>
    <row r="24" spans="1:22" x14ac:dyDescent="0.3">
      <c r="A24" t="s">
        <v>143</v>
      </c>
      <c r="B24" t="s">
        <v>146</v>
      </c>
      <c r="C24" t="str" cm="1">
        <f t="array" ref="C24">_xll.FDS(A24,"FG_COMPANY_NAME")</f>
        <v>iShares MSCI Netherlands ETF</v>
      </c>
      <c r="D24" t="s">
        <v>143</v>
      </c>
    </row>
    <row r="25" spans="1:22" x14ac:dyDescent="0.3">
      <c r="A25" t="s">
        <v>140</v>
      </c>
      <c r="B25" t="s">
        <v>43</v>
      </c>
      <c r="C25" t="str" cm="1">
        <f t="array" ref="C25">_xll.FDS(A25,"FG_COMPANY_NAME")</f>
        <v>iShares MSCI Sweden ETF</v>
      </c>
      <c r="D25" t="s">
        <v>140</v>
      </c>
    </row>
    <row r="26" spans="1:22" x14ac:dyDescent="0.3">
      <c r="A26" t="s">
        <v>142</v>
      </c>
      <c r="B26" t="s">
        <v>144</v>
      </c>
      <c r="C26" t="str" cm="1">
        <f t="array" ref="C26">_xll.FDS(A26,"FG_COMPANY_NAME")</f>
        <v>iShares MSCI Italy ETF</v>
      </c>
      <c r="D26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Q18"/>
  <sheetViews>
    <sheetView workbookViewId="0">
      <selection activeCell="N9" sqref="N9"/>
    </sheetView>
  </sheetViews>
  <sheetFormatPr defaultRowHeight="14.4" x14ac:dyDescent="0.3"/>
  <cols>
    <col min="1" max="2" width="17" customWidth="1"/>
    <col min="3" max="3" width="11.88671875" customWidth="1"/>
    <col min="4" max="4" width="11.33203125" customWidth="1"/>
    <col min="5" max="5" width="13.109375" customWidth="1"/>
    <col min="6" max="6" width="11.88671875" customWidth="1"/>
    <col min="7" max="7" width="15.5546875" bestFit="1" customWidth="1"/>
    <col min="8" max="8" width="13.109375" customWidth="1"/>
    <col min="9" max="9" width="20" customWidth="1"/>
    <col min="10" max="10" width="15.44140625" customWidth="1"/>
    <col min="11" max="11" width="15.33203125" customWidth="1"/>
    <col min="13" max="13" width="19.5546875" customWidth="1"/>
    <col min="14" max="14" width="13.44140625" customWidth="1"/>
    <col min="15" max="15" width="16.5546875" customWidth="1"/>
    <col min="16" max="16" width="13.33203125" customWidth="1"/>
    <col min="17" max="17" width="11.109375" customWidth="1"/>
  </cols>
  <sheetData>
    <row r="2" spans="1:17" x14ac:dyDescent="0.3">
      <c r="A2" s="48"/>
      <c r="B2" s="48" t="s">
        <v>96</v>
      </c>
      <c r="C2" s="48" t="s">
        <v>97</v>
      </c>
      <c r="D2" s="48" t="s">
        <v>98</v>
      </c>
      <c r="E2" s="48" t="s">
        <v>99</v>
      </c>
      <c r="F2" s="48" t="s">
        <v>100</v>
      </c>
      <c r="G2" s="48" t="s">
        <v>101</v>
      </c>
      <c r="H2" s="48" t="s">
        <v>102</v>
      </c>
      <c r="I2" s="48" t="s">
        <v>103</v>
      </c>
      <c r="J2" s="48" t="s">
        <v>104</v>
      </c>
      <c r="K2" s="48" t="s">
        <v>170</v>
      </c>
      <c r="M2" s="48" t="s">
        <v>156</v>
      </c>
      <c r="N2" s="48" t="s">
        <v>2</v>
      </c>
      <c r="O2" s="48" t="s">
        <v>21</v>
      </c>
      <c r="P2" s="48" t="s">
        <v>172</v>
      </c>
      <c r="Q2" s="48" t="s">
        <v>173</v>
      </c>
    </row>
    <row r="3" spans="1:17" x14ac:dyDescent="0.3">
      <c r="A3" t="s">
        <v>105</v>
      </c>
      <c r="B3" t="s">
        <v>106</v>
      </c>
      <c r="C3" cm="1">
        <f t="array" ref="C3">_xll.FDS($A3,"FG_PRICE(0)")</f>
        <v>135.54</v>
      </c>
      <c r="D3" cm="1">
        <f t="array" ref="D3">_xll.FDS($A3,"FG_PRICE_MAVG(0,,,,30)")</f>
        <v>136.90466000000001</v>
      </c>
      <c r="E3" s="25" cm="1">
        <f t="array" ref="E3">_xll.FDS($A3,"FG_PRICE_CHANGE(0,-1AM)")</f>
        <v>-0.15469613259668799</v>
      </c>
      <c r="F3" s="25" cm="1">
        <f t="array" ref="F3">_xll.FDS($A3,"FG_PRICE_CHANGE(0,-3AM)")</f>
        <v>14.428028704094499</v>
      </c>
      <c r="G3" s="25" cm="1">
        <f t="array" ref="G3">_xll.FDS($A3,"FG_PRICE_CHANGE(0,-6AM)")</f>
        <v>20.063778899814</v>
      </c>
      <c r="H3" s="25" cm="1">
        <f t="array" ref="H3">_xll.FDS($A3,"FG_PRICE_CHANGE(0,-1AY)")</f>
        <v>10.653930933137399</v>
      </c>
      <c r="I3" s="25" cm="1">
        <f t="array" ref="I3">_xll.FDS($A3,"FG_PRICE(0)/MAX(FG_PRICE(0,-1AY))")</f>
        <v>0.94020532741398399</v>
      </c>
      <c r="J3" cm="1">
        <f t="array" ref="J3">_xll.FDS($A3,"MAX(FG_PRICE(0,-5AY))")</f>
        <v>219.77</v>
      </c>
      <c r="K3" s="8">
        <f>C3/J3-1</f>
        <v>-0.38326432179096337</v>
      </c>
    </row>
    <row r="4" spans="1:17" x14ac:dyDescent="0.3">
      <c r="A4" t="s">
        <v>107</v>
      </c>
      <c r="B4" t="s">
        <v>108</v>
      </c>
      <c r="C4" cm="1">
        <f t="array" ref="C4">_xll.FDS($A4,"FG_PRICE(0)")</f>
        <v>3.8504999999999998</v>
      </c>
      <c r="D4" cm="1">
        <f t="array" ref="D4">_xll.FDS($A4,"FG_PRICE_MAVG(0,,,,30)")</f>
        <v>3.8337667</v>
      </c>
      <c r="E4" s="25" cm="1">
        <f t="array" ref="E4">_xll.FDS($A4,"FG_PRICE_CHANGE(0,-1AM)")</f>
        <v>-1.15517905275319</v>
      </c>
      <c r="F4" s="25" cm="1">
        <f t="array" ref="F4">_xll.FDS($A4,"FG_PRICE_CHANGE(0,-3AM)")</f>
        <v>7.9024800336275698</v>
      </c>
      <c r="G4" s="25" cm="1">
        <f t="array" ref="G4">_xll.FDS($A4,"FG_PRICE_CHANGE(0,-6AM)")</f>
        <v>-1.0281454825857801</v>
      </c>
      <c r="H4" s="25" cm="1">
        <f t="array" ref="H4">_xll.FDS($A4,"FG_PRICE_CHANGE(0,-1AY)")</f>
        <v>-9.7609561752988192</v>
      </c>
      <c r="I4" s="25" cm="1">
        <f t="array" ref="I4">_xll.FDS($A4,"FG_PRICE(0)/MAX(FG_PRICE(0,-1AY))")</f>
        <v>0.90239043824701204</v>
      </c>
      <c r="J4" cm="1">
        <f t="array" ref="J4">_xll.FDS($A4,"MAX(FG_PRICE(0,-5AY))")</f>
        <v>4.9290000000000003</v>
      </c>
      <c r="K4" s="8">
        <f t="shared" ref="K4:K8" si="0">C4/J4-1</f>
        <v>-0.21880706025563001</v>
      </c>
    </row>
    <row r="5" spans="1:17" x14ac:dyDescent="0.3">
      <c r="A5" t="s">
        <v>109</v>
      </c>
      <c r="B5" t="s">
        <v>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25" cm="1">
        <f t="array" ref="E5">_xll.FDS($A5,"FG_PRICE_CHANGE(0,-1AM)")</f>
        <v>0</v>
      </c>
      <c r="F5" s="25" cm="1">
        <f t="array" ref="F5">_xll.FDS($A5,"FG_PRICE_CHANGE(0,-3AM)")</f>
        <v>-6.7246061922868003</v>
      </c>
      <c r="G5" s="25" cm="1">
        <f t="array" ref="G5">_xll.FDS($A5,"FG_PRICE_CHANGE(0,-6AM)")</f>
        <v>1.9472809308952701</v>
      </c>
      <c r="H5" s="25" cm="1">
        <f t="array" ref="H5">_xll.FDS($A5,"FG_PRICE_CHANGE(0,-1AY)")</f>
        <v>-2.69718948322756</v>
      </c>
      <c r="I5" s="25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K5" s="8">
        <f t="shared" si="0"/>
        <v>-0.39041533546325879</v>
      </c>
    </row>
    <row r="6" spans="1:17" x14ac:dyDescent="0.3">
      <c r="A6" t="s">
        <v>114</v>
      </c>
      <c r="B6" t="s">
        <v>115</v>
      </c>
      <c r="C6" cm="1">
        <f t="array" ref="C6">_xll.FDS($A6,"FG_PRICE(0)")</f>
        <v>905</v>
      </c>
      <c r="D6" cm="1">
        <f t="array" ref="D6">_xll.FDS($A6,"FG_PRICE_MAVG(0,,,,30)")</f>
        <v>947.53330000000005</v>
      </c>
      <c r="E6" s="25" cm="1">
        <f t="array" ref="E6">_xll.FDS($A6,"FG_PRICE_CHANGE(0,-1AM)")</f>
        <v>-8.3080040526849004</v>
      </c>
      <c r="F6" s="25" cm="1">
        <f t="array" ref="F6">_xll.FDS($A6,"FG_PRICE_CHANGE(0,-3AM)")</f>
        <v>-1.4161220043573</v>
      </c>
      <c r="G6" s="25" cm="1">
        <f t="array" ref="G6">_xll.FDS($A6,"FG_PRICE_CHANGE(0,-6AM)")</f>
        <v>-6.4115822130299902</v>
      </c>
      <c r="H6" s="25" cm="1">
        <f t="array" ref="H6">_xll.FDS($A6,"FG_PRICE_CHANGE(0,-1AY)")</f>
        <v>-12.9807692307692</v>
      </c>
      <c r="I6" s="25" cm="1">
        <f t="array" ref="I6">_xll.FDS($A6,"FG_PRICE(0)/MAX(FG_PRICE(0,-1AY))")</f>
        <v>0.79735682819383302</v>
      </c>
      <c r="J6" cm="1">
        <f t="array" ref="J6">_xll.FDS($A6,"MAX(FG_PRICE(0,-5AY))")</f>
        <v>1272.5899999999999</v>
      </c>
      <c r="K6" s="8">
        <f t="shared" si="0"/>
        <v>-0.28885186902301596</v>
      </c>
    </row>
    <row r="7" spans="1:17" x14ac:dyDescent="0.3">
      <c r="A7" t="s">
        <v>116</v>
      </c>
      <c r="B7" t="s">
        <v>117</v>
      </c>
      <c r="C7" cm="1">
        <f t="array" ref="C7">_xll.FDS($A7,"FG_PRICE(0)")</f>
        <v>16535</v>
      </c>
      <c r="D7" cm="1">
        <f t="array" ref="D7">_xll.FDS($A7,"FG_PRICE_MAVG(0,,,,30)")</f>
        <v>16218.666999999999</v>
      </c>
      <c r="E7" s="25" cm="1">
        <f t="array" ref="E7">_xll.FDS($A7,"FG_PRICE_CHANGE(0,-1AM)")</f>
        <v>1.0696821515892501</v>
      </c>
      <c r="F7" s="25" cm="1">
        <f t="array" ref="F7">_xll.FDS($A7,"FG_PRICE_CHANGE(0,-3AM)")</f>
        <v>-7.6256983240223404</v>
      </c>
      <c r="G7" s="25" cm="1">
        <f t="array" ref="G7">_xll.FDS($A7,"FG_PRICE_CHANGE(0,-6AM)")</f>
        <v>-23.360370799536501</v>
      </c>
      <c r="H7" s="25" cm="1">
        <f t="array" ref="H7">_xll.FDS($A7,"FG_PRICE_CHANGE(0,-1AY)")</f>
        <v>-42.486956521739103</v>
      </c>
      <c r="I7" s="25" cm="1">
        <f t="array" ref="I7">_xll.FDS($A7,"FG_PRICE(0)/MAX(FG_PRICE(0,-1AY))")</f>
        <v>0.550066533599468</v>
      </c>
      <c r="J7" cm="1">
        <f t="array" ref="J7">_xll.FDS($A7,"MAX(FG_PRICE(0,-5AY))")</f>
        <v>48241</v>
      </c>
      <c r="K7" s="8">
        <f t="shared" si="0"/>
        <v>-0.65724176530337264</v>
      </c>
    </row>
    <row r="8" spans="1:17" x14ac:dyDescent="0.3">
      <c r="A8" t="s">
        <v>118</v>
      </c>
      <c r="B8" t="s">
        <v>119</v>
      </c>
      <c r="C8" cm="1">
        <f t="array" ref="C8">_xll.FDS($A8,"FG_PRICE(0)")</f>
        <v>965</v>
      </c>
      <c r="D8" cm="1">
        <f t="array" ref="D8">_xll.FDS($A8,"FG_PRICE_MAVG(0,,,,30)")</f>
        <v>1064.4666999999999</v>
      </c>
      <c r="E8" s="25" cm="1">
        <f t="array" ref="E8">_xll.FDS($A8,"FG_PRICE_CHANGE(0,-1AM)")</f>
        <v>-23.412698412698401</v>
      </c>
      <c r="F8" s="25" cm="1">
        <f t="array" ref="F8">_xll.FDS($A8,"FG_PRICE_CHANGE(0,-3AM)")</f>
        <v>-14.9779735682819</v>
      </c>
      <c r="G8" s="25" cm="1">
        <f t="array" ref="G8">_xll.FDS($A8,"FG_PRICE_CHANGE(0,-6AM)")</f>
        <v>-23.715415019762801</v>
      </c>
      <c r="H8" s="25" cm="1">
        <f t="array" ref="H8">_xll.FDS($A8,"FG_PRICE_CHANGE(0,-1AY)")</f>
        <v>-43.567251461988299</v>
      </c>
      <c r="I8" s="25" cm="1">
        <f t="array" ref="I8">_xll.FDS($A8,"FG_PRICE(0)/MAX(FG_PRICE(0,-1AY))")</f>
        <v>0.56432748538011701</v>
      </c>
      <c r="J8" cm="1">
        <f t="array" ref="J8">_xll.FDS($A8,"MAX(FG_PRICE(0,-5AY))")</f>
        <v>3158.12</v>
      </c>
      <c r="K8" s="8">
        <f t="shared" si="0"/>
        <v>-0.69443846338961146</v>
      </c>
    </row>
    <row r="9" spans="1:17" x14ac:dyDescent="0.3">
      <c r="A9" t="s">
        <v>171</v>
      </c>
    </row>
    <row r="17" spans="1:10" x14ac:dyDescent="0.3">
      <c r="A17" t="s">
        <v>110</v>
      </c>
      <c r="B17" t="s">
        <v>111</v>
      </c>
      <c r="C17" cm="1">
        <f t="array" ref="C17">_xll.FDS($A17,"FG_PRICE(0)")</f>
        <v>6.0025000000000004</v>
      </c>
      <c r="D17" cm="1">
        <f t="array" ref="D17">_xll.FDS($A17,"FG_PRICE_MAVG(0,,,,30)")</f>
        <v>6.0728334999999998</v>
      </c>
      <c r="E17" s="25" cm="1">
        <f t="array" ref="E17">_xll.FDS($A17,"FG_PRICE_CHANGE(0,-1AM)")</f>
        <v>-5.6581532416502904</v>
      </c>
      <c r="F17" s="25" cm="1">
        <f t="array" ref="F17">_xll.FDS($A17,"FG_PRICE_CHANGE(0,-3AM)")</f>
        <v>3.5806729939603201</v>
      </c>
      <c r="G17" s="25" cm="1">
        <f t="array" ref="G17">_xll.FDS($A17,"FG_PRICE_CHANGE(0,-6AM)")</f>
        <v>-16.6319444444444</v>
      </c>
      <c r="H17" s="25" cm="1">
        <f t="array" ref="H17">_xll.FDS($A17,"FG_PRICE_CHANGE(0,-1AY)")</f>
        <v>-20.232558139534898</v>
      </c>
      <c r="I17" s="25" cm="1">
        <f t="array" ref="I17">_xll.FDS($A17,"FG_PRICE(0)/MAX(FG_PRICE(0,-1AY))")</f>
        <v>0.75789141414141403</v>
      </c>
      <c r="J17" cm="1">
        <f t="array" ref="J17">_xll.FDS($A17,"MAX(FG_PRICE(0,-5AY))")</f>
        <v>14.2525</v>
      </c>
    </row>
    <row r="18" spans="1:10" x14ac:dyDescent="0.3">
      <c r="A18" t="s">
        <v>112</v>
      </c>
      <c r="B18" t="s">
        <v>113</v>
      </c>
      <c r="C18" cm="1">
        <f t="array" ref="C18">_xll.FDS($A18,"FG_PRICE(0)")</f>
        <v>4019</v>
      </c>
      <c r="D18" cm="1">
        <f t="array" ref="D18">_xll.FDS($A18,"FG_PRICE_MAVG(0,,,,30)")</f>
        <v>3758.4666000000002</v>
      </c>
      <c r="E18" s="25" cm="1">
        <f t="array" ref="E18">_xll.FDS($A18,"FG_PRICE_CHANGE(0,-1AM)")</f>
        <v>8.6509867531765305</v>
      </c>
      <c r="F18" s="25" cm="1">
        <f t="array" ref="F18">_xll.FDS($A18,"FG_PRICE_CHANGE(0,-3AM)")</f>
        <v>9.4797058022337204</v>
      </c>
      <c r="G18" s="25" cm="1">
        <f t="array" ref="G18">_xll.FDS($A18,"FG_PRICE_CHANGE(0,-6AM)")</f>
        <v>0.80260847755204701</v>
      </c>
      <c r="H18" s="25" cm="1">
        <f t="array" ref="H18">_xll.FDS($A18,"FG_PRICE_CHANGE(0,-1AY)")</f>
        <v>6.3790365272631</v>
      </c>
      <c r="I18" s="25" cm="1">
        <f t="array" ref="I18">_xll.FDS($A18,"FG_PRICE(0)/MAX(FG_PRICE(0,-1AY))")</f>
        <v>0.92881904321700903</v>
      </c>
      <c r="J18" cm="1">
        <f t="array" ref="J18">_xll.FDS($A18,"MAX(FG_PRICE(0,-5AY))")</f>
        <v>8163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9"/>
  <sheetViews>
    <sheetView workbookViewId="0">
      <selection activeCell="R18" sqref="R18"/>
    </sheetView>
  </sheetViews>
  <sheetFormatPr defaultRowHeight="14.4" x14ac:dyDescent="0.3"/>
  <cols>
    <col min="1" max="1" width="24.6640625" bestFit="1" customWidth="1"/>
    <col min="11" max="11" width="10.33203125" customWidth="1"/>
    <col min="14" max="14" width="10.44140625" customWidth="1"/>
  </cols>
  <sheetData>
    <row r="1" spans="1:22" x14ac:dyDescent="0.3">
      <c r="B1" s="45" t="s">
        <v>4</v>
      </c>
      <c r="C1" s="45" t="s">
        <v>1</v>
      </c>
      <c r="D1" s="45" t="s">
        <v>147</v>
      </c>
      <c r="E1" s="45" t="s">
        <v>148</v>
      </c>
      <c r="F1" s="45" t="s">
        <v>15</v>
      </c>
      <c r="G1" s="45" t="s">
        <v>149</v>
      </c>
      <c r="H1" s="45" t="s">
        <v>61</v>
      </c>
      <c r="I1" s="45" t="s">
        <v>150</v>
      </c>
      <c r="J1" s="45" t="s">
        <v>71</v>
      </c>
      <c r="K1" s="45" t="s">
        <v>161</v>
      </c>
      <c r="L1" s="45" t="s">
        <v>12</v>
      </c>
      <c r="M1" t="s">
        <v>140</v>
      </c>
      <c r="N1" t="s">
        <v>142</v>
      </c>
      <c r="O1" s="29" t="s">
        <v>89</v>
      </c>
    </row>
    <row r="2" spans="1:22" x14ac:dyDescent="0.3">
      <c r="A2" s="2" cm="1">
        <f t="array" ref="A2:A122">_xll.FDS(B1,"JULIAN(FG_TOTAL_RETURNC(-10AY,0,AM).dates)")</f>
        <v>41663</v>
      </c>
      <c r="B2" s="17" cm="1">
        <f t="array" ref="B2:B122">_xll.FDS(B1,"FG_TOTAL_RETURNC(-10AY,0,AM)")/100</f>
        <v>-5.5486440000000005E-2</v>
      </c>
      <c r="C2" s="17" cm="1">
        <f t="array" ref="C2:C122">_xll.FDS(C1,"FG_TOTAL_RETURNC(-10AY,0,AM)")/100</f>
        <v>-2.7004957E-2</v>
      </c>
      <c r="D2" s="17" cm="1">
        <f t="array" ref="D2:D122">_xll.FDS(D1,"FG_TOTAL_RETURNC(-10AY,0,AM)")/100</f>
        <v>4.754162E-2</v>
      </c>
      <c r="E2" s="17" cm="1">
        <f t="array" ref="E2:E122">_xll.FDS(E1,"FG_TOTAL_RETURNC(-10AY,0,AM)")/100</f>
        <v>-4.6223401999999998E-4</v>
      </c>
      <c r="F2" s="17" cm="1">
        <f t="array" ref="F2:F122">_xll.FDS(F1,"FG_TOTAL_RETURNC(-10AY,0,AM)")/100</f>
        <v>-1.1397302E-2</v>
      </c>
      <c r="G2" s="17" cm="1">
        <f t="array" ref="G2:G122">_xll.FDS(G1,"FG_TOTAL_RETURNC(-10AY,0,AM)")/100</f>
        <v>-1.0607897999999999E-2</v>
      </c>
      <c r="H2" s="17" cm="1">
        <f t="array" ref="H2:H122">_xll.FDS(H1,"FG_TOTAL_RETURNC(-10AY,0,AM)")/100</f>
        <v>-2.9150367E-2</v>
      </c>
      <c r="I2" s="17" cm="1">
        <f t="array" ref="I2:I122">_xll.FDS(I1,"FG_TOTAL_RETURNC(-10AY,0,AM)")/100</f>
        <v>5.2693485999999998E-2</v>
      </c>
      <c r="J2" s="17" cm="1">
        <f t="array" ref="J2:J122">_xll.FDS(J1,"FG_TOTAL_RETURNC(-10AY,0,AM)")/100</f>
        <v>-1.4645099999999999E-2</v>
      </c>
      <c r="K2" s="17" t="e" cm="1">
        <f t="array" ref="K2:K122">_xll.FDS(K1,"FG_TOTAL_RETURNC(-10AY,0,AM)")/100</f>
        <v>#N/A</v>
      </c>
      <c r="L2" s="17" cm="1">
        <f t="array" ref="L2:L122">_xll.FDS(L1,"FG_TOTAL_RETURNC(-10AY,0,AM)")/100</f>
        <v>-2.2594093999999999E-2</v>
      </c>
      <c r="M2" s="17" cm="1">
        <f t="array" ref="M2:M122">_xll.FDS(M1,"FG_TOTAL_RETURNC(-10AY,0,AM)")/100</f>
        <v>-6.8356989999999998E-3</v>
      </c>
      <c r="N2" s="17" cm="1">
        <f t="array" ref="N2:N122">_xll.FDS(N1,"FG_TOTAL_RETURNC(-10AY,0,AM)")/100</f>
        <v>1.4294982000000001E-2</v>
      </c>
      <c r="O2" s="17" cm="1">
        <f t="array" ref="O2:O122">_xll.FDS(O1,"FG_TOTAL_RETURNC(-10AY,0,AM)")/100</f>
        <v>-2.0625710000000002E-2</v>
      </c>
      <c r="P2" s="17"/>
      <c r="Q2" s="17"/>
      <c r="R2" s="17"/>
      <c r="S2" s="17"/>
      <c r="T2" s="17"/>
      <c r="U2" s="17"/>
      <c r="V2" s="17"/>
    </row>
    <row r="3" spans="1:22" x14ac:dyDescent="0.3">
      <c r="A3" s="2">
        <v>41696</v>
      </c>
      <c r="B3" s="17">
        <v>1.2644887E-2</v>
      </c>
      <c r="C3" s="17">
        <v>3.3316612000000002E-2</v>
      </c>
      <c r="D3" s="17">
        <v>4.7591805000000001E-2</v>
      </c>
      <c r="E3" s="17">
        <v>-2.7752520000000002E-3</v>
      </c>
      <c r="F3" s="17">
        <v>4.0235279999999998E-2</v>
      </c>
      <c r="G3" s="17">
        <v>0.11793816</v>
      </c>
      <c r="H3" s="17">
        <v>5.5168986000000003E-2</v>
      </c>
      <c r="I3" s="17">
        <v>6.6246985999999994E-3</v>
      </c>
      <c r="J3" s="17">
        <v>4.4063686999999997E-2</v>
      </c>
      <c r="K3" s="17" t="e">
        <v>#N/A</v>
      </c>
      <c r="L3" s="17">
        <v>-1.1130154000000001E-2</v>
      </c>
      <c r="M3" s="17">
        <v>3.3839939999999999E-2</v>
      </c>
      <c r="N3" s="17">
        <v>5.2530526999999994E-2</v>
      </c>
      <c r="O3" s="17">
        <v>3.0626893000000002E-2</v>
      </c>
      <c r="P3" s="17"/>
      <c r="Q3" s="17"/>
      <c r="R3" s="17"/>
      <c r="S3" s="17"/>
      <c r="T3" s="17"/>
      <c r="U3" s="17"/>
      <c r="V3" s="17"/>
    </row>
    <row r="4" spans="1:22" x14ac:dyDescent="0.3">
      <c r="A4" s="2">
        <v>41724</v>
      </c>
      <c r="B4" s="17">
        <v>3.0307770000000001E-2</v>
      </c>
      <c r="C4" s="17">
        <v>5.0805809999999998E-3</v>
      </c>
      <c r="D4" s="17">
        <v>-2.1075605999999997E-2</v>
      </c>
      <c r="E4" s="17">
        <v>-6.4934490000000001E-3</v>
      </c>
      <c r="F4" s="17">
        <v>-2.5450766E-2</v>
      </c>
      <c r="G4" s="17">
        <v>3.7624477999999996E-2</v>
      </c>
      <c r="H4" s="17">
        <v>-1.0179281E-2</v>
      </c>
      <c r="I4" s="17">
        <v>1.6533256E-2</v>
      </c>
      <c r="J4" s="17">
        <v>-1.3121902999999999E-2</v>
      </c>
      <c r="K4" s="17" t="e">
        <v>#N/A</v>
      </c>
      <c r="L4" s="17">
        <v>-4.3290019999999999E-2</v>
      </c>
      <c r="M4" s="17">
        <v>-2.7738810000000002E-3</v>
      </c>
      <c r="N4" s="17">
        <v>4.5039534999999999E-2</v>
      </c>
      <c r="O4" s="17">
        <v>9.1742279999999995E-3</v>
      </c>
      <c r="P4" s="17"/>
      <c r="Q4" s="17"/>
      <c r="R4" s="17"/>
      <c r="S4" s="17"/>
      <c r="T4" s="17"/>
      <c r="U4" s="17"/>
      <c r="V4" s="17"/>
    </row>
    <row r="5" spans="1:22" x14ac:dyDescent="0.3">
      <c r="A5" s="2">
        <v>41754</v>
      </c>
      <c r="B5" s="17">
        <v>2.4303794E-2</v>
      </c>
      <c r="C5" s="17">
        <v>7.1362256999999993E-3</v>
      </c>
      <c r="D5" s="17">
        <v>1.5950202999999999E-4</v>
      </c>
      <c r="E5" s="17">
        <v>-3.734827E-3</v>
      </c>
      <c r="F5" s="17">
        <v>-1.3505757E-2</v>
      </c>
      <c r="G5" s="17">
        <v>3.4838319999999999E-2</v>
      </c>
      <c r="H5" s="17">
        <v>1.7997025999999999E-2</v>
      </c>
      <c r="I5" s="17">
        <v>1.9911885000000001E-2</v>
      </c>
      <c r="J5" s="17">
        <v>2.3083567999999999E-2</v>
      </c>
      <c r="K5" s="17" t="e">
        <v>#N/A</v>
      </c>
      <c r="L5" s="17">
        <v>-2.7149319999999998E-3</v>
      </c>
      <c r="M5" s="17">
        <v>2.2252798E-3</v>
      </c>
      <c r="N5" s="17">
        <v>3.2032609999999996E-2</v>
      </c>
      <c r="O5" s="17">
        <v>1.835227E-3</v>
      </c>
      <c r="P5" s="17"/>
      <c r="Q5" s="17"/>
      <c r="R5" s="17"/>
      <c r="S5" s="17"/>
      <c r="T5" s="17"/>
      <c r="U5" s="17"/>
      <c r="V5" s="17"/>
    </row>
    <row r="6" spans="1:22" x14ac:dyDescent="0.3">
      <c r="A6" s="2">
        <v>41782</v>
      </c>
      <c r="B6" s="17">
        <v>6.030655E-2</v>
      </c>
      <c r="C6" s="17">
        <v>2.179408E-2</v>
      </c>
      <c r="D6" s="17">
        <v>-7.3347689999999997E-3</v>
      </c>
      <c r="E6" s="17">
        <v>6.5604450000000007E-3</v>
      </c>
      <c r="F6" s="17">
        <v>4.2812347000000001E-2</v>
      </c>
      <c r="G6" s="17">
        <v>-3.4008919999999998E-2</v>
      </c>
      <c r="H6" s="17">
        <v>3.8457155E-2</v>
      </c>
      <c r="I6" s="17">
        <v>1.4739393999999999E-2</v>
      </c>
      <c r="J6" s="17">
        <v>1.7342924999999999E-2</v>
      </c>
      <c r="K6" s="17" t="e">
        <v>#N/A</v>
      </c>
      <c r="L6" s="17">
        <v>3.3575295999999998E-2</v>
      </c>
      <c r="M6" s="17">
        <v>2.6921987999999997E-2</v>
      </c>
      <c r="N6" s="17">
        <v>-4.4017973000000002E-2</v>
      </c>
      <c r="O6" s="17">
        <v>1.2681484E-2</v>
      </c>
      <c r="P6" s="17"/>
      <c r="Q6" s="17"/>
      <c r="R6" s="17"/>
      <c r="S6" s="17"/>
      <c r="T6" s="17"/>
      <c r="U6" s="17"/>
      <c r="V6" s="17"/>
    </row>
    <row r="7" spans="1:22" x14ac:dyDescent="0.3">
      <c r="A7" s="2">
        <v>41816</v>
      </c>
      <c r="B7" s="17">
        <v>1.4208794E-2</v>
      </c>
      <c r="C7" s="17">
        <v>3.1648517000000001E-2</v>
      </c>
      <c r="D7" s="17">
        <v>1.7829894999999998E-2</v>
      </c>
      <c r="E7" s="17">
        <v>-3.2588243000000001E-3</v>
      </c>
      <c r="F7" s="17">
        <v>4.1284204000000005E-2</v>
      </c>
      <c r="G7" s="17">
        <v>-2.4893879999999999E-3</v>
      </c>
      <c r="H7" s="17">
        <v>2.6420473999999999E-2</v>
      </c>
      <c r="I7" s="17">
        <v>8.9176893E-3</v>
      </c>
      <c r="J7" s="17">
        <v>5.9756039999999998E-3</v>
      </c>
      <c r="K7" s="17" t="e">
        <v>#N/A</v>
      </c>
      <c r="L7" s="17">
        <v>6.1650514999999996E-2</v>
      </c>
      <c r="M7" s="17">
        <v>-2.5579393000000002E-2</v>
      </c>
      <c r="N7" s="17">
        <v>4.4535400000000003E-2</v>
      </c>
      <c r="O7" s="17">
        <v>2.7891397000000002E-2</v>
      </c>
      <c r="P7" s="17"/>
      <c r="Q7" s="17"/>
      <c r="R7" s="17"/>
      <c r="S7" s="17"/>
      <c r="T7" s="17"/>
      <c r="U7" s="17"/>
      <c r="V7" s="17"/>
    </row>
    <row r="8" spans="1:22" x14ac:dyDescent="0.3">
      <c r="A8" s="2">
        <v>41845</v>
      </c>
      <c r="B8" s="17">
        <v>4.2005179999999996E-2</v>
      </c>
      <c r="C8" s="17">
        <v>1.166594E-2</v>
      </c>
      <c r="D8" s="17">
        <v>-7.4094534E-3</v>
      </c>
      <c r="E8" s="17">
        <v>9.8085402999999998E-3</v>
      </c>
      <c r="F8" s="17">
        <v>3.6425948E-2</v>
      </c>
      <c r="G8" s="17">
        <v>-4.7415314000000007E-2</v>
      </c>
      <c r="H8" s="17">
        <v>-3.3602536000000002E-2</v>
      </c>
      <c r="I8" s="17">
        <v>2.2578358999999999E-2</v>
      </c>
      <c r="J8" s="17">
        <v>-1.4548479999999999E-2</v>
      </c>
      <c r="K8" s="17" t="e">
        <v>#N/A</v>
      </c>
      <c r="L8" s="17">
        <v>9.9916459999999999E-3</v>
      </c>
      <c r="M8" s="17">
        <v>9.4151497000000001E-3</v>
      </c>
      <c r="N8" s="17">
        <v>-2.7507245999999999E-2</v>
      </c>
      <c r="O8" s="17">
        <v>8.8832379999999999E-3</v>
      </c>
      <c r="P8" s="17"/>
      <c r="Q8" s="17"/>
      <c r="R8" s="17"/>
      <c r="S8" s="17"/>
      <c r="T8" s="17"/>
      <c r="U8" s="17"/>
      <c r="V8" s="17"/>
    </row>
    <row r="9" spans="1:22" x14ac:dyDescent="0.3">
      <c r="A9" s="2">
        <v>41877</v>
      </c>
      <c r="B9" s="17">
        <v>1.6035556999999999E-2</v>
      </c>
      <c r="C9" s="17">
        <v>1.3200521E-2</v>
      </c>
      <c r="D9" s="17">
        <v>-1.9405246000000001E-2</v>
      </c>
      <c r="E9" s="17">
        <v>1.8501401000000001E-2</v>
      </c>
      <c r="F9" s="17">
        <v>2.8530120000000003E-2</v>
      </c>
      <c r="G9" s="17">
        <v>-2.0583808000000002E-2</v>
      </c>
      <c r="H9" s="17">
        <v>-6.0292006000000002E-2</v>
      </c>
      <c r="I9" s="17">
        <v>1.7179132E-2</v>
      </c>
      <c r="J9" s="17">
        <v>-1.6969263999999998E-2</v>
      </c>
      <c r="K9" s="17" t="e">
        <v>#N/A</v>
      </c>
      <c r="L9" s="17">
        <v>-1.8961309999999999E-2</v>
      </c>
      <c r="M9" s="17">
        <v>-2.8547286999999998E-2</v>
      </c>
      <c r="N9" s="17">
        <v>-5.0677594999999999E-2</v>
      </c>
      <c r="O9" s="17">
        <v>1.8018484000000001E-3</v>
      </c>
      <c r="P9" s="17"/>
      <c r="Q9" s="17"/>
      <c r="R9" s="17"/>
      <c r="S9" s="17"/>
      <c r="T9" s="17"/>
      <c r="U9" s="17"/>
      <c r="V9" s="17"/>
    </row>
    <row r="10" spans="1:22" x14ac:dyDescent="0.3">
      <c r="A10" s="2">
        <v>41908</v>
      </c>
      <c r="B10" s="17">
        <v>-5.8122040000000007E-2</v>
      </c>
      <c r="C10" s="17">
        <v>-7.5072050000000003E-3</v>
      </c>
      <c r="D10" s="17">
        <v>-5.0993146999999996E-2</v>
      </c>
      <c r="E10" s="17">
        <v>3.5422324999999998E-2</v>
      </c>
      <c r="F10" s="17">
        <v>-4.8749446999999998E-3</v>
      </c>
      <c r="G10" s="17">
        <v>-3.2479941999999998E-2</v>
      </c>
      <c r="H10" s="17">
        <v>-1.3045549E-2</v>
      </c>
      <c r="I10" s="17">
        <v>-9.2090369999999998E-3</v>
      </c>
      <c r="J10" s="17">
        <v>-3.3409595E-2</v>
      </c>
      <c r="K10" s="17" t="e">
        <v>#N/A</v>
      </c>
      <c r="L10" s="17">
        <v>8.4030629999999997E-4</v>
      </c>
      <c r="M10" s="17">
        <v>-4.1896940000000001E-2</v>
      </c>
      <c r="N10" s="17">
        <v>-1.9242703999999999E-2</v>
      </c>
      <c r="O10" s="17">
        <v>-2.6197910000000001E-2</v>
      </c>
      <c r="P10" s="17"/>
      <c r="Q10" s="17"/>
      <c r="R10" s="17"/>
      <c r="S10" s="17"/>
      <c r="T10" s="17"/>
      <c r="U10" s="17"/>
      <c r="V10" s="17"/>
    </row>
    <row r="11" spans="1:22" x14ac:dyDescent="0.3">
      <c r="A11" s="2">
        <v>41936</v>
      </c>
      <c r="B11" s="17">
        <v>-2.4923503E-2</v>
      </c>
      <c r="C11" s="17">
        <v>-7.4279903999999999E-3</v>
      </c>
      <c r="D11" s="17">
        <v>1.1019945E-2</v>
      </c>
      <c r="E11" s="17">
        <v>-8.771419499999999E-4</v>
      </c>
      <c r="F11" s="17">
        <v>-1.6196965999999999E-3</v>
      </c>
      <c r="G11" s="17">
        <v>1.5402793999999999E-2</v>
      </c>
      <c r="H11" s="17">
        <v>-0.11776018000000001</v>
      </c>
      <c r="I11" s="17">
        <v>3.4595013000000001E-2</v>
      </c>
      <c r="J11" s="17">
        <v>-4.467964E-2</v>
      </c>
      <c r="K11" s="17" t="e">
        <v>#N/A</v>
      </c>
      <c r="L11" s="17">
        <v>-5.4575976999999998E-2</v>
      </c>
      <c r="M11" s="17">
        <v>-2.0649850000000001E-2</v>
      </c>
      <c r="N11" s="17">
        <v>-6.0126543000000005E-2</v>
      </c>
      <c r="O11" s="17">
        <v>-2.2720872999999999E-2</v>
      </c>
      <c r="P11" s="17"/>
      <c r="Q11" s="17"/>
      <c r="R11" s="17"/>
      <c r="S11" s="17"/>
      <c r="T11" s="17"/>
      <c r="U11" s="17"/>
      <c r="V11" s="17"/>
    </row>
    <row r="12" spans="1:22" x14ac:dyDescent="0.3">
      <c r="A12" s="2">
        <v>41969</v>
      </c>
      <c r="B12" s="17">
        <v>3.5447239999999998E-2</v>
      </c>
      <c r="C12" s="17">
        <v>5.7068706000000004E-2</v>
      </c>
      <c r="D12" s="17">
        <v>-2.6953936000000001E-2</v>
      </c>
      <c r="E12" s="17">
        <v>2.1949053E-2</v>
      </c>
      <c r="F12" s="17">
        <v>6.9965479999999997E-2</v>
      </c>
      <c r="G12" s="17">
        <v>1.9447803E-3</v>
      </c>
      <c r="H12" s="17">
        <v>-8.6897260000000004E-2</v>
      </c>
      <c r="I12" s="17">
        <v>1.7593265E-2</v>
      </c>
      <c r="J12" s="17">
        <v>4.6581507000000001E-2</v>
      </c>
      <c r="K12" s="17" t="e">
        <v>#N/A</v>
      </c>
      <c r="L12" s="17">
        <v>3.5523891000000002E-2</v>
      </c>
      <c r="M12" s="17">
        <v>5.0232530000000004E-2</v>
      </c>
      <c r="N12" s="17">
        <v>8.7541340000000002E-3</v>
      </c>
      <c r="O12" s="17">
        <v>4.8209905999999997E-2</v>
      </c>
      <c r="P12" s="17"/>
      <c r="Q12" s="17"/>
      <c r="R12" s="17"/>
      <c r="S12" s="17"/>
      <c r="T12" s="17"/>
      <c r="U12" s="17"/>
      <c r="V12" s="17"/>
    </row>
    <row r="13" spans="1:22" x14ac:dyDescent="0.3">
      <c r="A13" s="2">
        <v>41999</v>
      </c>
      <c r="B13" s="17">
        <v>-6.3480854000000003E-2</v>
      </c>
      <c r="C13" s="17">
        <v>9.3694924999999998E-3</v>
      </c>
      <c r="D13" s="17">
        <v>-2.8656124999999998E-3</v>
      </c>
      <c r="E13" s="17">
        <v>2.6202679E-2</v>
      </c>
      <c r="F13" s="17">
        <v>-8.5777043999999997E-4</v>
      </c>
      <c r="G13" s="17">
        <v>-2.1350980000000002E-2</v>
      </c>
      <c r="H13" s="17">
        <v>-0.2386635</v>
      </c>
      <c r="I13" s="17">
        <v>2.8190970000000003E-2</v>
      </c>
      <c r="J13" s="17">
        <v>-3.0649780999999997E-2</v>
      </c>
      <c r="K13" s="17" t="e">
        <v>#N/A</v>
      </c>
      <c r="L13" s="17">
        <v>-2.7419925000000001E-3</v>
      </c>
      <c r="M13" s="17">
        <v>-4.4406889999999997E-2</v>
      </c>
      <c r="N13" s="17">
        <v>-5.4892120000000003E-2</v>
      </c>
      <c r="O13" s="17">
        <v>2.4168491E-3</v>
      </c>
      <c r="P13" s="17"/>
      <c r="Q13" s="17"/>
      <c r="R13" s="17"/>
      <c r="S13" s="17"/>
      <c r="T13" s="17"/>
      <c r="U13" s="17"/>
      <c r="V13" s="17"/>
    </row>
    <row r="14" spans="1:22" x14ac:dyDescent="0.3">
      <c r="A14" s="2">
        <v>42030</v>
      </c>
      <c r="B14" s="17">
        <v>4.1708230000000006E-2</v>
      </c>
      <c r="C14" s="17">
        <v>-1.4344692000000001E-2</v>
      </c>
      <c r="D14" s="17">
        <v>7.1061490000000005E-2</v>
      </c>
      <c r="E14" s="17">
        <v>5.3578973000000002E-2</v>
      </c>
      <c r="F14" s="17">
        <v>-8.5681677000000005E-3</v>
      </c>
      <c r="G14" s="17">
        <v>-6.7036867E-2</v>
      </c>
      <c r="H14" s="17">
        <v>-0.1504702</v>
      </c>
      <c r="I14" s="17">
        <v>7.9977510000000002E-2</v>
      </c>
      <c r="J14" s="17">
        <v>-1.11693144E-3</v>
      </c>
      <c r="K14" s="17" t="e">
        <v>#N/A</v>
      </c>
      <c r="L14" s="17">
        <v>2.5951861999999998E-3</v>
      </c>
      <c r="M14" s="17">
        <v>-9.3376639999999996E-4</v>
      </c>
      <c r="N14" s="17">
        <v>-8.5349080000000008E-3</v>
      </c>
      <c r="O14" s="17">
        <v>-1.4117299999999999E-2</v>
      </c>
      <c r="P14" s="17"/>
      <c r="Q14" s="17"/>
      <c r="R14" s="17"/>
      <c r="S14" s="17"/>
      <c r="T14" s="17"/>
      <c r="U14" s="17"/>
      <c r="V14" s="17"/>
    </row>
    <row r="15" spans="1:22" x14ac:dyDescent="0.3">
      <c r="A15" s="2">
        <v>42061</v>
      </c>
      <c r="B15" s="17">
        <v>1.4384985E-3</v>
      </c>
      <c r="C15" s="17">
        <v>2.8863550000000002E-2</v>
      </c>
      <c r="D15" s="17">
        <v>-5.6264696000000003E-2</v>
      </c>
      <c r="E15" s="17">
        <v>7.9464909999999995E-4</v>
      </c>
      <c r="F15" s="17">
        <v>4.5515656000000002E-2</v>
      </c>
      <c r="G15" s="17">
        <v>-2.3809551999999998E-2</v>
      </c>
      <c r="H15" s="17">
        <v>0.10590399</v>
      </c>
      <c r="I15" s="17">
        <v>-4.2046127000000003E-2</v>
      </c>
      <c r="J15" s="17">
        <v>4.0067077E-2</v>
      </c>
      <c r="K15" s="17" t="e">
        <v>#N/A</v>
      </c>
      <c r="L15" s="17">
        <v>6.9887756999999995E-2</v>
      </c>
      <c r="M15" s="17">
        <v>6.8535804999999991E-2</v>
      </c>
      <c r="N15" s="17">
        <v>6.1693069999999996E-2</v>
      </c>
      <c r="O15" s="17">
        <v>3.6285280000000003E-2</v>
      </c>
      <c r="P15" s="17"/>
      <c r="Q15" s="17"/>
      <c r="R15" s="17"/>
      <c r="S15" s="17"/>
      <c r="T15" s="17"/>
      <c r="U15" s="17"/>
      <c r="V15" s="17"/>
    </row>
    <row r="16" spans="1:22" x14ac:dyDescent="0.3">
      <c r="A16" s="2">
        <v>42089</v>
      </c>
      <c r="B16" s="17">
        <v>-4.0924189999999999E-2</v>
      </c>
      <c r="C16" s="17">
        <v>-2.4609386999999996E-2</v>
      </c>
      <c r="D16" s="17">
        <v>-5.0830839999999999E-3</v>
      </c>
      <c r="E16" s="17">
        <v>1.7864227E-2</v>
      </c>
      <c r="F16" s="17">
        <v>-3.2510816999999997E-2</v>
      </c>
      <c r="G16" s="17">
        <v>-2.4825752E-2</v>
      </c>
      <c r="H16" s="17">
        <v>-1.2137175E-2</v>
      </c>
      <c r="I16" s="17">
        <v>9.787559500000001E-3</v>
      </c>
      <c r="J16" s="17">
        <v>-1.17746E-2</v>
      </c>
      <c r="K16" s="17" t="e">
        <v>#N/A</v>
      </c>
      <c r="L16" s="17">
        <v>2.2580743E-2</v>
      </c>
      <c r="M16" s="17">
        <v>-1.6326487000000001E-2</v>
      </c>
      <c r="N16" s="17">
        <v>4.0540695000000002E-3</v>
      </c>
      <c r="O16" s="17">
        <v>-1.6098797000000001E-2</v>
      </c>
      <c r="P16" s="17"/>
      <c r="Q16" s="17"/>
      <c r="R16" s="17"/>
      <c r="S16" s="17"/>
      <c r="T16" s="17"/>
      <c r="U16" s="17"/>
      <c r="V16" s="17"/>
    </row>
    <row r="17" spans="1:22" x14ac:dyDescent="0.3">
      <c r="A17" s="2">
        <v>42118</v>
      </c>
      <c r="B17" s="17">
        <v>0.11702918999999999</v>
      </c>
      <c r="C17" s="17">
        <v>3.1080483999999999E-2</v>
      </c>
      <c r="D17" s="17">
        <v>-2.1042584999999999E-2</v>
      </c>
      <c r="E17" s="17">
        <v>-4.6801567000000002E-3</v>
      </c>
      <c r="F17" s="17">
        <v>5.1760197000000001E-2</v>
      </c>
      <c r="G17" s="17">
        <v>-1.7864704E-3</v>
      </c>
      <c r="H17" s="17">
        <v>8.0430620000000008E-2</v>
      </c>
      <c r="I17" s="17">
        <v>-8.7469816000000004E-4</v>
      </c>
      <c r="J17" s="17">
        <v>3.4281611000000003E-2</v>
      </c>
      <c r="K17" s="17" t="e">
        <v>#N/A</v>
      </c>
      <c r="L17" s="17">
        <v>4.9684525E-2</v>
      </c>
      <c r="M17" s="17">
        <v>2.0450472999999997E-2</v>
      </c>
      <c r="N17" s="17">
        <v>2.1534323999999997E-2</v>
      </c>
      <c r="O17" s="17">
        <v>3.1088114E-2</v>
      </c>
      <c r="P17" s="17"/>
      <c r="Q17" s="17"/>
      <c r="R17" s="17"/>
      <c r="S17" s="17"/>
      <c r="T17" s="17"/>
      <c r="U17" s="17"/>
      <c r="V17" s="17"/>
    </row>
    <row r="18" spans="1:22" x14ac:dyDescent="0.3">
      <c r="A18" s="2">
        <v>42150</v>
      </c>
      <c r="B18" s="17">
        <v>-3.0445396999999999E-2</v>
      </c>
      <c r="C18" s="17">
        <v>-4.4881104999999998E-3</v>
      </c>
      <c r="D18" s="17">
        <v>7.6072216000000002E-3</v>
      </c>
      <c r="E18" s="17">
        <v>1.5673637000000002E-3</v>
      </c>
      <c r="F18" s="17">
        <v>-1.2122333000000001E-2</v>
      </c>
      <c r="G18" s="17">
        <v>-1.6554831999999998E-2</v>
      </c>
      <c r="H18" s="17">
        <v>-3.3997714999999998E-2</v>
      </c>
      <c r="I18" s="17">
        <v>-4.923773E-2</v>
      </c>
      <c r="J18" s="17">
        <v>-2.4682282999999999E-3</v>
      </c>
      <c r="K18" s="17" t="e">
        <v>#N/A</v>
      </c>
      <c r="L18" s="17">
        <v>-1.5026330999999999E-2</v>
      </c>
      <c r="M18" s="17">
        <v>-8.7133049999999993E-3</v>
      </c>
      <c r="N18" s="17">
        <v>9.2226267000000001E-3</v>
      </c>
      <c r="O18" s="17">
        <v>-7.9351660000000007E-4</v>
      </c>
      <c r="P18" s="17"/>
      <c r="Q18" s="17"/>
      <c r="R18" s="17"/>
      <c r="S18" s="17"/>
      <c r="T18" s="17"/>
      <c r="U18" s="17"/>
      <c r="V18" s="17"/>
    </row>
    <row r="19" spans="1:22" x14ac:dyDescent="0.3">
      <c r="A19" s="2">
        <v>42181</v>
      </c>
      <c r="B19" s="17">
        <v>-3.8651586000000002E-2</v>
      </c>
      <c r="C19" s="17">
        <v>6.8926810000000008E-4</v>
      </c>
      <c r="D19" s="17">
        <v>-1.1851489999999999E-2</v>
      </c>
      <c r="E19" s="17">
        <v>-2.1909236999999998E-2</v>
      </c>
      <c r="F19" s="17">
        <v>2.9553175E-3</v>
      </c>
      <c r="G19" s="17">
        <v>3.3211945999999999E-2</v>
      </c>
      <c r="H19" s="17">
        <v>2.2451519999999999E-2</v>
      </c>
      <c r="I19" s="17">
        <v>-5.6986093999999994E-2</v>
      </c>
      <c r="J19" s="17">
        <v>1.0056496E-2</v>
      </c>
      <c r="K19" s="17" t="e">
        <v>#N/A</v>
      </c>
      <c r="L19" s="17">
        <v>2.7453899999999999E-3</v>
      </c>
      <c r="M19" s="17">
        <v>4.2470694000000002E-3</v>
      </c>
      <c r="N19" s="17">
        <v>4.8172710000000001E-2</v>
      </c>
      <c r="O19" s="17">
        <v>-5.8279634000000004E-3</v>
      </c>
      <c r="P19" s="17"/>
      <c r="Q19" s="17"/>
      <c r="R19" s="17"/>
      <c r="S19" s="17"/>
      <c r="T19" s="17"/>
      <c r="U19" s="17"/>
      <c r="V19" s="17"/>
    </row>
    <row r="20" spans="1:22" x14ac:dyDescent="0.3">
      <c r="A20" s="2">
        <v>42209</v>
      </c>
      <c r="B20" s="17">
        <v>-6.9333370000000005E-2</v>
      </c>
      <c r="C20" s="17">
        <v>-8.6741449999999994E-3</v>
      </c>
      <c r="D20" s="17">
        <v>-6.4054728000000005E-2</v>
      </c>
      <c r="E20" s="17">
        <v>1.8000006999999998E-2</v>
      </c>
      <c r="F20" s="17">
        <v>1.6747475000000001E-2</v>
      </c>
      <c r="G20" s="17">
        <v>-4.4473705000000002E-2</v>
      </c>
      <c r="H20" s="17">
        <v>-0.18575668000000001</v>
      </c>
      <c r="I20" s="17">
        <v>5.5810449999999998E-2</v>
      </c>
      <c r="J20" s="17">
        <v>-2.8789758999999998E-2</v>
      </c>
      <c r="K20" s="17" t="e">
        <v>#N/A</v>
      </c>
      <c r="L20" s="17">
        <v>-2.5229335000000002E-2</v>
      </c>
      <c r="M20" s="17">
        <v>-3.563881E-2</v>
      </c>
      <c r="N20" s="17">
        <v>-2.7249634000000002E-2</v>
      </c>
      <c r="O20" s="17">
        <v>-1.8052042000000001E-2</v>
      </c>
      <c r="P20" s="17"/>
      <c r="Q20" s="17"/>
      <c r="R20" s="17"/>
      <c r="S20" s="17"/>
      <c r="T20" s="17"/>
      <c r="U20" s="17"/>
      <c r="V20" s="17"/>
    </row>
    <row r="21" spans="1:22" x14ac:dyDescent="0.3">
      <c r="A21" s="2">
        <v>42242</v>
      </c>
      <c r="B21" s="17">
        <v>-0.12060433</v>
      </c>
      <c r="C21" s="17">
        <v>-6.5096139999999997E-2</v>
      </c>
      <c r="D21" s="17">
        <v>2.202177E-2</v>
      </c>
      <c r="E21" s="17">
        <v>-2.3182689999999999E-2</v>
      </c>
      <c r="F21" s="17">
        <v>-7.2637259999999995E-2</v>
      </c>
      <c r="G21" s="17">
        <v>-4.7004641999999999E-2</v>
      </c>
      <c r="H21" s="17">
        <v>-0.18805152999999999</v>
      </c>
      <c r="I21" s="17">
        <v>6.6225529999999998E-3</v>
      </c>
      <c r="J21" s="17">
        <v>-6.001836E-2</v>
      </c>
      <c r="K21" s="17" t="e">
        <v>#N/A</v>
      </c>
      <c r="L21" s="17">
        <v>-5.6470632999999999E-2</v>
      </c>
      <c r="M21" s="17">
        <v>-6.6395282999999999E-2</v>
      </c>
      <c r="N21" s="17">
        <v>-3.3224760999999998E-2</v>
      </c>
      <c r="O21" s="17">
        <v>-6.58527E-2</v>
      </c>
      <c r="P21" s="17"/>
      <c r="Q21" s="17"/>
      <c r="R21" s="17"/>
      <c r="S21" s="17"/>
      <c r="T21" s="17"/>
      <c r="U21" s="17"/>
      <c r="V21" s="17"/>
    </row>
    <row r="22" spans="1:22" x14ac:dyDescent="0.3">
      <c r="A22" s="2">
        <v>42272</v>
      </c>
      <c r="B22" s="17">
        <v>-1.8370806999999999E-2</v>
      </c>
      <c r="C22" s="17">
        <v>-3.0356645999999998E-3</v>
      </c>
      <c r="D22" s="17">
        <v>1.9875525999999998E-2</v>
      </c>
      <c r="E22" s="17">
        <v>8.8495016000000003E-3</v>
      </c>
      <c r="F22" s="17">
        <v>1.3978481000000002E-3</v>
      </c>
      <c r="G22" s="17">
        <v>2.1760106000000001E-2</v>
      </c>
      <c r="H22" s="17">
        <v>0.12807380999999998</v>
      </c>
      <c r="I22" s="17">
        <v>-1.0529160499999999E-3</v>
      </c>
      <c r="J22" s="17">
        <v>-4.0393233000000001E-2</v>
      </c>
      <c r="K22" s="17" t="e">
        <v>#N/A</v>
      </c>
      <c r="L22" s="17">
        <v>-3.4912705000000002E-2</v>
      </c>
      <c r="M22" s="17">
        <v>-3.8577675999999998E-2</v>
      </c>
      <c r="N22" s="17">
        <v>-4.3800591999999999E-2</v>
      </c>
      <c r="O22" s="17">
        <v>-7.7837706E-3</v>
      </c>
      <c r="P22" s="17"/>
      <c r="Q22" s="17"/>
      <c r="R22" s="17"/>
      <c r="S22" s="17"/>
      <c r="T22" s="17"/>
      <c r="U22" s="17"/>
      <c r="V22" s="17"/>
    </row>
    <row r="23" spans="1:22" x14ac:dyDescent="0.3">
      <c r="A23" s="2">
        <v>42303</v>
      </c>
      <c r="B23" s="17">
        <v>0.1012609</v>
      </c>
      <c r="C23" s="17">
        <v>7.3373080000000007E-2</v>
      </c>
      <c r="D23" s="17">
        <v>1.4752746000000001E-2</v>
      </c>
      <c r="E23" s="17">
        <v>5.5820939999999993E-3</v>
      </c>
      <c r="F23" s="17">
        <v>9.6482750000000006E-2</v>
      </c>
      <c r="G23" s="17">
        <v>2.8396845E-3</v>
      </c>
      <c r="H23" s="17">
        <v>-3.5013257999999998E-2</v>
      </c>
      <c r="I23" s="17">
        <v>2.2516847000000003E-2</v>
      </c>
      <c r="J23" s="17">
        <v>6.8881154E-2</v>
      </c>
      <c r="K23" s="17" t="e">
        <v>#N/A</v>
      </c>
      <c r="L23" s="17">
        <v>7.6658130000000005E-2</v>
      </c>
      <c r="M23" s="17">
        <v>5.7222605000000003E-2</v>
      </c>
      <c r="N23" s="17">
        <v>5.8491945000000004E-2</v>
      </c>
      <c r="O23" s="17">
        <v>5.8170556999999998E-2</v>
      </c>
      <c r="P23" s="17"/>
      <c r="Q23" s="17"/>
      <c r="R23" s="17"/>
      <c r="S23" s="17"/>
      <c r="T23" s="17"/>
      <c r="U23" s="17"/>
      <c r="V23" s="17"/>
    </row>
    <row r="24" spans="1:22" x14ac:dyDescent="0.3">
      <c r="A24" s="2">
        <v>42333</v>
      </c>
      <c r="B24" s="17">
        <v>-3.4722209999999996E-2</v>
      </c>
      <c r="C24" s="17">
        <v>1.1207819000000001E-2</v>
      </c>
      <c r="D24" s="17">
        <v>-8.0498989999999992E-2</v>
      </c>
      <c r="E24" s="17">
        <v>3.0134797000000001E-2</v>
      </c>
      <c r="F24" s="17">
        <v>1.151979E-2</v>
      </c>
      <c r="G24" s="17">
        <v>-2.218032E-2</v>
      </c>
      <c r="H24" s="17">
        <v>-2.6937842E-2</v>
      </c>
      <c r="I24" s="17">
        <v>-2.1490692999999998E-2</v>
      </c>
      <c r="J24" s="17">
        <v>-2.5738835000000002E-2</v>
      </c>
      <c r="K24" s="17" t="e">
        <v>#N/A</v>
      </c>
      <c r="L24" s="17">
        <v>3.2000542E-3</v>
      </c>
      <c r="M24" s="17">
        <v>-2.1782159999999998E-2</v>
      </c>
      <c r="N24" s="17">
        <v>-5.3928136999999994E-2</v>
      </c>
      <c r="O24" s="17">
        <v>2.7976035999999998E-3</v>
      </c>
      <c r="P24" s="17"/>
      <c r="Q24" s="17"/>
      <c r="R24" s="17"/>
      <c r="S24" s="17"/>
      <c r="T24" s="17"/>
      <c r="U24" s="17"/>
      <c r="V24" s="17"/>
    </row>
    <row r="25" spans="1:22" x14ac:dyDescent="0.3">
      <c r="A25" s="2">
        <v>42362</v>
      </c>
      <c r="B25" s="17">
        <v>-3.5622834999999999E-2</v>
      </c>
      <c r="C25" s="17">
        <v>-1.1437953000000001E-2</v>
      </c>
      <c r="D25" s="17">
        <v>5.7584049999999994E-3</v>
      </c>
      <c r="E25" s="17">
        <v>-1.9245564999999999E-2</v>
      </c>
      <c r="F25" s="17">
        <v>-1.0591984E-2</v>
      </c>
      <c r="G25" s="17">
        <v>-1.1583030000000001E-2</v>
      </c>
      <c r="H25" s="17">
        <v>-0.14497745500000001</v>
      </c>
      <c r="I25" s="17">
        <v>1.0314584E-2</v>
      </c>
      <c r="J25" s="17">
        <v>-3.9664506999999996E-3</v>
      </c>
      <c r="K25" s="17" t="e">
        <v>#N/A</v>
      </c>
      <c r="L25" s="17">
        <v>-2.6456713999999999E-2</v>
      </c>
      <c r="M25" s="17">
        <v>3.9266348000000003E-3</v>
      </c>
      <c r="N25" s="17">
        <v>-5.4485200000000001E-3</v>
      </c>
      <c r="O25" s="17">
        <v>-1.2925506E-2</v>
      </c>
      <c r="P25" s="17"/>
      <c r="Q25" s="17"/>
      <c r="R25" s="17"/>
      <c r="S25" s="17"/>
      <c r="T25" s="17"/>
      <c r="U25" s="17"/>
      <c r="V25" s="17"/>
    </row>
    <row r="26" spans="1:22" x14ac:dyDescent="0.3">
      <c r="A26" s="2">
        <v>42395</v>
      </c>
      <c r="B26" s="17">
        <v>-0.11544222</v>
      </c>
      <c r="C26" s="17">
        <v>-7.5262546999999999E-2</v>
      </c>
      <c r="D26" s="17">
        <v>4.1145085999999997E-2</v>
      </c>
      <c r="E26" s="17">
        <v>9.8116399999999999E-3</v>
      </c>
      <c r="F26" s="17">
        <v>-8.3843999999999988E-2</v>
      </c>
      <c r="G26" s="17">
        <v>-1.7089844E-2</v>
      </c>
      <c r="H26" s="17">
        <v>-0.16545635</v>
      </c>
      <c r="I26" s="17">
        <v>3.4884691000000002E-2</v>
      </c>
      <c r="J26" s="17">
        <v>-7.9502820000000002E-2</v>
      </c>
      <c r="K26" s="17" t="e">
        <v>#N/A</v>
      </c>
      <c r="L26" s="17">
        <v>-7.5907589999999997E-2</v>
      </c>
      <c r="M26" s="17">
        <v>-6.6599370000000005E-2</v>
      </c>
      <c r="N26" s="17">
        <v>-0.13058907</v>
      </c>
      <c r="O26" s="17">
        <v>-8.0857220000000007E-2</v>
      </c>
      <c r="P26" s="17"/>
      <c r="Q26" s="17"/>
      <c r="R26" s="17"/>
      <c r="S26" s="17"/>
      <c r="T26" s="17"/>
      <c r="U26" s="17"/>
      <c r="V26" s="17"/>
    </row>
    <row r="27" spans="1:22" x14ac:dyDescent="0.3">
      <c r="A27" s="2">
        <v>42426</v>
      </c>
      <c r="B27" s="17">
        <v>3.5254239999999999E-2</v>
      </c>
      <c r="C27" s="17">
        <v>2.5705575999999997E-2</v>
      </c>
      <c r="D27" s="17">
        <v>9.1527579999999997E-2</v>
      </c>
      <c r="E27" s="17">
        <v>-1.1270881E-2</v>
      </c>
      <c r="F27" s="17">
        <v>2.7145146999999997E-3</v>
      </c>
      <c r="G27" s="17">
        <v>-7.9483390000000004E-3</v>
      </c>
      <c r="H27" s="17">
        <v>2.9303431999999997E-2</v>
      </c>
      <c r="I27" s="17">
        <v>3.6311507E-2</v>
      </c>
      <c r="J27" s="17">
        <v>-1.928848E-2</v>
      </c>
      <c r="K27" s="17" t="e">
        <v>#N/A</v>
      </c>
      <c r="L27" s="17">
        <v>-1.2499928E-2</v>
      </c>
      <c r="M27" s="17">
        <v>-7.2072150000000003E-3</v>
      </c>
      <c r="N27" s="17">
        <v>-7.5918380000000008E-2</v>
      </c>
      <c r="O27" s="17">
        <v>1.1501430999999999E-2</v>
      </c>
      <c r="P27" s="17"/>
      <c r="Q27" s="17"/>
      <c r="R27" s="17"/>
      <c r="S27" s="17"/>
      <c r="T27" s="17"/>
      <c r="U27" s="17"/>
      <c r="V27" s="17"/>
    </row>
    <row r="28" spans="1:22" x14ac:dyDescent="0.3">
      <c r="A28" s="2">
        <v>42453</v>
      </c>
      <c r="B28" s="17">
        <v>0.10899651</v>
      </c>
      <c r="C28" s="17">
        <v>4.6511769999999994E-2</v>
      </c>
      <c r="D28" s="17">
        <v>-6.6604019999999993E-3</v>
      </c>
      <c r="E28" s="17">
        <v>-2.0047188000000001E-2</v>
      </c>
      <c r="F28" s="17">
        <v>4.0099381999999996E-2</v>
      </c>
      <c r="G28" s="17">
        <v>4.1061639999999996E-2</v>
      </c>
      <c r="H28" s="17">
        <v>0.12969232</v>
      </c>
      <c r="I28" s="17">
        <v>-4.7501922000000004E-3</v>
      </c>
      <c r="J28" s="17">
        <v>4.5030117000000001E-2</v>
      </c>
      <c r="K28" s="17" t="e">
        <v>#N/A</v>
      </c>
      <c r="L28" s="17">
        <v>2.622056E-2</v>
      </c>
      <c r="M28" s="17">
        <v>3.7023663999999998E-2</v>
      </c>
      <c r="N28" s="17">
        <v>6.8904640000000003E-2</v>
      </c>
      <c r="O28" s="17">
        <v>5.2089689999999994E-2</v>
      </c>
      <c r="P28" s="17"/>
      <c r="Q28" s="17"/>
      <c r="R28" s="17"/>
      <c r="S28" s="17"/>
      <c r="T28" s="17"/>
      <c r="U28" s="17"/>
      <c r="V28" s="17"/>
    </row>
    <row r="29" spans="1:22" x14ac:dyDescent="0.3">
      <c r="A29" s="2">
        <v>42486</v>
      </c>
      <c r="B29" s="17">
        <v>3.9633273999999996E-2</v>
      </c>
      <c r="C29" s="17">
        <v>2.8550625E-2</v>
      </c>
      <c r="D29" s="17">
        <v>2.0372986999999999E-2</v>
      </c>
      <c r="E29" s="17">
        <v>-1.7248333000000001E-2</v>
      </c>
      <c r="F29" s="17">
        <v>1.1094451E-2</v>
      </c>
      <c r="G29" s="17">
        <v>1.2986898E-2</v>
      </c>
      <c r="H29" s="17">
        <v>7.7556849999999997E-2</v>
      </c>
      <c r="I29" s="17">
        <v>-1.5645503999999998E-2</v>
      </c>
      <c r="J29" s="17">
        <v>5.0893784000000004E-2</v>
      </c>
      <c r="K29" s="17" t="e">
        <v>#N/A</v>
      </c>
      <c r="L29" s="17">
        <v>6.4317106999999998E-2</v>
      </c>
      <c r="M29" s="17">
        <v>6.6853284999999998E-2</v>
      </c>
      <c r="N29" s="17">
        <v>4.0495872000000002E-2</v>
      </c>
      <c r="O29" s="17">
        <v>3.8264869999999999E-2</v>
      </c>
      <c r="P29" s="17"/>
      <c r="Q29" s="17"/>
      <c r="R29" s="17"/>
      <c r="S29" s="17"/>
      <c r="T29" s="17"/>
      <c r="U29" s="17"/>
      <c r="V29" s="17"/>
    </row>
    <row r="30" spans="1:22" x14ac:dyDescent="0.3">
      <c r="A30" s="2">
        <v>42516</v>
      </c>
      <c r="B30" s="17">
        <v>-4.0682793000000002E-2</v>
      </c>
      <c r="C30" s="17">
        <v>2.0141602000000002E-3</v>
      </c>
      <c r="D30" s="17">
        <v>-1.7860114999999999E-2</v>
      </c>
      <c r="E30" s="17">
        <v>6.1224699999999996E-3</v>
      </c>
      <c r="F30" s="17">
        <v>1.023519E-2</v>
      </c>
      <c r="G30" s="17">
        <v>1.139605E-2</v>
      </c>
      <c r="H30" s="17">
        <v>9.6404440000000008E-2</v>
      </c>
      <c r="I30" s="17">
        <v>2.4005532E-2</v>
      </c>
      <c r="J30" s="17">
        <v>2.6015042999999998E-3</v>
      </c>
      <c r="K30" s="17" t="e">
        <v>#N/A</v>
      </c>
      <c r="L30" s="17">
        <v>-2.8973520000000003E-2</v>
      </c>
      <c r="M30" s="17">
        <v>-2.2637725000000001E-2</v>
      </c>
      <c r="N30" s="17">
        <v>-2.2239863999999998E-2</v>
      </c>
      <c r="O30" s="17">
        <v>-5.2046179999999994E-3</v>
      </c>
      <c r="P30" s="17"/>
      <c r="Q30" s="17"/>
      <c r="R30" s="17"/>
      <c r="S30" s="17"/>
      <c r="T30" s="17"/>
      <c r="U30" s="17"/>
      <c r="V30" s="17"/>
    </row>
    <row r="31" spans="1:22" x14ac:dyDescent="0.3">
      <c r="A31" s="2">
        <v>42545</v>
      </c>
      <c r="B31" s="17">
        <v>-4.9823523000000003E-4</v>
      </c>
      <c r="C31" s="17">
        <v>-2.4597584999999998E-2</v>
      </c>
      <c r="D31" s="17">
        <v>8.0888630000000003E-2</v>
      </c>
      <c r="E31" s="17">
        <v>5.2738189999999999E-3</v>
      </c>
      <c r="F31" s="17">
        <v>-4.5539139999999999E-2</v>
      </c>
      <c r="G31" s="17">
        <v>1.5492916000000001E-2</v>
      </c>
      <c r="H31" s="17">
        <v>-3.7710427999999997E-2</v>
      </c>
      <c r="I31" s="17">
        <v>4.6280026000000002E-2</v>
      </c>
      <c r="J31" s="17">
        <v>-9.4173609999999991E-2</v>
      </c>
      <c r="K31" s="17" t="e">
        <v>#N/A</v>
      </c>
      <c r="L31" s="17">
        <v>-2.5576769999999999E-2</v>
      </c>
      <c r="M31" s="17">
        <v>-9.581083E-2</v>
      </c>
      <c r="N31" s="17">
        <v>-0.13526486999999998</v>
      </c>
      <c r="O31" s="17">
        <v>-3.4643887999999998E-2</v>
      </c>
      <c r="P31" s="17"/>
      <c r="Q31" s="17"/>
      <c r="R31" s="17"/>
      <c r="S31" s="17"/>
      <c r="T31" s="17"/>
      <c r="U31" s="17"/>
      <c r="V31" s="17"/>
    </row>
    <row r="32" spans="1:22" x14ac:dyDescent="0.3">
      <c r="A32" s="2">
        <v>42577</v>
      </c>
      <c r="B32" s="17">
        <v>9.9462389999999998E-2</v>
      </c>
      <c r="C32" s="17">
        <v>6.7050576000000001E-2</v>
      </c>
      <c r="D32" s="17">
        <v>-7.9393390000000004E-5</v>
      </c>
      <c r="E32" s="17">
        <v>1.4527798000000001E-2</v>
      </c>
      <c r="F32" s="17">
        <v>9.1092110000000004E-2</v>
      </c>
      <c r="G32" s="17">
        <v>-4.2071160000000003E-2</v>
      </c>
      <c r="H32" s="17">
        <v>-0.10525089</v>
      </c>
      <c r="I32" s="17">
        <v>2.498293E-2</v>
      </c>
      <c r="J32" s="17">
        <v>6.7895650000000002E-2</v>
      </c>
      <c r="K32" s="17" t="e">
        <v>#N/A</v>
      </c>
      <c r="L32" s="17">
        <v>4.3209910000000004E-2</v>
      </c>
      <c r="M32" s="17">
        <v>6.9857120000000009E-2</v>
      </c>
      <c r="N32" s="17">
        <v>5.5072427E-2</v>
      </c>
      <c r="O32" s="17">
        <v>6.2546372000000003E-2</v>
      </c>
      <c r="P32" s="17"/>
      <c r="Q32" s="17"/>
      <c r="R32" s="17"/>
      <c r="S32" s="17"/>
      <c r="T32" s="17"/>
      <c r="U32" s="17"/>
      <c r="V32" s="17"/>
    </row>
    <row r="33" spans="1:22" x14ac:dyDescent="0.3">
      <c r="A33" s="2">
        <v>42608</v>
      </c>
      <c r="B33" s="17">
        <v>1.7929911999999999E-2</v>
      </c>
      <c r="C33" s="17">
        <v>2.4913550000000002E-3</v>
      </c>
      <c r="D33" s="17">
        <v>3.9684772000000003E-4</v>
      </c>
      <c r="E33" s="17">
        <v>-1.8297493000000001E-2</v>
      </c>
      <c r="F33" s="17">
        <v>2.627647E-2</v>
      </c>
      <c r="G33" s="17">
        <v>-9.1698170000000002E-3</v>
      </c>
      <c r="H33" s="17">
        <v>7.8318476999999997E-2</v>
      </c>
      <c r="I33" s="17">
        <v>-2.1916031999999999E-3</v>
      </c>
      <c r="J33" s="17">
        <v>2.3157835000000002E-2</v>
      </c>
      <c r="K33" s="17" t="e">
        <v>#N/A</v>
      </c>
      <c r="L33" s="17">
        <v>3.2967089999999998E-2</v>
      </c>
      <c r="M33" s="17">
        <v>3.2828330000000003E-2</v>
      </c>
      <c r="N33" s="17">
        <v>2.4725199E-2</v>
      </c>
      <c r="O33" s="17">
        <v>9.3457699999999998E-3</v>
      </c>
      <c r="P33" s="17"/>
      <c r="Q33" s="17"/>
      <c r="R33" s="17"/>
      <c r="S33" s="17"/>
      <c r="T33" s="17"/>
      <c r="U33" s="17"/>
      <c r="V33" s="17"/>
    </row>
    <row r="34" spans="1:22" x14ac:dyDescent="0.3">
      <c r="A34" s="2">
        <v>42639</v>
      </c>
      <c r="B34" s="17">
        <v>5.8985949999999995E-3</v>
      </c>
      <c r="C34" s="17">
        <v>-9.0364219999999988E-3</v>
      </c>
      <c r="D34" s="17">
        <v>1.1900067E-2</v>
      </c>
      <c r="E34" s="17">
        <v>-2.0259619E-3</v>
      </c>
      <c r="F34" s="17">
        <v>7.3128939999999995E-3</v>
      </c>
      <c r="G34" s="17">
        <v>-5.8451295000000007E-3</v>
      </c>
      <c r="H34" s="17">
        <v>-5.4602979999999995E-2</v>
      </c>
      <c r="I34" s="17">
        <v>-3.032744E-3</v>
      </c>
      <c r="J34" s="17">
        <v>5.4955482000000003E-4</v>
      </c>
      <c r="K34" s="17" t="e">
        <v>#N/A</v>
      </c>
      <c r="L34" s="17">
        <v>2.5368214E-2</v>
      </c>
      <c r="M34" s="17">
        <v>3.4928322E-3</v>
      </c>
      <c r="N34" s="17">
        <v>-2.6809573000000003E-2</v>
      </c>
      <c r="O34" s="17">
        <v>-7.6009035000000006E-3</v>
      </c>
      <c r="P34" s="17"/>
      <c r="Q34" s="17"/>
      <c r="R34" s="17"/>
      <c r="S34" s="17"/>
      <c r="T34" s="17"/>
      <c r="U34" s="17"/>
      <c r="V34" s="17"/>
    </row>
    <row r="35" spans="1:22" x14ac:dyDescent="0.3">
      <c r="A35" s="2">
        <v>42669</v>
      </c>
      <c r="B35" s="17">
        <v>1.9339322999999999E-2</v>
      </c>
      <c r="C35" s="17">
        <v>-2.3338199000000003E-3</v>
      </c>
      <c r="D35" s="17">
        <v>-5.2998839999999998E-2</v>
      </c>
      <c r="E35" s="17">
        <v>3.5728811999999999E-2</v>
      </c>
      <c r="F35" s="17">
        <v>8.8630914999999998E-3</v>
      </c>
      <c r="G35" s="17">
        <v>1.0289072999999999E-2</v>
      </c>
      <c r="H35" s="17">
        <v>6.5701839999999997E-2</v>
      </c>
      <c r="I35" s="17">
        <v>-3.8283825E-2</v>
      </c>
      <c r="J35" s="17">
        <v>-2.7088523000000003E-2</v>
      </c>
      <c r="K35" s="17" t="e">
        <v>#N/A</v>
      </c>
      <c r="L35" s="17">
        <v>3.9904117999999995E-3</v>
      </c>
      <c r="M35" s="17">
        <v>-2.4364710000000001E-2</v>
      </c>
      <c r="N35" s="17">
        <v>3.4894465999999999E-2</v>
      </c>
      <c r="O35" s="17">
        <v>-4.4562220000000001E-3</v>
      </c>
      <c r="P35" s="17"/>
      <c r="Q35" s="17"/>
      <c r="R35" s="17"/>
      <c r="S35" s="17"/>
      <c r="T35" s="17"/>
      <c r="U35" s="17"/>
      <c r="V35" s="17"/>
    </row>
    <row r="36" spans="1:22" x14ac:dyDescent="0.3">
      <c r="A36" s="2">
        <v>42699</v>
      </c>
      <c r="B36" s="17">
        <v>-5.2437487000000005E-2</v>
      </c>
      <c r="C36" s="17">
        <v>3.6399363999999997E-2</v>
      </c>
      <c r="D36" s="17">
        <v>-6.7720833000000008E-2</v>
      </c>
      <c r="E36" s="17">
        <v>2.861619E-2</v>
      </c>
      <c r="F36" s="17">
        <v>3.5479070000000003E-3</v>
      </c>
      <c r="G36" s="17">
        <v>-1.5518962999999998E-2</v>
      </c>
      <c r="H36" s="17">
        <v>-5.9765815999999999E-2</v>
      </c>
      <c r="I36" s="17">
        <v>-8.4200090000000005E-2</v>
      </c>
      <c r="J36" s="17">
        <v>-2.0616292999999997E-2</v>
      </c>
      <c r="K36" s="17" t="e">
        <v>#N/A</v>
      </c>
      <c r="L36" s="17">
        <v>-1.6494393E-2</v>
      </c>
      <c r="M36" s="17">
        <v>-1.3200164E-2</v>
      </c>
      <c r="N36" s="17">
        <v>-5.5456933999999999E-2</v>
      </c>
      <c r="O36" s="17">
        <v>1.1566758E-2</v>
      </c>
      <c r="P36" s="17"/>
      <c r="Q36" s="17"/>
      <c r="R36" s="17"/>
      <c r="S36" s="17"/>
      <c r="T36" s="17"/>
      <c r="U36" s="17"/>
      <c r="V36" s="17"/>
    </row>
    <row r="37" spans="1:22" x14ac:dyDescent="0.3">
      <c r="A37" s="2">
        <v>42727</v>
      </c>
      <c r="B37" s="17">
        <v>-2.1170794999999999E-2</v>
      </c>
      <c r="C37" s="17">
        <v>2.4931670000000003E-2</v>
      </c>
      <c r="D37" s="17">
        <v>-4.155934E-2</v>
      </c>
      <c r="E37" s="17">
        <v>1.4862775999999999E-2</v>
      </c>
      <c r="F37" s="17">
        <v>1.4787197E-2</v>
      </c>
      <c r="G37" s="17">
        <v>-2.7093530000000001E-2</v>
      </c>
      <c r="H37" s="17">
        <v>0.11861074000000001</v>
      </c>
      <c r="I37" s="17">
        <v>-1.8365263999999999E-2</v>
      </c>
      <c r="J37" s="17">
        <v>3.7479520000000002E-2</v>
      </c>
      <c r="K37" s="17" t="e">
        <v>#N/A</v>
      </c>
      <c r="L37" s="17">
        <v>1.7248273000000001E-2</v>
      </c>
      <c r="M37" s="17">
        <v>3.0544399999999999E-2</v>
      </c>
      <c r="N37" s="17">
        <v>0.14480208999999999</v>
      </c>
      <c r="O37" s="17">
        <v>2.7819037000000001E-2</v>
      </c>
      <c r="P37" s="17"/>
      <c r="Q37" s="17"/>
      <c r="R37" s="17"/>
      <c r="S37" s="17"/>
      <c r="T37" s="17"/>
      <c r="U37" s="17"/>
      <c r="V37" s="17"/>
    </row>
    <row r="38" spans="1:22" x14ac:dyDescent="0.3">
      <c r="A38" s="2">
        <v>42761</v>
      </c>
      <c r="B38" s="17">
        <v>8.392811E-2</v>
      </c>
      <c r="C38" s="17">
        <v>1.6038298999999999E-2</v>
      </c>
      <c r="D38" s="17">
        <v>4.9383879999999998E-2</v>
      </c>
      <c r="E38" s="17">
        <v>-2.440852E-2</v>
      </c>
      <c r="F38" s="17">
        <v>4.4592380000000001E-2</v>
      </c>
      <c r="G38" s="17">
        <v>4.3544292000000005E-2</v>
      </c>
      <c r="H38" s="17">
        <v>-1.2302219999999999E-2</v>
      </c>
      <c r="I38" s="17">
        <v>9.7415450000000008E-3</v>
      </c>
      <c r="J38" s="17">
        <v>4.1193723999999994E-2</v>
      </c>
      <c r="K38" s="17" t="e">
        <v>#N/A</v>
      </c>
      <c r="L38" s="17">
        <v>2.9943824000000001E-2</v>
      </c>
      <c r="M38" s="17">
        <v>6.736839E-2</v>
      </c>
      <c r="N38" s="17">
        <v>1.2008309E-2</v>
      </c>
      <c r="O38" s="17">
        <v>2.7585386999999999E-2</v>
      </c>
      <c r="P38" s="17"/>
      <c r="Q38" s="17"/>
      <c r="R38" s="17"/>
      <c r="S38" s="17"/>
      <c r="T38" s="17"/>
      <c r="U38" s="17"/>
      <c r="V38" s="17"/>
    </row>
    <row r="39" spans="1:22" x14ac:dyDescent="0.3">
      <c r="A39" s="2">
        <v>42790</v>
      </c>
      <c r="B39" s="17">
        <v>3.2130600000000002E-2</v>
      </c>
      <c r="C39" s="17">
        <v>3.2311559000000004E-2</v>
      </c>
      <c r="D39" s="17">
        <v>5.6860330000000001E-2</v>
      </c>
      <c r="E39" s="17">
        <v>5.7736635000000007E-3</v>
      </c>
      <c r="F39" s="17">
        <v>3.7432313000000002E-2</v>
      </c>
      <c r="G39" s="17">
        <v>-1.5526413999999999E-2</v>
      </c>
      <c r="H39" s="17">
        <v>-1.3641833999999999E-2</v>
      </c>
      <c r="I39" s="17">
        <v>2.5801063000000003E-2</v>
      </c>
      <c r="J39" s="17">
        <v>8.0740450000000002E-4</v>
      </c>
      <c r="K39" s="17" t="e">
        <v>#N/A</v>
      </c>
      <c r="L39" s="17">
        <v>5.2683352999999995E-3</v>
      </c>
      <c r="M39" s="17">
        <v>1.6436577E-3</v>
      </c>
      <c r="N39" s="17">
        <v>-5.0736484999999998E-2</v>
      </c>
      <c r="O39" s="17">
        <v>2.0893812000000001E-2</v>
      </c>
      <c r="P39" s="17"/>
      <c r="Q39" s="17"/>
      <c r="R39" s="17"/>
      <c r="S39" s="17"/>
      <c r="T39" s="17"/>
      <c r="U39" s="17"/>
      <c r="V39" s="17"/>
    </row>
    <row r="40" spans="1:22" x14ac:dyDescent="0.3">
      <c r="A40" s="2">
        <v>42818</v>
      </c>
      <c r="B40" s="17">
        <v>2.7844667E-2</v>
      </c>
      <c r="C40" s="17">
        <v>-7.8596469999999991E-3</v>
      </c>
      <c r="D40" s="17">
        <v>-7.0174930000000005E-3</v>
      </c>
      <c r="E40" s="17">
        <v>-1.4925361E-2</v>
      </c>
      <c r="F40" s="17">
        <v>4.9282312E-3</v>
      </c>
      <c r="G40" s="17">
        <v>-1.4292777000000001E-2</v>
      </c>
      <c r="H40" s="17">
        <v>-0.10823811</v>
      </c>
      <c r="I40" s="17">
        <v>-7.3221325999999996E-3</v>
      </c>
      <c r="J40" s="17">
        <v>4.1718599999999995E-2</v>
      </c>
      <c r="K40" s="17" t="e">
        <v>#N/A</v>
      </c>
      <c r="L40" s="17">
        <v>6.7934989999999997E-3</v>
      </c>
      <c r="M40" s="17">
        <v>3.6429285999999998E-2</v>
      </c>
      <c r="N40" s="17">
        <v>0.10387934</v>
      </c>
      <c r="O40" s="17">
        <v>3.8757323999999999E-3</v>
      </c>
      <c r="P40" s="17"/>
      <c r="Q40" s="17"/>
      <c r="R40" s="17"/>
      <c r="S40" s="17"/>
      <c r="T40" s="17"/>
      <c r="U40" s="17"/>
      <c r="V40" s="17"/>
    </row>
    <row r="41" spans="1:22" x14ac:dyDescent="0.3">
      <c r="A41" s="2">
        <v>42851</v>
      </c>
      <c r="B41" s="17">
        <v>2.2382736E-3</v>
      </c>
      <c r="C41" s="17">
        <v>1.9413351999999998E-2</v>
      </c>
      <c r="D41" s="17">
        <v>1.6658187000000001E-2</v>
      </c>
      <c r="E41" s="17">
        <v>-6.9929960000000005E-3</v>
      </c>
      <c r="F41" s="17">
        <v>3.2993913E-2</v>
      </c>
      <c r="G41" s="17">
        <v>-3.2999991999999999E-2</v>
      </c>
      <c r="H41" s="17">
        <v>1.7194866999999999E-2</v>
      </c>
      <c r="I41" s="17">
        <v>1.2371778E-2</v>
      </c>
      <c r="J41" s="17">
        <v>4.3021320000000002E-2</v>
      </c>
      <c r="K41" s="17" t="e">
        <v>#N/A</v>
      </c>
      <c r="L41" s="17">
        <v>3.8558245000000001E-3</v>
      </c>
      <c r="M41" s="17">
        <v>5.0981639999999995E-2</v>
      </c>
      <c r="N41" s="17">
        <v>4.0999529999999999E-2</v>
      </c>
      <c r="O41" s="17">
        <v>2.2591233000000002E-2</v>
      </c>
      <c r="P41" s="17"/>
      <c r="Q41" s="17"/>
      <c r="R41" s="17"/>
      <c r="S41" s="17"/>
      <c r="T41" s="17"/>
      <c r="U41" s="17"/>
      <c r="V41" s="17"/>
    </row>
    <row r="42" spans="1:22" x14ac:dyDescent="0.3">
      <c r="A42" s="2">
        <v>42881</v>
      </c>
      <c r="B42" s="17">
        <v>2.0099282E-2</v>
      </c>
      <c r="C42" s="17">
        <v>1.3884305999999999E-2</v>
      </c>
      <c r="D42" s="17">
        <v>-2.482593E-3</v>
      </c>
      <c r="E42" s="17">
        <v>-1.5258193E-2</v>
      </c>
      <c r="F42" s="17">
        <v>4.6539187000000003E-2</v>
      </c>
      <c r="G42" s="17">
        <v>2.5336026999999997E-2</v>
      </c>
      <c r="H42" s="17">
        <v>9.9444389999999989E-4</v>
      </c>
      <c r="I42" s="17">
        <v>1.3264537E-2</v>
      </c>
      <c r="J42" s="17">
        <v>4.7405720000000005E-2</v>
      </c>
      <c r="K42" s="17" t="e">
        <v>#N/A</v>
      </c>
      <c r="L42" s="17">
        <v>2.1317482000000002E-2</v>
      </c>
      <c r="M42" s="17">
        <v>2.7116655999999999E-2</v>
      </c>
      <c r="N42" s="17">
        <v>6.301582E-2</v>
      </c>
      <c r="O42" s="17">
        <v>2.0567775E-2</v>
      </c>
      <c r="P42" s="17"/>
      <c r="Q42" s="17"/>
      <c r="R42" s="17"/>
      <c r="S42" s="17"/>
      <c r="T42" s="17"/>
      <c r="U42" s="17"/>
      <c r="V42" s="17"/>
    </row>
    <row r="43" spans="1:22" x14ac:dyDescent="0.3">
      <c r="A43" s="2">
        <v>42912</v>
      </c>
      <c r="B43" s="17">
        <v>7.4815750000000007E-3</v>
      </c>
      <c r="C43" s="17">
        <v>1.1444688000000001E-2</v>
      </c>
      <c r="D43" s="17">
        <v>-1.8085301000000002E-2</v>
      </c>
      <c r="E43" s="17">
        <v>7.9464909999999995E-4</v>
      </c>
      <c r="F43" s="17">
        <v>-1.8051266999999998E-3</v>
      </c>
      <c r="G43" s="17">
        <v>-3.6812901000000002E-2</v>
      </c>
      <c r="H43" s="17">
        <v>-0.13046360000000001</v>
      </c>
      <c r="I43" s="17">
        <v>4.0910840000000004E-2</v>
      </c>
      <c r="J43" s="17">
        <v>-3.7323833000000002E-3</v>
      </c>
      <c r="K43" s="17" t="e">
        <v>#N/A</v>
      </c>
      <c r="L43" s="17">
        <v>2.0068169E-2</v>
      </c>
      <c r="M43" s="17">
        <v>4.4114589999999995E-3</v>
      </c>
      <c r="N43" s="17">
        <v>-4.7931670000000001E-3</v>
      </c>
      <c r="O43" s="17">
        <v>7.4769260000000001E-3</v>
      </c>
      <c r="P43" s="17"/>
      <c r="Q43" s="17"/>
      <c r="R43" s="17"/>
      <c r="S43" s="17"/>
      <c r="T43" s="17"/>
      <c r="U43" s="17"/>
      <c r="V43" s="17"/>
    </row>
    <row r="44" spans="1:22" x14ac:dyDescent="0.3">
      <c r="A44" s="2">
        <v>42942</v>
      </c>
      <c r="B44" s="17">
        <v>4.4703603000000001E-2</v>
      </c>
      <c r="C44" s="17">
        <v>1.7016768000000002E-2</v>
      </c>
      <c r="D44" s="17">
        <v>1.2842177999999999E-2</v>
      </c>
      <c r="E44" s="17">
        <v>-3.8110375000000002E-2</v>
      </c>
      <c r="F44" s="17">
        <v>3.0516386E-2</v>
      </c>
      <c r="G44" s="17">
        <v>3.1937121999999998E-2</v>
      </c>
      <c r="H44" s="17">
        <v>0.10853004000000001</v>
      </c>
      <c r="I44" s="17">
        <v>-3.300935E-2</v>
      </c>
      <c r="J44" s="17">
        <v>2.8840899999999999E-2</v>
      </c>
      <c r="K44" s="17" t="e">
        <v>#N/A</v>
      </c>
      <c r="L44" s="17">
        <v>6.3079596000000003E-3</v>
      </c>
      <c r="M44" s="17">
        <v>2.2998810000000001E-2</v>
      </c>
      <c r="N44" s="17">
        <v>6.7508936000000005E-2</v>
      </c>
      <c r="O44" s="17">
        <v>2.1698713000000001E-2</v>
      </c>
      <c r="P44" s="17"/>
      <c r="Q44" s="17"/>
      <c r="R44" s="17"/>
      <c r="S44" s="17"/>
      <c r="T44" s="17"/>
      <c r="U44" s="17"/>
      <c r="V44" s="17"/>
    </row>
    <row r="45" spans="1:22" x14ac:dyDescent="0.3">
      <c r="A45" s="2">
        <v>42972</v>
      </c>
      <c r="B45" s="17">
        <v>2.7907014000000001E-2</v>
      </c>
      <c r="C45" s="17">
        <v>-1.1599242999999999E-2</v>
      </c>
      <c r="D45" s="17">
        <v>2.3857236E-2</v>
      </c>
      <c r="E45" s="17">
        <v>-9.9050400000000004E-3</v>
      </c>
      <c r="F45" s="17">
        <v>-2.0017922E-2</v>
      </c>
      <c r="G45" s="17">
        <v>-5.3779782999999998E-2</v>
      </c>
      <c r="H45" s="17">
        <v>-1.4084517999999999E-2</v>
      </c>
      <c r="I45" s="17">
        <v>3.0899524999999997E-2</v>
      </c>
      <c r="J45" s="17">
        <v>-1.0578632000000001E-3</v>
      </c>
      <c r="K45" s="17">
        <v>1.2050629E-2</v>
      </c>
      <c r="L45" s="17">
        <v>2.2124051999999998E-3</v>
      </c>
      <c r="M45" s="17">
        <v>4.9633979999999999E-3</v>
      </c>
      <c r="N45" s="17">
        <v>2.6039957999999998E-2</v>
      </c>
      <c r="O45" s="17">
        <v>-9.8301770000000007E-3</v>
      </c>
      <c r="P45" s="17"/>
      <c r="Q45" s="17"/>
      <c r="R45" s="17"/>
      <c r="S45" s="17"/>
      <c r="T45" s="17"/>
      <c r="U45" s="17"/>
      <c r="V45" s="17"/>
    </row>
    <row r="46" spans="1:22" x14ac:dyDescent="0.3">
      <c r="A46" s="2">
        <v>43004</v>
      </c>
      <c r="B46" s="17">
        <v>-7.7027679999999996E-3</v>
      </c>
      <c r="C46" s="17">
        <v>2.35281E-2</v>
      </c>
      <c r="D46" s="17">
        <v>3.2589436E-3</v>
      </c>
      <c r="E46" s="17">
        <v>6.6694019999999996E-3</v>
      </c>
      <c r="F46" s="17">
        <v>1.0665298E-2</v>
      </c>
      <c r="G46" s="17">
        <v>9.6515419999999991E-3</v>
      </c>
      <c r="H46" s="17">
        <v>7.3867559999999999E-2</v>
      </c>
      <c r="I46" s="17">
        <v>-2.3353695999999997E-3</v>
      </c>
      <c r="J46" s="17">
        <v>1.9750237E-2</v>
      </c>
      <c r="K46" s="17">
        <v>-1.0160387E-2</v>
      </c>
      <c r="L46" s="17">
        <v>2.1891117000000002E-2</v>
      </c>
      <c r="M46" s="17">
        <v>2.5566578E-2</v>
      </c>
      <c r="N46" s="17">
        <v>2.2412657999999998E-2</v>
      </c>
      <c r="O46" s="17">
        <v>2.2919535999999997E-2</v>
      </c>
      <c r="P46" s="17"/>
      <c r="Q46" s="17"/>
      <c r="R46" s="17"/>
      <c r="S46" s="17"/>
      <c r="T46" s="17"/>
      <c r="U46" s="17"/>
      <c r="V46" s="17"/>
    </row>
    <row r="47" spans="1:22" x14ac:dyDescent="0.3">
      <c r="A47" s="2">
        <v>43034</v>
      </c>
      <c r="B47" s="17">
        <v>1.9607902E-2</v>
      </c>
      <c r="C47" s="17">
        <v>2.6256561000000001E-2</v>
      </c>
      <c r="D47" s="17">
        <v>-2.2819519999999999E-2</v>
      </c>
      <c r="E47" s="17">
        <v>1.9461750999999999E-2</v>
      </c>
      <c r="F47" s="17">
        <v>2.6472091999999999E-2</v>
      </c>
      <c r="G47" s="17">
        <v>2.0711540000000001E-2</v>
      </c>
      <c r="H47" s="17">
        <v>1.5249848E-2</v>
      </c>
      <c r="I47" s="17">
        <v>-3.2197653999999999E-2</v>
      </c>
      <c r="J47" s="17">
        <v>8.5144039999999997E-3</v>
      </c>
      <c r="K47" s="17">
        <v>2.2352934000000001E-2</v>
      </c>
      <c r="L47" s="17">
        <v>4.3744325999999993E-2</v>
      </c>
      <c r="M47" s="17">
        <v>2.8328895999999997E-3</v>
      </c>
      <c r="N47" s="17">
        <v>-2.2565721999999997E-3</v>
      </c>
      <c r="O47" s="17">
        <v>2.2765398000000003E-2</v>
      </c>
      <c r="P47" s="17"/>
      <c r="Q47" s="17"/>
      <c r="R47" s="17"/>
      <c r="S47" s="17"/>
      <c r="T47" s="17"/>
      <c r="U47" s="17"/>
      <c r="V47" s="17"/>
    </row>
    <row r="48" spans="1:22" x14ac:dyDescent="0.3">
      <c r="A48" s="2">
        <v>43063</v>
      </c>
      <c r="B48" s="17">
        <v>3.1674147E-2</v>
      </c>
      <c r="C48" s="17">
        <v>1.8543124000000001E-2</v>
      </c>
      <c r="D48" s="17">
        <v>1.6537786000000002E-2</v>
      </c>
      <c r="E48" s="17">
        <v>-1.9902586999999999E-2</v>
      </c>
      <c r="F48" s="17">
        <v>6.3282489999999997E-2</v>
      </c>
      <c r="G48" s="17">
        <v>-4.1623115999999995E-3</v>
      </c>
      <c r="H48" s="17">
        <v>0.10131024999999999</v>
      </c>
      <c r="I48" s="17">
        <v>3.7878036000000004E-2</v>
      </c>
      <c r="J48" s="17">
        <v>1.1371493E-2</v>
      </c>
      <c r="K48" s="17">
        <v>2.7426124E-2</v>
      </c>
      <c r="L48" s="17">
        <v>3.5701990000000003E-2</v>
      </c>
      <c r="M48" s="17">
        <v>-1.6666650999999998E-2</v>
      </c>
      <c r="N48" s="17">
        <v>6.4619780000000002E-3</v>
      </c>
      <c r="O48" s="17">
        <v>1.7806888E-2</v>
      </c>
      <c r="P48" s="17"/>
      <c r="Q48" s="17"/>
      <c r="R48" s="17"/>
      <c r="S48" s="17"/>
      <c r="T48" s="17"/>
      <c r="U48" s="17"/>
      <c r="V48" s="17"/>
    </row>
    <row r="49" spans="1:22" x14ac:dyDescent="0.3">
      <c r="A49" s="2">
        <v>43095</v>
      </c>
      <c r="B49" s="17">
        <v>2.0631552000000002E-3</v>
      </c>
      <c r="C49" s="17">
        <v>3.1436443000000001E-2</v>
      </c>
      <c r="D49" s="17">
        <v>-4.4964552E-3</v>
      </c>
      <c r="E49" s="17">
        <v>5.922437E-3</v>
      </c>
      <c r="F49" s="17">
        <v>3.743887E-3</v>
      </c>
      <c r="G49" s="17">
        <v>-2.9780566999999997E-2</v>
      </c>
      <c r="H49" s="17">
        <v>1.5670419000000001E-2</v>
      </c>
      <c r="I49" s="17">
        <v>-9.0293883999999994E-3</v>
      </c>
      <c r="J49" s="17">
        <v>6.7143439999999997E-3</v>
      </c>
      <c r="K49" s="17">
        <v>-4.1196345999999998E-3</v>
      </c>
      <c r="L49" s="17">
        <v>6.5327880000000003E-3</v>
      </c>
      <c r="M49" s="17">
        <v>-1.4652907999999999E-2</v>
      </c>
      <c r="N49" s="17">
        <v>-6.103575E-3</v>
      </c>
      <c r="O49" s="17">
        <v>2.2414565000000001E-2</v>
      </c>
      <c r="P49" s="17"/>
      <c r="Q49" s="17"/>
      <c r="R49" s="17"/>
      <c r="S49" s="17"/>
      <c r="T49" s="17"/>
      <c r="U49" s="17"/>
      <c r="V49" s="17"/>
    </row>
    <row r="50" spans="1:22" x14ac:dyDescent="0.3">
      <c r="A50" s="2">
        <v>43126</v>
      </c>
      <c r="B50" s="17">
        <v>0.12093222000000001</v>
      </c>
      <c r="C50" s="17">
        <v>7.2569966E-2</v>
      </c>
      <c r="D50" s="17">
        <v>5.1736950000000004E-2</v>
      </c>
      <c r="E50" s="17">
        <v>-4.082471E-2</v>
      </c>
      <c r="F50" s="17">
        <v>9.2064859999999998E-2</v>
      </c>
      <c r="G50" s="17">
        <v>1.723206E-2</v>
      </c>
      <c r="H50" s="17">
        <v>0.10399998000000001</v>
      </c>
      <c r="I50" s="17">
        <v>-1.2386143E-2</v>
      </c>
      <c r="J50" s="17">
        <v>8.0129385000000011E-2</v>
      </c>
      <c r="K50" s="17">
        <v>0.1061182</v>
      </c>
      <c r="L50" s="17">
        <v>7.7115180000000005E-2</v>
      </c>
      <c r="M50" s="17">
        <v>7.5088263000000002E-2</v>
      </c>
      <c r="N50" s="17">
        <v>0.11854494</v>
      </c>
      <c r="O50" s="17">
        <v>6.8977236999999997E-2</v>
      </c>
      <c r="P50" s="17"/>
      <c r="Q50" s="17"/>
      <c r="R50" s="17"/>
      <c r="S50" s="17"/>
      <c r="T50" s="17"/>
      <c r="U50" s="17"/>
      <c r="V50" s="17"/>
    </row>
    <row r="51" spans="1:22" x14ac:dyDescent="0.3">
      <c r="A51" s="2">
        <v>43157</v>
      </c>
      <c r="B51" s="17">
        <v>-3.6681056000000004E-2</v>
      </c>
      <c r="C51" s="17">
        <v>-3.0288219999999998E-2</v>
      </c>
      <c r="D51" s="17">
        <v>-1.2649417000000001E-2</v>
      </c>
      <c r="E51" s="17">
        <v>9.0283155E-3</v>
      </c>
      <c r="F51" s="17">
        <v>-3.1006931999999999E-3</v>
      </c>
      <c r="G51" s="17">
        <v>1.3234496E-2</v>
      </c>
      <c r="H51" s="17">
        <v>-2.6397526000000001E-2</v>
      </c>
      <c r="I51" s="17">
        <v>-4.1838170000000001E-2</v>
      </c>
      <c r="J51" s="17">
        <v>-5.0401629999999996E-2</v>
      </c>
      <c r="K51" s="17">
        <v>-3.7119447999999999E-2</v>
      </c>
      <c r="L51" s="17">
        <v>-3.4173489000000001E-2</v>
      </c>
      <c r="M51" s="17">
        <v>-4.2727947000000002E-2</v>
      </c>
      <c r="N51" s="17">
        <v>-5.5458784000000004E-2</v>
      </c>
      <c r="O51" s="17">
        <v>-3.4867644000000003E-2</v>
      </c>
      <c r="P51" s="17"/>
      <c r="Q51" s="17"/>
      <c r="R51" s="17"/>
      <c r="S51" s="17"/>
      <c r="T51" s="17"/>
      <c r="U51" s="17"/>
      <c r="V51" s="17"/>
    </row>
    <row r="52" spans="1:22" x14ac:dyDescent="0.3">
      <c r="A52" s="2">
        <v>43185</v>
      </c>
      <c r="B52" s="17">
        <v>-3.7902653000000001E-2</v>
      </c>
      <c r="C52" s="17">
        <v>-4.2207955999999998E-2</v>
      </c>
      <c r="D52" s="17">
        <v>1.4472127E-2</v>
      </c>
      <c r="E52" s="17">
        <v>-6.8172215999999994E-3</v>
      </c>
      <c r="F52" s="17">
        <v>-3.3614576E-2</v>
      </c>
      <c r="G52" s="17">
        <v>-1.7241359000000001E-2</v>
      </c>
      <c r="H52" s="17">
        <v>3.5151599999999998E-2</v>
      </c>
      <c r="I52" s="17">
        <v>1.5061021000000001E-2</v>
      </c>
      <c r="J52" s="17">
        <v>-3.2210945999999997E-2</v>
      </c>
      <c r="K52" s="17">
        <v>-2.6771724E-2</v>
      </c>
      <c r="L52" s="17">
        <v>-5.3634285999999996E-2</v>
      </c>
      <c r="M52" s="17">
        <v>-4.4062970000000007E-2</v>
      </c>
      <c r="N52" s="17">
        <v>-1.567781E-2</v>
      </c>
      <c r="O52" s="17">
        <v>-3.9982319999999995E-2</v>
      </c>
      <c r="P52" s="17"/>
      <c r="Q52" s="17"/>
      <c r="R52" s="17"/>
      <c r="S52" s="17"/>
      <c r="T52" s="17"/>
      <c r="U52" s="17"/>
      <c r="V52" s="17"/>
    </row>
    <row r="53" spans="1:22" x14ac:dyDescent="0.3">
      <c r="A53" s="2">
        <v>43216</v>
      </c>
      <c r="B53" s="17">
        <v>-2.9898226E-2</v>
      </c>
      <c r="C53" s="17">
        <v>4.5264959999999996E-3</v>
      </c>
      <c r="D53" s="17">
        <v>-2.5802909999999998E-2</v>
      </c>
      <c r="E53" s="17">
        <v>3.1746030000000001E-2</v>
      </c>
      <c r="F53" s="17">
        <v>-1.4659286000000001E-2</v>
      </c>
      <c r="G53" s="17">
        <v>8.5060595999999992E-3</v>
      </c>
      <c r="H53" s="17">
        <v>4.5646905999999994E-2</v>
      </c>
      <c r="I53" s="17">
        <v>-1.2345672E-2</v>
      </c>
      <c r="J53" s="17">
        <v>2.686417E-2</v>
      </c>
      <c r="K53" s="17">
        <v>-2.2013187E-2</v>
      </c>
      <c r="L53" s="17">
        <v>3.1128407E-2</v>
      </c>
      <c r="M53" s="17">
        <v>-1.1972784999999999E-3</v>
      </c>
      <c r="N53" s="17">
        <v>5.9650182999999996E-2</v>
      </c>
      <c r="O53" s="17">
        <v>1.2046813999999999E-2</v>
      </c>
      <c r="P53" s="17"/>
      <c r="Q53" s="17"/>
      <c r="R53" s="17"/>
      <c r="S53" s="17"/>
      <c r="T53" s="17"/>
      <c r="U53" s="17"/>
      <c r="V53" s="17"/>
    </row>
    <row r="54" spans="1:22" x14ac:dyDescent="0.3">
      <c r="A54" s="2">
        <v>43245</v>
      </c>
      <c r="B54" s="17">
        <v>-1.2677609999999999E-2</v>
      </c>
      <c r="C54" s="17">
        <v>2.1929264E-2</v>
      </c>
      <c r="D54" s="17">
        <v>-1.4083384999999999E-2</v>
      </c>
      <c r="E54" s="17">
        <v>3.1185029999999999E-2</v>
      </c>
      <c r="F54" s="17">
        <v>4.7718999999999998E-2</v>
      </c>
      <c r="G54" s="17">
        <v>2.0558833999999998E-2</v>
      </c>
      <c r="H54" s="17">
        <v>1.4243603000000001E-2</v>
      </c>
      <c r="I54" s="17">
        <v>1.6144753000000001E-2</v>
      </c>
      <c r="J54" s="17">
        <v>-1.4254629999999999E-2</v>
      </c>
      <c r="K54" s="17">
        <v>-2.7738870000000002E-2</v>
      </c>
      <c r="L54" s="17">
        <v>-1.3453662E-2</v>
      </c>
      <c r="M54" s="17">
        <v>-2.9963255E-4</v>
      </c>
      <c r="N54" s="17">
        <v>-9.7848469999999993E-2</v>
      </c>
      <c r="O54" s="17">
        <v>1.0429621E-2</v>
      </c>
      <c r="P54" s="17"/>
      <c r="Q54" s="17"/>
      <c r="R54" s="17"/>
      <c r="S54" s="17"/>
      <c r="T54" s="17"/>
      <c r="U54" s="17"/>
      <c r="V54" s="17"/>
    </row>
    <row r="55" spans="1:22" x14ac:dyDescent="0.3">
      <c r="A55" s="2">
        <v>43277</v>
      </c>
      <c r="B55" s="17">
        <v>-6.2877599999999992E-2</v>
      </c>
      <c r="C55" s="17">
        <v>2.4645329000000001E-3</v>
      </c>
      <c r="D55" s="17">
        <v>-3.2059073E-2</v>
      </c>
      <c r="E55" s="17">
        <v>7.6613425999999991E-3</v>
      </c>
      <c r="F55" s="17">
        <v>1.6019821E-2</v>
      </c>
      <c r="G55" s="17">
        <v>-7.5929823000000007E-2</v>
      </c>
      <c r="H55" s="17">
        <v>-1.452744E-3</v>
      </c>
      <c r="I55" s="17">
        <v>1.3645172000000001E-2</v>
      </c>
      <c r="J55" s="17">
        <v>-3.0238209999999998E-2</v>
      </c>
      <c r="K55" s="17">
        <v>-6.5257969999999998E-2</v>
      </c>
      <c r="L55" s="17">
        <v>-2.0829558000000001E-2</v>
      </c>
      <c r="M55" s="17">
        <v>-4.7521170000000001E-2</v>
      </c>
      <c r="N55" s="17">
        <v>-3.7468016E-2</v>
      </c>
      <c r="O55" s="17">
        <v>-7.0590377000000004E-3</v>
      </c>
      <c r="P55" s="17"/>
      <c r="Q55" s="17"/>
      <c r="R55" s="17"/>
      <c r="S55" s="17"/>
      <c r="T55" s="17"/>
      <c r="U55" s="17"/>
      <c r="V55" s="17"/>
    </row>
    <row r="56" spans="1:22" x14ac:dyDescent="0.3">
      <c r="A56" s="2">
        <v>43307</v>
      </c>
      <c r="B56" s="17">
        <v>3.8516401999999998E-2</v>
      </c>
      <c r="C56" s="17">
        <v>4.322529E-2</v>
      </c>
      <c r="D56" s="17">
        <v>-2.9263853999999999E-2</v>
      </c>
      <c r="E56" s="17">
        <v>2.4009943000000001E-3</v>
      </c>
      <c r="F56" s="17">
        <v>4.6376467000000005E-2</v>
      </c>
      <c r="G56" s="17">
        <v>-1.9005060000000001E-2</v>
      </c>
      <c r="H56" s="17">
        <v>1.648879E-2</v>
      </c>
      <c r="I56" s="17">
        <v>-1.1902033999999999E-2</v>
      </c>
      <c r="J56" s="17">
        <v>3.0048249999999999E-2</v>
      </c>
      <c r="K56" s="17">
        <v>4.530406E-2</v>
      </c>
      <c r="L56" s="17">
        <v>1.4207482E-2</v>
      </c>
      <c r="M56" s="17">
        <v>5.6324123999999996E-2</v>
      </c>
      <c r="N56" s="17">
        <v>2.0586133000000003E-2</v>
      </c>
      <c r="O56" s="17">
        <v>3.4987450000000003E-2</v>
      </c>
      <c r="P56" s="17"/>
      <c r="Q56" s="17"/>
      <c r="R56" s="17"/>
      <c r="S56" s="17"/>
      <c r="T56" s="17"/>
      <c r="U56" s="17"/>
      <c r="V56" s="17"/>
    </row>
    <row r="57" spans="1:22" x14ac:dyDescent="0.3">
      <c r="A57" s="2">
        <v>43336</v>
      </c>
      <c r="B57" s="17">
        <v>-3.4340679999999998E-2</v>
      </c>
      <c r="C57" s="17">
        <v>1.4717340000000001E-2</v>
      </c>
      <c r="D57" s="17">
        <v>-1.3906837E-2</v>
      </c>
      <c r="E57" s="17">
        <v>5.9881209999999999E-3</v>
      </c>
      <c r="F57" s="17">
        <v>1.349616E-2</v>
      </c>
      <c r="G57" s="17">
        <v>-2.9059708E-2</v>
      </c>
      <c r="H57" s="17">
        <v>3.0535459999999999E-3</v>
      </c>
      <c r="I57" s="17">
        <v>2.771616E-2</v>
      </c>
      <c r="J57" s="17">
        <v>-1.6322255000000001E-2</v>
      </c>
      <c r="K57" s="17">
        <v>-1.7811179E-2</v>
      </c>
      <c r="L57" s="17">
        <v>-2.7679323999999998E-2</v>
      </c>
      <c r="M57" s="17">
        <v>-1.3408184E-2</v>
      </c>
      <c r="N57" s="17">
        <v>-5.0256369999999995E-2</v>
      </c>
      <c r="O57" s="17">
        <v>2.0990371999999998E-3</v>
      </c>
      <c r="P57" s="17"/>
      <c r="Q57" s="17"/>
      <c r="R57" s="17"/>
      <c r="S57" s="17"/>
      <c r="T57" s="17"/>
      <c r="U57" s="17"/>
      <c r="V57" s="17"/>
    </row>
    <row r="58" spans="1:22" x14ac:dyDescent="0.3">
      <c r="A58" s="2">
        <v>43369</v>
      </c>
      <c r="B58" s="17">
        <v>-1.3404429000000001E-2</v>
      </c>
      <c r="C58" s="17">
        <v>1.2810110999999999E-2</v>
      </c>
      <c r="D58" s="17">
        <v>-9.7231864999999997E-3</v>
      </c>
      <c r="E58" s="17">
        <v>-7.1428419999999999E-3</v>
      </c>
      <c r="F58" s="17">
        <v>1.1620163999999999E-2</v>
      </c>
      <c r="G58" s="17">
        <v>-4.6949386999999999E-3</v>
      </c>
      <c r="H58" s="17">
        <v>6.0473800000000001E-2</v>
      </c>
      <c r="I58" s="17">
        <v>-3.6989151999999997E-2</v>
      </c>
      <c r="J58" s="17">
        <v>1.2561321E-2</v>
      </c>
      <c r="K58" s="17">
        <v>4.4327973999999997E-3</v>
      </c>
      <c r="L58" s="17">
        <v>5.0338387000000005E-2</v>
      </c>
      <c r="M58" s="17">
        <v>4.4563889999999995E-2</v>
      </c>
      <c r="N58" s="17">
        <v>5.3275704E-2</v>
      </c>
      <c r="O58" s="17">
        <v>1.5103102E-2</v>
      </c>
      <c r="P58" s="17"/>
      <c r="Q58" s="17"/>
      <c r="R58" s="17"/>
      <c r="S58" s="17"/>
      <c r="T58" s="17"/>
      <c r="U58" s="17"/>
      <c r="V58" s="17"/>
    </row>
    <row r="59" spans="1:22" x14ac:dyDescent="0.3">
      <c r="A59" s="2">
        <v>43399</v>
      </c>
      <c r="B59" s="17">
        <v>-9.0665999999999997E-2</v>
      </c>
      <c r="C59" s="17">
        <v>-8.4690274999999995E-2</v>
      </c>
      <c r="D59" s="17">
        <v>3.2905698000000004E-2</v>
      </c>
      <c r="E59" s="17">
        <v>2.5179863E-2</v>
      </c>
      <c r="F59" s="17">
        <v>-9.5566270000000009E-2</v>
      </c>
      <c r="G59" s="17">
        <v>4.4811370000000003E-2</v>
      </c>
      <c r="H59" s="17">
        <v>-4.77857E-2</v>
      </c>
      <c r="I59" s="17">
        <v>-1.9163728000000001E-2</v>
      </c>
      <c r="J59" s="17">
        <v>-0.11008053999999999</v>
      </c>
      <c r="K59" s="17">
        <v>-9.3881660000000006E-2</v>
      </c>
      <c r="L59" s="17">
        <v>-0.10808128</v>
      </c>
      <c r="M59" s="17">
        <v>-0.13434189999999999</v>
      </c>
      <c r="N59" s="17">
        <v>-0.14798360999999999</v>
      </c>
      <c r="O59" s="17">
        <v>-9.3722879999999995E-2</v>
      </c>
      <c r="P59" s="17"/>
      <c r="Q59" s="17"/>
      <c r="R59" s="17"/>
      <c r="S59" s="17"/>
      <c r="T59" s="17"/>
      <c r="U59" s="17"/>
      <c r="V59" s="17"/>
    </row>
    <row r="60" spans="1:22" x14ac:dyDescent="0.3">
      <c r="A60" s="2">
        <v>43430</v>
      </c>
      <c r="B60" s="17">
        <v>3.8759708000000004E-2</v>
      </c>
      <c r="C60" s="17">
        <v>8.1785920000000002E-3</v>
      </c>
      <c r="D60" s="17">
        <v>-9.6771119999999999E-3</v>
      </c>
      <c r="E60" s="17">
        <v>1.0526299999999999E-2</v>
      </c>
      <c r="F60" s="17">
        <v>-2.2620916000000001E-2</v>
      </c>
      <c r="G60" s="17">
        <v>-3.6117375E-2</v>
      </c>
      <c r="H60" s="17">
        <v>-0.23692882999999998</v>
      </c>
      <c r="I60" s="17">
        <v>1.4631748000000001E-3</v>
      </c>
      <c r="J60" s="17">
        <v>1.4159322E-2</v>
      </c>
      <c r="K60" s="17">
        <v>3.0108451999999997E-2</v>
      </c>
      <c r="L60" s="17">
        <v>1.5564203E-2</v>
      </c>
      <c r="M60" s="17">
        <v>1.0485767999999999E-2</v>
      </c>
      <c r="N60" s="17">
        <v>2.0056128999999999E-2</v>
      </c>
      <c r="O60" s="17">
        <v>1.0185838000000001E-2</v>
      </c>
      <c r="P60" s="17"/>
      <c r="Q60" s="17"/>
      <c r="R60" s="17"/>
      <c r="S60" s="17"/>
      <c r="T60" s="17"/>
      <c r="U60" s="17"/>
      <c r="V60" s="17"/>
    </row>
    <row r="61" spans="1:22" x14ac:dyDescent="0.3">
      <c r="A61" s="2">
        <v>43460</v>
      </c>
      <c r="B61" s="17">
        <v>-1.5859901999999999E-2</v>
      </c>
      <c r="C61" s="17">
        <v>-7.4212670000000008E-2</v>
      </c>
      <c r="D61" s="17">
        <v>3.4763097999999999E-2</v>
      </c>
      <c r="E61" s="17">
        <v>1.437664E-3</v>
      </c>
      <c r="F61" s="17">
        <v>-6.1287459999999995E-2</v>
      </c>
      <c r="G61" s="17">
        <v>3.5154819999999999E-3</v>
      </c>
      <c r="H61" s="17">
        <v>-8.7617340000000002E-2</v>
      </c>
      <c r="I61" s="17">
        <v>4.9616217999999997E-2</v>
      </c>
      <c r="J61" s="17">
        <v>-5.9944870000000004E-2</v>
      </c>
      <c r="K61" s="17">
        <v>-2.1338819999999998E-2</v>
      </c>
      <c r="L61" s="17">
        <v>-7.9763230000000004E-2</v>
      </c>
      <c r="M61" s="17">
        <v>-5.3049326000000001E-2</v>
      </c>
      <c r="N61" s="17">
        <v>-4.8553886000000004E-2</v>
      </c>
      <c r="O61" s="17">
        <v>-7.2609005000000004E-2</v>
      </c>
      <c r="P61" s="17"/>
      <c r="Q61" s="17"/>
      <c r="R61" s="17"/>
      <c r="S61" s="17"/>
      <c r="T61" s="17"/>
      <c r="U61" s="17"/>
      <c r="V61" s="17"/>
    </row>
    <row r="62" spans="1:22" x14ac:dyDescent="0.3">
      <c r="A62" s="2">
        <v>43490</v>
      </c>
      <c r="B62" s="17">
        <v>7.9515576000000004E-2</v>
      </c>
      <c r="C62" s="17">
        <v>7.961654700000001E-2</v>
      </c>
      <c r="D62" s="17">
        <v>2.6742458E-2</v>
      </c>
      <c r="E62" s="17">
        <v>-9.3457699999999998E-3</v>
      </c>
      <c r="F62" s="17">
        <v>8.3234900000000001E-2</v>
      </c>
      <c r="G62" s="17">
        <v>7.0755480000000001E-3</v>
      </c>
      <c r="H62" s="17">
        <v>0.13188910500000001</v>
      </c>
      <c r="I62" s="17">
        <v>4.2493343000000001E-3</v>
      </c>
      <c r="J62" s="17">
        <v>6.8106293999999998E-2</v>
      </c>
      <c r="K62" s="17">
        <v>9.5806009999999997E-2</v>
      </c>
      <c r="L62" s="17">
        <v>7.7322600000000005E-2</v>
      </c>
      <c r="M62" s="17">
        <v>7.7119827000000002E-2</v>
      </c>
      <c r="N62" s="17">
        <v>8.7065699999999996E-2</v>
      </c>
      <c r="O62" s="17">
        <v>8.2641720000000002E-2</v>
      </c>
      <c r="P62" s="17"/>
      <c r="Q62" s="17"/>
      <c r="R62" s="17"/>
      <c r="S62" s="17"/>
      <c r="T62" s="17"/>
      <c r="U62" s="17"/>
      <c r="V62" s="17"/>
    </row>
    <row r="63" spans="1:22" x14ac:dyDescent="0.3">
      <c r="A63" s="2">
        <v>43522</v>
      </c>
      <c r="B63" s="17">
        <v>3.0975579999999999E-2</v>
      </c>
      <c r="C63" s="17">
        <v>5.0944447999999996E-2</v>
      </c>
      <c r="D63" s="17">
        <v>2.2139071999999999E-2</v>
      </c>
      <c r="E63" s="17">
        <v>6.2892436999999997E-3</v>
      </c>
      <c r="F63" s="17">
        <v>5.1771164000000001E-2</v>
      </c>
      <c r="G63" s="17">
        <v>-3.1615852999999999E-2</v>
      </c>
      <c r="H63" s="17">
        <v>4.1398644000000005E-2</v>
      </c>
      <c r="I63" s="17">
        <v>1.2916087999999999E-2</v>
      </c>
      <c r="J63" s="17">
        <v>4.2768240000000006E-2</v>
      </c>
      <c r="K63" s="17">
        <v>1.0257840000000001E-2</v>
      </c>
      <c r="L63" s="17">
        <v>2.3368000000000003E-2</v>
      </c>
      <c r="M63" s="17">
        <v>2.3413658E-2</v>
      </c>
      <c r="N63" s="17">
        <v>3.6195636000000003E-2</v>
      </c>
      <c r="O63" s="17">
        <v>4.8664092999999999E-2</v>
      </c>
      <c r="P63" s="17"/>
      <c r="Q63" s="17"/>
      <c r="R63" s="17"/>
      <c r="S63" s="17"/>
      <c r="T63" s="17"/>
      <c r="U63" s="17"/>
      <c r="V63" s="17"/>
    </row>
    <row r="64" spans="1:22" x14ac:dyDescent="0.3">
      <c r="A64" s="2">
        <v>43550</v>
      </c>
      <c r="B64" s="17">
        <v>-2.0848513000000001E-3</v>
      </c>
      <c r="C64" s="17">
        <v>1.0855913E-2</v>
      </c>
      <c r="D64" s="17">
        <v>-1.0192692000000001E-2</v>
      </c>
      <c r="E64" s="17">
        <v>1.0937452E-2</v>
      </c>
      <c r="F64" s="17">
        <v>3.2673001E-2</v>
      </c>
      <c r="G64" s="17">
        <v>1.6323924E-2</v>
      </c>
      <c r="H64" s="17">
        <v>4.9034000000000001E-2</v>
      </c>
      <c r="I64" s="17">
        <v>2.813208E-2</v>
      </c>
      <c r="J64" s="17">
        <v>3.1120776999999998E-3</v>
      </c>
      <c r="K64" s="17">
        <v>-1.4256835000000001E-2</v>
      </c>
      <c r="L64" s="17">
        <v>-4.8930644999999997E-3</v>
      </c>
      <c r="M64" s="17">
        <v>8.2890989999999994E-3</v>
      </c>
      <c r="N64" s="17">
        <v>2.7499079999999999E-2</v>
      </c>
      <c r="O64" s="17">
        <v>5.8007240000000002E-3</v>
      </c>
      <c r="P64" s="17"/>
      <c r="Q64" s="17"/>
      <c r="R64" s="17"/>
      <c r="S64" s="17"/>
      <c r="T64" s="17"/>
      <c r="U64" s="17"/>
      <c r="V64" s="17"/>
    </row>
    <row r="65" spans="1:22" x14ac:dyDescent="0.3">
      <c r="A65" s="2">
        <v>43581</v>
      </c>
      <c r="B65" s="17">
        <v>3.2304049000000001E-2</v>
      </c>
      <c r="C65" s="17">
        <v>4.3717980000000004E-2</v>
      </c>
      <c r="D65" s="17">
        <v>-2.3572028000000002E-2</v>
      </c>
      <c r="E65" s="17">
        <v>1.6615152000000001E-2</v>
      </c>
      <c r="F65" s="17">
        <v>6.4786314999999997E-2</v>
      </c>
      <c r="G65" s="17">
        <v>-3.6287844E-2</v>
      </c>
      <c r="H65" s="17">
        <v>4.0647030000000001E-2</v>
      </c>
      <c r="I65" s="17">
        <v>-7.06619E-3</v>
      </c>
      <c r="J65" s="17">
        <v>3.2523393999999997E-2</v>
      </c>
      <c r="K65" s="17">
        <v>2.0724177E-2</v>
      </c>
      <c r="L65" s="17">
        <v>8.9237689999999998E-3</v>
      </c>
      <c r="M65" s="17">
        <v>6.2479496000000002E-2</v>
      </c>
      <c r="N65" s="17">
        <v>1.0126591000000001E-2</v>
      </c>
      <c r="O65" s="17">
        <v>3.7317634000000002E-2</v>
      </c>
      <c r="P65" s="17"/>
      <c r="Q65" s="17"/>
      <c r="R65" s="17"/>
      <c r="S65" s="17"/>
      <c r="T65" s="17"/>
      <c r="U65" s="17"/>
      <c r="V65" s="17"/>
    </row>
    <row r="66" spans="1:22" x14ac:dyDescent="0.3">
      <c r="A66" s="2">
        <v>43609</v>
      </c>
      <c r="B66" s="17">
        <v>-8.306492E-2</v>
      </c>
      <c r="C66" s="17">
        <v>-3.6229193E-2</v>
      </c>
      <c r="D66" s="17">
        <v>-5.7673453999999998E-4</v>
      </c>
      <c r="E66" s="17">
        <v>-2.2804737000000001E-3</v>
      </c>
      <c r="F66" s="17">
        <v>-6.5512657000000002E-2</v>
      </c>
      <c r="G66" s="17">
        <v>4.320979E-3</v>
      </c>
      <c r="H66" s="17">
        <v>-6.0452757000000003E-2</v>
      </c>
      <c r="I66" s="17">
        <v>3.4221887999999999E-2</v>
      </c>
      <c r="J66" s="17">
        <v>-2.5706053E-2</v>
      </c>
      <c r="K66" s="17">
        <v>-6.1384496999999996E-2</v>
      </c>
      <c r="L66" s="17">
        <v>-2.9783428000000001E-2</v>
      </c>
      <c r="M66" s="17">
        <v>-6.5304874999999998E-2</v>
      </c>
      <c r="N66" s="17">
        <v>-3.4371673999999998E-2</v>
      </c>
      <c r="O66" s="17">
        <v>-3.2268702999999996E-2</v>
      </c>
      <c r="P66" s="17"/>
      <c r="Q66" s="17"/>
      <c r="R66" s="17"/>
      <c r="S66" s="17"/>
      <c r="T66" s="17"/>
      <c r="U66" s="17"/>
      <c r="V66" s="17"/>
    </row>
    <row r="67" spans="1:22" x14ac:dyDescent="0.3">
      <c r="A67" s="2">
        <v>43642</v>
      </c>
      <c r="B67" s="17">
        <v>6.9276569999999996E-2</v>
      </c>
      <c r="C67" s="17">
        <v>3.2196282999999999E-2</v>
      </c>
      <c r="D67" s="17">
        <v>9.6207729999999991E-2</v>
      </c>
      <c r="E67" s="17">
        <v>-9.9047419999999994E-3</v>
      </c>
      <c r="F67" s="17">
        <v>4.5129894999999996E-2</v>
      </c>
      <c r="G67" s="17">
        <v>2.5814414000000001E-2</v>
      </c>
      <c r="H67" s="17">
        <v>4.0793420000000006E-3</v>
      </c>
      <c r="I67" s="17">
        <v>3.4892677999999996E-2</v>
      </c>
      <c r="J67" s="17">
        <v>3.1275509999999999E-2</v>
      </c>
      <c r="K67" s="17">
        <v>6.844604E-2</v>
      </c>
      <c r="L67" s="17">
        <v>1.6401051999999999E-2</v>
      </c>
      <c r="M67" s="17">
        <v>4.9443602999999996E-2</v>
      </c>
      <c r="N67" s="17">
        <v>4.8228145E-2</v>
      </c>
      <c r="O67" s="17">
        <v>3.0879736000000001E-2</v>
      </c>
      <c r="P67" s="17"/>
      <c r="Q67" s="17"/>
      <c r="R67" s="17"/>
      <c r="S67" s="17"/>
      <c r="T67" s="17"/>
      <c r="U67" s="17"/>
      <c r="V67" s="17"/>
    </row>
    <row r="68" spans="1:22" x14ac:dyDescent="0.3">
      <c r="A68" s="2">
        <v>43672</v>
      </c>
      <c r="B68" s="17">
        <v>7.0887803999999995E-3</v>
      </c>
      <c r="C68" s="17">
        <v>3.9728760000000002E-2</v>
      </c>
      <c r="D68" s="17">
        <v>5.0387380000000001E-3</v>
      </c>
      <c r="E68" s="17">
        <v>2.1546721000000001E-2</v>
      </c>
      <c r="F68" s="17">
        <v>5.1133037000000006E-2</v>
      </c>
      <c r="G68" s="17">
        <v>-2.0371497000000002E-2</v>
      </c>
      <c r="H68" s="17">
        <v>-4.0288925000000003E-2</v>
      </c>
      <c r="I68" s="17">
        <v>-1.8287897E-3</v>
      </c>
      <c r="J68" s="17">
        <v>9.1707710000000001E-4</v>
      </c>
      <c r="K68" s="17">
        <v>-4.1652322000000006E-3</v>
      </c>
      <c r="L68" s="17">
        <v>1.2375354999999999E-2</v>
      </c>
      <c r="M68" s="17">
        <v>-2.311945E-2</v>
      </c>
      <c r="N68" s="17">
        <v>1.5007257000000001E-2</v>
      </c>
      <c r="O68" s="17">
        <v>3.0682325E-2</v>
      </c>
      <c r="P68" s="17"/>
      <c r="Q68" s="17"/>
      <c r="R68" s="17"/>
      <c r="S68" s="17"/>
      <c r="T68" s="17"/>
      <c r="U68" s="17"/>
      <c r="V68" s="17"/>
    </row>
    <row r="69" spans="1:22" x14ac:dyDescent="0.3">
      <c r="A69" s="2">
        <v>43703</v>
      </c>
      <c r="B69" s="17">
        <v>-7.2735785999999997E-2</v>
      </c>
      <c r="C69" s="17">
        <v>-4.6389220000000002E-2</v>
      </c>
      <c r="D69" s="17">
        <v>7.8943490000000005E-2</v>
      </c>
      <c r="E69" s="17">
        <v>4.1431189999999998E-3</v>
      </c>
      <c r="F69" s="17">
        <v>-5.3612529999999999E-2</v>
      </c>
      <c r="G69" s="17">
        <v>-7.4617743E-2</v>
      </c>
      <c r="H69" s="17">
        <v>-5.4006869999999998E-2</v>
      </c>
      <c r="I69" s="17">
        <v>0.10788525</v>
      </c>
      <c r="J69" s="17">
        <v>-4.8927965000000004E-2</v>
      </c>
      <c r="K69" s="17">
        <v>-8.6325350000000009E-2</v>
      </c>
      <c r="L69" s="17">
        <v>-2.2806047999999999E-2</v>
      </c>
      <c r="M69" s="17">
        <v>-7.5666665999999994E-2</v>
      </c>
      <c r="N69" s="17">
        <v>-5.3371786999999997E-2</v>
      </c>
      <c r="O69" s="17">
        <v>-4.9543259999999999E-2</v>
      </c>
      <c r="P69" s="17"/>
      <c r="Q69" s="17"/>
      <c r="R69" s="17"/>
      <c r="S69" s="17"/>
      <c r="T69" s="17"/>
      <c r="U69" s="17"/>
      <c r="V69" s="17"/>
    </row>
    <row r="70" spans="1:22" x14ac:dyDescent="0.3">
      <c r="A70" s="2">
        <v>43734</v>
      </c>
      <c r="B70" s="17">
        <v>4.1721939999999999E-2</v>
      </c>
      <c r="C70" s="17">
        <v>3.6033629999999997E-2</v>
      </c>
      <c r="D70" s="17">
        <v>-1.6644776E-2</v>
      </c>
      <c r="E70" s="17">
        <v>1.4628649000000001E-2</v>
      </c>
      <c r="F70" s="17">
        <v>2.6738881999999999E-2</v>
      </c>
      <c r="G70" s="17">
        <v>4.0317179999999994E-2</v>
      </c>
      <c r="H70" s="17">
        <v>5.0619959999999999E-2</v>
      </c>
      <c r="I70" s="17">
        <v>-1.8837094000000002E-2</v>
      </c>
      <c r="J70" s="17">
        <v>3.5477042E-2</v>
      </c>
      <c r="K70" s="17">
        <v>5.907917E-2</v>
      </c>
      <c r="L70" s="17">
        <v>6.9828153000000004E-2</v>
      </c>
      <c r="M70" s="17">
        <v>6.0223579999999999E-2</v>
      </c>
      <c r="N70" s="17">
        <v>4.7619103999999995E-2</v>
      </c>
      <c r="O70" s="17">
        <v>4.0027140000000003E-2</v>
      </c>
      <c r="P70" s="17"/>
      <c r="Q70" s="17"/>
      <c r="R70" s="17"/>
      <c r="S70" s="17"/>
      <c r="T70" s="17"/>
      <c r="U70" s="17"/>
      <c r="V70" s="17"/>
    </row>
    <row r="71" spans="1:22" x14ac:dyDescent="0.3">
      <c r="A71" s="2">
        <v>43763</v>
      </c>
      <c r="B71" s="17">
        <v>3.1488299999999997E-2</v>
      </c>
      <c r="C71" s="17">
        <v>1.5488267E-2</v>
      </c>
      <c r="D71" s="17">
        <v>4.9376488E-4</v>
      </c>
      <c r="E71" s="17">
        <v>-1.1829913000000001E-2</v>
      </c>
      <c r="F71" s="17">
        <v>3.3055186E-2</v>
      </c>
      <c r="G71" s="17">
        <v>8.8945629999999994E-3</v>
      </c>
      <c r="H71" s="17">
        <v>2.6322603E-2</v>
      </c>
      <c r="I71" s="17">
        <v>-2.5412260999999998E-2</v>
      </c>
      <c r="J71" s="17">
        <v>3.5754442000000004E-2</v>
      </c>
      <c r="K71" s="17">
        <v>3.8585900999999999E-2</v>
      </c>
      <c r="L71" s="17">
        <v>1.378715E-2</v>
      </c>
      <c r="M71" s="17">
        <v>7.1768760000000001E-2</v>
      </c>
      <c r="N71" s="17">
        <v>3.7454605000000002E-2</v>
      </c>
      <c r="O71" s="17">
        <v>1.889646E-2</v>
      </c>
      <c r="P71" s="17"/>
      <c r="Q71" s="17"/>
      <c r="R71" s="17"/>
      <c r="S71" s="17"/>
      <c r="T71" s="17"/>
      <c r="U71" s="17"/>
      <c r="V71" s="17"/>
    </row>
    <row r="72" spans="1:22" x14ac:dyDescent="0.3">
      <c r="A72" s="2">
        <v>43795</v>
      </c>
      <c r="B72" s="17">
        <v>1.2163043E-2</v>
      </c>
      <c r="C72" s="17">
        <v>4.1379213000000005E-2</v>
      </c>
      <c r="D72" s="17">
        <v>-2.9042659999999998E-2</v>
      </c>
      <c r="E72" s="17">
        <v>6.3599349999999997E-3</v>
      </c>
      <c r="F72" s="17">
        <v>4.5849559999999998E-2</v>
      </c>
      <c r="G72" s="17">
        <v>1.5743016999999998E-2</v>
      </c>
      <c r="H72" s="17">
        <v>3.0458093000000002E-2</v>
      </c>
      <c r="I72" s="17">
        <v>2.062261E-2</v>
      </c>
      <c r="J72" s="17">
        <v>2.3495436000000001E-2</v>
      </c>
      <c r="K72" s="17">
        <v>1.5898942999999998E-3</v>
      </c>
      <c r="L72" s="17">
        <v>3.0814290000000001E-2</v>
      </c>
      <c r="M72" s="17">
        <v>1.2059689E-2</v>
      </c>
      <c r="N72" s="17">
        <v>2.8741717000000003E-2</v>
      </c>
      <c r="O72" s="17">
        <v>3.2991409999999999E-2</v>
      </c>
      <c r="P72" s="17"/>
      <c r="Q72" s="17"/>
      <c r="R72" s="17"/>
      <c r="S72" s="17"/>
      <c r="T72" s="17"/>
      <c r="U72" s="17"/>
      <c r="V72" s="17"/>
    </row>
    <row r="73" spans="1:22" x14ac:dyDescent="0.3">
      <c r="A73" s="2">
        <v>43825</v>
      </c>
      <c r="B73" s="17">
        <v>6.2989473000000004E-2</v>
      </c>
      <c r="C73" s="17">
        <v>3.3242582999999999E-2</v>
      </c>
      <c r="D73" s="17">
        <v>3.3686638000000005E-2</v>
      </c>
      <c r="E73" s="17">
        <v>-5.7502390000000007E-3</v>
      </c>
      <c r="F73" s="17">
        <v>4.7123549999999993E-2</v>
      </c>
      <c r="G73" s="17">
        <v>3.0930757999999999E-2</v>
      </c>
      <c r="H73" s="17">
        <v>5.9519053000000002E-2</v>
      </c>
      <c r="I73" s="17">
        <v>-2.4816512999999998E-2</v>
      </c>
      <c r="J73" s="17">
        <v>3.6778808000000003E-2</v>
      </c>
      <c r="K73" s="17">
        <v>5.7103634E-2</v>
      </c>
      <c r="L73" s="17">
        <v>8.6649655999999995E-3</v>
      </c>
      <c r="M73" s="17">
        <v>5.6033850000000003E-2</v>
      </c>
      <c r="N73" s="17">
        <v>1.8284201999999999E-2</v>
      </c>
      <c r="O73" s="17">
        <v>3.1123400000000002E-2</v>
      </c>
      <c r="P73" s="17"/>
      <c r="Q73" s="17"/>
      <c r="R73" s="17"/>
      <c r="S73" s="17"/>
      <c r="T73" s="17"/>
      <c r="U73" s="17"/>
      <c r="V73" s="17"/>
    </row>
    <row r="74" spans="1:22" x14ac:dyDescent="0.3">
      <c r="A74" s="2">
        <v>43854</v>
      </c>
      <c r="B74" s="17">
        <v>-5.8361289999999998E-3</v>
      </c>
      <c r="C74" s="17">
        <v>1.8052815999999999E-2</v>
      </c>
      <c r="D74" s="17">
        <v>3.9331317000000005E-2</v>
      </c>
      <c r="E74" s="17">
        <v>6.4835549999999994E-3</v>
      </c>
      <c r="F74" s="17">
        <v>4.1676399999999995E-2</v>
      </c>
      <c r="G74" s="17">
        <v>-8.5523130000000006E-3</v>
      </c>
      <c r="H74" s="17">
        <v>-0.10467529</v>
      </c>
      <c r="I74" s="17">
        <v>3.5794973000000001E-2</v>
      </c>
      <c r="J74" s="17">
        <v>-2.2268294999999998E-3</v>
      </c>
      <c r="K74" s="17">
        <v>6.3394309999999995E-3</v>
      </c>
      <c r="L74" s="17">
        <v>-2.6805400000000004E-3</v>
      </c>
      <c r="M74" s="17">
        <v>-9.0197920000000004E-3</v>
      </c>
      <c r="N74" s="17">
        <v>-1.0444701000000001E-2</v>
      </c>
      <c r="O74" s="17">
        <v>1.1729001999999999E-2</v>
      </c>
      <c r="P74" s="17"/>
      <c r="Q74" s="17"/>
      <c r="R74" s="17"/>
      <c r="S74" s="17"/>
      <c r="T74" s="17"/>
      <c r="U74" s="17"/>
      <c r="V74" s="17"/>
    </row>
    <row r="75" spans="1:22" x14ac:dyDescent="0.3">
      <c r="A75" s="2">
        <v>43887</v>
      </c>
      <c r="B75" s="17">
        <v>-6.0058713E-2</v>
      </c>
      <c r="C75" s="17">
        <v>-5.2529096999999997E-2</v>
      </c>
      <c r="D75" s="17">
        <v>4.0478470000000003E-2</v>
      </c>
      <c r="E75" s="17">
        <v>1.4778375999999999E-2</v>
      </c>
      <c r="F75" s="17">
        <v>-2.7929962000000003E-2</v>
      </c>
      <c r="G75" s="17">
        <v>-4.0665445000000001E-2</v>
      </c>
      <c r="H75" s="17">
        <v>-9.6948199999999998E-2</v>
      </c>
      <c r="I75" s="17">
        <v>5.9260963999999999E-2</v>
      </c>
      <c r="J75" s="17">
        <v>-6.7124485999999997E-2</v>
      </c>
      <c r="K75" s="17">
        <v>-9.4476279999999996E-2</v>
      </c>
      <c r="L75" s="17">
        <v>-7.7775899999999995E-2</v>
      </c>
      <c r="M75" s="17">
        <v>-4.5813084000000004E-2</v>
      </c>
      <c r="N75" s="17">
        <v>-5.2093983000000003E-2</v>
      </c>
      <c r="O75" s="17">
        <v>-5.5566607000000004E-2</v>
      </c>
      <c r="P75" s="17"/>
      <c r="Q75" s="17"/>
      <c r="R75" s="17"/>
      <c r="S75" s="17"/>
      <c r="T75" s="17"/>
      <c r="U75" s="17"/>
      <c r="V75" s="17"/>
    </row>
    <row r="76" spans="1:22" x14ac:dyDescent="0.3">
      <c r="A76" s="2">
        <v>43916</v>
      </c>
      <c r="B76" s="17">
        <v>-0.16271055000000001</v>
      </c>
      <c r="C76" s="17">
        <v>-0.15632545</v>
      </c>
      <c r="D76" s="17">
        <v>-4.7411323E-3</v>
      </c>
      <c r="E76" s="17">
        <v>6.3480139999999999E-3</v>
      </c>
      <c r="F76" s="17">
        <v>-0.11165786000000001</v>
      </c>
      <c r="G76" s="17">
        <v>-7.0648669999999997E-2</v>
      </c>
      <c r="H76" s="17">
        <v>-0.39339848000000005</v>
      </c>
      <c r="I76" s="17">
        <v>8.8740349999999996E-2</v>
      </c>
      <c r="J76" s="17">
        <v>-0.18399249999999998</v>
      </c>
      <c r="K76" s="17">
        <v>-0.21080124</v>
      </c>
      <c r="L76" s="17">
        <v>-8.4881600000000001E-2</v>
      </c>
      <c r="M76" s="17">
        <v>-0.18855327999999999</v>
      </c>
      <c r="N76" s="17">
        <v>-0.2241379</v>
      </c>
      <c r="O76" s="17">
        <v>-0.16380955</v>
      </c>
      <c r="P76" s="17"/>
      <c r="Q76" s="17"/>
      <c r="R76" s="17"/>
      <c r="S76" s="17"/>
      <c r="T76" s="17"/>
      <c r="U76" s="17"/>
      <c r="V76" s="17"/>
    </row>
    <row r="77" spans="1:22" x14ac:dyDescent="0.3">
      <c r="A77" s="2">
        <v>43945</v>
      </c>
      <c r="B77" s="17">
        <v>8.6231229999999999E-3</v>
      </c>
      <c r="C77" s="17">
        <v>8.3346000000000003E-2</v>
      </c>
      <c r="D77" s="17">
        <v>6.1341643000000001E-2</v>
      </c>
      <c r="E77" s="17">
        <v>8.1632140000000002E-3</v>
      </c>
      <c r="F77" s="17">
        <v>0.11433040999999999</v>
      </c>
      <c r="G77" s="17">
        <v>-7.9474806999999995E-2</v>
      </c>
      <c r="H77" s="17">
        <v>-0.13774771</v>
      </c>
      <c r="I77" s="17">
        <v>4.7406909999999997E-2</v>
      </c>
      <c r="J77" s="17">
        <v>1.5664101E-2</v>
      </c>
      <c r="K77" s="17">
        <v>1.6852379000000001E-2</v>
      </c>
      <c r="L77" s="17">
        <v>1.2937902999999999E-2</v>
      </c>
      <c r="M77" s="17">
        <v>3.0956030000000002E-2</v>
      </c>
      <c r="N77" s="17">
        <v>-6.8518519999999999E-2</v>
      </c>
      <c r="O77" s="17">
        <v>6.112385E-2</v>
      </c>
      <c r="P77" s="17"/>
      <c r="Q77" s="17"/>
      <c r="R77" s="17"/>
      <c r="S77" s="17"/>
      <c r="T77" s="17"/>
      <c r="U77" s="17"/>
      <c r="V77" s="17"/>
    </row>
    <row r="78" spans="1:22" x14ac:dyDescent="0.3">
      <c r="A78" s="2">
        <v>43977</v>
      </c>
      <c r="B78" s="17">
        <v>5.2151560000000007E-2</v>
      </c>
      <c r="C78" s="17">
        <v>5.6931733999999998E-2</v>
      </c>
      <c r="D78" s="17">
        <v>-1.0759950000000001E-2</v>
      </c>
      <c r="E78" s="17">
        <v>-1.3985991E-2</v>
      </c>
      <c r="F78" s="17">
        <v>7.1081160000000004E-2</v>
      </c>
      <c r="G78" s="17">
        <v>3.2282352E-2</v>
      </c>
      <c r="H78" s="17">
        <v>0.32304572999999998</v>
      </c>
      <c r="I78" s="17">
        <v>-4.2728479999999999E-2</v>
      </c>
      <c r="J78" s="17">
        <v>6.4595459999999993E-2</v>
      </c>
      <c r="K78" s="17">
        <v>6.9609759999999993E-2</v>
      </c>
      <c r="L78" s="17">
        <v>7.0151329999999998E-2</v>
      </c>
      <c r="M78" s="17">
        <v>9.5781089999999999E-2</v>
      </c>
      <c r="N78" s="17">
        <v>7.2564599999999993E-2</v>
      </c>
      <c r="O78" s="17">
        <v>6.2492489999999998E-2</v>
      </c>
      <c r="P78" s="17"/>
      <c r="Q78" s="17"/>
      <c r="R78" s="17"/>
      <c r="S78" s="17"/>
      <c r="T78" s="17"/>
      <c r="U78" s="17"/>
      <c r="V78" s="17"/>
    </row>
    <row r="79" spans="1:22" x14ac:dyDescent="0.3">
      <c r="A79" s="2">
        <v>44008</v>
      </c>
      <c r="B79" s="17">
        <v>7.5779915000000003E-2</v>
      </c>
      <c r="C79" s="17">
        <v>7.6842310000000006E-3</v>
      </c>
      <c r="D79" s="17">
        <v>3.511715E-2</v>
      </c>
      <c r="E79" s="17">
        <v>-1.6424060000000001E-2</v>
      </c>
      <c r="F79" s="17">
        <v>5.0615788000000002E-2</v>
      </c>
      <c r="G79" s="17">
        <v>-4.2909090000000004E-2</v>
      </c>
      <c r="H79" s="17">
        <v>9.4893690000000003E-2</v>
      </c>
      <c r="I79" s="17">
        <v>1.3065815000000001E-2</v>
      </c>
      <c r="J79" s="17">
        <v>5.2247285999999997E-2</v>
      </c>
      <c r="K79" s="17">
        <v>7.1751237000000009E-2</v>
      </c>
      <c r="L79" s="17">
        <v>2.6711702E-2</v>
      </c>
      <c r="M79" s="17">
        <v>7.3082330000000001E-2</v>
      </c>
      <c r="N79" s="17">
        <v>0.10691940000000001</v>
      </c>
      <c r="O79" s="17">
        <v>2.2194981999999999E-2</v>
      </c>
      <c r="P79" s="17"/>
      <c r="Q79" s="17"/>
      <c r="R79" s="17"/>
      <c r="S79" s="17"/>
      <c r="T79" s="17"/>
      <c r="U79" s="17"/>
      <c r="V79" s="17"/>
    </row>
    <row r="80" spans="1:22" x14ac:dyDescent="0.3">
      <c r="A80" s="2">
        <v>44036</v>
      </c>
      <c r="B80" s="17">
        <v>8.4197279999999985E-2</v>
      </c>
      <c r="C80" s="17">
        <v>6.9421769999999994E-2</v>
      </c>
      <c r="D80" s="17">
        <v>7.3015570000000002E-2</v>
      </c>
      <c r="E80" s="17">
        <v>-3.2258093000000002E-2</v>
      </c>
      <c r="F80" s="17">
        <v>6.3858150000000002E-2</v>
      </c>
      <c r="G80" s="17">
        <v>4.4832825999999999E-2</v>
      </c>
      <c r="H80" s="17">
        <v>7.5067399999999992E-2</v>
      </c>
      <c r="I80" s="17">
        <v>2.8375626000000001E-2</v>
      </c>
      <c r="J80" s="17">
        <v>6.5086364999999993E-2</v>
      </c>
      <c r="K80" s="17">
        <v>7.5129269999999998E-2</v>
      </c>
      <c r="L80" s="17">
        <v>6.489992E-3</v>
      </c>
      <c r="M80" s="17">
        <v>0.114137535</v>
      </c>
      <c r="N80" s="17">
        <v>8.5025425000000002E-2</v>
      </c>
      <c r="O80" s="17">
        <v>6.4329980000000009E-2</v>
      </c>
      <c r="P80" s="17"/>
      <c r="Q80" s="17"/>
      <c r="R80" s="17"/>
      <c r="S80" s="17"/>
      <c r="T80" s="17"/>
      <c r="U80" s="17"/>
      <c r="V80" s="17"/>
    </row>
    <row r="81" spans="1:22" x14ac:dyDescent="0.3">
      <c r="A81" s="2">
        <v>44069</v>
      </c>
      <c r="B81" s="17">
        <v>4.6175360000000006E-2</v>
      </c>
      <c r="C81" s="17">
        <v>8.3177570000000006E-2</v>
      </c>
      <c r="D81" s="17">
        <v>2.607727E-2</v>
      </c>
      <c r="E81" s="17">
        <v>-1.5686274E-2</v>
      </c>
      <c r="F81" s="17">
        <v>0.14243233</v>
      </c>
      <c r="G81" s="17">
        <v>4.8727273999999994E-2</v>
      </c>
      <c r="H81" s="17">
        <v>5.0340533E-2</v>
      </c>
      <c r="I81" s="17">
        <v>-3.255856E-2</v>
      </c>
      <c r="J81" s="17">
        <v>3.9984940999999996E-2</v>
      </c>
      <c r="K81" s="17">
        <v>3.1638264999999999E-2</v>
      </c>
      <c r="L81" s="17">
        <v>4.4778824000000002E-2</v>
      </c>
      <c r="M81" s="17">
        <v>5.0058246000000001E-2</v>
      </c>
      <c r="N81" s="17">
        <v>2.0272969999999998E-2</v>
      </c>
      <c r="O81" s="17">
        <v>7.169652E-2</v>
      </c>
      <c r="P81" s="17"/>
      <c r="Q81" s="17"/>
      <c r="R81" s="17"/>
      <c r="S81" s="17"/>
      <c r="T81" s="17"/>
      <c r="U81" s="17"/>
      <c r="V81" s="17"/>
    </row>
    <row r="82" spans="1:22" x14ac:dyDescent="0.3">
      <c r="A82" s="2">
        <v>44099</v>
      </c>
      <c r="B82" s="17">
        <v>-5.1181259999999999E-2</v>
      </c>
      <c r="C82" s="17">
        <v>-5.0374210000000003E-2</v>
      </c>
      <c r="D82" s="17">
        <v>-4.5920610000000001E-2</v>
      </c>
      <c r="E82" s="17">
        <v>1.7928243E-2</v>
      </c>
      <c r="F82" s="17">
        <v>-6.8522634999999998E-2</v>
      </c>
      <c r="G82" s="17">
        <v>1.4563083999999999E-2</v>
      </c>
      <c r="H82" s="17">
        <v>-9.1649239999999993E-2</v>
      </c>
      <c r="I82" s="17">
        <v>7.7688694000000004E-3</v>
      </c>
      <c r="J82" s="17">
        <v>-5.7142735E-2</v>
      </c>
      <c r="K82" s="17">
        <v>-4.0372013999999998E-2</v>
      </c>
      <c r="L82" s="17">
        <v>7.3717829999999998E-3</v>
      </c>
      <c r="M82" s="17">
        <v>-5.2383659999999999E-2</v>
      </c>
      <c r="N82" s="17">
        <v>-7.9098166999999997E-2</v>
      </c>
      <c r="O82" s="17">
        <v>-4.7452330000000001E-2</v>
      </c>
      <c r="P82" s="17"/>
      <c r="Q82" s="17"/>
      <c r="R82" s="17"/>
      <c r="S82" s="17"/>
      <c r="T82" s="17"/>
      <c r="U82" s="17"/>
      <c r="V82" s="17"/>
    </row>
    <row r="83" spans="1:22" x14ac:dyDescent="0.3">
      <c r="A83" s="2">
        <v>44130</v>
      </c>
      <c r="B83" s="17">
        <v>6.2158939999999996E-2</v>
      </c>
      <c r="C83" s="17">
        <v>3.2427787999999999E-2</v>
      </c>
      <c r="D83" s="17">
        <v>2.0635604999999998E-2</v>
      </c>
      <c r="E83" s="17">
        <v>-1.6438365E-2</v>
      </c>
      <c r="F83" s="17">
        <v>3.2810450000000005E-2</v>
      </c>
      <c r="G83" s="17">
        <v>1.7771721000000001E-2</v>
      </c>
      <c r="H83" s="17">
        <v>-4.0904579999999996E-2</v>
      </c>
      <c r="I83" s="17">
        <v>-3.3157407999999999E-2</v>
      </c>
      <c r="J83" s="17">
        <v>1.0640383E-2</v>
      </c>
      <c r="K83" s="17">
        <v>4.8237800000000004E-2</v>
      </c>
      <c r="L83" s="17">
        <v>-5.1051380000000004E-4</v>
      </c>
      <c r="M83" s="17">
        <v>3.9485334999999996E-2</v>
      </c>
      <c r="N83" s="17">
        <v>1.6597509E-2</v>
      </c>
      <c r="O83" s="17">
        <v>2.5520563E-2</v>
      </c>
      <c r="P83" s="17"/>
      <c r="Q83" s="17"/>
      <c r="R83" s="17"/>
      <c r="S83" s="17"/>
      <c r="T83" s="17"/>
      <c r="U83" s="17"/>
      <c r="V83" s="17"/>
    </row>
    <row r="84" spans="1:22" x14ac:dyDescent="0.3">
      <c r="A84" s="2">
        <v>44160</v>
      </c>
      <c r="B84" s="17">
        <v>7.9070806999999993E-2</v>
      </c>
      <c r="C84" s="17">
        <v>6.8564177000000004E-2</v>
      </c>
      <c r="D84" s="17">
        <v>-5.0630149999999999E-2</v>
      </c>
      <c r="E84" s="17">
        <v>-1.2733757000000002E-2</v>
      </c>
      <c r="F84" s="17">
        <v>5.6369660000000002E-2</v>
      </c>
      <c r="G84" s="17">
        <v>3.9623856999999998E-2</v>
      </c>
      <c r="H84" s="17">
        <v>0.16551732999999999</v>
      </c>
      <c r="I84" s="17">
        <v>-3.9531590000000004E-3</v>
      </c>
      <c r="J84" s="17">
        <v>0.11868297999999999</v>
      </c>
      <c r="K84" s="17">
        <v>0.11599074999999999</v>
      </c>
      <c r="L84" s="17">
        <v>0.11169767</v>
      </c>
      <c r="M84" s="17">
        <v>0.12324130999999999</v>
      </c>
      <c r="N84" s="17">
        <v>0.18693875999999998</v>
      </c>
      <c r="O84" s="17">
        <v>8.5705760000000006E-2</v>
      </c>
      <c r="P84" s="17"/>
      <c r="Q84" s="17"/>
      <c r="R84" s="17"/>
      <c r="S84" s="17"/>
      <c r="T84" s="17"/>
      <c r="U84" s="17"/>
      <c r="V84" s="17"/>
    </row>
    <row r="85" spans="1:22" x14ac:dyDescent="0.3">
      <c r="A85" s="2">
        <v>44189</v>
      </c>
      <c r="B85" s="17">
        <v>1.8837451999999998E-2</v>
      </c>
      <c r="C85" s="17">
        <v>2.1836399999999999E-2</v>
      </c>
      <c r="D85" s="17">
        <v>4.0351629999999999E-2</v>
      </c>
      <c r="E85" s="17">
        <v>-1.8540859E-2</v>
      </c>
      <c r="F85" s="17">
        <v>4.6720980000000002E-2</v>
      </c>
      <c r="G85" s="17">
        <v>2.2609830000000001E-2</v>
      </c>
      <c r="H85" s="17">
        <v>4.525614E-2</v>
      </c>
      <c r="I85" s="17">
        <v>-6.6964626000000005E-3</v>
      </c>
      <c r="J85" s="17">
        <v>3.6502123000000004E-2</v>
      </c>
      <c r="K85" s="17">
        <v>6.1194776999999999E-2</v>
      </c>
      <c r="L85" s="17">
        <v>1.2067913999999999E-2</v>
      </c>
      <c r="M85" s="17">
        <v>5.7173969999999999E-3</v>
      </c>
      <c r="N85" s="17">
        <v>2.1781564000000003E-2</v>
      </c>
      <c r="O85" s="17">
        <v>2.9122113999999998E-2</v>
      </c>
      <c r="P85" s="17"/>
      <c r="Q85" s="17"/>
      <c r="R85" s="17"/>
      <c r="S85" s="17"/>
      <c r="T85" s="17"/>
      <c r="U85" s="17"/>
      <c r="V85" s="17"/>
    </row>
    <row r="86" spans="1:22" x14ac:dyDescent="0.3">
      <c r="A86" s="2">
        <v>44222</v>
      </c>
      <c r="B86" s="17">
        <v>0.10241211</v>
      </c>
      <c r="C86" s="17">
        <v>4.008138E-2</v>
      </c>
      <c r="D86" s="17">
        <v>-1.5480638E-2</v>
      </c>
      <c r="E86" s="17">
        <v>-2.0534396E-3</v>
      </c>
      <c r="F86" s="17">
        <v>6.1474323000000004E-2</v>
      </c>
      <c r="G86" s="17">
        <v>4.1692970000000003E-2</v>
      </c>
      <c r="H86" s="17">
        <v>7.6735139999999993E-2</v>
      </c>
      <c r="I86" s="17">
        <v>-2.4858475000000001E-2</v>
      </c>
      <c r="J86" s="17">
        <v>2.7080894000000001E-2</v>
      </c>
      <c r="K86" s="17">
        <v>6.9283129999999998E-2</v>
      </c>
      <c r="L86" s="17">
        <v>5.6213856E-2</v>
      </c>
      <c r="M86" s="17">
        <v>6.0476780000000001E-2</v>
      </c>
      <c r="N86" s="17">
        <v>-9.5011590000000003E-3</v>
      </c>
      <c r="O86" s="17">
        <v>3.6073208000000002E-2</v>
      </c>
      <c r="P86" s="17"/>
      <c r="Q86" s="17"/>
      <c r="R86" s="17"/>
      <c r="S86" s="17"/>
      <c r="T86" s="17"/>
      <c r="U86" s="17"/>
      <c r="V86" s="17"/>
    </row>
    <row r="87" spans="1:22" x14ac:dyDescent="0.3">
      <c r="A87" s="2">
        <v>44253</v>
      </c>
      <c r="B87" s="17">
        <v>-2.6701272000000002E-2</v>
      </c>
      <c r="C87" s="17">
        <v>-8.9372396000000007E-3</v>
      </c>
      <c r="D87" s="17">
        <v>-6.802213E-2</v>
      </c>
      <c r="E87" s="17">
        <v>9.0535879999999996E-3</v>
      </c>
      <c r="F87" s="17">
        <v>-4.3975710000000001E-2</v>
      </c>
      <c r="G87" s="17">
        <v>4.9120665000000001E-2</v>
      </c>
      <c r="H87" s="17">
        <v>0.16573882999999998</v>
      </c>
      <c r="I87" s="17">
        <v>-6.5813723000000005E-2</v>
      </c>
      <c r="J87" s="17">
        <v>-9.3820689999999998E-3</v>
      </c>
      <c r="K87" s="17">
        <v>-2.8010726E-2</v>
      </c>
      <c r="L87" s="17">
        <v>-1.8699586000000001E-2</v>
      </c>
      <c r="M87" s="17">
        <v>-5.6790709999999999E-3</v>
      </c>
      <c r="N87" s="17">
        <v>2.5008560000000003E-2</v>
      </c>
      <c r="O87" s="17">
        <v>-1.0306596999999999E-2</v>
      </c>
      <c r="P87" s="17"/>
      <c r="Q87" s="17"/>
      <c r="R87" s="17"/>
      <c r="S87" s="17"/>
      <c r="T87" s="17"/>
      <c r="U87" s="17"/>
      <c r="V87" s="17"/>
    </row>
    <row r="88" spans="1:22" x14ac:dyDescent="0.3">
      <c r="A88" s="2">
        <v>44281</v>
      </c>
      <c r="B88" s="17">
        <v>-9.9551680000000004E-3</v>
      </c>
      <c r="C88" s="17">
        <v>4.4481992999999997E-2</v>
      </c>
      <c r="D88" s="17">
        <v>2.6575327E-3</v>
      </c>
      <c r="E88" s="17">
        <v>1.8760203999999999E-2</v>
      </c>
      <c r="F88" s="17">
        <v>7.1669817E-3</v>
      </c>
      <c r="G88" s="17">
        <v>-2.1965265000000001E-2</v>
      </c>
      <c r="H88" s="17">
        <v>1.3433218E-2</v>
      </c>
      <c r="I88" s="17">
        <v>-4.3974456999999995E-2</v>
      </c>
      <c r="J88" s="17">
        <v>3.7743567999999998E-2</v>
      </c>
      <c r="K88" s="17">
        <v>2.2260547000000002E-2</v>
      </c>
      <c r="L88" s="17">
        <v>2.7704477000000002E-2</v>
      </c>
      <c r="M88" s="17">
        <v>7.5202226999999996E-2</v>
      </c>
      <c r="N88" s="17">
        <v>5.0802110000000004E-2</v>
      </c>
      <c r="O88" s="17">
        <v>3.7017583999999999E-2</v>
      </c>
      <c r="P88" s="17"/>
      <c r="Q88" s="17"/>
      <c r="R88" s="17"/>
      <c r="S88" s="17"/>
      <c r="T88" s="17"/>
      <c r="U88" s="17"/>
      <c r="V88" s="17"/>
    </row>
    <row r="89" spans="1:22" x14ac:dyDescent="0.3">
      <c r="A89" s="2">
        <v>44312</v>
      </c>
      <c r="B89" s="17">
        <v>2.8516412000000001E-2</v>
      </c>
      <c r="C89" s="17">
        <v>5.4623959999999999E-2</v>
      </c>
      <c r="D89" s="17">
        <v>2.8352976000000002E-2</v>
      </c>
      <c r="E89" s="17">
        <v>-2.1216930000000002E-2</v>
      </c>
      <c r="F89" s="17">
        <v>8.1107619999999991E-2</v>
      </c>
      <c r="G89" s="17">
        <v>9.8108769999999998E-2</v>
      </c>
      <c r="H89" s="17">
        <v>2.2333859999999997E-2</v>
      </c>
      <c r="I89" s="17">
        <v>2.4793148000000001E-2</v>
      </c>
      <c r="J89" s="17">
        <v>5.4993749999999994E-2</v>
      </c>
      <c r="K89" s="17">
        <v>3.5280227999999997E-2</v>
      </c>
      <c r="L89" s="17">
        <v>-1.8114448000000002E-2</v>
      </c>
      <c r="M89" s="17">
        <v>5.4227589999999999E-2</v>
      </c>
      <c r="N89" s="17">
        <v>2.7989745E-2</v>
      </c>
      <c r="O89" s="17">
        <v>5.0295353000000001E-2</v>
      </c>
      <c r="P89" s="17"/>
      <c r="Q89" s="17"/>
      <c r="R89" s="17"/>
      <c r="S89" s="17"/>
      <c r="T89" s="17"/>
      <c r="U89" s="17"/>
      <c r="V89" s="17"/>
    </row>
    <row r="90" spans="1:22" x14ac:dyDescent="0.3">
      <c r="A90" s="2">
        <v>44342</v>
      </c>
      <c r="B90" s="17">
        <v>2.2480488000000002E-3</v>
      </c>
      <c r="C90" s="17">
        <v>3.4961700000000003E-3</v>
      </c>
      <c r="D90" s="17">
        <v>6.4732669999999992E-2</v>
      </c>
      <c r="E90" s="17">
        <v>-9.4069840000000002E-3</v>
      </c>
      <c r="F90" s="17">
        <v>-2.1953583000000002E-2</v>
      </c>
      <c r="G90" s="17">
        <v>-1.9375682000000002E-2</v>
      </c>
      <c r="H90" s="17">
        <v>6.8268656999999996E-2</v>
      </c>
      <c r="I90" s="17">
        <v>-3.1166673000000002E-3</v>
      </c>
      <c r="J90" s="17">
        <v>2.7112007E-2</v>
      </c>
      <c r="K90" s="17">
        <v>2.9349326999999997E-3</v>
      </c>
      <c r="L90" s="17">
        <v>-9.0063213999999996E-3</v>
      </c>
      <c r="M90" s="17">
        <v>5.2487850000000006E-3</v>
      </c>
      <c r="N90" s="17">
        <v>2.2586584E-2</v>
      </c>
      <c r="O90" s="17">
        <v>6.2670709999999999E-3</v>
      </c>
      <c r="P90" s="17"/>
      <c r="Q90" s="17"/>
      <c r="R90" s="17"/>
      <c r="S90" s="17"/>
      <c r="T90" s="17"/>
      <c r="U90" s="17"/>
      <c r="V90" s="17"/>
    </row>
    <row r="91" spans="1:22" x14ac:dyDescent="0.3">
      <c r="A91" s="2">
        <v>44372</v>
      </c>
      <c r="B91" s="17">
        <v>2.5142193E-2</v>
      </c>
      <c r="C91" s="17">
        <v>2.1367788000000002E-2</v>
      </c>
      <c r="D91" s="17">
        <v>-6.2204479999999999E-2</v>
      </c>
      <c r="E91" s="17">
        <v>1.9405484000000001E-2</v>
      </c>
      <c r="F91" s="17">
        <v>4.7085404000000004E-2</v>
      </c>
      <c r="G91" s="17">
        <v>-2.1405041E-2</v>
      </c>
      <c r="H91" s="17">
        <v>0.10889578</v>
      </c>
      <c r="I91" s="17">
        <v>2.151084E-2</v>
      </c>
      <c r="J91" s="17">
        <v>7.3539019999999998E-3</v>
      </c>
      <c r="K91" s="17">
        <v>2.4454354999999997E-2</v>
      </c>
      <c r="L91" s="17">
        <v>1.0293365000000001E-2</v>
      </c>
      <c r="M91" s="17">
        <v>5.1208735000000003E-3</v>
      </c>
      <c r="N91" s="17">
        <v>1.2498975000000001E-2</v>
      </c>
      <c r="O91" s="17">
        <v>2.005875E-2</v>
      </c>
      <c r="P91" s="17"/>
      <c r="Q91" s="17"/>
      <c r="R91" s="17"/>
      <c r="S91" s="17"/>
      <c r="T91" s="17"/>
      <c r="U91" s="17"/>
      <c r="V91" s="17"/>
    </row>
    <row r="92" spans="1:22" x14ac:dyDescent="0.3">
      <c r="A92" s="2">
        <v>44403</v>
      </c>
      <c r="B92" s="17">
        <v>-6.5799117000000004E-2</v>
      </c>
      <c r="C92" s="17">
        <v>3.3777952E-2</v>
      </c>
      <c r="D92" s="17">
        <v>9.4243290000000004E-3</v>
      </c>
      <c r="E92" s="17">
        <v>8.5054635999999989E-3</v>
      </c>
      <c r="F92" s="17">
        <v>5.4455400000000001E-2</v>
      </c>
      <c r="G92" s="17">
        <v>8.0762750000000008E-2</v>
      </c>
      <c r="H92" s="17">
        <v>-1.4753342000000001E-2</v>
      </c>
      <c r="I92" s="17">
        <v>4.3958664000000001E-2</v>
      </c>
      <c r="J92" s="17">
        <v>-3.3660529999999999E-3</v>
      </c>
      <c r="K92" s="17">
        <v>-2.4378538000000002E-2</v>
      </c>
      <c r="L92" s="17">
        <v>-1.1546373E-2</v>
      </c>
      <c r="M92" s="17">
        <v>3.5296560000000005E-2</v>
      </c>
      <c r="N92" s="17">
        <v>-2.1476209999999999E-2</v>
      </c>
      <c r="O92" s="17">
        <v>1.9881724999999999E-2</v>
      </c>
      <c r="P92" s="17"/>
      <c r="Q92" s="17"/>
      <c r="R92" s="17"/>
      <c r="S92" s="17"/>
      <c r="T92" s="17"/>
      <c r="U92" s="17"/>
      <c r="V92" s="17"/>
    </row>
    <row r="93" spans="1:22" x14ac:dyDescent="0.3">
      <c r="A93" s="2">
        <v>44434</v>
      </c>
      <c r="B93" s="17">
        <v>-3.1390785999999998E-3</v>
      </c>
      <c r="C93" s="17">
        <v>1.1881589999999999E-2</v>
      </c>
      <c r="D93" s="17">
        <v>-2.913952E-3</v>
      </c>
      <c r="E93" s="17">
        <v>4.0160418E-3</v>
      </c>
      <c r="F93" s="17">
        <v>1.0665177999999999E-2</v>
      </c>
      <c r="G93" s="17">
        <v>-5.1894189999999998E-3</v>
      </c>
      <c r="H93" s="17">
        <v>-3.8371623000000001E-2</v>
      </c>
      <c r="I93" s="17">
        <v>3.8433075E-3</v>
      </c>
      <c r="J93" s="17">
        <v>1.5565394999999999E-2</v>
      </c>
      <c r="K93" s="17">
        <v>-3.9196014000000001E-3</v>
      </c>
      <c r="L93" s="17">
        <v>4.4369697999999998E-4</v>
      </c>
      <c r="M93" s="17">
        <v>-2.3208022000000002E-2</v>
      </c>
      <c r="N93" s="17">
        <v>6.4915420000000003E-3</v>
      </c>
      <c r="O93" s="17">
        <v>1.1062026000000001E-2</v>
      </c>
      <c r="P93" s="17"/>
      <c r="Q93" s="17"/>
      <c r="R93" s="17"/>
      <c r="S93" s="17"/>
      <c r="T93" s="17"/>
      <c r="U93" s="17"/>
      <c r="V93" s="17"/>
    </row>
    <row r="94" spans="1:22" x14ac:dyDescent="0.3">
      <c r="A94" s="2">
        <v>44463</v>
      </c>
      <c r="B94" s="17">
        <v>1.1872053000000001E-3</v>
      </c>
      <c r="C94" s="17">
        <v>-2.0475388000000001E-3</v>
      </c>
      <c r="D94" s="17">
        <v>-2.6063085E-2</v>
      </c>
      <c r="E94" s="17">
        <v>1.9999743E-3</v>
      </c>
      <c r="F94" s="17">
        <v>3.5779475999999999E-3</v>
      </c>
      <c r="G94" s="17">
        <v>-1.9301057E-2</v>
      </c>
      <c r="H94" s="17">
        <v>9.3917260000000002E-2</v>
      </c>
      <c r="I94" s="17">
        <v>-9.1152789999999987E-3</v>
      </c>
      <c r="J94" s="17">
        <v>-1.4452696000000001E-2</v>
      </c>
      <c r="K94" s="17">
        <v>1.2133121E-2</v>
      </c>
      <c r="L94" s="17">
        <v>7.3898909999999998E-2</v>
      </c>
      <c r="M94" s="17">
        <v>-1.9344032000000001E-2</v>
      </c>
      <c r="N94" s="17">
        <v>-1.5357137000000002E-3</v>
      </c>
      <c r="O94" s="17">
        <v>-9.1809033999999993E-4</v>
      </c>
      <c r="P94" s="17"/>
      <c r="Q94" s="17"/>
      <c r="R94" s="17"/>
      <c r="S94" s="17"/>
      <c r="T94" s="17"/>
      <c r="U94" s="17"/>
      <c r="V94" s="17"/>
    </row>
    <row r="95" spans="1:22" x14ac:dyDescent="0.3">
      <c r="A95" s="2">
        <v>44495</v>
      </c>
      <c r="B95" s="17">
        <v>2.4409652E-2</v>
      </c>
      <c r="C95" s="17">
        <v>2.7145147000000001E-2</v>
      </c>
      <c r="D95" s="17">
        <v>2.6821733E-2</v>
      </c>
      <c r="E95" s="17">
        <v>6.3872340000000003E-3</v>
      </c>
      <c r="F95" s="17">
        <v>1.5509129E-2</v>
      </c>
      <c r="G95" s="17">
        <v>2.3936152000000002E-2</v>
      </c>
      <c r="H95" s="17">
        <v>0.12099647499999999</v>
      </c>
      <c r="I95" s="17">
        <v>-1.1076391000000001E-2</v>
      </c>
      <c r="J95" s="17">
        <v>1.6528845E-2</v>
      </c>
      <c r="K95" s="17">
        <v>4.3739080000000001E-3</v>
      </c>
      <c r="L95" s="17">
        <v>-5.7803509999999995E-2</v>
      </c>
      <c r="M95" s="17">
        <v>3.5377382999999998E-2</v>
      </c>
      <c r="N95" s="17">
        <v>3.3835769000000002E-2</v>
      </c>
      <c r="O95" s="17">
        <v>2.0753503000000003E-2</v>
      </c>
      <c r="P95" s="17"/>
      <c r="Q95" s="17"/>
      <c r="R95" s="17"/>
      <c r="S95" s="17"/>
      <c r="T95" s="17"/>
      <c r="U95" s="17"/>
      <c r="V95" s="17"/>
    </row>
    <row r="96" spans="1:22" x14ac:dyDescent="0.3">
      <c r="A96" s="2">
        <v>44526</v>
      </c>
      <c r="B96" s="17">
        <v>-4.9980583000000002E-2</v>
      </c>
      <c r="C96" s="17">
        <v>6.6014530000000002E-3</v>
      </c>
      <c r="D96" s="17">
        <v>-4.949808E-3</v>
      </c>
      <c r="E96" s="17">
        <v>2.2213460000000001E-2</v>
      </c>
      <c r="F96" s="17">
        <v>3.1863332000000001E-2</v>
      </c>
      <c r="G96" s="17">
        <v>3.740251E-2</v>
      </c>
      <c r="H96" s="17">
        <v>-0.15198410000000001</v>
      </c>
      <c r="I96" s="17">
        <v>3.8755893999999999E-2</v>
      </c>
      <c r="J96" s="17">
        <v>-4.8199772999999994E-2</v>
      </c>
      <c r="K96" s="17">
        <v>-5.5806456000000004E-2</v>
      </c>
      <c r="L96" s="17">
        <v>-2.1910607999999998E-2</v>
      </c>
      <c r="M96" s="17">
        <v>-7.7034592999999998E-2</v>
      </c>
      <c r="N96" s="17">
        <v>-5.8911084999999995E-2</v>
      </c>
      <c r="O96" s="17">
        <v>-9.6780659999999991E-3</v>
      </c>
      <c r="P96" s="17"/>
      <c r="Q96" s="17"/>
      <c r="R96" s="17"/>
      <c r="S96" s="17"/>
      <c r="T96" s="17"/>
      <c r="U96" s="17"/>
      <c r="V96" s="17"/>
    </row>
    <row r="97" spans="1:22" x14ac:dyDescent="0.3">
      <c r="A97" s="2">
        <v>44553</v>
      </c>
      <c r="B97" s="17">
        <v>1.2881160000000001E-2</v>
      </c>
      <c r="C97" s="17">
        <v>2.8988003999999998E-2</v>
      </c>
      <c r="D97" s="17">
        <v>1.2706041E-2</v>
      </c>
      <c r="E97" s="17">
        <v>-1.5522241999999999E-3</v>
      </c>
      <c r="F97" s="17">
        <v>1.5931367999999998E-2</v>
      </c>
      <c r="G97" s="17">
        <v>-2.0029545000000001E-3</v>
      </c>
      <c r="H97" s="17">
        <v>7.393538999999999E-2</v>
      </c>
      <c r="I97" s="17">
        <v>-1.1049926000000002E-2</v>
      </c>
      <c r="J97" s="17">
        <v>4.2252064000000006E-2</v>
      </c>
      <c r="K97" s="17">
        <v>4.2821290000000005E-2</v>
      </c>
      <c r="L97" s="17">
        <v>1.9935965999999999E-2</v>
      </c>
      <c r="M97" s="17">
        <v>5.4131627000000002E-2</v>
      </c>
      <c r="N97" s="17">
        <v>4.1494966000000001E-2</v>
      </c>
      <c r="O97" s="17">
        <v>2.6129245999999998E-2</v>
      </c>
      <c r="P97" s="17"/>
      <c r="Q97" s="17"/>
      <c r="R97" s="17"/>
      <c r="S97" s="17"/>
      <c r="T97" s="17"/>
      <c r="U97" s="17"/>
      <c r="V97" s="17"/>
    </row>
    <row r="98" spans="1:22" x14ac:dyDescent="0.3">
      <c r="A98" s="2">
        <v>44587</v>
      </c>
      <c r="B98" s="17">
        <v>-1.423347E-2</v>
      </c>
      <c r="C98" s="17">
        <v>-7.9090540000000001E-2</v>
      </c>
      <c r="D98" s="17">
        <v>4.8528909999999998E-3</v>
      </c>
      <c r="E98" s="17">
        <v>4.2752027999999999E-3</v>
      </c>
      <c r="F98" s="17">
        <v>-0.13189059</v>
      </c>
      <c r="G98" s="17">
        <v>1.2042165000000001E-2</v>
      </c>
      <c r="H98" s="17">
        <v>0.15729844999999998</v>
      </c>
      <c r="I98" s="17">
        <v>-5.3999480000000002E-2</v>
      </c>
      <c r="J98" s="17">
        <v>-4.3471756E-2</v>
      </c>
      <c r="K98" s="17">
        <v>-1.8733025E-2</v>
      </c>
      <c r="L98" s="17">
        <v>-5.9198855999999994E-2</v>
      </c>
      <c r="M98" s="17">
        <v>-8.8922979999999999E-2</v>
      </c>
      <c r="N98" s="17">
        <v>-1.8780768E-2</v>
      </c>
      <c r="O98" s="17">
        <v>-7.4284077000000004E-2</v>
      </c>
      <c r="P98" s="17"/>
      <c r="Q98" s="17"/>
      <c r="R98" s="17"/>
      <c r="S98" s="17"/>
      <c r="T98" s="17"/>
      <c r="U98" s="17"/>
      <c r="V98" s="17"/>
    </row>
    <row r="99" spans="1:22" x14ac:dyDescent="0.3">
      <c r="A99" s="2">
        <v>44617</v>
      </c>
      <c r="B99" s="17">
        <v>-2.2689699999999999E-3</v>
      </c>
      <c r="C99" s="17">
        <v>1.0083556E-2</v>
      </c>
      <c r="D99" s="17">
        <v>3.9813995000000005E-2</v>
      </c>
      <c r="E99" s="17">
        <v>0</v>
      </c>
      <c r="F99" s="17">
        <v>3.4825801999999999E-3</v>
      </c>
      <c r="G99" s="17">
        <v>2.5780916000000001E-2</v>
      </c>
      <c r="H99" s="17">
        <v>6.3253044999999994E-2</v>
      </c>
      <c r="I99" s="17">
        <v>-2.4474322999999999E-2</v>
      </c>
      <c r="J99" s="17">
        <v>-1.3139606E-2</v>
      </c>
      <c r="K99" s="17">
        <v>2.8774738E-3</v>
      </c>
      <c r="L99" s="17">
        <v>2.2078753000000003E-3</v>
      </c>
      <c r="M99" s="17">
        <v>-6.3132523999999995E-2</v>
      </c>
      <c r="N99" s="17">
        <v>-1.5688717000000001E-2</v>
      </c>
      <c r="O99" s="17">
        <v>6.9121120000000006E-3</v>
      </c>
      <c r="P99" s="17"/>
      <c r="Q99" s="17"/>
      <c r="R99" s="17"/>
      <c r="S99" s="17"/>
      <c r="T99" s="17"/>
      <c r="U99" s="17"/>
      <c r="V99" s="17"/>
    </row>
    <row r="100" spans="1:22" x14ac:dyDescent="0.3">
      <c r="A100" s="2">
        <v>44645</v>
      </c>
      <c r="B100" s="17">
        <v>-4.4349613000000003E-2</v>
      </c>
      <c r="C100" s="17">
        <v>3.7306905000000001E-2</v>
      </c>
      <c r="D100" s="17">
        <v>3.3021808E-2</v>
      </c>
      <c r="E100" s="17">
        <v>2.2058844999999997E-2</v>
      </c>
      <c r="F100" s="17">
        <v>4.0562152999999997E-2</v>
      </c>
      <c r="G100" s="17">
        <v>7.5398683999999994E-2</v>
      </c>
      <c r="H100" s="17">
        <v>0.24858356000000001</v>
      </c>
      <c r="I100" s="17">
        <v>-5.8754980000000005E-2</v>
      </c>
      <c r="J100" s="17">
        <v>-2.5392950000000001E-2</v>
      </c>
      <c r="K100" s="17">
        <v>-2.1265805000000002E-2</v>
      </c>
      <c r="L100" s="17">
        <v>-1.2745857000000001E-2</v>
      </c>
      <c r="M100" s="17">
        <v>-7.7170130000000006E-4</v>
      </c>
      <c r="N100" s="17">
        <v>-7.4593543999999998E-2</v>
      </c>
      <c r="O100" s="17">
        <v>2.5223493999999999E-2</v>
      </c>
      <c r="P100" s="17"/>
      <c r="Q100" s="17"/>
      <c r="R100" s="17"/>
      <c r="S100" s="17"/>
      <c r="T100" s="17"/>
      <c r="U100" s="17"/>
      <c r="V100" s="17"/>
    </row>
    <row r="101" spans="1:22" x14ac:dyDescent="0.3">
      <c r="A101" s="2">
        <v>44677</v>
      </c>
      <c r="B101" s="17">
        <v>-8.3098350000000001E-2</v>
      </c>
      <c r="C101" s="17">
        <v>-8.082795000000001E-2</v>
      </c>
      <c r="D101" s="17">
        <v>-2.7744234E-2</v>
      </c>
      <c r="E101" s="17">
        <v>3.5592556000000004E-2</v>
      </c>
      <c r="F101" s="17">
        <v>-0.11746204</v>
      </c>
      <c r="G101" s="17">
        <v>-1.7977952999999999E-3</v>
      </c>
      <c r="H101" s="17">
        <v>-6.9767419999999997E-2</v>
      </c>
      <c r="I101" s="17">
        <v>-4.7127904999999998E-2</v>
      </c>
      <c r="J101" s="17">
        <v>-6.4110874999999998E-2</v>
      </c>
      <c r="K101" s="17">
        <v>-6.7425430000000008E-2</v>
      </c>
      <c r="L101" s="17">
        <v>-0.10663055999999999</v>
      </c>
      <c r="M101" s="17">
        <v>-9.0604779999999996E-2</v>
      </c>
      <c r="N101" s="17">
        <v>-6.3382682999999995E-2</v>
      </c>
      <c r="O101" s="17">
        <v>-8.1205250000000007E-2</v>
      </c>
      <c r="P101" s="17"/>
      <c r="Q101" s="17"/>
      <c r="R101" s="17"/>
      <c r="S101" s="17"/>
      <c r="T101" s="17"/>
      <c r="U101" s="17"/>
      <c r="V101" s="17"/>
    </row>
    <row r="102" spans="1:22" x14ac:dyDescent="0.3">
      <c r="A102" s="2">
        <v>44707</v>
      </c>
      <c r="B102" s="17">
        <v>7.5722929999999999E-3</v>
      </c>
      <c r="C102" s="17">
        <v>-2.5931299000000001E-2</v>
      </c>
      <c r="D102" s="17">
        <v>-2.5716304999999998E-2</v>
      </c>
      <c r="E102" s="17">
        <v>-4.7532319999999996E-3</v>
      </c>
      <c r="F102" s="17">
        <v>-5.6158247000000001E-2</v>
      </c>
      <c r="G102" s="17">
        <v>3.1517743999999997E-3</v>
      </c>
      <c r="H102" s="17">
        <v>0.10731709</v>
      </c>
      <c r="I102" s="17">
        <v>-2.7890503000000001E-2</v>
      </c>
      <c r="J102" s="17">
        <v>1.9621371999999998E-2</v>
      </c>
      <c r="K102" s="17">
        <v>-1.8306255E-2</v>
      </c>
      <c r="L102" s="17">
        <v>3.4611940000000001E-2</v>
      </c>
      <c r="M102" s="17">
        <v>1.3869165999999999E-2</v>
      </c>
      <c r="N102" s="17">
        <v>6.1419606000000002E-2</v>
      </c>
      <c r="O102" s="17">
        <v>-1.474458E-2</v>
      </c>
      <c r="P102" s="17"/>
      <c r="Q102" s="17"/>
      <c r="R102" s="17"/>
      <c r="S102" s="17"/>
      <c r="T102" s="17"/>
      <c r="U102" s="17"/>
      <c r="V102" s="17"/>
    </row>
    <row r="103" spans="1:22" x14ac:dyDescent="0.3">
      <c r="A103" s="2">
        <v>44736</v>
      </c>
      <c r="B103" s="17">
        <v>-1.9128919E-3</v>
      </c>
      <c r="C103" s="17">
        <v>-3.3428192000000002E-2</v>
      </c>
      <c r="D103" s="17">
        <v>-1.5454948E-2</v>
      </c>
      <c r="E103" s="17">
        <v>2.057314E-2</v>
      </c>
      <c r="F103" s="17">
        <v>-1.3921797E-2</v>
      </c>
      <c r="G103" s="17">
        <v>-6.956917E-2</v>
      </c>
      <c r="H103" s="17">
        <v>-4.6806216000000005E-2</v>
      </c>
      <c r="I103" s="17">
        <v>-5.0754309999999997E-2</v>
      </c>
      <c r="J103" s="17">
        <v>-6.8547670000000005E-2</v>
      </c>
      <c r="K103" s="17">
        <v>-7.4433384000000005E-2</v>
      </c>
      <c r="L103" s="17">
        <v>-6.4918813999999991E-2</v>
      </c>
      <c r="M103" s="17">
        <v>-8.8254340000000001E-2</v>
      </c>
      <c r="N103" s="17">
        <v>-0.10144586</v>
      </c>
      <c r="O103" s="17">
        <v>-4.5031429999999997E-2</v>
      </c>
      <c r="P103" s="17"/>
      <c r="Q103" s="17"/>
      <c r="R103" s="17"/>
      <c r="S103" s="17"/>
      <c r="T103" s="17"/>
      <c r="U103" s="17"/>
      <c r="V103" s="17"/>
    </row>
    <row r="104" spans="1:22" x14ac:dyDescent="0.3">
      <c r="A104" s="2">
        <v>44768</v>
      </c>
      <c r="B104" s="17">
        <v>-3.8160622000000005E-2</v>
      </c>
      <c r="C104" s="17">
        <v>2.0766258000000002E-3</v>
      </c>
      <c r="D104" s="17">
        <v>-5.9086380000000001E-2</v>
      </c>
      <c r="E104" s="17">
        <v>3.1677484999999998E-2</v>
      </c>
      <c r="F104" s="17">
        <v>-8.1461670000000002E-4</v>
      </c>
      <c r="G104" s="17">
        <v>-4.4862510000000001E-2</v>
      </c>
      <c r="H104" s="17">
        <v>-6.8315925999999999E-2</v>
      </c>
      <c r="I104" s="17">
        <v>4.5755150000000001E-2</v>
      </c>
      <c r="J104" s="17">
        <v>-2.0698547000000001E-2</v>
      </c>
      <c r="K104" s="17">
        <v>-1.1302888000000001E-2</v>
      </c>
      <c r="L104" s="17">
        <v>7.2625874999999998E-3</v>
      </c>
      <c r="M104" s="17">
        <v>-3.4656524999999998E-3</v>
      </c>
      <c r="N104" s="17">
        <v>-9.0620039999999999E-2</v>
      </c>
      <c r="O104" s="17">
        <v>-1.9989014000000001E-3</v>
      </c>
      <c r="P104" s="17"/>
      <c r="Q104" s="17"/>
      <c r="R104" s="17"/>
      <c r="S104" s="17"/>
      <c r="T104" s="17"/>
      <c r="U104" s="17"/>
      <c r="V104" s="17"/>
    </row>
    <row r="105" spans="1:22" x14ac:dyDescent="0.3">
      <c r="A105" s="2">
        <v>44799</v>
      </c>
      <c r="B105" s="17">
        <v>2.932477E-2</v>
      </c>
      <c r="C105" s="17">
        <v>3.6890149999999997E-2</v>
      </c>
      <c r="D105" s="17">
        <v>1.0747313000000001E-2</v>
      </c>
      <c r="E105" s="17">
        <v>1.6399145E-2</v>
      </c>
      <c r="F105" s="17">
        <v>4.4399977E-2</v>
      </c>
      <c r="G105" s="17">
        <v>4.8484920000000001E-2</v>
      </c>
      <c r="H105" s="17">
        <v>1.555109E-2</v>
      </c>
      <c r="I105" s="17">
        <v>-3.1140148999999999E-2</v>
      </c>
      <c r="J105" s="17">
        <v>-1.736182E-2</v>
      </c>
      <c r="K105" s="17">
        <v>3.9908527999999999E-2</v>
      </c>
      <c r="L105" s="17">
        <v>6.4706799999999995E-3</v>
      </c>
      <c r="M105" s="17">
        <v>-3.9203285999999997E-2</v>
      </c>
      <c r="N105" s="17">
        <v>1.8356681E-2</v>
      </c>
      <c r="O105" s="17">
        <v>2.7949809999999999E-2</v>
      </c>
      <c r="P105" s="17"/>
      <c r="Q105" s="17"/>
      <c r="R105" s="17"/>
      <c r="S105" s="17"/>
      <c r="T105" s="17"/>
      <c r="U105" s="17"/>
      <c r="V105" s="17"/>
    </row>
    <row r="106" spans="1:22" x14ac:dyDescent="0.3">
      <c r="A106" s="2">
        <v>44830</v>
      </c>
      <c r="B106" s="17">
        <v>-0.10226435</v>
      </c>
      <c r="C106" s="17">
        <v>-9.7435469999999996E-2</v>
      </c>
      <c r="D106" s="17">
        <v>-6.5096436000000008E-2</v>
      </c>
      <c r="E106" s="17">
        <v>5.2523255000000005E-2</v>
      </c>
      <c r="F106" s="17">
        <v>-0.10597574</v>
      </c>
      <c r="G106" s="17">
        <v>-3.9980710000000003E-2</v>
      </c>
      <c r="H106" s="17">
        <v>-0.16413540000000001</v>
      </c>
      <c r="I106" s="17">
        <v>-8.55186E-2</v>
      </c>
      <c r="J106" s="17">
        <v>-0.117973385</v>
      </c>
      <c r="K106" s="17">
        <v>-0.100939455</v>
      </c>
      <c r="L106" s="17">
        <v>-9.5701690000000006E-2</v>
      </c>
      <c r="M106" s="17">
        <v>-0.12339586000000001</v>
      </c>
      <c r="N106" s="17">
        <v>-6.6094399999999998E-2</v>
      </c>
      <c r="O106" s="17">
        <v>-0.10415374999999999</v>
      </c>
      <c r="P106" s="17"/>
      <c r="Q106" s="17"/>
      <c r="R106" s="17"/>
      <c r="S106" s="17"/>
      <c r="T106" s="17"/>
      <c r="U106" s="17"/>
      <c r="V106" s="17"/>
    </row>
    <row r="107" spans="1:22" x14ac:dyDescent="0.3">
      <c r="A107" s="2">
        <v>44860</v>
      </c>
      <c r="B107" s="17">
        <v>-2.4594605000000002E-2</v>
      </c>
      <c r="C107" s="17">
        <v>4.8612475000000002E-2</v>
      </c>
      <c r="D107" s="17">
        <v>2.4796724000000003E-2</v>
      </c>
      <c r="E107" s="17">
        <v>-3.7834287000000001E-2</v>
      </c>
      <c r="F107" s="17">
        <v>1.2975216000000001E-2</v>
      </c>
      <c r="G107" s="17">
        <v>-4.5158267000000004E-3</v>
      </c>
      <c r="H107" s="17">
        <v>0.15924036</v>
      </c>
      <c r="I107" s="17">
        <v>-6.7450046999999999E-2</v>
      </c>
      <c r="J107" s="17">
        <v>0.10496389</v>
      </c>
      <c r="K107" s="17">
        <v>2.5122285000000001E-2</v>
      </c>
      <c r="L107" s="17">
        <v>2.3359776000000002E-2</v>
      </c>
      <c r="M107" s="17">
        <v>0.12199699000000001</v>
      </c>
      <c r="N107" s="17">
        <v>0.10340071000000001</v>
      </c>
      <c r="O107" s="17">
        <v>5.5857659999999996E-2</v>
      </c>
      <c r="P107" s="17"/>
      <c r="Q107" s="17"/>
      <c r="R107" s="17"/>
      <c r="S107" s="17"/>
      <c r="T107" s="17"/>
      <c r="U107" s="17"/>
      <c r="V107" s="17"/>
    </row>
    <row r="108" spans="1:22" x14ac:dyDescent="0.3">
      <c r="A108" s="2">
        <v>44890</v>
      </c>
      <c r="B108" s="17">
        <v>7.4535847000000002E-2</v>
      </c>
      <c r="C108" s="17">
        <v>5.3164719999999999E-2</v>
      </c>
      <c r="D108" s="17">
        <v>5.3168177999999996E-2</v>
      </c>
      <c r="E108" s="17">
        <v>-3.1186460999999999E-2</v>
      </c>
      <c r="F108" s="17">
        <v>3.2346368E-2</v>
      </c>
      <c r="G108" s="17">
        <v>1.5121698000000001E-3</v>
      </c>
      <c r="H108" s="17">
        <v>-8.3881490000000003E-2</v>
      </c>
      <c r="I108" s="17">
        <v>6.936109E-2</v>
      </c>
      <c r="J108" s="17">
        <v>0.11775184</v>
      </c>
      <c r="K108" s="17">
        <v>7.6339245E-2</v>
      </c>
      <c r="L108" s="17">
        <v>0.11075818999999999</v>
      </c>
      <c r="M108" s="17">
        <v>0.13282037000000002</v>
      </c>
      <c r="N108" s="17">
        <v>0.15326952999999999</v>
      </c>
      <c r="O108" s="17">
        <v>6.9288373E-2</v>
      </c>
      <c r="P108" s="17"/>
      <c r="Q108" s="17"/>
      <c r="R108" s="17"/>
      <c r="S108" s="17"/>
      <c r="T108" s="17"/>
      <c r="U108" s="17"/>
      <c r="V108" s="17"/>
    </row>
    <row r="109" spans="1:22" x14ac:dyDescent="0.3">
      <c r="A109" s="2">
        <v>44918</v>
      </c>
      <c r="B109" s="17">
        <v>1.5509129E-2</v>
      </c>
      <c r="C109" s="17">
        <v>-4.3845295999999999E-2</v>
      </c>
      <c r="D109" s="17">
        <v>2.4751782000000003E-2</v>
      </c>
      <c r="E109" s="17">
        <v>-1.2392997999999999E-2</v>
      </c>
      <c r="F109" s="17">
        <v>-6.5908375000000005E-2</v>
      </c>
      <c r="G109" s="17">
        <v>2.1591783000000003E-2</v>
      </c>
      <c r="H109" s="17">
        <v>3.4817219000000003E-2</v>
      </c>
      <c r="I109" s="17">
        <v>-2.5003552000000002E-3</v>
      </c>
      <c r="J109" s="17">
        <v>-7.9329013999999993E-3</v>
      </c>
      <c r="K109" s="17">
        <v>-2.2748767999999999E-2</v>
      </c>
      <c r="L109" s="17">
        <v>-1.9089936999999998E-2</v>
      </c>
      <c r="M109" s="17">
        <v>-3.8242280000000003E-2</v>
      </c>
      <c r="N109" s="17">
        <v>-1.0623097E-2</v>
      </c>
      <c r="O109" s="17">
        <v>-3.4701467E-2</v>
      </c>
      <c r="P109" s="17"/>
      <c r="Q109" s="17"/>
      <c r="R109" s="17"/>
      <c r="S109" s="17"/>
      <c r="T109" s="17"/>
      <c r="U109" s="17"/>
      <c r="V109" s="17"/>
    </row>
    <row r="110" spans="1:22" x14ac:dyDescent="0.3">
      <c r="A110" s="2">
        <v>44952</v>
      </c>
      <c r="B110" s="17">
        <v>0.11432255</v>
      </c>
      <c r="C110" s="17">
        <v>5.7036877E-2</v>
      </c>
      <c r="D110" s="17">
        <v>7.3000192999999991E-2</v>
      </c>
      <c r="E110" s="17">
        <v>-1.9656897E-2</v>
      </c>
      <c r="F110" s="17">
        <v>9.7172370000000008E-2</v>
      </c>
      <c r="G110" s="17">
        <v>-1.8316865000000002E-2</v>
      </c>
      <c r="H110" s="17">
        <v>2.3928164999999998E-2</v>
      </c>
      <c r="I110" s="17">
        <v>4.7180890000000003E-2</v>
      </c>
      <c r="J110" s="17">
        <v>9.4373590000000007E-2</v>
      </c>
      <c r="K110" s="17">
        <v>8.7895979999999999E-2</v>
      </c>
      <c r="L110" s="17">
        <v>7.1024299999999999E-2</v>
      </c>
      <c r="M110" s="17">
        <v>9.9444029999999989E-2</v>
      </c>
      <c r="N110" s="17">
        <v>0.10892927000000001</v>
      </c>
      <c r="O110" s="17">
        <v>6.7068695999999997E-2</v>
      </c>
      <c r="P110" s="17"/>
      <c r="Q110" s="17"/>
      <c r="R110" s="17"/>
      <c r="S110" s="17"/>
      <c r="T110" s="17"/>
      <c r="U110" s="17"/>
      <c r="V110" s="17"/>
    </row>
    <row r="111" spans="1:22" x14ac:dyDescent="0.3">
      <c r="A111" s="2">
        <v>44981</v>
      </c>
      <c r="B111" s="17">
        <v>-8.6151009999999986E-2</v>
      </c>
      <c r="C111" s="17">
        <v>-2.0679414E-2</v>
      </c>
      <c r="D111" s="17">
        <v>-6.1960162999999999E-2</v>
      </c>
      <c r="E111" s="17">
        <v>3.8643837E-2</v>
      </c>
      <c r="F111" s="17">
        <v>-5.0793886E-3</v>
      </c>
      <c r="G111" s="17">
        <v>2.1684290000000002E-2</v>
      </c>
      <c r="H111" s="17">
        <v>-5.2904900000000005E-2</v>
      </c>
      <c r="I111" s="17">
        <v>-5.377519E-2</v>
      </c>
      <c r="J111" s="17">
        <v>-2.3981629999999997E-2</v>
      </c>
      <c r="K111" s="17">
        <v>-7.1538744000000001E-2</v>
      </c>
      <c r="L111" s="17">
        <v>-5.1824092999999995E-2</v>
      </c>
      <c r="M111" s="17">
        <v>-1.9662856999999999E-2</v>
      </c>
      <c r="N111" s="17">
        <v>-1.0023415000000001E-2</v>
      </c>
      <c r="O111" s="17">
        <v>-2.680254E-2</v>
      </c>
      <c r="P111" s="17"/>
      <c r="Q111" s="17"/>
      <c r="R111" s="17"/>
      <c r="S111" s="17"/>
      <c r="T111" s="17"/>
      <c r="U111" s="17"/>
      <c r="V111" s="17"/>
    </row>
    <row r="112" spans="1:22" x14ac:dyDescent="0.3">
      <c r="A112" s="2">
        <v>45009</v>
      </c>
      <c r="B112" s="17">
        <v>7.0647000000000001E-3</v>
      </c>
      <c r="C112" s="17">
        <v>2.2666454E-3</v>
      </c>
      <c r="D112" s="17">
        <v>9.0882060000000001E-2</v>
      </c>
      <c r="E112" s="17">
        <v>-1.6146004000000002E-2</v>
      </c>
      <c r="F112" s="17">
        <v>6.6883087000000008E-2</v>
      </c>
      <c r="G112" s="17">
        <v>-1.4807582E-2</v>
      </c>
      <c r="H112" s="17">
        <v>-8.7988380000000005E-2</v>
      </c>
      <c r="I112" s="17">
        <v>6.0868499999999999E-2</v>
      </c>
      <c r="J112" s="17">
        <v>-1.5252887999999999E-2</v>
      </c>
      <c r="K112" s="17">
        <v>6.8535805000000003E-3</v>
      </c>
      <c r="L112" s="17">
        <v>2.7148604E-2</v>
      </c>
      <c r="M112" s="17">
        <v>-4.3266535000000002E-2</v>
      </c>
      <c r="N112" s="17">
        <v>-1.8562256999999999E-2</v>
      </c>
      <c r="O112" s="17">
        <v>-2.0238160999999999E-3</v>
      </c>
      <c r="P112" s="17"/>
      <c r="Q112" s="17"/>
      <c r="R112" s="17"/>
      <c r="S112" s="17"/>
      <c r="T112" s="17"/>
      <c r="U112" s="17"/>
      <c r="V112" s="17"/>
    </row>
    <row r="113" spans="1:22" x14ac:dyDescent="0.3">
      <c r="A113" s="2">
        <v>45042</v>
      </c>
      <c r="B113" s="17">
        <v>-5.5400729999999995E-3</v>
      </c>
      <c r="C113" s="17">
        <v>2.1756172000000001E-2</v>
      </c>
      <c r="D113" s="17">
        <v>5.9353113000000001E-3</v>
      </c>
      <c r="E113" s="17">
        <v>-1.177311E-2</v>
      </c>
      <c r="F113" s="17">
        <v>3.1521320000000002E-3</v>
      </c>
      <c r="G113" s="17">
        <v>5.3106309999999997E-2</v>
      </c>
      <c r="H113" s="17">
        <v>6.9422244999999994E-2</v>
      </c>
      <c r="I113" s="17">
        <v>-7.1428419999999999E-3</v>
      </c>
      <c r="J113" s="17">
        <v>7.4614050000000001E-2</v>
      </c>
      <c r="K113" s="17">
        <v>1.0107279E-2</v>
      </c>
      <c r="L113" s="17">
        <v>2.1529794000000001E-2</v>
      </c>
      <c r="M113" s="17">
        <v>8.0563070000000001E-2</v>
      </c>
      <c r="N113" s="17">
        <v>7.6684950000000002E-2</v>
      </c>
      <c r="O113" s="17">
        <v>3.2534002999999999E-2</v>
      </c>
      <c r="P113" s="17"/>
      <c r="Q113" s="17"/>
      <c r="R113" s="17"/>
      <c r="S113" s="17"/>
      <c r="T113" s="17"/>
      <c r="U113" s="17"/>
      <c r="V113" s="17"/>
    </row>
    <row r="114" spans="1:22" x14ac:dyDescent="0.3">
      <c r="A114" s="2">
        <v>45072</v>
      </c>
      <c r="B114" s="17">
        <v>9.116173E-3</v>
      </c>
      <c r="C114" s="17">
        <v>3.8727879999999999E-2</v>
      </c>
      <c r="D114" s="17">
        <v>-2.0677745000000001E-2</v>
      </c>
      <c r="E114" s="17">
        <v>3.2129883999999997E-2</v>
      </c>
      <c r="F114" s="17">
        <v>0.11713219000000001</v>
      </c>
      <c r="G114" s="17">
        <v>-2.1408200000000002E-2</v>
      </c>
      <c r="H114" s="17">
        <v>-9.8383427000000006E-3</v>
      </c>
      <c r="I114" s="17">
        <v>-4.2216063000000005E-2</v>
      </c>
      <c r="J114" s="17">
        <v>-1.8196403999999999E-2</v>
      </c>
      <c r="K114" s="17">
        <v>4.5333860000000004E-2</v>
      </c>
      <c r="L114" s="17">
        <v>3.2385230000000001E-2</v>
      </c>
      <c r="M114" s="17">
        <v>-3.1042218E-2</v>
      </c>
      <c r="N114" s="17">
        <v>-2.6828468000000001E-2</v>
      </c>
      <c r="O114" s="17">
        <v>2.390921E-2</v>
      </c>
      <c r="P114" s="17"/>
      <c r="Q114" s="17"/>
      <c r="R114" s="17"/>
      <c r="S114" s="17"/>
      <c r="T114" s="17"/>
      <c r="U114" s="17"/>
      <c r="V114" s="17"/>
    </row>
    <row r="115" spans="1:22" x14ac:dyDescent="0.3">
      <c r="A115" s="2">
        <v>45103</v>
      </c>
      <c r="B115" s="17">
        <v>1.6383528999999997E-2</v>
      </c>
      <c r="C115" s="17">
        <v>3.1018734000000003E-2</v>
      </c>
      <c r="D115" s="17">
        <v>-1.3320803999999999E-2</v>
      </c>
      <c r="E115" s="17">
        <v>-9.4438789999999988E-3</v>
      </c>
      <c r="F115" s="17">
        <v>2.8046129999999999E-2</v>
      </c>
      <c r="G115" s="17">
        <v>4.5697689999999999E-2</v>
      </c>
      <c r="H115" s="17" t="e">
        <v>#N/A</v>
      </c>
      <c r="I115" s="17">
        <v>2.5956035000000002E-2</v>
      </c>
      <c r="J115" s="17">
        <v>-2.4269819999999998E-3</v>
      </c>
      <c r="K115" s="17">
        <v>1.8709778999999999E-2</v>
      </c>
      <c r="L115" s="17">
        <v>1.809144E-2</v>
      </c>
      <c r="M115" s="17">
        <v>-1.4015972999999999E-2</v>
      </c>
      <c r="N115" s="17">
        <v>3.1598449000000001E-2</v>
      </c>
      <c r="O115" s="17">
        <v>2.3460388000000002E-2</v>
      </c>
      <c r="P115" s="17"/>
      <c r="Q115" s="17"/>
      <c r="R115" s="17"/>
      <c r="S115" s="17"/>
      <c r="T115" s="17"/>
      <c r="U115" s="17"/>
      <c r="V115" s="17"/>
    </row>
    <row r="116" spans="1:22" x14ac:dyDescent="0.3">
      <c r="A116" s="2">
        <v>45133</v>
      </c>
      <c r="B116" s="17">
        <v>5.436945E-2</v>
      </c>
      <c r="C116" s="17">
        <v>5.5789948000000006E-2</v>
      </c>
      <c r="D116" s="17">
        <v>2.6833296E-2</v>
      </c>
      <c r="E116" s="17">
        <v>-1.3064921E-2</v>
      </c>
      <c r="F116" s="17">
        <v>5.546856E-2</v>
      </c>
      <c r="G116" s="17">
        <v>3.7191987000000003E-2</v>
      </c>
      <c r="H116" s="17" t="e">
        <v>#N/A</v>
      </c>
      <c r="I116" s="17">
        <v>-1.8314898E-2</v>
      </c>
      <c r="J116" s="17">
        <v>5.0763129999999997E-2</v>
      </c>
      <c r="K116" s="17">
        <v>4.7517896000000004E-2</v>
      </c>
      <c r="L116" s="17">
        <v>3.1521916000000004E-2</v>
      </c>
      <c r="M116" s="17">
        <v>4.699731E-2</v>
      </c>
      <c r="N116" s="17">
        <v>8.2138180000000005E-2</v>
      </c>
      <c r="O116" s="17">
        <v>5.3233504000000001E-2</v>
      </c>
      <c r="P116" s="17"/>
      <c r="Q116" s="17"/>
      <c r="R116" s="17"/>
      <c r="S116" s="17"/>
      <c r="T116" s="17"/>
      <c r="U116" s="17"/>
      <c r="V116" s="17"/>
    </row>
    <row r="117" spans="1:22" x14ac:dyDescent="0.3">
      <c r="A117" s="2">
        <v>45163</v>
      </c>
      <c r="B117" s="17">
        <v>-5.2743140000000001E-2</v>
      </c>
      <c r="C117" s="17">
        <v>-3.4115612999999996E-2</v>
      </c>
      <c r="D117" s="17">
        <v>-3.0987499999999998E-2</v>
      </c>
      <c r="E117" s="17">
        <v>3.7924885999999998E-2</v>
      </c>
      <c r="F117" s="17">
        <v>-3.5759686999999998E-2</v>
      </c>
      <c r="G117" s="17">
        <v>-3.0927777E-2</v>
      </c>
      <c r="H117" s="17" t="e">
        <v>#N/A</v>
      </c>
      <c r="I117" s="17">
        <v>-5.7103815000000002E-2</v>
      </c>
      <c r="J117" s="17">
        <v>-5.2573442000000005E-2</v>
      </c>
      <c r="K117" s="17">
        <v>-5.2738370000000007E-2</v>
      </c>
      <c r="L117" s="17">
        <v>-4.5519648000000003E-2</v>
      </c>
      <c r="M117" s="17">
        <v>-9.5317249999999992E-2</v>
      </c>
      <c r="N117" s="17">
        <v>-5.0903615999999999E-2</v>
      </c>
      <c r="O117" s="17">
        <v>-4.1481136999999994E-2</v>
      </c>
      <c r="P117" s="17"/>
      <c r="Q117" s="17"/>
      <c r="R117" s="17"/>
      <c r="S117" s="17"/>
      <c r="T117" s="17"/>
      <c r="U117" s="17"/>
      <c r="V117" s="17"/>
    </row>
    <row r="118" spans="1:22" x14ac:dyDescent="0.3">
      <c r="A118" s="2">
        <v>45195</v>
      </c>
      <c r="B118" s="17">
        <v>-2.1664262E-2</v>
      </c>
      <c r="C118" s="17">
        <v>-2.8568506E-2</v>
      </c>
      <c r="D118" s="17">
        <v>-7.5441599999999994E-3</v>
      </c>
      <c r="E118" s="17">
        <v>2.4819015999999999E-2</v>
      </c>
      <c r="F118" s="17">
        <v>-2.5543094000000002E-2</v>
      </c>
      <c r="G118" s="17">
        <v>2.3126601999999999E-3</v>
      </c>
      <c r="H118" s="17" t="e">
        <v>#N/A</v>
      </c>
      <c r="I118" s="17">
        <v>-6.3848076000000004E-2</v>
      </c>
      <c r="J118" s="17">
        <v>-3.6960899999999998E-2</v>
      </c>
      <c r="K118" s="17">
        <v>-3.2898545000000001E-2</v>
      </c>
      <c r="L118" s="17">
        <v>1.3339996E-2</v>
      </c>
      <c r="M118" s="17">
        <v>-8.8821053999999997E-3</v>
      </c>
      <c r="N118" s="17">
        <v>-3.9987325999999997E-2</v>
      </c>
      <c r="O118" s="17">
        <v>-2.4694383E-2</v>
      </c>
      <c r="P118" s="17"/>
      <c r="Q118" s="17"/>
      <c r="R118" s="17"/>
      <c r="S118" s="17"/>
      <c r="T118" s="17"/>
      <c r="U118" s="17"/>
      <c r="V118" s="17"/>
    </row>
    <row r="119" spans="1:22" x14ac:dyDescent="0.3">
      <c r="A119" s="2">
        <v>45225</v>
      </c>
      <c r="B119" s="17">
        <v>-3.3299148000000001E-2</v>
      </c>
      <c r="C119" s="17">
        <v>-3.1299949000000001E-2</v>
      </c>
      <c r="D119" s="17">
        <v>4.385066E-2</v>
      </c>
      <c r="E119" s="17">
        <v>9.4181300000000003E-3</v>
      </c>
      <c r="F119" s="17">
        <v>-2.9784560000000002E-2</v>
      </c>
      <c r="G119" s="17">
        <v>8.306384E-3</v>
      </c>
      <c r="H119" s="17" t="e">
        <v>#N/A</v>
      </c>
      <c r="I119" s="17">
        <v>-4.3513774999999998E-2</v>
      </c>
      <c r="J119" s="17">
        <v>-3.4237086999999999E-2</v>
      </c>
      <c r="K119" s="17">
        <v>-3.3413827E-2</v>
      </c>
      <c r="L119" s="17">
        <v>-5.6442319999999997E-2</v>
      </c>
      <c r="M119" s="17">
        <v>-4.1409135E-2</v>
      </c>
      <c r="N119" s="17">
        <v>-3.041321E-2</v>
      </c>
      <c r="O119" s="17">
        <v>-3.4177302999999999E-2</v>
      </c>
      <c r="P119" s="17"/>
      <c r="Q119" s="17"/>
      <c r="R119" s="17"/>
      <c r="S119" s="17"/>
      <c r="T119" s="17"/>
      <c r="U119" s="17"/>
      <c r="V119" s="17"/>
    </row>
    <row r="120" spans="1:22" x14ac:dyDescent="0.3">
      <c r="A120" s="2">
        <v>45254</v>
      </c>
      <c r="B120" s="17">
        <v>7.5781583999999999E-2</v>
      </c>
      <c r="C120" s="17">
        <v>0.10362375</v>
      </c>
      <c r="D120" s="17">
        <v>8.2061289999999995E-3</v>
      </c>
      <c r="E120" s="17">
        <v>-2.6657820000000002E-2</v>
      </c>
      <c r="F120" s="17">
        <v>0.13341677000000002</v>
      </c>
      <c r="G120" s="17">
        <v>-5.0343274999999996E-3</v>
      </c>
      <c r="H120" s="17" t="e">
        <v>#N/A</v>
      </c>
      <c r="I120" s="17">
        <v>6.3402533999999997E-2</v>
      </c>
      <c r="J120" s="17">
        <v>0.10977149000000001</v>
      </c>
      <c r="K120" s="17">
        <v>9.0795519999999991E-2</v>
      </c>
      <c r="L120" s="17">
        <v>9.1907979999999986E-2</v>
      </c>
      <c r="M120" s="17">
        <v>0.16441</v>
      </c>
      <c r="N120" s="17">
        <v>0.11830890999999999</v>
      </c>
      <c r="O120" s="17">
        <v>0.10330498</v>
      </c>
      <c r="P120" s="17"/>
      <c r="Q120" s="17"/>
      <c r="R120" s="17"/>
      <c r="S120" s="17"/>
      <c r="T120" s="17"/>
      <c r="U120" s="17"/>
      <c r="V120" s="17"/>
    </row>
    <row r="121" spans="1:22" x14ac:dyDescent="0.3">
      <c r="A121" s="2">
        <v>45286</v>
      </c>
      <c r="B121" s="17">
        <v>1.9502162999999999E-2</v>
      </c>
      <c r="C121" s="17">
        <v>4.8938629999999997E-2</v>
      </c>
      <c r="D121" s="17">
        <v>3.3419610000000002E-2</v>
      </c>
      <c r="E121" s="17">
        <v>-1.3366342E-2</v>
      </c>
      <c r="F121" s="17">
        <v>5.69582E-2</v>
      </c>
      <c r="G121" s="17">
        <v>9.1362000000000006E-3</v>
      </c>
      <c r="H121" s="17" t="e">
        <v>#N/A</v>
      </c>
      <c r="I121" s="17">
        <v>0.10665321</v>
      </c>
      <c r="J121" s="17">
        <v>5.3452729999999997E-2</v>
      </c>
      <c r="K121" s="17">
        <v>6.1190366999999996E-2</v>
      </c>
      <c r="L121" s="17">
        <v>2.5432944000000002E-2</v>
      </c>
      <c r="M121" s="17">
        <v>0.12341892</v>
      </c>
      <c r="N121" s="17">
        <v>4.9663066999999998E-2</v>
      </c>
      <c r="O121" s="17">
        <v>5.1513194999999998E-2</v>
      </c>
      <c r="P121" s="17"/>
      <c r="Q121" s="17"/>
      <c r="R121" s="17"/>
      <c r="S121" s="17"/>
      <c r="T121" s="17"/>
      <c r="U121" s="17"/>
      <c r="V121" s="17"/>
    </row>
    <row r="122" spans="1:22" x14ac:dyDescent="0.3">
      <c r="A122" s="2">
        <v>45317</v>
      </c>
      <c r="B122" s="17">
        <v>-8.8844895000000004E-3</v>
      </c>
      <c r="C122" s="17">
        <v>2.4724126000000003E-2</v>
      </c>
      <c r="D122" s="17">
        <v>-2.4567127000000001E-2</v>
      </c>
      <c r="E122" s="17">
        <v>2.5470613999999999E-2</v>
      </c>
      <c r="F122" s="17">
        <v>3.2010078000000004E-2</v>
      </c>
      <c r="G122" s="17">
        <v>2.2402406E-2</v>
      </c>
      <c r="H122" s="17" t="e">
        <v>#N/A</v>
      </c>
      <c r="I122" s="17">
        <v>-5.0425289999999998E-2</v>
      </c>
      <c r="J122" s="17">
        <v>-8.837223E-3</v>
      </c>
      <c r="K122" s="17">
        <v>-1.2015283000000002E-2</v>
      </c>
      <c r="L122" s="17">
        <v>3.28542E-2</v>
      </c>
      <c r="M122" s="17">
        <v>-5.858588E-2</v>
      </c>
      <c r="N122" s="27">
        <v>-1.5882373000000002E-2</v>
      </c>
      <c r="O122">
        <v>1.5716791000000001E-2</v>
      </c>
    </row>
    <row r="123" spans="1:22" x14ac:dyDescent="0.3">
      <c r="A123" s="2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22" x14ac:dyDescent="0.3">
      <c r="A124" s="2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22" x14ac:dyDescent="0.3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22" x14ac:dyDescent="0.3">
      <c r="A126" t="s">
        <v>91</v>
      </c>
      <c r="B126" s="17" cm="1">
        <f t="array" ref="B126">MAX(_xlfn._xlws.FILTER(B1:B122, ISNUMBER(B1:B122)))</f>
        <v>0.12093222000000001</v>
      </c>
      <c r="C126" s="17" cm="1">
        <f t="array" ref="C126">MAX(_xlfn._xlws.FILTER(C1:C122, ISNUMBER(C1:C122)))</f>
        <v>0.10362375</v>
      </c>
      <c r="D126" s="17" cm="1">
        <f t="array" ref="D126">MAX(_xlfn._xlws.FILTER(D1:D122, ISNUMBER(D1:D122)))</f>
        <v>9.6207729999999991E-2</v>
      </c>
      <c r="E126" s="17" cm="1">
        <f t="array" ref="E126">MAX(_xlfn._xlws.FILTER(E1:E122, ISNUMBER(E1:E122)))</f>
        <v>5.3578973000000002E-2</v>
      </c>
      <c r="F126" s="17" cm="1">
        <f t="array" ref="F126">MAX(_xlfn._xlws.FILTER(F1:F122, ISNUMBER(F1:F122)))</f>
        <v>0.14243233</v>
      </c>
      <c r="G126" s="17" cm="1">
        <f t="array" ref="G126">MAX(_xlfn._xlws.FILTER(G1:G122, ISNUMBER(G1:G122)))</f>
        <v>0.11793816</v>
      </c>
      <c r="H126" s="17" cm="1">
        <f t="array" ref="H126">MAX(_xlfn._xlws.FILTER(H1:H122, ISNUMBER(H1:H122)))</f>
        <v>0.32304572999999998</v>
      </c>
      <c r="I126" s="17" cm="1">
        <f t="array" ref="I126">MAX(_xlfn._xlws.FILTER(I1:I122, ISNUMBER(I1:I122)))</f>
        <v>0.10788525</v>
      </c>
      <c r="J126" s="17" cm="1">
        <f t="array" ref="J126">MAX(_xlfn._xlws.FILTER(J1:J122, ISNUMBER(J1:J122)))</f>
        <v>0.11868297999999999</v>
      </c>
      <c r="K126" s="17" cm="1">
        <f t="array" ref="K126">MAX(_xlfn._xlws.FILTER(K1:K122, ISNUMBER(K1:K122)))</f>
        <v>0.11599074999999999</v>
      </c>
      <c r="L126" s="17" cm="1">
        <f t="array" ref="L126">MAX(_xlfn._xlws.FILTER(L1:L122, ISNUMBER(L1:L122)))</f>
        <v>0.11169767</v>
      </c>
      <c r="M126" s="17" cm="1">
        <f t="array" ref="M126">MAX(_xlfn._xlws.FILTER(M1:M122, ISNUMBER(M1:M122)))</f>
        <v>0.16441</v>
      </c>
      <c r="N126" s="17" cm="1">
        <f t="array" ref="N126">MAX(_xlfn._xlws.FILTER(N1:N122, ISNUMBER(N1:N122)))</f>
        <v>0.18693875999999998</v>
      </c>
      <c r="O126" s="17" cm="1">
        <f t="array" ref="O126">MAX(_xlfn._xlws.FILTER(O1:O122, ISNUMBER(O1:O122)))</f>
        <v>0.10330498</v>
      </c>
    </row>
    <row r="127" spans="1:22" x14ac:dyDescent="0.3">
      <c r="A127" t="s">
        <v>28</v>
      </c>
      <c r="B127" s="17" cm="1">
        <f t="array" ref="B127">MIN(_xlfn._xlws.FILTER(B2:B122, ISNUMBER(B2:B122)))</f>
        <v>-0.16271055000000001</v>
      </c>
      <c r="C127" s="17" cm="1">
        <f t="array" ref="C127">MIN(_xlfn._xlws.FILTER(C2:C122, ISNUMBER(C2:C122)))</f>
        <v>-0.15632545</v>
      </c>
      <c r="D127" s="17" cm="1">
        <f t="array" ref="D127">MIN(_xlfn._xlws.FILTER(D2:D122, ISNUMBER(D2:D122)))</f>
        <v>-8.0498989999999992E-2</v>
      </c>
      <c r="E127" s="17" cm="1">
        <f t="array" ref="E127">MIN(_xlfn._xlws.FILTER(E2:E122, ISNUMBER(E2:E122)))</f>
        <v>-4.082471E-2</v>
      </c>
      <c r="F127" s="17" cm="1">
        <f t="array" ref="F127">MIN(_xlfn._xlws.FILTER(F2:F122, ISNUMBER(F2:F122)))</f>
        <v>-0.13189059</v>
      </c>
      <c r="G127" s="17" cm="1">
        <f t="array" ref="G127">MIN(_xlfn._xlws.FILTER(G2:G122, ISNUMBER(G2:G122)))</f>
        <v>-7.9474806999999995E-2</v>
      </c>
      <c r="H127" s="17" cm="1">
        <f t="array" ref="H127">MIN(_xlfn._xlws.FILTER(H2:H122, ISNUMBER(H2:H122)))</f>
        <v>-0.39339848000000005</v>
      </c>
      <c r="I127" s="17" cm="1">
        <f t="array" ref="I127">MIN(_xlfn._xlws.FILTER(I2:I122, ISNUMBER(I2:I122)))</f>
        <v>-8.55186E-2</v>
      </c>
      <c r="J127" s="17" cm="1">
        <f t="array" ref="J127">MIN(_xlfn._xlws.FILTER(J2:J122, ISNUMBER(J2:J122)))</f>
        <v>-0.18399249999999998</v>
      </c>
      <c r="K127" s="17" cm="1">
        <f t="array" ref="K127">MIN(_xlfn._xlws.FILTER(K2:K122, ISNUMBER(K2:K122)))</f>
        <v>-0.21080124</v>
      </c>
      <c r="L127" s="17" cm="1">
        <f t="array" ref="L127">MIN(_xlfn._xlws.FILTER(L2:L122, ISNUMBER(L2:L122)))</f>
        <v>-0.10808128</v>
      </c>
      <c r="M127" s="17" cm="1">
        <f t="array" ref="M127">MIN(_xlfn._xlws.FILTER(M2:M122, ISNUMBER(M2:M122)))</f>
        <v>-0.18855327999999999</v>
      </c>
      <c r="N127" s="17" cm="1">
        <f t="array" ref="N127">MIN(_xlfn._xlws.FILTER(N2:N122, ISNUMBER(N2:N122)))</f>
        <v>-0.2241379</v>
      </c>
      <c r="O127" s="17" cm="1">
        <f t="array" ref="O127">MIN(_xlfn._xlws.FILTER(O2:O122, ISNUMBER(O2:O122)))</f>
        <v>-0.16380955</v>
      </c>
      <c r="P127" s="17"/>
      <c r="Q127" s="17"/>
      <c r="R127" s="17"/>
      <c r="S127" s="17"/>
      <c r="T127" s="17"/>
      <c r="U127" s="17"/>
      <c r="V127" s="17"/>
    </row>
    <row r="129" spans="1:15" x14ac:dyDescent="0.3">
      <c r="A129" t="s">
        <v>30</v>
      </c>
      <c r="B129">
        <f>COUNTIF(B2:B122, "&lt;"&amp;#REF!)</f>
        <v>0</v>
      </c>
      <c r="C129">
        <f>COUNTIF(C2:C122, "&lt;"&amp;#REF!)</f>
        <v>0</v>
      </c>
      <c r="D129">
        <f>COUNTIF(D2:D122, "&lt;"&amp;#REF!)</f>
        <v>0</v>
      </c>
      <c r="E129">
        <f>COUNTIF(E2:E122, "&lt;"&amp;#REF!)</f>
        <v>0</v>
      </c>
      <c r="F129">
        <f>COUNTIF(F2:F122, "&lt;"&amp;#REF!)</f>
        <v>0</v>
      </c>
      <c r="G129">
        <f>COUNTIF(G2:G122, "&lt;"&amp;#REF!)</f>
        <v>0</v>
      </c>
      <c r="H129">
        <f>COUNTIF(H2:H122, "&lt;"&amp;#REF!)</f>
        <v>0</v>
      </c>
      <c r="I129">
        <f>COUNTIF(I2:I122, "&lt;"&amp;#REF!)</f>
        <v>0</v>
      </c>
      <c r="J129">
        <f>COUNTIF(J2:J122, "&lt;"&amp;#REF!)</f>
        <v>0</v>
      </c>
      <c r="K129">
        <f>COUNTIF(K2:K122, "&lt;"&amp;#REF!)</f>
        <v>0</v>
      </c>
      <c r="L129">
        <f>COUNTIF(L2:L122, "&lt;"&amp;#REF!)</f>
        <v>0</v>
      </c>
      <c r="M129">
        <f>COUNTIF(M2:M122, "&lt;"&amp;#REF!)</f>
        <v>0</v>
      </c>
      <c r="N129">
        <f>COUNTIF(N2:N122, "&lt;"&amp;#REF!)</f>
        <v>0</v>
      </c>
      <c r="O129">
        <f>COUNTIF(O2:O122, "&lt;"&amp;#REF!)</f>
        <v>0</v>
      </c>
    </row>
    <row r="130" spans="1:15" x14ac:dyDescent="0.3">
      <c r="A130" t="s">
        <v>29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113</v>
      </c>
      <c r="I130">
        <f t="shared" si="0"/>
        <v>121</v>
      </c>
      <c r="J130">
        <f t="shared" si="0"/>
        <v>121</v>
      </c>
      <c r="K130">
        <f t="shared" ref="K130:N130" si="1">COUNT(K1:K122)</f>
        <v>78</v>
      </c>
      <c r="L130">
        <f t="shared" si="1"/>
        <v>121</v>
      </c>
      <c r="M130">
        <f t="shared" si="1"/>
        <v>121</v>
      </c>
      <c r="N130">
        <f t="shared" si="1"/>
        <v>121</v>
      </c>
      <c r="O130">
        <f t="shared" ref="O130" si="2">COUNT(O1:O122)</f>
        <v>121</v>
      </c>
    </row>
    <row r="132" spans="1:15" x14ac:dyDescent="0.3">
      <c r="A132" t="s">
        <v>31</v>
      </c>
      <c r="B132" s="8">
        <f t="shared" ref="B132:J132" si="3">B129/B130</f>
        <v>0</v>
      </c>
      <c r="C132" s="8">
        <f t="shared" si="3"/>
        <v>0</v>
      </c>
      <c r="D132" s="8">
        <f t="shared" si="3"/>
        <v>0</v>
      </c>
      <c r="E132" s="8">
        <f t="shared" si="3"/>
        <v>0</v>
      </c>
      <c r="F132" s="8">
        <f t="shared" si="3"/>
        <v>0</v>
      </c>
      <c r="G132" s="8">
        <f t="shared" si="3"/>
        <v>0</v>
      </c>
      <c r="H132" s="8">
        <f t="shared" si="3"/>
        <v>0</v>
      </c>
      <c r="I132" s="8">
        <f t="shared" si="3"/>
        <v>0</v>
      </c>
      <c r="J132" s="8">
        <f t="shared" si="3"/>
        <v>0</v>
      </c>
      <c r="K132" s="8">
        <f t="shared" ref="K132:N132" si="4">K129/K130</f>
        <v>0</v>
      </c>
      <c r="L132" s="8">
        <f t="shared" si="4"/>
        <v>0</v>
      </c>
      <c r="M132" s="8">
        <f t="shared" si="4"/>
        <v>0</v>
      </c>
      <c r="N132" s="8">
        <f t="shared" si="4"/>
        <v>0</v>
      </c>
      <c r="O132" s="8">
        <f t="shared" ref="O132" si="5">O129/O130</f>
        <v>0</v>
      </c>
    </row>
    <row r="134" spans="1:15" x14ac:dyDescent="0.3">
      <c r="A134" t="s">
        <v>34</v>
      </c>
      <c r="B134" s="8" cm="1">
        <f t="array" ref="B134">_xlfn.PERCENTRANK.EXC(_xlfn._xlws.FILTER(B2:B122, ISNUMBER(B2:B122)),B122)</f>
        <v>0.36799999999999999</v>
      </c>
      <c r="C134" s="8" cm="1">
        <f t="array" ref="C134">_xlfn.PERCENTRANK.EXC(_xlfn._xlws.FILTER(C2:C122, ISNUMBER(C2:C122)),C122)</f>
        <v>0.60599999999999998</v>
      </c>
      <c r="D134" s="8" cm="1">
        <f t="array" ref="D134">_xlfn.PERCENTRANK.EXC(_xlfn._xlws.FILTER(D2:D122, ISNUMBER(D2:D122)),D122)</f>
        <v>0.19600000000000001</v>
      </c>
      <c r="E134" s="8" cm="1">
        <f t="array" ref="E134">_xlfn.PERCENTRANK.EXC(_xlfn._xlws.FILTER(E2:E122, ISNUMBER(E2:E122)),E122)</f>
        <v>0.877</v>
      </c>
      <c r="F134" s="8" cm="1">
        <f t="array" ref="F134">_xlfn.PERCENTRANK.EXC(_xlfn._xlws.FILTER(F2:F122, ISNUMBER(F2:F122)),F122)</f>
        <v>0.59</v>
      </c>
      <c r="G134" s="8" cm="1">
        <f t="array" ref="G134">_xlfn.PERCENTRANK.EXC(_xlfn._xlws.FILTER(G2:G122, ISNUMBER(G2:G122)),G122)</f>
        <v>0.754</v>
      </c>
      <c r="H134" s="8" t="e" cm="1">
        <f t="array" ref="H134">_xlfn.PERCENTRANK.EXC(_xlfn._xlws.FILTER(H2:H122, ISNUMBER(H2:H122)),H122)</f>
        <v>#N/A</v>
      </c>
      <c r="I134" s="8" cm="1">
        <f t="array" ref="I134">_xlfn.PERCENTRANK.EXC(_xlfn._xlws.FILTER(I2:I122, ISNUMBER(I2:I122)),I122)</f>
        <v>9.8000000000000004E-2</v>
      </c>
      <c r="J134" s="8" cm="1">
        <f t="array" ref="J134">_xlfn.PERCENTRANK.EXC(_xlfn._xlws.FILTER(J2:J122, ISNUMBER(J2:J122)),J122)</f>
        <v>0.38500000000000001</v>
      </c>
      <c r="K134" s="8" cm="1">
        <f t="array" ref="K134">_xlfn.PERCENTRANK.EXC(_xlfn._xlws.FILTER(K2:K122, ISNUMBER(K2:K122)),K122)</f>
        <v>0.36699999999999999</v>
      </c>
      <c r="L134" s="8" cm="1">
        <f t="array" ref="L134">_xlfn.PERCENTRANK.EXC(_xlfn._xlws.FILTER(L2:L122, ISNUMBER(L2:L122)),L122)</f>
        <v>0.79500000000000004</v>
      </c>
      <c r="M134" s="8" cm="1">
        <f t="array" ref="M134">_xlfn.PERCENTRANK.EXC(_xlfn._xlws.FILTER(M2:M122, ISNUMBER(M2:M122)),M122)</f>
        <v>0.122</v>
      </c>
      <c r="N134" s="8" cm="1">
        <f t="array" ref="N134">_xlfn.PERCENTRANK.EXC(_xlfn._xlws.FILTER(N2:N122, ISNUMBER(N2:N122)),N122)</f>
        <v>0.35199999999999998</v>
      </c>
      <c r="O134" s="8" cm="1">
        <f t="array" ref="O134">_xlfn.PERCENTRANK.EXC(_xlfn._xlws.FILTER(O2:O122, ISNUMBER(O2:O122)),O122)</f>
        <v>0.53200000000000003</v>
      </c>
    </row>
    <row r="136" spans="1:15" x14ac:dyDescent="0.3">
      <c r="A136" s="8"/>
      <c r="B136" s="8" cm="1">
        <f t="array" ref="B136">_xlfn.PERCENTRANK.EXC(_xlfn._xlws.FILTER(B4:B125, ISNUMBER(B4:B125)),B113)</f>
        <v>0.39100000000000001</v>
      </c>
      <c r="C136" s="8" cm="1">
        <f t="array" ref="C136">_xlfn.PERCENTRANK.EXC(_xlfn._xlws.FILTER(C4:C125, ISNUMBER(C4:C125)),C113)</f>
        <v>0.56599999999999995</v>
      </c>
      <c r="D136" s="8" cm="1">
        <f t="array" ref="D136">_xlfn.PERCENTRANK.EXC(_xlfn._xlws.FILTER(D4:D125, ISNUMBER(D4:D125)),D113)</f>
        <v>0.55800000000000005</v>
      </c>
      <c r="E136" s="8" cm="1">
        <f t="array" ref="E136">_xlfn.PERCENTRANK.EXC(_xlfn._xlws.FILTER(E4:E125, ISNUMBER(E4:E125)),E113)</f>
        <v>0.25</v>
      </c>
      <c r="F136" s="8" cm="1">
        <f t="array" ref="F136">_xlfn.PERCENTRANK.EXC(_xlfn._xlws.FILTER(F4:F125, ISNUMBER(F4:F125)),F113)</f>
        <v>0.35</v>
      </c>
      <c r="G136" s="8" cm="1">
        <f t="array" ref="G136">_xlfn.PERCENTRANK.EXC(_xlfn._xlws.FILTER(G4:G125, ISNUMBER(G4:G125)),G113)</f>
        <v>0.96599999999999997</v>
      </c>
      <c r="H136" s="8" cm="1">
        <f t="array" ref="H136">_xlfn.PERCENTRANK.EXC(_xlfn._xlws.FILTER(H4:H125, ISNUMBER(H4:H125)),H113)</f>
        <v>0.75</v>
      </c>
      <c r="I136" s="8" cm="1">
        <f t="array" ref="I136">_xlfn.PERCENTRANK.EXC(_xlfn._xlws.FILTER(I4:I125, ISNUMBER(I4:I125)),I113)</f>
        <v>0.4</v>
      </c>
      <c r="J136" s="8" cm="1">
        <f t="array" ref="J136">_xlfn.PERCENTRANK.EXC(_xlfn._xlws.FILTER(J4:J125, ISNUMBER(J4:J125)),J113)</f>
        <v>0.94099999999999995</v>
      </c>
      <c r="K136" s="8" cm="1">
        <f t="array" ref="K136">_xlfn.PERCENTRANK.EXC(_xlfn._xlws.FILTER(K4:K125, ISNUMBER(K4:K125)),K113)</f>
        <v>0.53100000000000003</v>
      </c>
      <c r="L136" s="8" cm="1">
        <f t="array" ref="L136">_xlfn.PERCENTRANK.EXC(_xlfn._xlws.FILTER(L4:L125, ISNUMBER(L4:L125)),L113)</f>
        <v>0.65800000000000003</v>
      </c>
      <c r="M136" s="8" cm="1">
        <f t="array" ref="M136">_xlfn.PERCENTRANK.EXC(_xlfn._xlws.FILTER(M4:M125, ISNUMBER(M4:M125)),M113)</f>
        <v>0.92500000000000004</v>
      </c>
      <c r="N136" s="8" cm="1">
        <f t="array" ref="N136">_xlfn.PERCENTRANK.EXC(_xlfn._xlws.FILTER(N4:N125, ISNUMBER(N4:N125)),N113)</f>
        <v>0.89100000000000001</v>
      </c>
      <c r="O136" s="8" cm="1">
        <f t="array" ref="O136">_xlfn.PERCENTRANK.EXC(_xlfn._xlws.FILTER(O4:O125, ISNUMBER(O4:O125)),O113)</f>
        <v>0.76600000000000001</v>
      </c>
    </row>
    <row r="138" spans="1:15" x14ac:dyDescent="0.3">
      <c r="A138" t="s">
        <v>126</v>
      </c>
      <c r="B138">
        <f t="shared" ref="B138:J138" si="6">STDEV(B40:B122)</f>
        <v>5.1274112428100198E-2</v>
      </c>
      <c r="C138">
        <f t="shared" si="6"/>
        <v>4.5120417642295317E-2</v>
      </c>
      <c r="D138">
        <f t="shared" si="6"/>
        <v>3.5541863863434914E-2</v>
      </c>
      <c r="E138">
        <f t="shared" si="6"/>
        <v>1.9124760991673619E-2</v>
      </c>
      <c r="F138">
        <f t="shared" si="6"/>
        <v>5.5237164971249496E-2</v>
      </c>
      <c r="G138">
        <f t="shared" si="6"/>
        <v>3.5975438501118208E-2</v>
      </c>
      <c r="H138" t="e">
        <f t="shared" si="6"/>
        <v>#N/A</v>
      </c>
      <c r="I138">
        <f t="shared" si="6"/>
        <v>4.049168067254845E-2</v>
      </c>
      <c r="J138">
        <f t="shared" si="6"/>
        <v>5.1709393178795804E-2</v>
      </c>
      <c r="K138" t="e">
        <f t="shared" ref="K138:N138" si="7">STDEV(K40:K122)</f>
        <v>#N/A</v>
      </c>
      <c r="L138">
        <f t="shared" si="7"/>
        <v>4.532437647474049E-2</v>
      </c>
      <c r="M138">
        <f t="shared" si="7"/>
        <v>6.4910991705470128E-2</v>
      </c>
      <c r="N138">
        <f t="shared" si="7"/>
        <v>6.5710415821260762E-2</v>
      </c>
      <c r="O138">
        <f t="shared" ref="O138" si="8">STDEV(O40:O122)</f>
        <v>4.5369346098438137E-2</v>
      </c>
    </row>
    <row r="139" spans="1:15" x14ac:dyDescent="0.3">
      <c r="A139" t="s">
        <v>127</v>
      </c>
      <c r="B139" s="34">
        <f t="shared" ref="B139:J139" si="9">B138*SQRT(12)</f>
        <v>0.1776187356769367</v>
      </c>
      <c r="C139" s="34">
        <f t="shared" si="9"/>
        <v>0.15630171163036524</v>
      </c>
      <c r="D139" s="34">
        <f t="shared" si="9"/>
        <v>0.12312062801433107</v>
      </c>
      <c r="E139" s="34">
        <f t="shared" si="9"/>
        <v>6.6250115440380106E-2</v>
      </c>
      <c r="F139" s="34">
        <f t="shared" si="9"/>
        <v>0.19134715239253597</v>
      </c>
      <c r="G139" s="34">
        <f t="shared" si="9"/>
        <v>0.12462257461701254</v>
      </c>
      <c r="H139" s="34" t="e">
        <f t="shared" si="9"/>
        <v>#N/A</v>
      </c>
      <c r="I139" s="34">
        <f t="shared" si="9"/>
        <v>0.14026729641741728</v>
      </c>
      <c r="J139" s="34">
        <f t="shared" si="9"/>
        <v>0.17912659242845971</v>
      </c>
      <c r="K139" s="34" t="e">
        <f t="shared" ref="K139:N139" si="10">K138*SQRT(12)</f>
        <v>#N/A</v>
      </c>
      <c r="L139" s="34">
        <f t="shared" si="10"/>
        <v>0.15700824575126016</v>
      </c>
      <c r="M139" s="34">
        <f t="shared" si="10"/>
        <v>0.22485827120711244</v>
      </c>
      <c r="N139" s="34">
        <f t="shared" si="10"/>
        <v>0.22762755757780284</v>
      </c>
      <c r="O139" s="34">
        <f t="shared" ref="O139" si="11">O138*SQRT(12)</f>
        <v>0.15716402509734334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613"/>
  <sheetViews>
    <sheetView zoomScaleNormal="100" workbookViewId="0">
      <pane ySplit="1" topLeftCell="A97" activePane="bottomLeft" state="frozen"/>
      <selection pane="bottomLeft" activeCell="Z122" sqref="Z122"/>
    </sheetView>
  </sheetViews>
  <sheetFormatPr defaultRowHeight="14.4" x14ac:dyDescent="0.3"/>
  <cols>
    <col min="1" max="1" width="24.6640625" customWidth="1"/>
    <col min="11" max="11" width="8.88671875" customWidth="1"/>
  </cols>
  <sheetData>
    <row r="1" spans="1:16" x14ac:dyDescent="0.3">
      <c r="A1" s="2" t="s">
        <v>45</v>
      </c>
      <c r="B1" s="45" t="s">
        <v>4</v>
      </c>
      <c r="C1" s="45" t="s">
        <v>1</v>
      </c>
      <c r="D1" s="45" t="s">
        <v>147</v>
      </c>
      <c r="E1" s="45" t="s">
        <v>148</v>
      </c>
      <c r="F1" s="45" t="s">
        <v>15</v>
      </c>
      <c r="G1" s="45" t="s">
        <v>149</v>
      </c>
      <c r="H1" s="45" t="s">
        <v>61</v>
      </c>
      <c r="I1" s="45" t="s">
        <v>150</v>
      </c>
      <c r="J1" s="45" t="s">
        <v>71</v>
      </c>
      <c r="K1" s="45" t="s">
        <v>161</v>
      </c>
      <c r="L1" s="45" t="s">
        <v>12</v>
      </c>
      <c r="M1" t="s">
        <v>140</v>
      </c>
      <c r="N1" t="s">
        <v>142</v>
      </c>
      <c r="O1" s="29" t="s">
        <v>89</v>
      </c>
      <c r="P1" s="29"/>
    </row>
    <row r="2" spans="1:16" x14ac:dyDescent="0.3">
      <c r="A2" s="2" cm="1">
        <f t="array" ref="A2:A122">_xll.FDS(B1,"JULIAN(P_PRICE_RETURNS_PR('52W',2,-10AY,0,AM).dates)")</f>
        <v>41663</v>
      </c>
      <c r="B2" s="7" cm="1">
        <f t="array" ref="B2:B122">_xll.FDS(B1,"P_PRICE_RETURNS_PR('52W',2,-10AY,0,AM)")</f>
        <v>-12.540096</v>
      </c>
      <c r="C2" s="7" cm="1">
        <f t="array" ref="C2:C122">_xll.FDS(C1,"P_PRICE_RETURNS_PR('52W',2,-10AY,0,AM)")</f>
        <v>22.147703</v>
      </c>
      <c r="D2" s="7" cm="1">
        <f t="array" ref="D2:D122">_xll.FDS(D1,"P_PRICE_RETURNS_PR('52W',2,-10AY,0,AM)")</f>
        <v>-24.241108000000001</v>
      </c>
      <c r="E2" s="7" cm="1">
        <f t="array" ref="E2:E122">_xll.FDS(E1,"P_PRICE_RETURNS_PR('52W',2,-10AY,0,AM)")</f>
        <v>-0.96197723999999996</v>
      </c>
      <c r="F2" s="7" cm="1">
        <f t="array" ref="F2:F122">_xll.FDS(F1,"P_PRICE_RETURNS_PR('52W',2,-10AY,0,AM)")</f>
        <v>31.646740000000001</v>
      </c>
      <c r="G2" s="7" cm="1">
        <f t="array" ref="G2:G122">_xll.FDS(G1,"P_PRICE_RETURNS_PR('52W',2,-10AY,0,AM)")</f>
        <v>-12.2013035</v>
      </c>
      <c r="H2" s="7" cm="1">
        <f t="array" ref="H2:H122">_xll.FDS(H1,"P_PRICE_RETURNS_PR('52W',2,-10AY,0,AM)")</f>
        <v>2.0044803999999998</v>
      </c>
      <c r="I2" s="7" cm="1">
        <f t="array" ref="I2:I122">_xll.FDS(I1,"P_PRICE_RETURNS_PR('52W',2,-10AY,0,AM)")</f>
        <v>-7.4387607999999998</v>
      </c>
      <c r="J2" s="7" cm="1">
        <f t="array" ref="J2:J122">_xll.FDS(J1,"P_PRICE_RETURNS_PR('52W',2,-10AY,0,AM)")</f>
        <v>17.133057000000001</v>
      </c>
      <c r="K2" s="38" t="e" cm="1">
        <f t="array" ref="K2:K122">_xll.FDS(K1,"P_PRICE_RETURNS_PR('52W',2,-10AY,0,AM)")</f>
        <v>#N/A</v>
      </c>
      <c r="L2" s="38" cm="1">
        <f t="array" ref="L2:L122">_xll.FDS(L1,"P_PRICE_RETURNS_PR('52W',2,-10AY,0,AM)")</f>
        <v>20.574200000000001</v>
      </c>
      <c r="M2" s="38" cm="1">
        <f t="array" ref="M2:M122">_xll.FDS(M1,"P_PRICE_RETURNS_PR('52W',2,-10AY,0,AM)")</f>
        <v>17.450344000000001</v>
      </c>
      <c r="N2" s="38" cm="1">
        <f t="array" ref="N2:N122">_xll.FDS(N1,"P_PRICE_RETURNS_PR('52W',2,-10AY,0,AM)")</f>
        <v>11.575067499999999</v>
      </c>
      <c r="O2" s="38" cm="1">
        <f t="array" ref="O2:O122">_xll.FDS(O1,"P_PRICE_RETURNS_PR('52W',2,-10AY,0,AM)")</f>
        <v>18.422042999999999</v>
      </c>
    </row>
    <row r="3" spans="1:16" x14ac:dyDescent="0.3">
      <c r="A3" s="2">
        <v>41696</v>
      </c>
      <c r="B3" s="18">
        <v>-8.6952449999999999</v>
      </c>
      <c r="C3" s="18">
        <v>25.704025000000001</v>
      </c>
      <c r="D3" s="18">
        <v>-17.993855</v>
      </c>
      <c r="E3" s="18">
        <v>-3.4914969999999999</v>
      </c>
      <c r="F3" s="18">
        <v>37.149334000000003</v>
      </c>
      <c r="G3" s="18">
        <v>3.3549427999999999</v>
      </c>
      <c r="H3" s="18">
        <v>12.287307</v>
      </c>
      <c r="I3" s="18">
        <v>-6.2278213999999998</v>
      </c>
      <c r="J3" s="18">
        <v>26.585854000000001</v>
      </c>
      <c r="K3" s="25" t="e">
        <v>#N/A</v>
      </c>
      <c r="L3" s="25">
        <v>14.781475</v>
      </c>
      <c r="M3" s="25">
        <v>16.776478000000001</v>
      </c>
      <c r="N3" s="25">
        <v>37.311424000000002</v>
      </c>
      <c r="O3">
        <v>22.069299999999998</v>
      </c>
    </row>
    <row r="4" spans="1:16" x14ac:dyDescent="0.3">
      <c r="A4" s="2">
        <v>41724</v>
      </c>
      <c r="B4" s="18">
        <v>-4.7264520000000001</v>
      </c>
      <c r="C4" s="18">
        <v>20.81392</v>
      </c>
      <c r="D4" s="18">
        <v>-18.943899999999999</v>
      </c>
      <c r="E4" s="18">
        <v>-5.0952554000000001</v>
      </c>
      <c r="F4" s="18">
        <v>29.176092000000001</v>
      </c>
      <c r="G4" s="18">
        <v>7.4894904999999996</v>
      </c>
      <c r="H4" s="18">
        <v>8.4372410000000002</v>
      </c>
      <c r="I4" s="18">
        <v>-3.8431047999999999</v>
      </c>
      <c r="J4" s="18">
        <v>23.042857999999999</v>
      </c>
      <c r="K4" s="25" t="e">
        <v>#N/A</v>
      </c>
      <c r="L4" s="25">
        <v>3.8450598999999999</v>
      </c>
      <c r="M4" s="25">
        <v>15.446472</v>
      </c>
      <c r="N4" s="25">
        <v>47.578598</v>
      </c>
      <c r="O4">
        <v>18.680143000000001</v>
      </c>
    </row>
    <row r="5" spans="1:16" x14ac:dyDescent="0.3">
      <c r="A5" s="2">
        <v>41754</v>
      </c>
      <c r="B5" s="18">
        <v>-3.4169078000000002</v>
      </c>
      <c r="C5" s="18">
        <v>19.887626999999998</v>
      </c>
      <c r="D5" s="18">
        <v>-11.438256000000001</v>
      </c>
      <c r="E5" s="18">
        <v>-5.197692</v>
      </c>
      <c r="F5" s="18">
        <v>25.459479999999999</v>
      </c>
      <c r="G5" s="18">
        <v>12.654805</v>
      </c>
      <c r="H5" s="18">
        <v>13.690937</v>
      </c>
      <c r="I5" s="18">
        <v>-6.0691300000000004</v>
      </c>
      <c r="J5" s="18">
        <v>22.912645000000001</v>
      </c>
      <c r="K5" s="25" t="e">
        <v>#N/A</v>
      </c>
      <c r="L5" s="25">
        <v>-3.6424280000000002</v>
      </c>
      <c r="M5" s="25">
        <v>16.530346000000002</v>
      </c>
      <c r="N5" s="25">
        <v>41.970039999999997</v>
      </c>
      <c r="O5">
        <v>12.119173999999999</v>
      </c>
    </row>
    <row r="6" spans="1:16" x14ac:dyDescent="0.3">
      <c r="A6" s="2">
        <v>41782</v>
      </c>
      <c r="B6" s="18">
        <v>2.1710156999999999</v>
      </c>
      <c r="C6" s="18">
        <v>17.369461000000001</v>
      </c>
      <c r="D6" s="18">
        <v>-7.5031575999999998</v>
      </c>
      <c r="E6" s="18">
        <v>-5.5408955000000004</v>
      </c>
      <c r="F6" s="18">
        <v>24.311409999999999</v>
      </c>
      <c r="G6" s="18">
        <v>10.883284</v>
      </c>
      <c r="H6" s="18">
        <v>18.403137000000001</v>
      </c>
      <c r="I6" s="18">
        <v>-0.29343963000000001</v>
      </c>
      <c r="J6" s="18">
        <v>21.152449000000001</v>
      </c>
      <c r="K6" s="25" t="e">
        <v>#N/A</v>
      </c>
      <c r="L6" s="25">
        <v>-0.83573459999999999</v>
      </c>
      <c r="M6" s="25">
        <v>15.851461</v>
      </c>
      <c r="N6" s="25">
        <v>30.626179</v>
      </c>
      <c r="O6">
        <v>13.549863999999999</v>
      </c>
    </row>
    <row r="7" spans="1:16" x14ac:dyDescent="0.3">
      <c r="A7" s="2">
        <v>41816</v>
      </c>
      <c r="B7" s="18">
        <v>16.410827999999999</v>
      </c>
      <c r="C7" s="18">
        <v>24.442540999999999</v>
      </c>
      <c r="D7" s="18">
        <v>7.1440697000000002</v>
      </c>
      <c r="E7" s="18">
        <v>-4.9289519999999998</v>
      </c>
      <c r="F7" s="18">
        <v>33.731259999999999</v>
      </c>
      <c r="G7" s="18">
        <v>10.825766</v>
      </c>
      <c r="H7" s="18">
        <v>19.652058</v>
      </c>
      <c r="I7" s="18">
        <v>7.8046439999999997</v>
      </c>
      <c r="J7" s="18">
        <v>29.258717000000001</v>
      </c>
      <c r="K7" s="25" t="e">
        <v>#N/A</v>
      </c>
      <c r="L7" s="25">
        <v>12.18046</v>
      </c>
      <c r="M7" s="25">
        <v>22.307659999999998</v>
      </c>
      <c r="N7" s="25">
        <v>48.847625999999998</v>
      </c>
      <c r="O7">
        <v>20.122741999999999</v>
      </c>
    </row>
    <row r="8" spans="1:16" x14ac:dyDescent="0.3">
      <c r="A8" s="2">
        <v>41845</v>
      </c>
      <c r="B8" s="18">
        <v>14.660691999999999</v>
      </c>
      <c r="C8" s="18">
        <v>19.343578000000001</v>
      </c>
      <c r="D8" s="18">
        <v>-2.2375047000000001</v>
      </c>
      <c r="E8" s="18">
        <v>-2.2603989000000002</v>
      </c>
      <c r="F8" s="18">
        <v>31.022584999999999</v>
      </c>
      <c r="G8" s="18">
        <v>7.9159856</v>
      </c>
      <c r="H8" s="18">
        <v>6.038761</v>
      </c>
      <c r="I8" s="18">
        <v>11.113714999999999</v>
      </c>
      <c r="J8" s="18">
        <v>17.826675000000002</v>
      </c>
      <c r="K8" s="25" t="e">
        <v>#N/A</v>
      </c>
      <c r="L8" s="25">
        <v>5.6075809999999997</v>
      </c>
      <c r="M8" s="25">
        <v>9.6752280000000006</v>
      </c>
      <c r="N8" s="25">
        <v>32.309413999999997</v>
      </c>
      <c r="O8">
        <v>16.561926</v>
      </c>
    </row>
    <row r="9" spans="1:16" x14ac:dyDescent="0.3">
      <c r="A9" s="2">
        <v>41877</v>
      </c>
      <c r="B9" s="18">
        <v>22.536218999999999</v>
      </c>
      <c r="C9" s="18">
        <v>23.053265</v>
      </c>
      <c r="D9" s="18">
        <v>-8.9331870000000002</v>
      </c>
      <c r="E9" s="18">
        <v>0.13642310999999999</v>
      </c>
      <c r="F9" s="18">
        <v>31.703925999999999</v>
      </c>
      <c r="G9" s="18">
        <v>2.9909492000000002</v>
      </c>
      <c r="H9" s="18">
        <v>-2.8011560000000002</v>
      </c>
      <c r="I9" s="18">
        <v>15.605544999999999</v>
      </c>
      <c r="J9" s="18">
        <v>13.857018999999999</v>
      </c>
      <c r="K9" s="25" t="e">
        <v>#N/A</v>
      </c>
      <c r="L9" s="25">
        <v>7.8641294999999998</v>
      </c>
      <c r="M9" s="25">
        <v>6.6081405000000002</v>
      </c>
      <c r="N9" s="25">
        <v>22.333347</v>
      </c>
      <c r="O9">
        <v>16.55444</v>
      </c>
    </row>
    <row r="10" spans="1:16" x14ac:dyDescent="0.3">
      <c r="A10" s="2">
        <v>41908</v>
      </c>
      <c r="B10" s="18">
        <v>6.4170600000000002</v>
      </c>
      <c r="C10" s="18">
        <v>18.890142000000001</v>
      </c>
      <c r="D10" s="18">
        <v>-8.3965890000000005</v>
      </c>
      <c r="E10" s="18">
        <v>4.9723743999999996</v>
      </c>
      <c r="F10" s="18">
        <v>26.608443999999999</v>
      </c>
      <c r="G10" s="18">
        <v>-0.66692830000000003</v>
      </c>
      <c r="H10" s="18">
        <v>-2.8711498</v>
      </c>
      <c r="I10" s="18">
        <v>12.63386</v>
      </c>
      <c r="J10" s="18">
        <v>5.8058142999999998</v>
      </c>
      <c r="K10" s="25" t="e">
        <v>#N/A</v>
      </c>
      <c r="L10" s="25">
        <v>-0.2465725</v>
      </c>
      <c r="M10" s="25">
        <v>-1.6021251999999999</v>
      </c>
      <c r="N10" s="25">
        <v>11.902988000000001</v>
      </c>
      <c r="O10">
        <v>9.9591019999999997</v>
      </c>
    </row>
    <row r="11" spans="1:16" x14ac:dyDescent="0.3">
      <c r="A11" s="2">
        <v>41936</v>
      </c>
      <c r="B11" s="18">
        <v>1.8443465000000001</v>
      </c>
      <c r="C11" s="18">
        <v>14.328360999999999</v>
      </c>
      <c r="D11" s="18">
        <v>-8.891451</v>
      </c>
      <c r="E11" s="18">
        <v>6.7979455</v>
      </c>
      <c r="F11" s="18">
        <v>21.58128</v>
      </c>
      <c r="G11" s="18">
        <v>0.70505139999999999</v>
      </c>
      <c r="H11" s="18">
        <v>-10.716027</v>
      </c>
      <c r="I11" s="18">
        <v>14.512491000000001</v>
      </c>
      <c r="J11" s="18">
        <v>-3.5480081999999999</v>
      </c>
      <c r="K11" s="25" t="e">
        <v>#N/A</v>
      </c>
      <c r="L11" s="25">
        <v>-4.9450339999999997</v>
      </c>
      <c r="M11" s="25">
        <v>-5.8087229999999996</v>
      </c>
      <c r="N11" s="25">
        <v>-3.5899103000000001</v>
      </c>
      <c r="O11">
        <v>5.2603840000000002</v>
      </c>
    </row>
    <row r="12" spans="1:16" x14ac:dyDescent="0.3">
      <c r="A12" s="2">
        <v>41969</v>
      </c>
      <c r="B12" s="18">
        <v>8.0211640000000006</v>
      </c>
      <c r="C12" s="18">
        <v>17.154049000000001</v>
      </c>
      <c r="D12" s="18">
        <v>-3.8891613</v>
      </c>
      <c r="E12" s="18">
        <v>7.3305726</v>
      </c>
      <c r="F12" s="18">
        <v>26.521609999999999</v>
      </c>
      <c r="G12" s="18">
        <v>4.1649820000000002</v>
      </c>
      <c r="H12" s="18">
        <v>-16.666661999999999</v>
      </c>
      <c r="I12" s="18">
        <v>19.867336000000002</v>
      </c>
      <c r="J12" s="18">
        <v>2.0280122999999999</v>
      </c>
      <c r="K12" s="25" t="e">
        <v>#N/A</v>
      </c>
      <c r="L12" s="25">
        <v>-1.6092598</v>
      </c>
      <c r="M12" s="25">
        <v>2.0905733</v>
      </c>
      <c r="N12" s="25">
        <v>0.64741373000000002</v>
      </c>
      <c r="O12">
        <v>9.0260739999999995</v>
      </c>
    </row>
    <row r="13" spans="1:16" x14ac:dyDescent="0.3">
      <c r="A13" s="2">
        <v>41999</v>
      </c>
      <c r="B13" s="18">
        <v>2.3473500999999999</v>
      </c>
      <c r="C13" s="18">
        <v>15.585554</v>
      </c>
      <c r="D13" s="18">
        <v>-1.6361117000000001</v>
      </c>
      <c r="E13" s="18">
        <v>10.448456</v>
      </c>
      <c r="F13" s="18">
        <v>21.549510999999999</v>
      </c>
      <c r="G13" s="18">
        <v>2.8559684999999999</v>
      </c>
      <c r="H13" s="18">
        <v>-39.518898</v>
      </c>
      <c r="I13" s="18">
        <v>25.475322999999999</v>
      </c>
      <c r="J13" s="18">
        <v>-3.5290062</v>
      </c>
      <c r="K13" s="25" t="e">
        <v>#N/A</v>
      </c>
      <c r="L13" s="25">
        <v>-2.02834</v>
      </c>
      <c r="M13" s="25">
        <v>-5.1761626999999999</v>
      </c>
      <c r="N13" s="25">
        <v>-6.7184686999999998</v>
      </c>
      <c r="O13">
        <v>7.3597193000000001</v>
      </c>
    </row>
    <row r="14" spans="1:16" x14ac:dyDescent="0.3">
      <c r="A14" s="2">
        <v>42030</v>
      </c>
      <c r="B14" s="18">
        <v>12.87936</v>
      </c>
      <c r="C14" s="18">
        <v>17.089510000000001</v>
      </c>
      <c r="D14" s="18">
        <v>0.57240725000000003</v>
      </c>
      <c r="E14" s="18">
        <v>16.419982999999998</v>
      </c>
      <c r="F14" s="18">
        <v>21.897352000000001</v>
      </c>
      <c r="G14" s="18">
        <v>-3.0103086999999999</v>
      </c>
      <c r="H14" s="18">
        <v>-47.076774999999998</v>
      </c>
      <c r="I14" s="18">
        <v>28.727436000000001</v>
      </c>
      <c r="J14" s="18">
        <v>-2.2045374</v>
      </c>
      <c r="K14" s="25" t="e">
        <v>#N/A</v>
      </c>
      <c r="L14" s="25">
        <v>0.49654245000000002</v>
      </c>
      <c r="M14" s="25">
        <v>-4.6126659999999999</v>
      </c>
      <c r="N14" s="25">
        <v>-8.8180540000000001</v>
      </c>
      <c r="O14">
        <v>8.0731750000000009</v>
      </c>
    </row>
    <row r="15" spans="1:16" x14ac:dyDescent="0.3">
      <c r="A15" s="2">
        <v>42061</v>
      </c>
      <c r="B15" s="18">
        <v>11.630190000000001</v>
      </c>
      <c r="C15" s="18">
        <v>16.584910000000001</v>
      </c>
      <c r="D15" s="18">
        <v>-9.3981739999999991</v>
      </c>
      <c r="E15" s="18">
        <v>16.836739000000001</v>
      </c>
      <c r="F15" s="18">
        <v>22.516119</v>
      </c>
      <c r="G15" s="18">
        <v>-15.308009999999999</v>
      </c>
      <c r="H15" s="18">
        <v>-44.532097</v>
      </c>
      <c r="I15" s="18">
        <v>22.503399000000002</v>
      </c>
      <c r="J15" s="18">
        <v>-2.5788844000000002</v>
      </c>
      <c r="K15" s="25" t="e">
        <v>#N/A</v>
      </c>
      <c r="L15" s="25">
        <v>8.7301970000000004</v>
      </c>
      <c r="M15" s="25">
        <v>-1.4114439999999999</v>
      </c>
      <c r="N15" s="25">
        <v>-8.0243000000000002</v>
      </c>
      <c r="O15">
        <v>8.6665150000000004</v>
      </c>
    </row>
    <row r="16" spans="1:16" x14ac:dyDescent="0.3">
      <c r="A16" s="2">
        <v>42089</v>
      </c>
      <c r="B16" s="18">
        <v>3.9124726999999999</v>
      </c>
      <c r="C16" s="18">
        <v>13.141000999999999</v>
      </c>
      <c r="D16" s="18">
        <v>-7.9180299999999999</v>
      </c>
      <c r="E16" s="18">
        <v>19.701205999999999</v>
      </c>
      <c r="F16" s="18">
        <v>21.62856</v>
      </c>
      <c r="G16" s="18">
        <v>-20.405262</v>
      </c>
      <c r="H16" s="18">
        <v>-44.641815000000001</v>
      </c>
      <c r="I16" s="18">
        <v>21.690463999999999</v>
      </c>
      <c r="J16" s="18">
        <v>-2.4458766000000001</v>
      </c>
      <c r="K16" s="25" t="e">
        <v>#N/A</v>
      </c>
      <c r="L16" s="25">
        <v>16.21641</v>
      </c>
      <c r="M16" s="25">
        <v>-2.7512968</v>
      </c>
      <c r="N16" s="25">
        <v>-11.631506999999999</v>
      </c>
      <c r="O16">
        <v>5.9451460000000003</v>
      </c>
    </row>
    <row r="17" spans="1:15" x14ac:dyDescent="0.3">
      <c r="A17" s="2">
        <v>42118</v>
      </c>
      <c r="B17" s="18">
        <v>12.017918</v>
      </c>
      <c r="C17" s="18">
        <v>14.881182000000001</v>
      </c>
      <c r="D17" s="18">
        <v>-9.2405205000000006</v>
      </c>
      <c r="E17" s="18">
        <v>19.587634999999999</v>
      </c>
      <c r="F17" s="18">
        <v>27.602779999999999</v>
      </c>
      <c r="G17" s="18">
        <v>-23.485105999999998</v>
      </c>
      <c r="H17" s="18">
        <v>-42.018802999999998</v>
      </c>
      <c r="I17" s="18">
        <v>19.381916</v>
      </c>
      <c r="J17" s="18">
        <v>-1.8079817</v>
      </c>
      <c r="K17" s="25" t="e">
        <v>#N/A</v>
      </c>
      <c r="L17" s="25">
        <v>21.550571000000001</v>
      </c>
      <c r="M17" s="25">
        <v>-1.4478445</v>
      </c>
      <c r="N17" s="25">
        <v>-13.506645000000001</v>
      </c>
      <c r="O17">
        <v>8.4914090000000009</v>
      </c>
    </row>
    <row r="18" spans="1:15" x14ac:dyDescent="0.3">
      <c r="A18" s="2">
        <v>42150</v>
      </c>
      <c r="B18" s="18">
        <v>3.6201477</v>
      </c>
      <c r="C18" s="18">
        <v>12.851524</v>
      </c>
      <c r="D18" s="18">
        <v>-8.5133729999999996</v>
      </c>
      <c r="E18" s="18">
        <v>18.994415</v>
      </c>
      <c r="F18" s="18">
        <v>22.84423</v>
      </c>
      <c r="G18" s="18">
        <v>-21.835000000000001</v>
      </c>
      <c r="H18" s="18">
        <v>-45.34601</v>
      </c>
      <c r="I18" s="18">
        <v>11.694383999999999</v>
      </c>
      <c r="J18" s="18">
        <v>-3.2986282999999998</v>
      </c>
      <c r="K18" s="25" t="e">
        <v>#N/A</v>
      </c>
      <c r="L18" s="25">
        <v>16.570710999999999</v>
      </c>
      <c r="M18" s="25">
        <v>-4.4188556999999999</v>
      </c>
      <c r="N18" s="25">
        <v>-7.6590594999999997</v>
      </c>
      <c r="O18">
        <v>7.5877904999999997</v>
      </c>
    </row>
    <row r="19" spans="1:15" x14ac:dyDescent="0.3">
      <c r="A19" s="2">
        <v>42181</v>
      </c>
      <c r="B19" s="18">
        <v>-1.7805040000000001</v>
      </c>
      <c r="C19" s="18">
        <v>9.4649315000000005</v>
      </c>
      <c r="D19" s="18">
        <v>-11.181253</v>
      </c>
      <c r="E19" s="18">
        <v>16.767872000000001</v>
      </c>
      <c r="F19" s="18">
        <v>18.322431999999999</v>
      </c>
      <c r="G19" s="18">
        <v>-19.037431999999999</v>
      </c>
      <c r="H19" s="18">
        <v>-45.55735</v>
      </c>
      <c r="I19" s="18">
        <v>4.398358</v>
      </c>
      <c r="J19" s="18">
        <v>-2.9063403999999999</v>
      </c>
      <c r="K19" s="25" t="e">
        <v>#N/A</v>
      </c>
      <c r="L19" s="25">
        <v>10.102855999999999</v>
      </c>
      <c r="M19" s="25">
        <v>-1.4931619</v>
      </c>
      <c r="N19" s="25">
        <v>-7.3374930000000003</v>
      </c>
      <c r="O19">
        <v>4.0584445000000002</v>
      </c>
    </row>
    <row r="20" spans="1:15" x14ac:dyDescent="0.3">
      <c r="A20" s="2">
        <v>42209</v>
      </c>
      <c r="B20" s="18">
        <v>-12.625563</v>
      </c>
      <c r="C20" s="18">
        <v>6.7619084999999997</v>
      </c>
      <c r="D20" s="18">
        <v>-15.279453999999999</v>
      </c>
      <c r="E20" s="18">
        <v>17.933273</v>
      </c>
      <c r="F20" s="18">
        <v>15.621686</v>
      </c>
      <c r="G20" s="18">
        <v>-18.574106</v>
      </c>
      <c r="H20" s="18">
        <v>-54.144385999999997</v>
      </c>
      <c r="I20" s="18">
        <v>9.0640544999999992</v>
      </c>
      <c r="J20" s="18">
        <v>-4.9546422999999997</v>
      </c>
      <c r="K20" s="25" t="e">
        <v>#N/A</v>
      </c>
      <c r="L20" s="25">
        <v>6.614852</v>
      </c>
      <c r="M20" s="25">
        <v>-5.4086565999999996</v>
      </c>
      <c r="N20" s="25">
        <v>-7.801914</v>
      </c>
      <c r="O20">
        <v>0.79710484000000004</v>
      </c>
    </row>
    <row r="21" spans="1:15" x14ac:dyDescent="0.3">
      <c r="A21" s="2">
        <v>42242</v>
      </c>
      <c r="B21" s="18">
        <v>-24.072801999999999</v>
      </c>
      <c r="C21" s="18">
        <v>-1.0249257000000001</v>
      </c>
      <c r="D21" s="18">
        <v>-12.711793</v>
      </c>
      <c r="E21" s="18">
        <v>12.897372000000001</v>
      </c>
      <c r="F21" s="18">
        <v>4.6585083000000003</v>
      </c>
      <c r="G21" s="18">
        <v>-20.978217999999998</v>
      </c>
      <c r="H21" s="18">
        <v>-60.365513</v>
      </c>
      <c r="I21" s="18">
        <v>6.672466</v>
      </c>
      <c r="J21" s="18">
        <v>-8.4999859999999998</v>
      </c>
      <c r="K21" s="25" t="e">
        <v>#N/A</v>
      </c>
      <c r="L21" s="25">
        <v>2.200377</v>
      </c>
      <c r="M21" s="25">
        <v>-9.5564479999999996</v>
      </c>
      <c r="N21" s="25">
        <v>-5.6089343999999999</v>
      </c>
      <c r="O21">
        <v>-5.5594682999999998</v>
      </c>
    </row>
    <row r="22" spans="1:15" x14ac:dyDescent="0.3">
      <c r="A22" s="2">
        <v>42272</v>
      </c>
      <c r="B22" s="18">
        <v>-20.36279</v>
      </c>
      <c r="C22" s="18">
        <v>0.21094083999999999</v>
      </c>
      <c r="D22" s="18">
        <v>-6.4571085000000004</v>
      </c>
      <c r="E22" s="18">
        <v>10.630787</v>
      </c>
      <c r="F22" s="18">
        <v>6.4388633000000004</v>
      </c>
      <c r="G22" s="18">
        <v>-15.95068</v>
      </c>
      <c r="H22" s="18">
        <v>-54.545456000000001</v>
      </c>
      <c r="I22" s="18">
        <v>7.3931931999999998</v>
      </c>
      <c r="J22" s="18">
        <v>-8.8010549999999999</v>
      </c>
      <c r="K22" s="25" t="e">
        <v>#N/A</v>
      </c>
      <c r="L22" s="25">
        <v>-0.70015190000000005</v>
      </c>
      <c r="M22" s="25">
        <v>-9.2981929999999995</v>
      </c>
      <c r="N22" s="25">
        <v>-6.0093639999999997</v>
      </c>
      <c r="O22">
        <v>-3.907591</v>
      </c>
    </row>
    <row r="23" spans="1:15" x14ac:dyDescent="0.3">
      <c r="A23" s="2">
        <v>42303</v>
      </c>
      <c r="B23" s="18">
        <v>-10.627955</v>
      </c>
      <c r="C23" s="18">
        <v>7.5144289999999998</v>
      </c>
      <c r="D23" s="18">
        <v>-5.8470607000000001</v>
      </c>
      <c r="E23" s="18">
        <v>10.711145</v>
      </c>
      <c r="F23" s="18">
        <v>15.666962</v>
      </c>
      <c r="G23" s="18">
        <v>-17.5807</v>
      </c>
      <c r="H23" s="18">
        <v>-50.449466999999999</v>
      </c>
      <c r="I23" s="18">
        <v>6.2950134000000002</v>
      </c>
      <c r="J23" s="18">
        <v>1.6371249999999999</v>
      </c>
      <c r="K23" s="25" t="e">
        <v>#N/A</v>
      </c>
      <c r="L23" s="25">
        <v>12.229096999999999</v>
      </c>
      <c r="M23" s="25">
        <v>-2.0266234999999999</v>
      </c>
      <c r="N23" s="25">
        <v>3.6420583999999998</v>
      </c>
      <c r="O23">
        <v>4.1912200000000004</v>
      </c>
    </row>
    <row r="24" spans="1:15" x14ac:dyDescent="0.3">
      <c r="A24" s="2">
        <v>42333</v>
      </c>
      <c r="B24" s="18">
        <v>-15.821892</v>
      </c>
      <c r="C24" s="18">
        <v>3.1131148</v>
      </c>
      <c r="D24" s="18">
        <v>-11.197782</v>
      </c>
      <c r="E24" s="18">
        <v>11.263382</v>
      </c>
      <c r="F24" s="18">
        <v>10.058033</v>
      </c>
      <c r="G24" s="18">
        <v>-19.533985000000001</v>
      </c>
      <c r="H24" s="18">
        <v>-47.415329999999997</v>
      </c>
      <c r="I24" s="18">
        <v>2.4907111999999998</v>
      </c>
      <c r="J24" s="18">
        <v>-5.0110935999999997</v>
      </c>
      <c r="K24" s="25" t="e">
        <v>#N/A</v>
      </c>
      <c r="L24" s="25">
        <v>8.4468359999999993</v>
      </c>
      <c r="M24" s="25">
        <v>-8.8254450000000002</v>
      </c>
      <c r="N24" s="25">
        <v>-2.8629362999999999</v>
      </c>
      <c r="O24">
        <v>-0.21411179999999999</v>
      </c>
    </row>
    <row r="25" spans="1:15" x14ac:dyDescent="0.3">
      <c r="A25" s="2">
        <v>42362</v>
      </c>
      <c r="B25" s="18">
        <v>-13.623661</v>
      </c>
      <c r="C25" s="18">
        <v>1.054573</v>
      </c>
      <c r="D25" s="18">
        <v>-8.6193080000000002</v>
      </c>
      <c r="E25" s="18">
        <v>6.70017</v>
      </c>
      <c r="F25" s="18">
        <v>9.0517040000000009</v>
      </c>
      <c r="G25" s="18">
        <v>-18.503778000000001</v>
      </c>
      <c r="H25" s="18">
        <v>-41.38691</v>
      </c>
      <c r="I25" s="18">
        <v>0.80806016999999997</v>
      </c>
      <c r="J25" s="18">
        <v>-2.7092575999999999</v>
      </c>
      <c r="K25" s="25" t="e">
        <v>#N/A</v>
      </c>
      <c r="L25" s="25">
        <v>6.8800210000000002</v>
      </c>
      <c r="M25" s="25">
        <v>-4.1588599999999998</v>
      </c>
      <c r="N25" s="25">
        <v>2.3598552000000002</v>
      </c>
      <c r="O25">
        <v>-1.7270981999999999</v>
      </c>
    </row>
    <row r="26" spans="1:15" x14ac:dyDescent="0.3">
      <c r="A26" s="2">
        <v>42395</v>
      </c>
      <c r="B26" s="18">
        <v>-27.148849999999999</v>
      </c>
      <c r="C26" s="18">
        <v>-5.4957985999999996</v>
      </c>
      <c r="D26" s="18">
        <v>-12.765264500000001</v>
      </c>
      <c r="E26" s="18">
        <v>2.2248744999999999</v>
      </c>
      <c r="F26" s="18">
        <v>6.186962E-2</v>
      </c>
      <c r="G26" s="18">
        <v>-14.413273</v>
      </c>
      <c r="H26" s="18">
        <v>-41.744007000000003</v>
      </c>
      <c r="I26" s="18">
        <v>-3.7582100000000001</v>
      </c>
      <c r="J26" s="18">
        <v>-10.410767999999999</v>
      </c>
      <c r="K26" s="25" t="e">
        <v>#N/A</v>
      </c>
      <c r="L26" s="25">
        <v>-2.1703839999999999</v>
      </c>
      <c r="M26" s="25">
        <v>-10.430342</v>
      </c>
      <c r="N26" s="25">
        <v>-10.304981</v>
      </c>
      <c r="O26">
        <v>-8.4927620000000008</v>
      </c>
    </row>
    <row r="27" spans="1:15" x14ac:dyDescent="0.3">
      <c r="A27" s="2">
        <v>42426</v>
      </c>
      <c r="B27" s="18">
        <v>-24.688870000000001</v>
      </c>
      <c r="C27" s="18">
        <v>-5.7858586000000001</v>
      </c>
      <c r="D27" s="18">
        <v>0.89601280000000005</v>
      </c>
      <c r="E27" s="18">
        <v>0.99245309999999998</v>
      </c>
      <c r="F27" s="18">
        <v>-4.0344477000000003</v>
      </c>
      <c r="G27" s="18">
        <v>-13.022650000000001</v>
      </c>
      <c r="H27" s="18">
        <v>-45.779114</v>
      </c>
      <c r="I27" s="18">
        <v>4.1140794999999999</v>
      </c>
      <c r="J27" s="18">
        <v>-15.523535000000001</v>
      </c>
      <c r="K27" s="25" t="e">
        <v>#N/A</v>
      </c>
      <c r="L27" s="25">
        <v>-9.7038379999999993</v>
      </c>
      <c r="M27" s="25">
        <v>-16.779482000000002</v>
      </c>
      <c r="N27" s="25">
        <v>-21.930800999999999</v>
      </c>
      <c r="O27">
        <v>-10.681248</v>
      </c>
    </row>
    <row r="28" spans="1:15" x14ac:dyDescent="0.3">
      <c r="A28" s="2">
        <v>42453</v>
      </c>
      <c r="B28" s="18">
        <v>-14.911675000000001</v>
      </c>
      <c r="C28" s="18">
        <v>-0.63465240000000001</v>
      </c>
      <c r="D28" s="18">
        <v>1.5361785999999999</v>
      </c>
      <c r="E28" s="18">
        <v>-2.6932119999999999</v>
      </c>
      <c r="F28" s="18">
        <v>0.46263933000000002</v>
      </c>
      <c r="G28" s="18">
        <v>-8.0495359999999998</v>
      </c>
      <c r="H28" s="18">
        <v>-33.882587000000001</v>
      </c>
      <c r="I28" s="18">
        <v>0.16235113000000001</v>
      </c>
      <c r="J28" s="18">
        <v>-12.097555</v>
      </c>
      <c r="K28" s="25" t="e">
        <v>#N/A</v>
      </c>
      <c r="L28" s="25">
        <v>-10.511613000000001</v>
      </c>
      <c r="M28" s="25">
        <v>-13.572376999999999</v>
      </c>
      <c r="N28" s="25">
        <v>-18.100912000000001</v>
      </c>
      <c r="O28">
        <v>-6.3678083000000001</v>
      </c>
    </row>
    <row r="29" spans="1:15" x14ac:dyDescent="0.3">
      <c r="A29" s="2">
        <v>42486</v>
      </c>
      <c r="B29" s="18">
        <v>-18.95017</v>
      </c>
      <c r="C29" s="18">
        <v>0.83578825000000001</v>
      </c>
      <c r="D29" s="18">
        <v>4.9977780000000003</v>
      </c>
      <c r="E29" s="18">
        <v>-3.9968669999999999</v>
      </c>
      <c r="F29" s="18">
        <v>-0.82114935</v>
      </c>
      <c r="G29" s="18">
        <v>-5.7718160000000003</v>
      </c>
      <c r="H29" s="18">
        <v>-38.159435000000002</v>
      </c>
      <c r="I29" s="18">
        <v>1.0981202000000001</v>
      </c>
      <c r="J29" s="18">
        <v>-9.2328790000000005</v>
      </c>
      <c r="K29" s="25" t="e">
        <v>#N/A</v>
      </c>
      <c r="L29" s="25">
        <v>-8.1192255000000007</v>
      </c>
      <c r="M29" s="25">
        <v>-8.2764509999999998</v>
      </c>
      <c r="N29" s="25">
        <v>-15.345711</v>
      </c>
      <c r="O29">
        <v>-3.8263083</v>
      </c>
    </row>
    <row r="30" spans="1:15" x14ac:dyDescent="0.3">
      <c r="A30" s="2">
        <v>42516</v>
      </c>
      <c r="B30" s="18">
        <v>-19.805966999999999</v>
      </c>
      <c r="C30" s="18">
        <v>1.4943957000000001</v>
      </c>
      <c r="D30" s="18">
        <v>2.3439527</v>
      </c>
      <c r="E30" s="18">
        <v>-3.5602510000000001</v>
      </c>
      <c r="F30" s="18">
        <v>1.4234424000000001</v>
      </c>
      <c r="G30" s="18">
        <v>-3.0937253999999998</v>
      </c>
      <c r="H30" s="18">
        <v>-29.811489999999999</v>
      </c>
      <c r="I30" s="18">
        <v>8.8863489999999992</v>
      </c>
      <c r="J30" s="18">
        <v>-8.7715680000000003</v>
      </c>
      <c r="K30" s="25" t="e">
        <v>#N/A</v>
      </c>
      <c r="L30" s="25">
        <v>-9.4202460000000006</v>
      </c>
      <c r="M30" s="25">
        <v>-9.5648649999999993</v>
      </c>
      <c r="N30" s="25">
        <v>-17.984808000000001</v>
      </c>
      <c r="O30">
        <v>-4.2508783000000001</v>
      </c>
    </row>
    <row r="31" spans="1:15" x14ac:dyDescent="0.3">
      <c r="A31" s="2">
        <v>42545</v>
      </c>
      <c r="B31" s="18">
        <v>-17.679082999999999</v>
      </c>
      <c r="C31" s="18">
        <v>-1.3898790000000001</v>
      </c>
      <c r="D31" s="18">
        <v>11.919354999999999</v>
      </c>
      <c r="E31" s="18">
        <v>-0.76090692999999998</v>
      </c>
      <c r="F31" s="18">
        <v>-4.3124557000000001</v>
      </c>
      <c r="G31" s="18">
        <v>-2.9174209000000002</v>
      </c>
      <c r="H31" s="18">
        <v>-34.614055999999998</v>
      </c>
      <c r="I31" s="18">
        <v>19.033348</v>
      </c>
      <c r="J31" s="18">
        <v>-18.043678</v>
      </c>
      <c r="K31" s="25" t="e">
        <v>#N/A</v>
      </c>
      <c r="L31" s="25">
        <v>-11.399084</v>
      </c>
      <c r="M31" s="25">
        <v>-18.894917</v>
      </c>
      <c r="N31" s="25">
        <v>-31.189609999999998</v>
      </c>
      <c r="O31">
        <v>-6.8281530000000004</v>
      </c>
    </row>
    <row r="32" spans="1:15" x14ac:dyDescent="0.3">
      <c r="A32" s="2">
        <v>42577</v>
      </c>
      <c r="B32" s="18">
        <v>-1.5011787000000001</v>
      </c>
      <c r="C32" s="18">
        <v>6.4866780000000004</v>
      </c>
      <c r="D32" s="18">
        <v>19.601334000000001</v>
      </c>
      <c r="E32" s="18">
        <v>-1.2180804999999999</v>
      </c>
      <c r="F32" s="18">
        <v>3.5769700000000002</v>
      </c>
      <c r="G32" s="18">
        <v>-4.5161366000000003</v>
      </c>
      <c r="H32" s="18">
        <v>-27.410108999999999</v>
      </c>
      <c r="I32" s="18">
        <v>17.282688</v>
      </c>
      <c r="J32" s="18">
        <v>-10.040915</v>
      </c>
      <c r="K32" s="25" t="e">
        <v>#N/A</v>
      </c>
      <c r="L32" s="25">
        <v>-5.7986139999999997</v>
      </c>
      <c r="M32" s="25">
        <v>-9.6679324999999992</v>
      </c>
      <c r="N32" s="25">
        <v>-26.611941999999999</v>
      </c>
      <c r="O32">
        <v>0.60515403999999995</v>
      </c>
    </row>
    <row r="33" spans="1:15" x14ac:dyDescent="0.3">
      <c r="A33" s="2">
        <v>42608</v>
      </c>
      <c r="B33" s="18">
        <v>14.015686000000001</v>
      </c>
      <c r="C33" s="18">
        <v>14.184963</v>
      </c>
      <c r="D33" s="18">
        <v>17.070685999999998</v>
      </c>
      <c r="E33" s="18">
        <v>-0.72405339999999996</v>
      </c>
      <c r="F33" s="18">
        <v>14.6246195</v>
      </c>
      <c r="G33" s="18">
        <v>-0.7253349</v>
      </c>
      <c r="H33" s="18">
        <v>-3.5960733999999999</v>
      </c>
      <c r="I33" s="18">
        <v>16.255749000000002</v>
      </c>
      <c r="J33" s="18">
        <v>-2.0806968000000001</v>
      </c>
      <c r="K33" s="25" t="e">
        <v>#N/A</v>
      </c>
      <c r="L33" s="25">
        <v>3.1307936000000001</v>
      </c>
      <c r="M33" s="25">
        <v>-6.7442656000000004E-2</v>
      </c>
      <c r="N33" s="25">
        <v>-22.212952000000001</v>
      </c>
      <c r="O33">
        <v>8.7038279999999997</v>
      </c>
    </row>
    <row r="34" spans="1:15" x14ac:dyDescent="0.3">
      <c r="A34" s="2">
        <v>42639</v>
      </c>
      <c r="B34" s="18">
        <v>16.834557</v>
      </c>
      <c r="C34" s="18">
        <v>13.497698</v>
      </c>
      <c r="D34" s="18">
        <v>16.155183999999998</v>
      </c>
      <c r="E34" s="18">
        <v>-1.7942606999999999</v>
      </c>
      <c r="F34" s="18">
        <v>15.301681</v>
      </c>
      <c r="G34" s="18">
        <v>-3.4074724000000001</v>
      </c>
      <c r="H34" s="18">
        <v>-19.207429999999999</v>
      </c>
      <c r="I34" s="18">
        <v>16.025352000000002</v>
      </c>
      <c r="J34" s="18">
        <v>2.0971536999999998</v>
      </c>
      <c r="K34" s="25" t="e">
        <v>#N/A</v>
      </c>
      <c r="L34" s="25">
        <v>9.5725169999999995</v>
      </c>
      <c r="M34" s="25">
        <v>4.3054699999999997</v>
      </c>
      <c r="N34" s="25">
        <v>-20.830727</v>
      </c>
      <c r="O34">
        <v>8.7238670000000003</v>
      </c>
    </row>
    <row r="35" spans="1:15" x14ac:dyDescent="0.3">
      <c r="A35" s="2">
        <v>42669</v>
      </c>
      <c r="B35" s="18">
        <v>8.1433409999999995</v>
      </c>
      <c r="C35" s="18">
        <v>5.4925084000000002</v>
      </c>
      <c r="D35" s="18">
        <v>8.3998919999999995</v>
      </c>
      <c r="E35" s="18">
        <v>1.1498809000000001</v>
      </c>
      <c r="F35" s="18">
        <v>6.0879589999999997</v>
      </c>
      <c r="G35" s="18">
        <v>-2.6899457</v>
      </c>
      <c r="H35" s="18">
        <v>-10.775155</v>
      </c>
      <c r="I35" s="18">
        <v>9.1262699999999999</v>
      </c>
      <c r="J35" s="18">
        <v>-7.0696709999999996</v>
      </c>
      <c r="K35" s="25" t="e">
        <v>#N/A</v>
      </c>
      <c r="L35" s="25">
        <v>2.1770477000000001</v>
      </c>
      <c r="M35" s="25">
        <v>-3.7439287000000001</v>
      </c>
      <c r="N35" s="25">
        <v>-22.595692</v>
      </c>
      <c r="O35">
        <v>2.2891520999999999</v>
      </c>
    </row>
    <row r="36" spans="1:15" x14ac:dyDescent="0.3">
      <c r="A36" s="2">
        <v>42699</v>
      </c>
      <c r="B36" s="18">
        <v>6.1586499999999997</v>
      </c>
      <c r="C36" s="18">
        <v>8.1205730000000003</v>
      </c>
      <c r="D36" s="18">
        <v>9.9063029999999994</v>
      </c>
      <c r="E36" s="18">
        <v>1.0007739</v>
      </c>
      <c r="F36" s="18">
        <v>5.2518845000000001</v>
      </c>
      <c r="G36" s="18">
        <v>-2.0270288000000001</v>
      </c>
      <c r="H36" s="18">
        <v>-13.785315000000001</v>
      </c>
      <c r="I36" s="18">
        <v>2.1327376</v>
      </c>
      <c r="J36" s="18">
        <v>-6.5810560000000002</v>
      </c>
      <c r="K36" s="25" t="e">
        <v>#N/A</v>
      </c>
      <c r="L36" s="25">
        <v>0.1711607</v>
      </c>
      <c r="M36" s="25">
        <v>-2.8994620000000002</v>
      </c>
      <c r="N36" s="25">
        <v>-22.720772</v>
      </c>
      <c r="O36">
        <v>3.1836270999999998</v>
      </c>
    </row>
    <row r="37" spans="1:15" x14ac:dyDescent="0.3">
      <c r="A37" s="2">
        <v>42727</v>
      </c>
      <c r="B37" s="18">
        <v>7.4273943999999998</v>
      </c>
      <c r="C37" s="18">
        <v>11.9133835</v>
      </c>
      <c r="D37" s="18">
        <v>5.4931163999999999</v>
      </c>
      <c r="E37" s="18">
        <v>4.2678120000000002</v>
      </c>
      <c r="F37" s="18">
        <v>7.9325080000000003</v>
      </c>
      <c r="G37" s="18">
        <v>-3.5644531000000002</v>
      </c>
      <c r="H37" s="18">
        <v>13.417398</v>
      </c>
      <c r="I37" s="18">
        <v>-0.199157</v>
      </c>
      <c r="J37" s="18">
        <v>-2.6746154</v>
      </c>
      <c r="K37" s="25" t="e">
        <v>#N/A</v>
      </c>
      <c r="L37" s="25">
        <v>3.3885480000000001</v>
      </c>
      <c r="M37" s="25">
        <v>-0.123399496</v>
      </c>
      <c r="N37" s="25">
        <v>-11.171996999999999</v>
      </c>
      <c r="O37">
        <v>6.8323729999999996</v>
      </c>
    </row>
    <row r="38" spans="1:15" x14ac:dyDescent="0.3">
      <c r="A38" s="2">
        <v>42761</v>
      </c>
      <c r="B38" s="18">
        <v>32.035170000000001</v>
      </c>
      <c r="C38" s="18">
        <v>23.166048</v>
      </c>
      <c r="D38" s="18">
        <v>5.5643560000000001</v>
      </c>
      <c r="E38" s="18">
        <v>0.97162724</v>
      </c>
      <c r="F38" s="18">
        <v>23.085487000000001</v>
      </c>
      <c r="G38" s="18">
        <v>2.3845076999999999</v>
      </c>
      <c r="H38" s="18">
        <v>33.492744000000002</v>
      </c>
      <c r="I38" s="18">
        <v>-3.1774342</v>
      </c>
      <c r="J38" s="18">
        <v>10.065079000000001</v>
      </c>
      <c r="K38" s="25" t="e">
        <v>#N/A</v>
      </c>
      <c r="L38" s="25">
        <v>16.65746</v>
      </c>
      <c r="M38" s="25">
        <v>13.981056000000001</v>
      </c>
      <c r="N38" s="25">
        <v>3.5439967999999999</v>
      </c>
      <c r="O38">
        <v>20.119202000000001</v>
      </c>
    </row>
    <row r="39" spans="1:15" x14ac:dyDescent="0.3">
      <c r="A39" s="2">
        <v>42790</v>
      </c>
      <c r="B39" s="18">
        <v>30.695295000000002</v>
      </c>
      <c r="C39" s="18">
        <v>25.171423000000001</v>
      </c>
      <c r="D39" s="18">
        <v>1.7770528999999999</v>
      </c>
      <c r="E39" s="18">
        <v>3.3214687999999999</v>
      </c>
      <c r="F39" s="18">
        <v>28.439962000000001</v>
      </c>
      <c r="G39" s="18">
        <v>1.2475014</v>
      </c>
      <c r="H39" s="18">
        <v>33.896934999999999</v>
      </c>
      <c r="I39" s="18">
        <v>-4.7437725000000004</v>
      </c>
      <c r="J39" s="18">
        <v>13.486052000000001</v>
      </c>
      <c r="K39" s="25" t="e">
        <v>#N/A</v>
      </c>
      <c r="L39" s="25">
        <v>20.059132000000002</v>
      </c>
      <c r="M39" s="25">
        <v>15.500296000000001</v>
      </c>
      <c r="N39" s="25">
        <v>8.0842860000000005</v>
      </c>
      <c r="O39">
        <v>22.648012000000001</v>
      </c>
    </row>
    <row r="40" spans="1:15" x14ac:dyDescent="0.3">
      <c r="A40" s="2">
        <v>42818</v>
      </c>
      <c r="B40" s="18">
        <v>22.004128000000001</v>
      </c>
      <c r="C40" s="18">
        <v>17.518974</v>
      </c>
      <c r="D40" s="18">
        <v>2.1748424000000002</v>
      </c>
      <c r="E40" s="18">
        <v>3.2490969000000001</v>
      </c>
      <c r="F40" s="18">
        <v>23.040903</v>
      </c>
      <c r="G40" s="18">
        <v>-3.7999094000000002</v>
      </c>
      <c r="H40" s="18">
        <v>0.98052024999999998</v>
      </c>
      <c r="I40" s="18">
        <v>-4.4070780000000003</v>
      </c>
      <c r="J40" s="18">
        <v>11.964511999999999</v>
      </c>
      <c r="K40" s="25" t="e">
        <v>#N/A</v>
      </c>
      <c r="L40" s="25">
        <v>16.508330000000001</v>
      </c>
      <c r="M40" s="25">
        <v>14.931309000000001</v>
      </c>
      <c r="N40" s="25">
        <v>9.845936</v>
      </c>
      <c r="O40">
        <v>15.678763</v>
      </c>
    </row>
    <row r="41" spans="1:15" x14ac:dyDescent="0.3">
      <c r="A41" s="2">
        <v>42851</v>
      </c>
      <c r="B41" s="18">
        <v>17.615711000000001</v>
      </c>
      <c r="C41" s="18">
        <v>16.474974</v>
      </c>
      <c r="D41" s="18">
        <v>1.8028617</v>
      </c>
      <c r="E41" s="18">
        <v>4.3265342999999996</v>
      </c>
      <c r="F41" s="18">
        <v>25.705862</v>
      </c>
      <c r="G41" s="18">
        <v>-8.167135</v>
      </c>
      <c r="H41" s="18">
        <v>-4.6761455999999999</v>
      </c>
      <c r="I41" s="18">
        <v>-1.6862512000000001</v>
      </c>
      <c r="J41" s="18">
        <v>11.125755</v>
      </c>
      <c r="K41" s="25" t="e">
        <v>#N/A</v>
      </c>
      <c r="L41" s="25">
        <v>9.8897700000000004</v>
      </c>
      <c r="M41" s="25">
        <v>13.221455000000001</v>
      </c>
      <c r="N41" s="25">
        <v>9.8991030000000002</v>
      </c>
      <c r="O41">
        <v>13.93249</v>
      </c>
    </row>
    <row r="42" spans="1:15" x14ac:dyDescent="0.3">
      <c r="A42" s="2">
        <v>42881</v>
      </c>
      <c r="B42" s="18">
        <v>25.067806000000001</v>
      </c>
      <c r="C42" s="18">
        <v>17.854773999999999</v>
      </c>
      <c r="D42" s="18">
        <v>3.3968090000000002</v>
      </c>
      <c r="E42" s="18">
        <v>2.1095394999999999</v>
      </c>
      <c r="F42" s="18">
        <v>30.223274</v>
      </c>
      <c r="G42" s="18">
        <v>-6.9014072000000004</v>
      </c>
      <c r="H42" s="18">
        <v>-12.971306</v>
      </c>
      <c r="I42" s="18">
        <v>-2.7174830000000001</v>
      </c>
      <c r="J42" s="18">
        <v>16.091740000000001</v>
      </c>
      <c r="K42" s="25" t="e">
        <v>#N/A</v>
      </c>
      <c r="L42" s="25">
        <v>15.581142</v>
      </c>
      <c r="M42" s="25">
        <v>18.985199000000001</v>
      </c>
      <c r="N42" s="25">
        <v>19.481743000000002</v>
      </c>
      <c r="O42">
        <v>16.884160000000001</v>
      </c>
    </row>
    <row r="43" spans="1:15" x14ac:dyDescent="0.3">
      <c r="A43" s="2">
        <v>42912</v>
      </c>
      <c r="B43" s="18">
        <v>26.06634</v>
      </c>
      <c r="C43" s="18">
        <v>22.209620999999999</v>
      </c>
      <c r="D43" s="18">
        <v>-6.0709476000000002</v>
      </c>
      <c r="E43" s="18">
        <v>1.6545653</v>
      </c>
      <c r="F43" s="18">
        <v>36.190178000000003</v>
      </c>
      <c r="G43" s="18">
        <v>-11.696714</v>
      </c>
      <c r="H43" s="18">
        <v>-21.359825000000001</v>
      </c>
      <c r="I43" s="18">
        <v>-3.2167077000000002</v>
      </c>
      <c r="J43" s="18">
        <v>27.682793</v>
      </c>
      <c r="K43" s="25" t="e">
        <v>#N/A</v>
      </c>
      <c r="L43" s="25">
        <v>20.995308000000001</v>
      </c>
      <c r="M43" s="25">
        <v>32.173774999999999</v>
      </c>
      <c r="N43" s="25">
        <v>37.509216000000002</v>
      </c>
      <c r="O43">
        <v>21.984089000000001</v>
      </c>
    </row>
    <row r="44" spans="1:15" x14ac:dyDescent="0.3">
      <c r="A44" s="2">
        <v>42942</v>
      </c>
      <c r="B44" s="18">
        <v>19.787586000000001</v>
      </c>
      <c r="C44" s="18">
        <v>16.479229</v>
      </c>
      <c r="D44" s="18">
        <v>-4.8571467000000004</v>
      </c>
      <c r="E44" s="18">
        <v>-3.6197305000000002</v>
      </c>
      <c r="F44" s="18">
        <v>28.629090000000001</v>
      </c>
      <c r="G44" s="18">
        <v>-4.8745212999999996</v>
      </c>
      <c r="H44" s="18">
        <v>-2.5704503000000001</v>
      </c>
      <c r="I44" s="18">
        <v>-8.6925930000000005</v>
      </c>
      <c r="J44" s="18">
        <v>23.013221999999999</v>
      </c>
      <c r="K44" s="25" t="e">
        <v>#N/A</v>
      </c>
      <c r="L44" s="25">
        <v>16.715288000000001</v>
      </c>
      <c r="M44" s="25">
        <v>26.384734999999999</v>
      </c>
      <c r="N44" s="25">
        <v>39.130093000000002</v>
      </c>
      <c r="O44">
        <v>17.294619999999998</v>
      </c>
    </row>
    <row r="45" spans="1:15" x14ac:dyDescent="0.3">
      <c r="A45" s="2">
        <v>42972</v>
      </c>
      <c r="B45" s="18">
        <v>20.000897999999999</v>
      </c>
      <c r="C45" s="18">
        <v>14.625764</v>
      </c>
      <c r="D45" s="18">
        <v>-2.7647971999999998</v>
      </c>
      <c r="E45" s="18">
        <v>-2.0816325999999998</v>
      </c>
      <c r="F45" s="18">
        <v>23.00582</v>
      </c>
      <c r="G45" s="18">
        <v>-9.7289449999999995</v>
      </c>
      <c r="H45" s="18">
        <v>-10.00539</v>
      </c>
      <c r="I45" s="18">
        <v>-6.213546</v>
      </c>
      <c r="J45" s="18">
        <v>19.438244000000001</v>
      </c>
      <c r="K45" s="25" t="e">
        <v>#N/A</v>
      </c>
      <c r="L45" s="25">
        <v>12.412394000000001</v>
      </c>
      <c r="M45" s="25">
        <v>22.121870000000001</v>
      </c>
      <c r="N45" s="25">
        <v>38.812385999999996</v>
      </c>
      <c r="O45">
        <v>14.828194</v>
      </c>
    </row>
    <row r="46" spans="1:15" x14ac:dyDescent="0.3">
      <c r="A46" s="2">
        <v>43004</v>
      </c>
      <c r="B46" s="18">
        <v>19.326066999999998</v>
      </c>
      <c r="C46" s="18">
        <v>18.615925000000001</v>
      </c>
      <c r="D46" s="18">
        <v>-3.4574687000000002</v>
      </c>
      <c r="E46" s="18">
        <v>-1.9488394</v>
      </c>
      <c r="F46" s="18">
        <v>23.235534999999999</v>
      </c>
      <c r="G46" s="18">
        <v>-7.7413024999999998</v>
      </c>
      <c r="H46" s="18">
        <v>1.1858702000000001</v>
      </c>
      <c r="I46" s="18">
        <v>-5.598503</v>
      </c>
      <c r="J46" s="18">
        <v>22.406555000000001</v>
      </c>
      <c r="K46" s="25" t="e">
        <v>#N/A</v>
      </c>
      <c r="L46" s="25">
        <v>12.856293000000001</v>
      </c>
      <c r="M46" s="25">
        <v>25.680042</v>
      </c>
      <c r="N46" s="25">
        <v>46.354570000000002</v>
      </c>
      <c r="O46">
        <v>18.604982</v>
      </c>
    </row>
    <row r="47" spans="1:15" x14ac:dyDescent="0.3">
      <c r="A47" s="2">
        <v>43034</v>
      </c>
      <c r="B47" s="18">
        <v>19.357527000000001</v>
      </c>
      <c r="C47" s="18">
        <v>22.015131</v>
      </c>
      <c r="D47" s="18">
        <v>-0.380826</v>
      </c>
      <c r="E47" s="18">
        <v>-3.4888268</v>
      </c>
      <c r="F47" s="18">
        <v>25.386524000000001</v>
      </c>
      <c r="G47" s="18">
        <v>-6.7895292999999999</v>
      </c>
      <c r="H47" s="18">
        <v>-3.6044299999999998</v>
      </c>
      <c r="I47" s="18">
        <v>-5.00108</v>
      </c>
      <c r="J47" s="18">
        <v>26.885926999999999</v>
      </c>
      <c r="K47" s="25" t="e">
        <v>#N/A</v>
      </c>
      <c r="L47" s="25">
        <v>17.324960000000001</v>
      </c>
      <c r="M47" s="25">
        <v>29.183626</v>
      </c>
      <c r="N47" s="25">
        <v>41.100679999999997</v>
      </c>
      <c r="O47">
        <v>21.848058999999999</v>
      </c>
    </row>
    <row r="48" spans="1:15" x14ac:dyDescent="0.3">
      <c r="A48" s="2">
        <v>43063</v>
      </c>
      <c r="B48" s="18">
        <v>30.642712</v>
      </c>
      <c r="C48" s="18">
        <v>20.358456</v>
      </c>
      <c r="D48" s="18">
        <v>8.0088249999999999</v>
      </c>
      <c r="E48" s="18">
        <v>-8.2160589999999996</v>
      </c>
      <c r="F48" s="18">
        <v>33.276260000000001</v>
      </c>
      <c r="G48" s="18">
        <v>-5.6213082999999999</v>
      </c>
      <c r="H48" s="18">
        <v>9.6021059999999991</v>
      </c>
      <c r="I48" s="18">
        <v>7.8231096000000004</v>
      </c>
      <c r="J48" s="18">
        <v>32.119705000000003</v>
      </c>
      <c r="K48" s="25" t="e">
        <v>#N/A</v>
      </c>
      <c r="L48" s="25">
        <v>22.511887000000002</v>
      </c>
      <c r="M48" s="25">
        <v>29.71462</v>
      </c>
      <c r="N48" s="25">
        <v>50.491833</v>
      </c>
      <c r="O48">
        <v>23.002659999999999</v>
      </c>
    </row>
    <row r="49" spans="1:15" x14ac:dyDescent="0.3">
      <c r="A49" s="2">
        <v>43095</v>
      </c>
      <c r="B49" s="18">
        <v>33.037056</v>
      </c>
      <c r="C49" s="18">
        <v>20.673931</v>
      </c>
      <c r="D49" s="18">
        <v>12.823116000000001</v>
      </c>
      <c r="E49" s="18">
        <v>-8.8512660000000007</v>
      </c>
      <c r="F49" s="18">
        <v>31.404219999999999</v>
      </c>
      <c r="G49" s="18">
        <v>-5.9746860000000002</v>
      </c>
      <c r="H49" s="18">
        <v>2.5190353000000001</v>
      </c>
      <c r="I49" s="18">
        <v>8.6863759999999992</v>
      </c>
      <c r="J49" s="18">
        <v>27.144634</v>
      </c>
      <c r="K49" s="25" t="e">
        <v>#N/A</v>
      </c>
      <c r="L49" s="25">
        <v>22.250128</v>
      </c>
      <c r="M49" s="25">
        <v>23.084019999999999</v>
      </c>
      <c r="N49" s="25">
        <v>30.531549999999999</v>
      </c>
      <c r="O49">
        <v>21.955072000000001</v>
      </c>
    </row>
    <row r="50" spans="1:15" x14ac:dyDescent="0.3">
      <c r="A50" s="2">
        <v>43126</v>
      </c>
      <c r="B50" s="18">
        <v>37.578795999999997</v>
      </c>
      <c r="C50" s="18">
        <v>27.388168</v>
      </c>
      <c r="D50" s="18">
        <v>13.076115</v>
      </c>
      <c r="E50" s="18">
        <v>-10.385018000000001</v>
      </c>
      <c r="F50" s="18">
        <v>37.376021999999999</v>
      </c>
      <c r="G50" s="18">
        <v>-8.3454669999999993</v>
      </c>
      <c r="H50" s="18">
        <v>14.59074</v>
      </c>
      <c r="I50" s="18">
        <v>6.3046100000000003</v>
      </c>
      <c r="J50" s="18">
        <v>31.899225000000001</v>
      </c>
      <c r="K50" s="25" t="e">
        <v>#N/A</v>
      </c>
      <c r="L50" s="25">
        <v>27.849174000000001</v>
      </c>
      <c r="M50" s="25">
        <v>23.974250000000001</v>
      </c>
      <c r="N50" s="25">
        <v>44.272922999999999</v>
      </c>
      <c r="O50">
        <v>26.867508000000001</v>
      </c>
    </row>
    <row r="51" spans="1:15" x14ac:dyDescent="0.3">
      <c r="A51" s="2">
        <v>43157</v>
      </c>
      <c r="B51" s="18">
        <v>28.406488</v>
      </c>
      <c r="C51" s="18">
        <v>19.663322000000001</v>
      </c>
      <c r="D51" s="18">
        <v>5.6391</v>
      </c>
      <c r="E51" s="18">
        <v>-10.095024</v>
      </c>
      <c r="F51" s="18">
        <v>32.008670000000002</v>
      </c>
      <c r="G51" s="18">
        <v>-5.6678240000000004</v>
      </c>
      <c r="H51" s="18">
        <v>13.108836999999999</v>
      </c>
      <c r="I51" s="18">
        <v>-0.70492030000000006</v>
      </c>
      <c r="J51" s="18">
        <v>25.150251000000001</v>
      </c>
      <c r="K51" s="25" t="e">
        <v>#N/A</v>
      </c>
      <c r="L51" s="25">
        <v>22.833013999999999</v>
      </c>
      <c r="M51" s="25">
        <v>18.482315</v>
      </c>
      <c r="N51" s="25">
        <v>43.555213999999999</v>
      </c>
      <c r="O51">
        <v>19.93798</v>
      </c>
    </row>
    <row r="52" spans="1:15" x14ac:dyDescent="0.3">
      <c r="A52" s="2">
        <v>43185</v>
      </c>
      <c r="B52" s="18">
        <v>20.192837000000001</v>
      </c>
      <c r="C52" s="18">
        <v>15.520514</v>
      </c>
      <c r="D52" s="18">
        <v>7.9252840000000004</v>
      </c>
      <c r="E52" s="18">
        <v>-9.3550149999999999</v>
      </c>
      <c r="F52" s="18">
        <v>26.945639</v>
      </c>
      <c r="G52" s="18">
        <v>-5.9500035999999996</v>
      </c>
      <c r="H52" s="18">
        <v>31.296026000000001</v>
      </c>
      <c r="I52" s="18">
        <v>1.534009</v>
      </c>
      <c r="J52" s="18">
        <v>16.268467000000001</v>
      </c>
      <c r="K52" s="25" t="e">
        <v>#N/A</v>
      </c>
      <c r="L52" s="25">
        <v>15.460563</v>
      </c>
      <c r="M52" s="25">
        <v>9.2806224999999998</v>
      </c>
      <c r="N52" s="25">
        <v>28.007280000000002</v>
      </c>
      <c r="O52">
        <v>14.698052000000001</v>
      </c>
    </row>
    <row r="53" spans="1:15" x14ac:dyDescent="0.3">
      <c r="A53" s="2">
        <v>43216</v>
      </c>
      <c r="B53" s="18">
        <v>16.338873</v>
      </c>
      <c r="C53" s="18">
        <v>13.833534</v>
      </c>
      <c r="D53" s="18">
        <v>3.4177423</v>
      </c>
      <c r="E53" s="18">
        <v>-5.8187904000000001</v>
      </c>
      <c r="F53" s="18">
        <v>21.089480999999999</v>
      </c>
      <c r="G53" s="18">
        <v>-1.9131362000000001</v>
      </c>
      <c r="H53" s="18">
        <v>34.968519999999998</v>
      </c>
      <c r="I53" s="18">
        <v>-0.94497799999999998</v>
      </c>
      <c r="J53" s="18">
        <v>14.467394000000001</v>
      </c>
      <c r="K53" s="25" t="e">
        <v>#N/A</v>
      </c>
      <c r="L53" s="25">
        <v>18.597376000000001</v>
      </c>
      <c r="M53" s="25">
        <v>3.8550973000000002</v>
      </c>
      <c r="N53" s="25">
        <v>30.300653000000001</v>
      </c>
      <c r="O53">
        <v>13.515340999999999</v>
      </c>
    </row>
    <row r="54" spans="1:15" x14ac:dyDescent="0.3">
      <c r="A54" s="2">
        <v>43245</v>
      </c>
      <c r="B54" s="18">
        <v>12.875355000000001</v>
      </c>
      <c r="C54" s="18">
        <v>14.713049</v>
      </c>
      <c r="D54" s="18">
        <v>3.1218528999999999</v>
      </c>
      <c r="E54" s="18">
        <v>-1.1412859</v>
      </c>
      <c r="F54" s="18">
        <v>21.440971000000001</v>
      </c>
      <c r="G54" s="18">
        <v>-2.6646494999999999</v>
      </c>
      <c r="H54" s="18">
        <v>38.491154000000002</v>
      </c>
      <c r="I54" s="18">
        <v>-0.4941702</v>
      </c>
      <c r="J54" s="18">
        <v>7.2509645999999996</v>
      </c>
      <c r="K54" s="25" t="e">
        <v>#N/A</v>
      </c>
      <c r="L54" s="25">
        <v>14.624357</v>
      </c>
      <c r="M54" s="25">
        <v>0.93491080000000004</v>
      </c>
      <c r="N54" s="25">
        <v>10.0389</v>
      </c>
      <c r="O54">
        <v>12.387705</v>
      </c>
    </row>
    <row r="55" spans="1:15" x14ac:dyDescent="0.3">
      <c r="A55" s="2">
        <v>43277</v>
      </c>
      <c r="B55" s="18">
        <v>4.7371270000000001</v>
      </c>
      <c r="C55" s="18">
        <v>13.718116999999999</v>
      </c>
      <c r="D55" s="18">
        <v>0.76038839999999996</v>
      </c>
      <c r="E55" s="18">
        <v>-0.70025919999999997</v>
      </c>
      <c r="F55" s="18">
        <v>23.390747000000001</v>
      </c>
      <c r="G55" s="18">
        <v>-6.3350860000000004</v>
      </c>
      <c r="H55" s="18">
        <v>57.044936999999997</v>
      </c>
      <c r="I55" s="18">
        <v>-3.2654285000000001</v>
      </c>
      <c r="J55" s="18">
        <v>4.8626065000000001</v>
      </c>
      <c r="K55" s="25" t="e">
        <v>#N/A</v>
      </c>
      <c r="L55" s="25">
        <v>9.9666359999999994</v>
      </c>
      <c r="M55" s="25">
        <v>-4.1435122</v>
      </c>
      <c r="N55" s="25">
        <v>6.9518209999999998</v>
      </c>
      <c r="O55">
        <v>10.766171999999999</v>
      </c>
    </row>
    <row r="56" spans="1:15" x14ac:dyDescent="0.3">
      <c r="A56" s="2">
        <v>43307</v>
      </c>
      <c r="B56" s="18">
        <v>4.1168212999999998</v>
      </c>
      <c r="C56" s="18">
        <v>16.648637999999998</v>
      </c>
      <c r="D56" s="18">
        <v>-3.4284294000000002</v>
      </c>
      <c r="E56" s="18">
        <v>3.4819007000000002</v>
      </c>
      <c r="F56" s="18">
        <v>25.289774000000001</v>
      </c>
      <c r="G56" s="18">
        <v>-10.958904</v>
      </c>
      <c r="H56" s="18">
        <v>44.005490000000002</v>
      </c>
      <c r="I56" s="18">
        <v>-1.1539161</v>
      </c>
      <c r="J56" s="18">
        <v>4.9856663000000001</v>
      </c>
      <c r="K56" s="25">
        <v>0.91708900000000004</v>
      </c>
      <c r="L56" s="25">
        <v>10.829878000000001</v>
      </c>
      <c r="M56" s="25">
        <v>-1.0208786000000001</v>
      </c>
      <c r="N56" s="25">
        <v>2.2507071000000001</v>
      </c>
      <c r="O56">
        <v>12.2068405</v>
      </c>
    </row>
    <row r="57" spans="1:15" x14ac:dyDescent="0.3">
      <c r="A57" s="2">
        <v>43336</v>
      </c>
      <c r="B57" s="18">
        <v>-1.3625503000000001</v>
      </c>
      <c r="C57" s="18">
        <v>20.034206000000001</v>
      </c>
      <c r="D57" s="18">
        <v>-6.6481294999999996</v>
      </c>
      <c r="E57" s="18">
        <v>4.2736890000000001</v>
      </c>
      <c r="F57" s="18">
        <v>29.301272999999998</v>
      </c>
      <c r="G57" s="18">
        <v>-8.6816669999999991</v>
      </c>
      <c r="H57" s="18">
        <v>47.020985000000003</v>
      </c>
      <c r="I57" s="18">
        <v>-1.0784446999999999</v>
      </c>
      <c r="J57" s="18">
        <v>4.2276144000000002</v>
      </c>
      <c r="K57" s="25">
        <v>-1.6530811999999999</v>
      </c>
      <c r="L57" s="25">
        <v>7.8815220000000004</v>
      </c>
      <c r="M57" s="25">
        <v>-1.514113</v>
      </c>
      <c r="N57" s="25">
        <v>-4.4710340000000004</v>
      </c>
      <c r="O57">
        <v>13.865684999999999</v>
      </c>
    </row>
    <row r="58" spans="1:15" x14ac:dyDescent="0.3">
      <c r="A58" s="2">
        <v>43369</v>
      </c>
      <c r="B58" s="18">
        <v>-2.7502716</v>
      </c>
      <c r="C58" s="18">
        <v>18.500423000000001</v>
      </c>
      <c r="D58" s="18">
        <v>-8.1939220000000006</v>
      </c>
      <c r="E58" s="18">
        <v>3.7003517000000001</v>
      </c>
      <c r="F58" s="18">
        <v>29.696929999999998</v>
      </c>
      <c r="G58" s="18">
        <v>-9.930968</v>
      </c>
      <c r="H58" s="18">
        <v>44.681379999999997</v>
      </c>
      <c r="I58" s="18">
        <v>-4.8819540000000003</v>
      </c>
      <c r="J58" s="18">
        <v>2.6526212999999998</v>
      </c>
      <c r="K58" s="25">
        <v>-0.61668160000000005</v>
      </c>
      <c r="L58" s="25">
        <v>10.517549499999999</v>
      </c>
      <c r="M58" s="25">
        <v>-1.0303675999999999</v>
      </c>
      <c r="N58" s="25">
        <v>-2.495581</v>
      </c>
      <c r="O58">
        <v>12.690925999999999</v>
      </c>
    </row>
    <row r="59" spans="1:15" x14ac:dyDescent="0.3">
      <c r="A59" s="2">
        <v>43399</v>
      </c>
      <c r="B59" s="18">
        <v>-13.268155</v>
      </c>
      <c r="C59" s="18">
        <v>5.6895255999999996</v>
      </c>
      <c r="D59" s="18">
        <v>-2.9585360999999999</v>
      </c>
      <c r="E59" s="18">
        <v>4.2819858000000002</v>
      </c>
      <c r="F59" s="18">
        <v>14.277113</v>
      </c>
      <c r="G59" s="18">
        <v>-7.8043699999999996</v>
      </c>
      <c r="H59" s="18">
        <v>35.698295999999999</v>
      </c>
      <c r="I59" s="18">
        <v>-3.600943</v>
      </c>
      <c r="J59" s="18">
        <v>-9.4186779999999999</v>
      </c>
      <c r="K59" s="25">
        <v>-11.915898</v>
      </c>
      <c r="L59" s="25">
        <v>-5.5586042000000004</v>
      </c>
      <c r="M59" s="25">
        <v>-14.568156</v>
      </c>
      <c r="N59" s="25">
        <v>-16.736746</v>
      </c>
      <c r="O59">
        <v>-0.1440525</v>
      </c>
    </row>
    <row r="60" spans="1:15" x14ac:dyDescent="0.3">
      <c r="A60" s="2">
        <v>43430</v>
      </c>
      <c r="B60" s="18">
        <v>-12.672472000000001</v>
      </c>
      <c r="C60" s="18">
        <v>4.6140549999999996</v>
      </c>
      <c r="D60" s="18">
        <v>-5.4610849999999997</v>
      </c>
      <c r="E60" s="18">
        <v>7.5196265999999996</v>
      </c>
      <c r="F60" s="18">
        <v>5.0445795000000002</v>
      </c>
      <c r="G60" s="18">
        <v>-10.762798</v>
      </c>
      <c r="H60" s="18">
        <v>-5.9779406000000002</v>
      </c>
      <c r="I60" s="18">
        <v>-6.9831729999999999</v>
      </c>
      <c r="J60" s="18">
        <v>-9.1689880000000006</v>
      </c>
      <c r="K60" s="25">
        <v>-11.685931999999999</v>
      </c>
      <c r="L60" s="25">
        <v>-7.3948802999999996</v>
      </c>
      <c r="M60" s="25">
        <v>-12.209147</v>
      </c>
      <c r="N60" s="25">
        <v>-15.612114</v>
      </c>
      <c r="O60">
        <v>-0.89175104999999999</v>
      </c>
    </row>
    <row r="61" spans="1:15" x14ac:dyDescent="0.3">
      <c r="A61" s="2">
        <v>43460</v>
      </c>
      <c r="B61" s="18">
        <v>-14.234436000000001</v>
      </c>
      <c r="C61" s="18">
        <v>-6.1014710000000001</v>
      </c>
      <c r="D61" s="18">
        <v>-1.7327665999999999</v>
      </c>
      <c r="E61" s="18">
        <v>7.0402620000000002</v>
      </c>
      <c r="F61" s="18">
        <v>-1.7611146</v>
      </c>
      <c r="G61" s="18">
        <v>-7.700348</v>
      </c>
      <c r="H61" s="18">
        <v>-15.539432</v>
      </c>
      <c r="I61" s="18">
        <v>-1.4784455000000001</v>
      </c>
      <c r="J61" s="18">
        <v>-15.183335</v>
      </c>
      <c r="K61" s="25">
        <v>-13.212913500000001</v>
      </c>
      <c r="L61" s="25">
        <v>-15.334463</v>
      </c>
      <c r="M61" s="25">
        <v>-15.630126000000001</v>
      </c>
      <c r="N61" s="25">
        <v>-19.2164</v>
      </c>
      <c r="O61">
        <v>-10.10291</v>
      </c>
    </row>
    <row r="62" spans="1:15" x14ac:dyDescent="0.3">
      <c r="A62" s="2">
        <v>43490</v>
      </c>
      <c r="B62" s="18">
        <v>-16.303360000000001</v>
      </c>
      <c r="C62" s="18">
        <v>-4.3903055000000002</v>
      </c>
      <c r="D62" s="18">
        <v>-3.9931237999999998</v>
      </c>
      <c r="E62" s="18">
        <v>10.316050000000001</v>
      </c>
      <c r="F62" s="18">
        <v>-1.0620892</v>
      </c>
      <c r="G62" s="18">
        <v>-7.8905050000000001</v>
      </c>
      <c r="H62" s="18">
        <v>-12.568593</v>
      </c>
      <c r="I62" s="18">
        <v>-0.1904428</v>
      </c>
      <c r="J62" s="18">
        <v>-15.394515</v>
      </c>
      <c r="K62" s="25">
        <v>-13.490206000000001</v>
      </c>
      <c r="L62" s="25">
        <v>-14.698207999999999</v>
      </c>
      <c r="M62" s="25">
        <v>-14.793908999999999</v>
      </c>
      <c r="N62" s="25">
        <v>-20.660568000000001</v>
      </c>
      <c r="O62">
        <v>-8.1826930000000004</v>
      </c>
    </row>
    <row r="63" spans="1:15" x14ac:dyDescent="0.3">
      <c r="A63" s="2">
        <v>43522</v>
      </c>
      <c r="B63" s="18">
        <v>-11.602335999999999</v>
      </c>
      <c r="C63" s="18">
        <v>2.4329662000000001</v>
      </c>
      <c r="D63" s="18">
        <v>-0.68801639999999997</v>
      </c>
      <c r="E63" s="18">
        <v>10.253083999999999</v>
      </c>
      <c r="F63" s="18">
        <v>2.8081535999999998</v>
      </c>
      <c r="G63" s="18">
        <v>-12.66672</v>
      </c>
      <c r="H63" s="18">
        <v>-7.3758600000000003</v>
      </c>
      <c r="I63" s="18">
        <v>5.905926</v>
      </c>
      <c r="J63" s="18">
        <v>-7.8982710000000003</v>
      </c>
      <c r="K63" s="25">
        <v>-9.7915759999999992</v>
      </c>
      <c r="L63" s="25">
        <v>-10.273033</v>
      </c>
      <c r="M63" s="25">
        <v>-9.6302450000000004</v>
      </c>
      <c r="N63" s="25">
        <v>-13.871586000000001</v>
      </c>
      <c r="O63">
        <v>-1.0737658000000001</v>
      </c>
    </row>
    <row r="64" spans="1:15" x14ac:dyDescent="0.3">
      <c r="A64" s="2">
        <v>43550</v>
      </c>
      <c r="B64" s="18">
        <v>-8.3113969999999995</v>
      </c>
      <c r="C64" s="18">
        <v>8.1079720000000002</v>
      </c>
      <c r="D64" s="18">
        <v>-3.1025827000000001</v>
      </c>
      <c r="E64" s="18">
        <v>12.2240305</v>
      </c>
      <c r="F64" s="18">
        <v>9.8601100000000006</v>
      </c>
      <c r="G64" s="18">
        <v>-9.6839250000000003</v>
      </c>
      <c r="H64" s="18">
        <v>-6.1336813000000001</v>
      </c>
      <c r="I64" s="18">
        <v>7.2696686000000001</v>
      </c>
      <c r="J64" s="18">
        <v>-4.5366707000000002</v>
      </c>
      <c r="K64" s="25">
        <v>-8.6315690000000007</v>
      </c>
      <c r="L64" s="25">
        <v>-5.6517720000000002</v>
      </c>
      <c r="M64" s="25">
        <v>-4.6811284999999998</v>
      </c>
      <c r="N64" s="25">
        <v>-10.093612</v>
      </c>
      <c r="O64">
        <v>3.6440134</v>
      </c>
    </row>
    <row r="65" spans="1:15" x14ac:dyDescent="0.3">
      <c r="A65" s="2">
        <v>43581</v>
      </c>
      <c r="B65" s="18">
        <v>-2.432388</v>
      </c>
      <c r="C65" s="18">
        <v>12.325811</v>
      </c>
      <c r="D65" s="18">
        <v>-2.8806924999999999</v>
      </c>
      <c r="E65" s="18">
        <v>10.578239</v>
      </c>
      <c r="F65" s="18">
        <v>18.717860999999999</v>
      </c>
      <c r="G65" s="18">
        <v>-13.695418999999999</v>
      </c>
      <c r="H65" s="18">
        <v>-6.5825167000000002</v>
      </c>
      <c r="I65" s="18">
        <v>7.8430653000000001</v>
      </c>
      <c r="J65" s="18">
        <v>-4.0105523999999999</v>
      </c>
      <c r="K65" s="25">
        <v>-4.638833</v>
      </c>
      <c r="L65" s="25">
        <v>-7.6835035999999999</v>
      </c>
      <c r="M65" s="25">
        <v>1.39575</v>
      </c>
      <c r="N65" s="25">
        <v>-14.295458999999999</v>
      </c>
      <c r="O65">
        <v>6.2320232000000004</v>
      </c>
    </row>
    <row r="66" spans="1:15" x14ac:dyDescent="0.3">
      <c r="A66" s="2">
        <v>43609</v>
      </c>
      <c r="B66" s="18">
        <v>-9.1669029999999996</v>
      </c>
      <c r="C66" s="18">
        <v>5.6808829999999997</v>
      </c>
      <c r="D66" s="18">
        <v>-1.8528937999999999</v>
      </c>
      <c r="E66" s="18">
        <v>7.509792</v>
      </c>
      <c r="F66" s="18">
        <v>5.9936642999999998</v>
      </c>
      <c r="G66" s="18">
        <v>-14.494425</v>
      </c>
      <c r="H66" s="18">
        <v>-16.573291999999999</v>
      </c>
      <c r="I66" s="18">
        <v>10.444832</v>
      </c>
      <c r="J66" s="18">
        <v>-5.9417605</v>
      </c>
      <c r="K66" s="25">
        <v>-7.2976947000000001</v>
      </c>
      <c r="L66" s="25">
        <v>-9.5125309999999992</v>
      </c>
      <c r="M66" s="25">
        <v>-5.7905253999999999</v>
      </c>
      <c r="N66" s="25">
        <v>-10.601597999999999</v>
      </c>
      <c r="O66">
        <v>1.4469742999999999</v>
      </c>
    </row>
    <row r="67" spans="1:15" x14ac:dyDescent="0.3">
      <c r="A67" s="2">
        <v>43642</v>
      </c>
      <c r="B67" s="18">
        <v>3.3901094999999999</v>
      </c>
      <c r="C67" s="18">
        <v>9.0751290000000004</v>
      </c>
      <c r="D67" s="18">
        <v>11.495888000000001</v>
      </c>
      <c r="E67" s="18">
        <v>5.1244974000000001</v>
      </c>
      <c r="F67" s="18">
        <v>8.9213009999999997</v>
      </c>
      <c r="G67" s="18">
        <v>-5.7172656000000002</v>
      </c>
      <c r="H67" s="18">
        <v>-12.983029999999999</v>
      </c>
      <c r="I67" s="18">
        <v>12.062334999999999</v>
      </c>
      <c r="J67" s="18">
        <v>0.89237690000000003</v>
      </c>
      <c r="K67" s="25">
        <v>5.2294134999999997</v>
      </c>
      <c r="L67" s="25">
        <v>-5.7595489999999998</v>
      </c>
      <c r="M67" s="25">
        <v>4.4536470000000001</v>
      </c>
      <c r="N67" s="25">
        <v>-9.7811220000000004E-2</v>
      </c>
      <c r="O67">
        <v>5.6303619999999999</v>
      </c>
    </row>
    <row r="68" spans="1:15" x14ac:dyDescent="0.3">
      <c r="A68" s="2">
        <v>43672</v>
      </c>
      <c r="B68" s="18">
        <v>0.26131868000000003</v>
      </c>
      <c r="C68" s="18">
        <v>8.7095374999999997</v>
      </c>
      <c r="D68" s="18">
        <v>15.435779999999999</v>
      </c>
      <c r="E68" s="18">
        <v>7.1323514000000001</v>
      </c>
      <c r="F68" s="18">
        <v>9.4164130000000004</v>
      </c>
      <c r="G68" s="18">
        <v>-5.8485984999999996</v>
      </c>
      <c r="H68" s="18">
        <v>-17.843509999999998</v>
      </c>
      <c r="I68" s="18">
        <v>13.204753999999999</v>
      </c>
      <c r="J68" s="18">
        <v>-1.9610046999999999</v>
      </c>
      <c r="K68" s="25">
        <v>0.24939775</v>
      </c>
      <c r="L68" s="25">
        <v>-5.929792</v>
      </c>
      <c r="M68" s="25">
        <v>-3.4020603</v>
      </c>
      <c r="N68" s="25">
        <v>-0.64392090000000002</v>
      </c>
      <c r="O68">
        <v>5.1909923999999998</v>
      </c>
    </row>
    <row r="69" spans="1:15" x14ac:dyDescent="0.3">
      <c r="A69" s="2">
        <v>43703</v>
      </c>
      <c r="B69" s="18">
        <v>-3.7251173999999998</v>
      </c>
      <c r="C69" s="18">
        <v>2.1630167999999999</v>
      </c>
      <c r="D69" s="18">
        <v>26.305187</v>
      </c>
      <c r="E69" s="18">
        <v>6.9358944999999999</v>
      </c>
      <c r="F69" s="18">
        <v>2.1714091</v>
      </c>
      <c r="G69" s="18">
        <v>-10.266322000000001</v>
      </c>
      <c r="H69" s="18">
        <v>-22.517119999999998</v>
      </c>
      <c r="I69" s="18">
        <v>22.035515</v>
      </c>
      <c r="J69" s="18">
        <v>-5.210674</v>
      </c>
      <c r="K69" s="25">
        <v>-6.7436514000000001</v>
      </c>
      <c r="L69" s="25">
        <v>-5.4583073000000004</v>
      </c>
      <c r="M69" s="25">
        <v>-9.497833</v>
      </c>
      <c r="N69" s="25">
        <v>-0.9698272</v>
      </c>
      <c r="O69">
        <v>-0.22993684</v>
      </c>
    </row>
    <row r="70" spans="1:15" x14ac:dyDescent="0.3">
      <c r="A70" s="2">
        <v>43734</v>
      </c>
      <c r="B70" s="18">
        <v>1.6542791999999999</v>
      </c>
      <c r="C70" s="18">
        <v>4.5055984999999996</v>
      </c>
      <c r="D70" s="18">
        <v>25.422370000000001</v>
      </c>
      <c r="E70" s="18">
        <v>9.2807879999999994</v>
      </c>
      <c r="F70" s="18">
        <v>3.6983728</v>
      </c>
      <c r="G70" s="18">
        <v>-6.2081632999999998</v>
      </c>
      <c r="H70" s="18">
        <v>-23.237085</v>
      </c>
      <c r="I70" s="18">
        <v>24.335802000000001</v>
      </c>
      <c r="J70" s="18">
        <v>-3.065461</v>
      </c>
      <c r="K70" s="25">
        <v>-1.6700208000000001</v>
      </c>
      <c r="L70" s="25">
        <v>-3.7040293000000002</v>
      </c>
      <c r="M70" s="25">
        <v>-8.1410590000000003</v>
      </c>
      <c r="N70" s="25">
        <v>-1.5016794</v>
      </c>
      <c r="O70">
        <v>2.2197366000000001</v>
      </c>
    </row>
    <row r="71" spans="1:15" x14ac:dyDescent="0.3">
      <c r="A71" s="2">
        <v>43763</v>
      </c>
      <c r="B71" s="18">
        <v>14.422893999999999</v>
      </c>
      <c r="C71" s="18">
        <v>13.904344999999999</v>
      </c>
      <c r="D71" s="18">
        <v>21.872854</v>
      </c>
      <c r="E71" s="18">
        <v>5.0489902000000004</v>
      </c>
      <c r="F71" s="18">
        <v>15.398884000000001</v>
      </c>
      <c r="G71" s="18">
        <v>-8.6071609999999996</v>
      </c>
      <c r="H71" s="18">
        <v>-16.64958</v>
      </c>
      <c r="I71" s="18">
        <v>24.289501000000001</v>
      </c>
      <c r="J71" s="18">
        <v>12.267673500000001</v>
      </c>
      <c r="K71" s="25">
        <v>10.311757999999999</v>
      </c>
      <c r="L71" s="25">
        <v>8.0520390000000006</v>
      </c>
      <c r="M71" s="25">
        <v>12.355781</v>
      </c>
      <c r="N71" s="25">
        <v>19.984256999999999</v>
      </c>
      <c r="O71">
        <v>13.333189000000001</v>
      </c>
    </row>
    <row r="72" spans="1:15" x14ac:dyDescent="0.3">
      <c r="A72" s="2">
        <v>43795</v>
      </c>
      <c r="B72" s="18">
        <v>12.357473000000001</v>
      </c>
      <c r="C72" s="18">
        <v>19.761658000000001</v>
      </c>
      <c r="D72" s="18">
        <v>19.111038000000001</v>
      </c>
      <c r="E72" s="18">
        <v>4.9013733999999998</v>
      </c>
      <c r="F72" s="18">
        <v>26.743258000000001</v>
      </c>
      <c r="G72" s="18">
        <v>-4.5595226000000002</v>
      </c>
      <c r="H72" s="18">
        <v>11.729001999999999</v>
      </c>
      <c r="I72" s="18">
        <v>25.907278000000002</v>
      </c>
      <c r="J72" s="18">
        <v>13.858211499999999</v>
      </c>
      <c r="K72" s="25">
        <v>9.5848200000000006</v>
      </c>
      <c r="L72" s="25">
        <v>11.097085999999999</v>
      </c>
      <c r="M72" s="25">
        <v>13.907408999999999</v>
      </c>
      <c r="N72" s="25">
        <v>20.957338</v>
      </c>
      <c r="O72">
        <v>17.516624</v>
      </c>
    </row>
    <row r="73" spans="1:15" x14ac:dyDescent="0.3">
      <c r="A73" s="2">
        <v>43825</v>
      </c>
      <c r="B73" s="18">
        <v>21.359587000000001</v>
      </c>
      <c r="C73" s="18">
        <v>33.662295999999998</v>
      </c>
      <c r="D73" s="18">
        <v>18.987131000000002</v>
      </c>
      <c r="E73" s="18">
        <v>4.1484356</v>
      </c>
      <c r="F73" s="18">
        <v>41.380702999999997</v>
      </c>
      <c r="G73" s="18">
        <v>-1.9521713000000001</v>
      </c>
      <c r="H73" s="18">
        <v>29.747105000000001</v>
      </c>
      <c r="I73" s="18">
        <v>16.978645</v>
      </c>
      <c r="J73" s="18">
        <v>25.573242</v>
      </c>
      <c r="K73" s="25">
        <v>18.368351000000001</v>
      </c>
      <c r="L73" s="25">
        <v>21.772718000000001</v>
      </c>
      <c r="M73" s="25">
        <v>27.028883</v>
      </c>
      <c r="N73" s="25">
        <v>29.454457999999999</v>
      </c>
      <c r="O73">
        <v>30.661307999999998</v>
      </c>
    </row>
    <row r="74" spans="1:15" x14ac:dyDescent="0.3">
      <c r="A74" s="2">
        <v>43854</v>
      </c>
      <c r="B74" s="18">
        <v>12.865448000000001</v>
      </c>
      <c r="C74" s="18">
        <v>27.106857000000002</v>
      </c>
      <c r="D74" s="18">
        <v>22.206629</v>
      </c>
      <c r="E74" s="18">
        <v>4.9462795000000002</v>
      </c>
      <c r="F74" s="18">
        <v>37.581097</v>
      </c>
      <c r="G74" s="18">
        <v>-4.0913639999999996</v>
      </c>
      <c r="H74" s="18">
        <v>3.1943917000000002</v>
      </c>
      <c r="I74" s="18">
        <v>20.075379999999999</v>
      </c>
      <c r="J74" s="18">
        <v>18.572223999999999</v>
      </c>
      <c r="K74" s="25">
        <v>9.8439809999999994</v>
      </c>
      <c r="L74" s="25">
        <v>13.955534</v>
      </c>
      <c r="M74" s="25">
        <v>17.910374000000001</v>
      </c>
      <c r="N74" s="25">
        <v>19.732593999999999</v>
      </c>
      <c r="O74">
        <v>23.353624</v>
      </c>
    </row>
    <row r="75" spans="1:15" x14ac:dyDescent="0.3">
      <c r="A75" s="2">
        <v>43887</v>
      </c>
      <c r="B75" s="18">
        <v>1.8956184</v>
      </c>
      <c r="C75" s="18">
        <v>13.630748000000001</v>
      </c>
      <c r="D75" s="18">
        <v>22.607099999999999</v>
      </c>
      <c r="E75" s="18">
        <v>6.7052244999999999</v>
      </c>
      <c r="F75" s="18">
        <v>25.654088999999999</v>
      </c>
      <c r="G75" s="18">
        <v>-4.3757200000000003</v>
      </c>
      <c r="H75" s="18">
        <v>-11.004096000000001</v>
      </c>
      <c r="I75" s="18">
        <v>26.173569000000001</v>
      </c>
      <c r="J75" s="18">
        <v>4.9422503000000004</v>
      </c>
      <c r="K75" s="25">
        <v>-2.565229</v>
      </c>
      <c r="L75" s="25">
        <v>1.5881776999999999</v>
      </c>
      <c r="M75" s="25">
        <v>8.964658</v>
      </c>
      <c r="N75" s="25">
        <v>7.8014970000000003</v>
      </c>
      <c r="O75">
        <v>9.9667429999999992</v>
      </c>
    </row>
    <row r="76" spans="1:15" x14ac:dyDescent="0.3">
      <c r="A76" s="2">
        <v>43916</v>
      </c>
      <c r="B76" s="18">
        <v>-14.505625</v>
      </c>
      <c r="C76" s="18">
        <v>-5.1621794999999997</v>
      </c>
      <c r="D76" s="18">
        <v>23.282385000000001</v>
      </c>
      <c r="E76" s="18">
        <v>6.2208176000000002</v>
      </c>
      <c r="F76" s="18">
        <v>8.0921289999999999</v>
      </c>
      <c r="G76" s="18">
        <v>-12.558835999999999</v>
      </c>
      <c r="H76" s="18">
        <v>-48.538322000000001</v>
      </c>
      <c r="I76" s="18">
        <v>33.611490000000003</v>
      </c>
      <c r="J76" s="18">
        <v>-14.632016</v>
      </c>
      <c r="K76" s="25">
        <v>-21.992462</v>
      </c>
      <c r="L76" s="25">
        <v>-6.5776586999999997</v>
      </c>
      <c r="M76" s="25">
        <v>-12.307871</v>
      </c>
      <c r="N76" s="25">
        <v>-18.599342</v>
      </c>
      <c r="O76">
        <v>-8.5771859999999993</v>
      </c>
    </row>
    <row r="77" spans="1:15" x14ac:dyDescent="0.3">
      <c r="A77" s="2">
        <v>43945</v>
      </c>
      <c r="B77" s="18">
        <v>-16.235572999999999</v>
      </c>
      <c r="C77" s="18">
        <v>-1.163888</v>
      </c>
      <c r="D77" s="18">
        <v>35.004570000000001</v>
      </c>
      <c r="E77" s="18">
        <v>5.4178357000000004</v>
      </c>
      <c r="F77" s="18">
        <v>13.682116000000001</v>
      </c>
      <c r="G77" s="18">
        <v>-16.785543000000001</v>
      </c>
      <c r="H77" s="18">
        <v>-59.07141</v>
      </c>
      <c r="I77" s="18">
        <v>41.215240000000001</v>
      </c>
      <c r="J77" s="18">
        <v>-15.980297</v>
      </c>
      <c r="K77" s="25">
        <v>-22.013753999999999</v>
      </c>
      <c r="L77" s="25">
        <v>-5.1444054000000001</v>
      </c>
      <c r="M77" s="25">
        <v>-15.198368</v>
      </c>
      <c r="N77" s="25">
        <v>-24.910046000000001</v>
      </c>
      <c r="O77">
        <v>-6.1208606000000003</v>
      </c>
    </row>
    <row r="78" spans="1:15" x14ac:dyDescent="0.3">
      <c r="A78" s="2">
        <v>43977</v>
      </c>
      <c r="B78" s="18">
        <v>-4.1485843999999998</v>
      </c>
      <c r="C78" s="18">
        <v>7.9540014000000001</v>
      </c>
      <c r="D78" s="18">
        <v>32.638083999999999</v>
      </c>
      <c r="E78" s="18">
        <v>4.1018724000000004</v>
      </c>
      <c r="F78" s="18">
        <v>29.656578</v>
      </c>
      <c r="G78" s="18">
        <v>-14.151991000000001</v>
      </c>
      <c r="H78" s="18">
        <v>-39.955795000000002</v>
      </c>
      <c r="I78" s="18">
        <v>30.454885000000001</v>
      </c>
      <c r="J78" s="18">
        <v>-8.2428690000000007</v>
      </c>
      <c r="K78" s="25">
        <v>-11.442841</v>
      </c>
      <c r="L78" s="25">
        <v>3.4550548000000001</v>
      </c>
      <c r="M78" s="25">
        <v>-0.24513602000000001</v>
      </c>
      <c r="N78" s="25">
        <v>-16.624248999999999</v>
      </c>
      <c r="O78">
        <v>2.6786089999999998</v>
      </c>
    </row>
    <row r="79" spans="1:15" x14ac:dyDescent="0.3">
      <c r="A79" s="2">
        <v>44008</v>
      </c>
      <c r="B79" s="18">
        <v>-3.5656154</v>
      </c>
      <c r="C79" s="18">
        <v>5.3903699999999999</v>
      </c>
      <c r="D79" s="18">
        <v>25.246286000000001</v>
      </c>
      <c r="E79" s="18">
        <v>3.416407</v>
      </c>
      <c r="F79" s="18">
        <v>30.337166</v>
      </c>
      <c r="G79" s="18">
        <v>-19.903300999999999</v>
      </c>
      <c r="H79" s="18">
        <v>-34.525073999999996</v>
      </c>
      <c r="I79" s="18">
        <v>27.703475999999998</v>
      </c>
      <c r="J79" s="18">
        <v>-6.3769220000000004</v>
      </c>
      <c r="K79" s="25">
        <v>-11.168885</v>
      </c>
      <c r="L79" s="25">
        <v>4.5045257000000003</v>
      </c>
      <c r="M79" s="25">
        <v>2.0018457999999999</v>
      </c>
      <c r="N79" s="25">
        <v>-11.955952999999999</v>
      </c>
      <c r="O79">
        <v>1.8135667</v>
      </c>
    </row>
    <row r="80" spans="1:15" x14ac:dyDescent="0.3">
      <c r="A80" s="2">
        <v>44036</v>
      </c>
      <c r="B80" s="18">
        <v>3.308916</v>
      </c>
      <c r="C80" s="18">
        <v>8.6051459999999995</v>
      </c>
      <c r="D80" s="18">
        <v>32.990993000000003</v>
      </c>
      <c r="E80" s="18">
        <v>-1.6973019</v>
      </c>
      <c r="F80" s="18">
        <v>32.009673999999997</v>
      </c>
      <c r="G80" s="18">
        <v>-15.655362999999999</v>
      </c>
      <c r="H80" s="18">
        <v>-26.087612</v>
      </c>
      <c r="I80" s="18">
        <v>31.248294999999999</v>
      </c>
      <c r="J80" s="18">
        <v>-0.93744992999999999</v>
      </c>
      <c r="K80" s="25">
        <v>-4.8209549999999997</v>
      </c>
      <c r="L80" s="25">
        <v>3.0509352999999999</v>
      </c>
      <c r="M80" s="25">
        <v>14.916347999999999</v>
      </c>
      <c r="N80" s="25">
        <v>-7.2866679999999997</v>
      </c>
      <c r="O80">
        <v>5.137384</v>
      </c>
    </row>
    <row r="81" spans="1:15" x14ac:dyDescent="0.3">
      <c r="A81" s="2">
        <v>44069</v>
      </c>
      <c r="B81" s="18">
        <v>17.131412999999998</v>
      </c>
      <c r="C81" s="18">
        <v>23.128450000000001</v>
      </c>
      <c r="D81" s="18">
        <v>27.165545000000002</v>
      </c>
      <c r="E81" s="18">
        <v>-3.9651930000000002</v>
      </c>
      <c r="F81" s="18">
        <v>59.241306000000002</v>
      </c>
      <c r="G81" s="18">
        <v>-3.1852722</v>
      </c>
      <c r="H81" s="18">
        <v>-18.564765999999999</v>
      </c>
      <c r="I81" s="18">
        <v>14.889229</v>
      </c>
      <c r="J81" s="18">
        <v>8.9389800000000008</v>
      </c>
      <c r="K81" s="25">
        <v>8.2865000000000002</v>
      </c>
      <c r="L81" s="25">
        <v>11.082732999999999</v>
      </c>
      <c r="M81" s="25">
        <v>32.157004999999998</v>
      </c>
      <c r="N81" s="25">
        <v>1.4396191</v>
      </c>
      <c r="O81">
        <v>18.548656000000001</v>
      </c>
    </row>
    <row r="82" spans="1:15" x14ac:dyDescent="0.3">
      <c r="A82" s="2">
        <v>44099</v>
      </c>
      <c r="B82" s="18">
        <v>6.6329000000000002</v>
      </c>
      <c r="C82" s="18">
        <v>12.624121000000001</v>
      </c>
      <c r="D82" s="18">
        <v>23.344850000000001</v>
      </c>
      <c r="E82" s="18">
        <v>-3.4029126000000001</v>
      </c>
      <c r="F82" s="18">
        <v>43.934787999999998</v>
      </c>
      <c r="G82" s="18">
        <v>-5.4017249999999999</v>
      </c>
      <c r="H82" s="18">
        <v>-29.640383</v>
      </c>
      <c r="I82" s="18">
        <v>18.76371</v>
      </c>
      <c r="J82" s="18">
        <v>-0.30134319999999998</v>
      </c>
      <c r="K82" s="25">
        <v>-1.1507928000000001</v>
      </c>
      <c r="L82" s="25">
        <v>4.7806024999999996</v>
      </c>
      <c r="M82" s="25">
        <v>18.645106999999999</v>
      </c>
      <c r="N82" s="25">
        <v>-10.209883</v>
      </c>
      <c r="O82">
        <v>8.6362719999999999</v>
      </c>
    </row>
    <row r="83" spans="1:15" x14ac:dyDescent="0.3">
      <c r="A83" s="2">
        <v>44130</v>
      </c>
      <c r="B83" s="18">
        <v>9.857583</v>
      </c>
      <c r="C83" s="18">
        <v>14.741861</v>
      </c>
      <c r="D83" s="18">
        <v>25.863530000000001</v>
      </c>
      <c r="E83" s="18">
        <v>-4.1022059999999998</v>
      </c>
      <c r="F83" s="18">
        <v>44.432594000000002</v>
      </c>
      <c r="G83" s="18">
        <v>-4.7512410000000003</v>
      </c>
      <c r="H83" s="18">
        <v>-34.204185000000003</v>
      </c>
      <c r="I83" s="18">
        <v>17.066849000000001</v>
      </c>
      <c r="J83" s="18">
        <v>-3.2104194000000001</v>
      </c>
      <c r="K83" s="25">
        <v>-0.97013115999999999</v>
      </c>
      <c r="L83" s="25">
        <v>3.1225800000000001</v>
      </c>
      <c r="M83" s="25">
        <v>14.5625</v>
      </c>
      <c r="N83" s="25">
        <v>-12.622923</v>
      </c>
      <c r="O83">
        <v>9.2831019999999995</v>
      </c>
    </row>
    <row r="84" spans="1:15" x14ac:dyDescent="0.3">
      <c r="A84" s="2">
        <v>44160</v>
      </c>
      <c r="B84" s="18">
        <v>16.652297999999998</v>
      </c>
      <c r="C84" s="18">
        <v>18.003917999999999</v>
      </c>
      <c r="D84" s="18">
        <v>23.657715</v>
      </c>
      <c r="E84" s="18">
        <v>-6.0264825999999996</v>
      </c>
      <c r="F84" s="18">
        <v>46.164000000000001</v>
      </c>
      <c r="G84" s="18">
        <v>-2.8131545</v>
      </c>
      <c r="H84" s="18">
        <v>-25.083424000000001</v>
      </c>
      <c r="I84" s="18">
        <v>14.915668500000001</v>
      </c>
      <c r="J84" s="18">
        <v>5.9221744999999997</v>
      </c>
      <c r="K84" s="25">
        <v>9.7653630000000007</v>
      </c>
      <c r="L84" s="25">
        <v>11.028729999999999</v>
      </c>
      <c r="M84" s="25">
        <v>27.227772000000002</v>
      </c>
      <c r="N84" s="25">
        <v>1.1583447</v>
      </c>
      <c r="O84" s="25">
        <v>14.954889</v>
      </c>
    </row>
    <row r="85" spans="1:15" x14ac:dyDescent="0.3">
      <c r="A85" s="2">
        <v>44189</v>
      </c>
      <c r="B85" s="18">
        <v>13.195048999999999</v>
      </c>
      <c r="C85" s="18">
        <v>17.057276000000002</v>
      </c>
      <c r="D85" s="18">
        <v>24.831879000000001</v>
      </c>
      <c r="E85" s="18">
        <v>-7.2734174999999999</v>
      </c>
      <c r="F85" s="18">
        <v>47.116149999999998</v>
      </c>
      <c r="G85" s="18">
        <v>-3.1211793000000001</v>
      </c>
      <c r="H85" s="18">
        <v>-25.992267999999999</v>
      </c>
      <c r="I85" s="18">
        <v>16.651475999999999</v>
      </c>
      <c r="J85" s="18">
        <v>6.2910079999999997</v>
      </c>
      <c r="K85" s="25">
        <v>11.446869</v>
      </c>
      <c r="L85" s="25">
        <v>11.889267</v>
      </c>
      <c r="M85" s="25">
        <v>21.418369999999999</v>
      </c>
      <c r="N85" s="25">
        <v>1.4676094</v>
      </c>
      <c r="O85">
        <v>15.067458</v>
      </c>
    </row>
    <row r="86" spans="1:15" x14ac:dyDescent="0.3">
      <c r="A86" s="2">
        <v>44222</v>
      </c>
      <c r="B86" s="18">
        <v>24.477661000000001</v>
      </c>
      <c r="C86" s="18">
        <v>18.956911000000002</v>
      </c>
      <c r="D86" s="18">
        <v>17.326664000000001</v>
      </c>
      <c r="E86" s="18">
        <v>-7.9196689999999998</v>
      </c>
      <c r="F86" s="18">
        <v>48.600949999999997</v>
      </c>
      <c r="G86" s="18">
        <v>1.6019702</v>
      </c>
      <c r="H86" s="18">
        <v>-11.706466000000001</v>
      </c>
      <c r="I86" s="18">
        <v>9.5564599999999995</v>
      </c>
      <c r="J86" s="18">
        <v>8.8696120000000001</v>
      </c>
      <c r="K86" s="25">
        <v>17.696273999999999</v>
      </c>
      <c r="L86" s="25">
        <v>18.178988</v>
      </c>
      <c r="M86" s="25">
        <v>29.581738000000001</v>
      </c>
      <c r="N86" s="25">
        <v>1.2563825</v>
      </c>
      <c r="O86">
        <v>17.395365000000002</v>
      </c>
    </row>
    <row r="87" spans="1:15" x14ac:dyDescent="0.3">
      <c r="A87" s="2">
        <v>44253</v>
      </c>
      <c r="B87" s="18">
        <v>28.895235</v>
      </c>
      <c r="C87" s="18">
        <v>24.429953000000001</v>
      </c>
      <c r="D87" s="18">
        <v>5.0918937</v>
      </c>
      <c r="E87" s="18">
        <v>-8.4391359999999995</v>
      </c>
      <c r="F87" s="18">
        <v>46.148014000000003</v>
      </c>
      <c r="G87" s="18">
        <v>11.111105</v>
      </c>
      <c r="H87" s="18">
        <v>13.977062</v>
      </c>
      <c r="I87" s="18">
        <v>-3.3796607999999999</v>
      </c>
      <c r="J87" s="18">
        <v>15.608335</v>
      </c>
      <c r="K87" s="25">
        <v>26.335217</v>
      </c>
      <c r="L87" s="25">
        <v>25.749361</v>
      </c>
      <c r="M87" s="25">
        <v>35.032069999999997</v>
      </c>
      <c r="N87" s="25">
        <v>9.4925639999999998</v>
      </c>
      <c r="O87">
        <v>23.021294000000001</v>
      </c>
    </row>
    <row r="88" spans="1:15" x14ac:dyDescent="0.3">
      <c r="A88" s="2">
        <v>44281</v>
      </c>
      <c r="B88" s="18">
        <v>52.410922999999997</v>
      </c>
      <c r="C88" s="18">
        <v>54.046190000000003</v>
      </c>
      <c r="D88" s="18">
        <v>5.8731437</v>
      </c>
      <c r="E88" s="18">
        <v>-7.3098364</v>
      </c>
      <c r="F88" s="18">
        <v>65.696820000000002</v>
      </c>
      <c r="G88" s="18">
        <v>16.931581000000001</v>
      </c>
      <c r="H88" s="18">
        <v>90.418480000000002</v>
      </c>
      <c r="I88" s="18">
        <v>-15.157443000000001</v>
      </c>
      <c r="J88" s="18">
        <v>47.022914999999998</v>
      </c>
      <c r="K88" s="25">
        <v>63.643836999999998</v>
      </c>
      <c r="L88" s="25">
        <v>41.220190000000002</v>
      </c>
      <c r="M88" s="25">
        <v>78.923370000000006</v>
      </c>
      <c r="N88" s="25">
        <v>48.293137000000002</v>
      </c>
      <c r="O88">
        <v>52.567219999999999</v>
      </c>
    </row>
    <row r="89" spans="1:15" x14ac:dyDescent="0.3">
      <c r="A89" s="2">
        <v>44312</v>
      </c>
      <c r="B89" s="18">
        <v>55.416943000000003</v>
      </c>
      <c r="C89" s="18">
        <v>49.962043999999999</v>
      </c>
      <c r="D89" s="18">
        <v>2.5823832000000002</v>
      </c>
      <c r="E89" s="18">
        <v>-10.011042</v>
      </c>
      <c r="F89" s="18">
        <v>60.756717999999999</v>
      </c>
      <c r="G89" s="18">
        <v>39.489494000000001</v>
      </c>
      <c r="H89" s="18">
        <v>125.77066000000001</v>
      </c>
      <c r="I89" s="18">
        <v>-16.98922</v>
      </c>
      <c r="J89" s="18">
        <v>52.716099999999997</v>
      </c>
      <c r="K89" s="25">
        <v>66.609440000000006</v>
      </c>
      <c r="L89" s="25">
        <v>36.890984000000003</v>
      </c>
      <c r="M89" s="25">
        <v>82.962165999999996</v>
      </c>
      <c r="N89" s="25">
        <v>63.657389999999999</v>
      </c>
      <c r="O89">
        <v>51.010309999999997</v>
      </c>
    </row>
    <row r="90" spans="1:15" x14ac:dyDescent="0.3">
      <c r="A90" s="2">
        <v>44342</v>
      </c>
      <c r="B90" s="18">
        <v>48.045516999999997</v>
      </c>
      <c r="C90" s="18">
        <v>42.380355999999999</v>
      </c>
      <c r="D90" s="18">
        <v>10.410845</v>
      </c>
      <c r="E90" s="18">
        <v>-9.5931350000000002</v>
      </c>
      <c r="F90" s="18">
        <v>46.793280000000003</v>
      </c>
      <c r="G90" s="18">
        <v>32.509087000000001</v>
      </c>
      <c r="H90" s="18">
        <v>82.294319999999999</v>
      </c>
      <c r="I90" s="18">
        <v>-13.554251000000001</v>
      </c>
      <c r="J90" s="18">
        <v>47.339103999999999</v>
      </c>
      <c r="K90" s="25">
        <v>56.223739999999999</v>
      </c>
      <c r="L90" s="25">
        <v>26.765346999999998</v>
      </c>
      <c r="M90" s="25">
        <v>67.846010000000007</v>
      </c>
      <c r="N90" s="25">
        <v>56.031500000000001</v>
      </c>
      <c r="O90">
        <v>43.019069999999999</v>
      </c>
    </row>
    <row r="91" spans="1:15" x14ac:dyDescent="0.3">
      <c r="A91" s="2">
        <v>44372</v>
      </c>
      <c r="B91" s="18">
        <v>39.385258</v>
      </c>
      <c r="C91" s="18">
        <v>40.886116000000001</v>
      </c>
      <c r="D91" s="18">
        <v>0.47647952999999998</v>
      </c>
      <c r="E91" s="18">
        <v>-6.1573504999999997</v>
      </c>
      <c r="F91" s="18">
        <v>42.845142000000003</v>
      </c>
      <c r="G91" s="18">
        <v>32.861400000000003</v>
      </c>
      <c r="H91" s="18">
        <v>80.534869999999998</v>
      </c>
      <c r="I91" s="18">
        <v>-11.900645000000001</v>
      </c>
      <c r="J91" s="18">
        <v>38.684905999999998</v>
      </c>
      <c r="K91" s="25">
        <v>47.341569999999997</v>
      </c>
      <c r="L91" s="25">
        <v>23.535596999999999</v>
      </c>
      <c r="M91" s="25">
        <v>55.451619999999998</v>
      </c>
      <c r="N91" s="25">
        <v>39.997839999999997</v>
      </c>
      <c r="O91">
        <v>39.653280000000002</v>
      </c>
    </row>
    <row r="92" spans="1:15" x14ac:dyDescent="0.3">
      <c r="A92" s="2">
        <v>44403</v>
      </c>
      <c r="B92" s="18">
        <v>21.559227</v>
      </c>
      <c r="C92" s="18">
        <v>39.503799999999998</v>
      </c>
      <c r="D92" s="18">
        <v>-5.8981475999999997</v>
      </c>
      <c r="E92" s="18">
        <v>-2.3529409999999999</v>
      </c>
      <c r="F92" s="18">
        <v>45.006965999999998</v>
      </c>
      <c r="G92" s="18">
        <v>40.14546</v>
      </c>
      <c r="H92" s="18">
        <v>69.200325000000007</v>
      </c>
      <c r="I92" s="18">
        <v>-11.512779999999999</v>
      </c>
      <c r="J92" s="18">
        <v>31.987583000000001</v>
      </c>
      <c r="K92" s="25">
        <v>35.508420000000001</v>
      </c>
      <c r="L92" s="25">
        <v>22.502887999999999</v>
      </c>
      <c r="M92" s="25">
        <v>46.090589999999999</v>
      </c>
      <c r="N92" s="25">
        <v>28.713000000000001</v>
      </c>
      <c r="O92">
        <v>36.759937000000001</v>
      </c>
    </row>
    <row r="93" spans="1:15" x14ac:dyDescent="0.3">
      <c r="A93" s="2">
        <v>44434</v>
      </c>
      <c r="B93" s="18">
        <v>15.82917</v>
      </c>
      <c r="C93" s="18">
        <v>30.321503</v>
      </c>
      <c r="D93" s="18">
        <v>-8.5569380000000006</v>
      </c>
      <c r="E93" s="18">
        <v>-0.39840936999999998</v>
      </c>
      <c r="F93" s="18">
        <v>28.281998000000002</v>
      </c>
      <c r="G93" s="18">
        <v>32.940365</v>
      </c>
      <c r="H93" s="18">
        <v>54.909610000000001</v>
      </c>
      <c r="I93" s="18">
        <v>-8.1832770000000004</v>
      </c>
      <c r="J93" s="18">
        <v>28.888439999999999</v>
      </c>
      <c r="K93" s="25">
        <v>30.837810000000001</v>
      </c>
      <c r="L93" s="25">
        <v>17.304493000000001</v>
      </c>
      <c r="M93" s="25">
        <v>35.89734</v>
      </c>
      <c r="N93" s="25">
        <v>26.974415</v>
      </c>
      <c r="O93">
        <v>29.022335000000002</v>
      </c>
    </row>
    <row r="94" spans="1:15" x14ac:dyDescent="0.3">
      <c r="A94" s="2">
        <v>44463</v>
      </c>
      <c r="B94" s="18">
        <v>22.193193000000001</v>
      </c>
      <c r="C94" s="18">
        <v>39.167712999999999</v>
      </c>
      <c r="D94" s="18">
        <v>-6.9197416</v>
      </c>
      <c r="E94" s="18">
        <v>-1.6875982</v>
      </c>
      <c r="F94" s="18">
        <v>41.424880000000002</v>
      </c>
      <c r="G94" s="18">
        <v>28.590965000000001</v>
      </c>
      <c r="H94" s="18">
        <v>85.402060000000006</v>
      </c>
      <c r="I94" s="18">
        <v>-9.721565</v>
      </c>
      <c r="J94" s="18">
        <v>35.116256999999997</v>
      </c>
      <c r="K94" s="25">
        <v>38.44688</v>
      </c>
      <c r="L94" s="25">
        <v>25.24314</v>
      </c>
      <c r="M94" s="25">
        <v>41.671467</v>
      </c>
      <c r="N94" s="25">
        <v>36.423409999999997</v>
      </c>
      <c r="O94">
        <v>36.9895</v>
      </c>
    </row>
    <row r="95" spans="1:15" x14ac:dyDescent="0.3">
      <c r="A95" s="2">
        <v>44495</v>
      </c>
      <c r="B95" s="18">
        <v>17.878378000000001</v>
      </c>
      <c r="C95" s="18">
        <v>36.252830000000003</v>
      </c>
      <c r="D95" s="18">
        <v>-6.0879349999999999</v>
      </c>
      <c r="E95" s="18">
        <v>0.31834839999999998</v>
      </c>
      <c r="F95" s="18">
        <v>35.896346999999999</v>
      </c>
      <c r="G95" s="18">
        <v>29.281389999999998</v>
      </c>
      <c r="H95" s="18">
        <v>118.04778</v>
      </c>
      <c r="I95" s="18">
        <v>-7.6597569999999999</v>
      </c>
      <c r="J95" s="18">
        <v>35.509120000000003</v>
      </c>
      <c r="K95" s="25">
        <v>32.22195</v>
      </c>
      <c r="L95" s="25">
        <v>17.883099000000001</v>
      </c>
      <c r="M95" s="25">
        <v>40.079773000000003</v>
      </c>
      <c r="N95" s="25">
        <v>40.003203999999997</v>
      </c>
      <c r="O95">
        <v>34.696326999999997</v>
      </c>
    </row>
    <row r="96" spans="1:15" x14ac:dyDescent="0.3">
      <c r="A96" s="2">
        <v>44526</v>
      </c>
      <c r="B96" s="18">
        <v>3.7807225999999998</v>
      </c>
      <c r="C96" s="18">
        <v>28.351952000000001</v>
      </c>
      <c r="D96" s="18">
        <v>-1.5692234</v>
      </c>
      <c r="E96" s="18">
        <v>3.8694142999999999</v>
      </c>
      <c r="F96" s="18">
        <v>32.743740000000003</v>
      </c>
      <c r="G96" s="18">
        <v>29.005168999999999</v>
      </c>
      <c r="H96" s="18">
        <v>58.648850000000003</v>
      </c>
      <c r="I96" s="18">
        <v>-3.7003458</v>
      </c>
      <c r="J96" s="18">
        <v>15.294169999999999</v>
      </c>
      <c r="K96" s="25">
        <v>11.867523</v>
      </c>
      <c r="L96" s="25">
        <v>3.7154316999999999</v>
      </c>
      <c r="M96" s="25">
        <v>15.103304</v>
      </c>
      <c r="N96" s="25">
        <v>11.004424</v>
      </c>
      <c r="O96">
        <v>22.862673000000001</v>
      </c>
    </row>
    <row r="97" spans="1:15" x14ac:dyDescent="0.3">
      <c r="A97" s="2">
        <v>44553</v>
      </c>
      <c r="B97" s="18">
        <v>2.5868416000000001</v>
      </c>
      <c r="C97" s="18">
        <v>29.753077000000001</v>
      </c>
      <c r="D97" s="18">
        <v>-3.8030148000000001</v>
      </c>
      <c r="E97" s="18">
        <v>5.7542086000000001</v>
      </c>
      <c r="F97" s="18">
        <v>29.40756</v>
      </c>
      <c r="G97" s="18">
        <v>26.299118</v>
      </c>
      <c r="H97" s="18">
        <v>63.361477000000001</v>
      </c>
      <c r="I97" s="18">
        <v>-3.7429869999999998</v>
      </c>
      <c r="J97" s="18">
        <v>16.223393999999999</v>
      </c>
      <c r="K97" s="25">
        <v>10.965287999999999</v>
      </c>
      <c r="L97" s="25">
        <v>4.1419864000000004</v>
      </c>
      <c r="M97" s="25">
        <v>21.191680000000002</v>
      </c>
      <c r="N97" s="25">
        <v>13.146055</v>
      </c>
      <c r="O97">
        <v>22.847116</v>
      </c>
    </row>
    <row r="98" spans="1:15" x14ac:dyDescent="0.3">
      <c r="A98" s="2">
        <v>44587</v>
      </c>
      <c r="B98" s="18">
        <v>-7.7427745000000003</v>
      </c>
      <c r="C98" s="18">
        <v>14.440823</v>
      </c>
      <c r="D98" s="18">
        <v>-2.2059679999999999</v>
      </c>
      <c r="E98" s="18">
        <v>6.3374519999999999</v>
      </c>
      <c r="F98" s="18">
        <v>5.3689003</v>
      </c>
      <c r="G98" s="18">
        <v>22.316562999999999</v>
      </c>
      <c r="H98" s="18">
        <v>75.197890000000001</v>
      </c>
      <c r="I98" s="18">
        <v>-6.9876012999999997</v>
      </c>
      <c r="J98" s="18">
        <v>7.9699873999999999</v>
      </c>
      <c r="K98" s="25">
        <v>0.88189839999999997</v>
      </c>
      <c r="L98" s="25">
        <v>-6.8993864</v>
      </c>
      <c r="M98" s="25">
        <v>3.6479235000000001</v>
      </c>
      <c r="N98" s="25">
        <v>12.086034</v>
      </c>
      <c r="O98">
        <v>9.4567180000000004</v>
      </c>
    </row>
    <row r="99" spans="1:15" x14ac:dyDescent="0.3">
      <c r="A99" s="2">
        <v>44617</v>
      </c>
      <c r="B99" s="18">
        <v>-6.7766485000000003</v>
      </c>
      <c r="C99" s="18">
        <v>16.036224000000001</v>
      </c>
      <c r="D99" s="18">
        <v>6.4708709999999998</v>
      </c>
      <c r="E99" s="18">
        <v>6.1626909999999997</v>
      </c>
      <c r="F99" s="18">
        <v>11.062706</v>
      </c>
      <c r="G99" s="18">
        <v>17.891739999999999</v>
      </c>
      <c r="H99" s="18">
        <v>55.335532999999998</v>
      </c>
      <c r="I99" s="18">
        <v>0.33932923999999998</v>
      </c>
      <c r="J99" s="18">
        <v>6.3448786999999998</v>
      </c>
      <c r="K99" s="25">
        <v>2.6791214999999999</v>
      </c>
      <c r="L99" s="25">
        <v>-6.2759039999999997</v>
      </c>
      <c r="M99" s="25">
        <v>-3.9637088999999999</v>
      </c>
      <c r="N99" s="25">
        <v>6.8855285999999998</v>
      </c>
      <c r="O99">
        <v>10.289705</v>
      </c>
    </row>
    <row r="100" spans="1:15" x14ac:dyDescent="0.3">
      <c r="A100" s="2">
        <v>44645</v>
      </c>
      <c r="B100" s="18">
        <v>-6.4410030000000003</v>
      </c>
      <c r="C100" s="18">
        <v>17.702674999999999</v>
      </c>
      <c r="D100" s="18">
        <v>12.73334</v>
      </c>
      <c r="E100" s="18">
        <v>5.5977582999999997</v>
      </c>
      <c r="F100" s="18">
        <v>15.980779999999999</v>
      </c>
      <c r="G100" s="18">
        <v>32.361699999999999</v>
      </c>
      <c r="H100" s="18">
        <v>104.28736000000001</v>
      </c>
      <c r="I100" s="18">
        <v>-4.707986</v>
      </c>
      <c r="J100" s="18">
        <v>2.3590087999999998</v>
      </c>
      <c r="K100" s="25">
        <v>1.8742441999999999</v>
      </c>
      <c r="L100" s="25">
        <v>-7.4437559999999996</v>
      </c>
      <c r="M100" s="25">
        <v>-7.8340350000000001</v>
      </c>
      <c r="N100" s="25">
        <v>-4.4183674000000002</v>
      </c>
      <c r="O100">
        <v>11.477399</v>
      </c>
    </row>
    <row r="101" spans="1:15" x14ac:dyDescent="0.3">
      <c r="A101" s="2">
        <v>44677</v>
      </c>
      <c r="B101" s="18">
        <v>-18.618922999999999</v>
      </c>
      <c r="C101" s="18">
        <v>0.95845460000000005</v>
      </c>
      <c r="D101" s="18">
        <v>6.2814712999999998</v>
      </c>
      <c r="E101" s="18">
        <v>11.860943000000001</v>
      </c>
      <c r="F101" s="18">
        <v>-6.7208949999999996</v>
      </c>
      <c r="G101" s="18">
        <v>19.537127000000002</v>
      </c>
      <c r="H101" s="18">
        <v>79.137084999999999</v>
      </c>
      <c r="I101" s="18">
        <v>-11.084455500000001</v>
      </c>
      <c r="J101" s="18">
        <v>-10.387909000000001</v>
      </c>
      <c r="K101" s="25">
        <v>-10.230577</v>
      </c>
      <c r="L101" s="25">
        <v>-16.892672000000001</v>
      </c>
      <c r="M101" s="25">
        <v>-21.710217</v>
      </c>
      <c r="N101" s="25">
        <v>-13.634282000000001</v>
      </c>
      <c r="O101">
        <v>-3.6896884000000001</v>
      </c>
    </row>
    <row r="102" spans="1:15" x14ac:dyDescent="0.3">
      <c r="A102" s="2">
        <v>44707</v>
      </c>
      <c r="B102" s="18">
        <v>-18.186605</v>
      </c>
      <c r="C102" s="18">
        <v>-2.0021439000000001</v>
      </c>
      <c r="D102" s="18">
        <v>-2.7471304000000001</v>
      </c>
      <c r="E102" s="18">
        <v>12.386454000000001</v>
      </c>
      <c r="F102" s="18">
        <v>-9.9830919999999992</v>
      </c>
      <c r="G102" s="18">
        <v>22.283208999999999</v>
      </c>
      <c r="H102" s="18">
        <v>85.685074</v>
      </c>
      <c r="I102" s="18">
        <v>-13.294119</v>
      </c>
      <c r="J102" s="18">
        <v>-11.041439</v>
      </c>
      <c r="K102" s="25">
        <v>-12.131798</v>
      </c>
      <c r="L102" s="25">
        <v>-13.234722</v>
      </c>
      <c r="M102" s="25">
        <v>-21.038855000000002</v>
      </c>
      <c r="N102" s="25">
        <v>-10.354519</v>
      </c>
      <c r="O102">
        <v>-5.7007193999999997</v>
      </c>
    </row>
    <row r="103" spans="1:15" x14ac:dyDescent="0.3">
      <c r="A103" s="2">
        <v>44736</v>
      </c>
      <c r="B103" s="18">
        <v>-19.698184999999999</v>
      </c>
      <c r="C103" s="18">
        <v>-6.9302739999999998</v>
      </c>
      <c r="D103" s="18">
        <v>2.4391769999999999</v>
      </c>
      <c r="E103" s="18">
        <v>12.560784999999999</v>
      </c>
      <c r="F103" s="18">
        <v>-15.33202</v>
      </c>
      <c r="G103" s="18">
        <v>16.199553000000002</v>
      </c>
      <c r="H103" s="18">
        <v>60.724224</v>
      </c>
      <c r="I103" s="18">
        <v>-20.264603000000001</v>
      </c>
      <c r="J103" s="18">
        <v>-17.57536</v>
      </c>
      <c r="K103" s="25">
        <v>-20.448696000000002</v>
      </c>
      <c r="L103" s="25">
        <v>-19.328534999999999</v>
      </c>
      <c r="M103" s="25">
        <v>-28.206389999999999</v>
      </c>
      <c r="N103" s="25">
        <v>-20.22589</v>
      </c>
      <c r="O103">
        <v>-11.487526000000001</v>
      </c>
    </row>
    <row r="104" spans="1:15" x14ac:dyDescent="0.3">
      <c r="A104" s="2">
        <v>44768</v>
      </c>
      <c r="B104" s="18">
        <v>-17.9892</v>
      </c>
      <c r="C104" s="18">
        <v>-10.103624999999999</v>
      </c>
      <c r="D104" s="18">
        <v>-4.8287389999999997</v>
      </c>
      <c r="E104" s="18">
        <v>15.100408</v>
      </c>
      <c r="F104" s="18">
        <v>-19.671219000000001</v>
      </c>
      <c r="G104" s="18">
        <v>2.7503848</v>
      </c>
      <c r="H104" s="18">
        <v>50.935425000000002</v>
      </c>
      <c r="I104" s="18">
        <v>-19.289339999999999</v>
      </c>
      <c r="J104" s="18">
        <v>-19.174744</v>
      </c>
      <c r="K104" s="25">
        <v>-19.549500999999999</v>
      </c>
      <c r="L104" s="25">
        <v>-18.165934</v>
      </c>
      <c r="M104" s="25">
        <v>-31.056028000000001</v>
      </c>
      <c r="N104" s="25">
        <v>-26.06467</v>
      </c>
      <c r="O104">
        <v>-13.611979</v>
      </c>
    </row>
    <row r="105" spans="1:15" x14ac:dyDescent="0.3">
      <c r="A105" s="2">
        <v>44799</v>
      </c>
      <c r="B105" s="18">
        <v>-15.318429999999999</v>
      </c>
      <c r="C105" s="18">
        <v>-7.8818501999999997</v>
      </c>
      <c r="D105" s="18">
        <v>-3.5247803000000002</v>
      </c>
      <c r="E105" s="18">
        <v>16.52</v>
      </c>
      <c r="F105" s="18">
        <v>-16.989946</v>
      </c>
      <c r="G105" s="18">
        <v>8.2942119999999999</v>
      </c>
      <c r="H105" s="18">
        <v>59.399033000000003</v>
      </c>
      <c r="I105" s="18">
        <v>-22.102076</v>
      </c>
      <c r="J105" s="18">
        <v>-21.795303000000001</v>
      </c>
      <c r="K105" s="25">
        <v>-16.009633999999998</v>
      </c>
      <c r="L105" s="25">
        <v>-17.672937000000001</v>
      </c>
      <c r="M105" s="25">
        <v>-32.185012999999998</v>
      </c>
      <c r="N105" s="25">
        <v>-25.193083000000001</v>
      </c>
      <c r="O105">
        <v>-12.169045000000001</v>
      </c>
    </row>
    <row r="106" spans="1:15" x14ac:dyDescent="0.3">
      <c r="A106" s="2">
        <v>44830</v>
      </c>
      <c r="B106" s="18">
        <v>-24.068480999999998</v>
      </c>
      <c r="C106" s="18">
        <v>-16.686831999999999</v>
      </c>
      <c r="D106" s="18">
        <v>-7.3913096999999999</v>
      </c>
      <c r="E106" s="18">
        <v>22.395218</v>
      </c>
      <c r="F106" s="18">
        <v>-26.051586</v>
      </c>
      <c r="G106" s="18">
        <v>6.0106396999999996</v>
      </c>
      <c r="H106" s="18">
        <v>21.797156999999999</v>
      </c>
      <c r="I106" s="18">
        <v>-28.10849</v>
      </c>
      <c r="J106" s="18">
        <v>-30.009830000000001</v>
      </c>
      <c r="K106" s="25">
        <v>-25.392787999999999</v>
      </c>
      <c r="L106" s="25">
        <v>-30.674833</v>
      </c>
      <c r="M106" s="25">
        <v>-39.380474</v>
      </c>
      <c r="N106" s="25">
        <v>-30.029941999999998</v>
      </c>
      <c r="O106">
        <v>-21.244658000000001</v>
      </c>
    </row>
    <row r="107" spans="1:15" x14ac:dyDescent="0.3">
      <c r="A107" s="2">
        <v>44860</v>
      </c>
      <c r="B107" s="18">
        <v>-27.700783000000001</v>
      </c>
      <c r="C107" s="18">
        <v>-14.945591</v>
      </c>
      <c r="D107" s="18">
        <v>-7.5739502999999999</v>
      </c>
      <c r="E107" s="18">
        <v>17.017067000000001</v>
      </c>
      <c r="F107" s="18">
        <v>-26.2361</v>
      </c>
      <c r="G107" s="18">
        <v>3.0649304000000002</v>
      </c>
      <c r="H107" s="18">
        <v>25.952375</v>
      </c>
      <c r="I107" s="18">
        <v>-32.206665000000001</v>
      </c>
      <c r="J107" s="18">
        <v>-23.920887</v>
      </c>
      <c r="K107" s="25">
        <v>-23.851555000000001</v>
      </c>
      <c r="L107" s="25">
        <v>-24.702971999999999</v>
      </c>
      <c r="M107" s="25">
        <v>-34.309047999999997</v>
      </c>
      <c r="N107" s="25">
        <v>-25.321781000000001</v>
      </c>
      <c r="O107">
        <v>-18.536228000000001</v>
      </c>
    </row>
    <row r="108" spans="1:15" x14ac:dyDescent="0.3">
      <c r="A108" s="2">
        <v>44890</v>
      </c>
      <c r="B108" s="18">
        <v>-20.620358</v>
      </c>
      <c r="C108" s="18">
        <v>-12.995881000000001</v>
      </c>
      <c r="D108" s="18">
        <v>-2.333647</v>
      </c>
      <c r="E108" s="18">
        <v>10.050058</v>
      </c>
      <c r="F108" s="18">
        <v>-27.6007</v>
      </c>
      <c r="G108" s="18">
        <v>-1.9249737</v>
      </c>
      <c r="H108" s="18">
        <v>20.454025000000001</v>
      </c>
      <c r="I108" s="18">
        <v>-28.445709999999998</v>
      </c>
      <c r="J108" s="18">
        <v>-12.836498000000001</v>
      </c>
      <c r="K108" s="25">
        <v>-16.227869999999999</v>
      </c>
      <c r="L108" s="25">
        <v>-16.752338000000002</v>
      </c>
      <c r="M108" s="25">
        <v>-22.166967</v>
      </c>
      <c r="N108" s="25">
        <v>-12.017291999999999</v>
      </c>
      <c r="O108">
        <v>-14.014233000000001</v>
      </c>
    </row>
    <row r="109" spans="1:15" x14ac:dyDescent="0.3">
      <c r="A109" s="2">
        <v>44918</v>
      </c>
      <c r="B109" s="18">
        <v>-18.012571000000001</v>
      </c>
      <c r="C109" s="18">
        <v>-17.309909999999999</v>
      </c>
      <c r="D109" s="18">
        <v>-1.0120153000000001</v>
      </c>
      <c r="E109" s="18">
        <v>9.7000010000000003</v>
      </c>
      <c r="F109" s="18">
        <v>-32.146500000000003</v>
      </c>
      <c r="G109" s="18">
        <v>1.8516302</v>
      </c>
      <c r="H109" s="18">
        <v>31.111108999999999</v>
      </c>
      <c r="I109" s="18">
        <v>-29.605902</v>
      </c>
      <c r="J109" s="18">
        <v>-14.958036</v>
      </c>
      <c r="K109" s="25">
        <v>-18.652259999999998</v>
      </c>
      <c r="L109" s="25">
        <v>-17.761510000000001</v>
      </c>
      <c r="M109" s="25">
        <v>-26.43826</v>
      </c>
      <c r="N109" s="25">
        <v>-13.064199</v>
      </c>
      <c r="O109">
        <v>-17.254860000000001</v>
      </c>
    </row>
    <row r="110" spans="1:15" x14ac:dyDescent="0.3">
      <c r="A110" s="2">
        <v>44952</v>
      </c>
      <c r="B110" s="18">
        <v>-7.3204039999999999</v>
      </c>
      <c r="C110" s="18">
        <v>-5.0867852999999998</v>
      </c>
      <c r="D110" s="18">
        <v>5.7011604</v>
      </c>
      <c r="E110" s="18">
        <v>7.0858239999999997</v>
      </c>
      <c r="F110" s="18">
        <v>-14.242399000000001</v>
      </c>
      <c r="G110" s="18">
        <v>-1.203692</v>
      </c>
      <c r="H110" s="18">
        <v>16.00151</v>
      </c>
      <c r="I110" s="18">
        <v>-22.076834000000002</v>
      </c>
      <c r="J110" s="18">
        <v>-2.7026355</v>
      </c>
      <c r="K110" s="25">
        <v>-9.8126350000000002</v>
      </c>
      <c r="L110" s="25">
        <v>-6.3782930000000002</v>
      </c>
      <c r="M110" s="25">
        <v>-11.229217999999999</v>
      </c>
      <c r="N110" s="25">
        <v>-1.7491220999999999</v>
      </c>
      <c r="O110">
        <v>-4.6200394999999999</v>
      </c>
    </row>
    <row r="111" spans="1:15" x14ac:dyDescent="0.3">
      <c r="A111" s="2">
        <v>44981</v>
      </c>
      <c r="B111" s="18">
        <v>-13.539248000000001</v>
      </c>
      <c r="C111" s="18">
        <v>-5.9470653999999996</v>
      </c>
      <c r="D111" s="18">
        <v>-4.9621700000000004</v>
      </c>
      <c r="E111" s="18">
        <v>10.667265</v>
      </c>
      <c r="F111" s="18">
        <v>-13.655590999999999</v>
      </c>
      <c r="G111" s="18">
        <v>-4.3714339999999998</v>
      </c>
      <c r="H111" s="18">
        <v>2.0993710000000001</v>
      </c>
      <c r="I111" s="18">
        <v>-24.362064</v>
      </c>
      <c r="J111" s="18">
        <v>-0.86780190000000001</v>
      </c>
      <c r="K111" s="25">
        <v>-14.793462</v>
      </c>
      <c r="L111" s="25">
        <v>-9.3721390000000007</v>
      </c>
      <c r="M111" s="25">
        <v>-4.7084513000000001</v>
      </c>
      <c r="N111" s="25">
        <v>1.9693970999999999</v>
      </c>
      <c r="O111">
        <v>-5.65998</v>
      </c>
    </row>
    <row r="112" spans="1:15" x14ac:dyDescent="0.3">
      <c r="A112" s="2">
        <v>45009</v>
      </c>
      <c r="B112" s="18">
        <v>-11.238538999999999</v>
      </c>
      <c r="C112" s="18">
        <v>-10.651755</v>
      </c>
      <c r="D112" s="18">
        <v>0.28394459999999999</v>
      </c>
      <c r="E112" s="18">
        <v>7.1070074999999999</v>
      </c>
      <c r="F112" s="18">
        <v>-12.896096999999999</v>
      </c>
      <c r="G112" s="18">
        <v>-9.1582889999999999</v>
      </c>
      <c r="H112" s="18">
        <v>-23.637014000000001</v>
      </c>
      <c r="I112" s="18">
        <v>-15.993285</v>
      </c>
      <c r="J112" s="18">
        <v>-2.7077079999999998</v>
      </c>
      <c r="K112" s="25">
        <v>-14.342271999999999</v>
      </c>
      <c r="L112" s="25">
        <v>-7.8611493000000001</v>
      </c>
      <c r="M112" s="25">
        <v>-11.674571</v>
      </c>
      <c r="N112" s="25">
        <v>5.5265069999999996</v>
      </c>
      <c r="O112">
        <v>-9.9903820000000003</v>
      </c>
    </row>
    <row r="113" spans="1:15" x14ac:dyDescent="0.3">
      <c r="A113" s="2">
        <v>45042</v>
      </c>
      <c r="B113" s="18">
        <v>-2.9785037000000001</v>
      </c>
      <c r="C113" s="18">
        <v>-1.1627376</v>
      </c>
      <c r="D113" s="18">
        <v>4.1845201999999997</v>
      </c>
      <c r="E113" s="18">
        <v>2.1694659999999999</v>
      </c>
      <c r="F113" s="18">
        <v>-0.90916750000000002</v>
      </c>
      <c r="G113" s="18">
        <v>-4.8939649999999997</v>
      </c>
      <c r="H113" s="18">
        <v>-13.231707</v>
      </c>
      <c r="I113" s="18">
        <v>-11.236745000000001</v>
      </c>
      <c r="J113" s="18">
        <v>11.641752</v>
      </c>
      <c r="K113" s="25">
        <v>-6.9648504000000004</v>
      </c>
      <c r="L113" s="25">
        <v>5.3736329999999999</v>
      </c>
      <c r="M113" s="25">
        <v>5.6795716000000001</v>
      </c>
      <c r="N113" s="25">
        <v>20.471858999999998</v>
      </c>
      <c r="O113">
        <v>0.84491970000000005</v>
      </c>
    </row>
    <row r="114" spans="1:15" x14ac:dyDescent="0.3">
      <c r="A114" s="2">
        <v>45072</v>
      </c>
      <c r="B114" s="18">
        <v>-2.8298318</v>
      </c>
      <c r="C114" s="18">
        <v>5.3981184999999998</v>
      </c>
      <c r="D114" s="18">
        <v>4.7233223999999998</v>
      </c>
      <c r="E114" s="18">
        <v>5.9558033999999997</v>
      </c>
      <c r="F114" s="18">
        <v>17.284012000000001</v>
      </c>
      <c r="G114" s="18">
        <v>-7.2224380000000004</v>
      </c>
      <c r="H114" s="18">
        <v>-22.411895999999999</v>
      </c>
      <c r="I114" s="18">
        <v>-12.544805</v>
      </c>
      <c r="J114" s="18">
        <v>7.5009584</v>
      </c>
      <c r="K114" s="25">
        <v>-0.93367696</v>
      </c>
      <c r="L114" s="25">
        <v>5.1468369999999997</v>
      </c>
      <c r="M114" s="25">
        <v>0.99829435</v>
      </c>
      <c r="N114" s="25">
        <v>10.455645000000001</v>
      </c>
      <c r="O114">
        <v>4.8012969999999999</v>
      </c>
    </row>
    <row r="115" spans="1:15" x14ac:dyDescent="0.3">
      <c r="A115" s="2">
        <v>45103</v>
      </c>
      <c r="B115" s="18">
        <v>-1.0485709000000001</v>
      </c>
      <c r="C115" s="18">
        <v>12.425613</v>
      </c>
      <c r="D115" s="18">
        <v>4.9503206999999998</v>
      </c>
      <c r="E115" s="18">
        <v>2.8394460000000001</v>
      </c>
      <c r="F115" s="18">
        <v>22.275675</v>
      </c>
      <c r="G115" s="18">
        <v>4.2713640000000002</v>
      </c>
      <c r="H115" s="18" t="e">
        <v>#N/A</v>
      </c>
      <c r="I115" s="18">
        <v>-5.4773864999999997</v>
      </c>
      <c r="J115" s="18">
        <v>15.132082</v>
      </c>
      <c r="K115" s="25">
        <v>9.0357299999999992</v>
      </c>
      <c r="L115" s="25">
        <v>14.481068</v>
      </c>
      <c r="M115" s="25">
        <v>9.2220189999999995</v>
      </c>
      <c r="N115" s="25">
        <v>26.810241999999999</v>
      </c>
      <c r="O115">
        <v>12.317812</v>
      </c>
    </row>
    <row r="116" spans="1:15" x14ac:dyDescent="0.3">
      <c r="A116" s="2">
        <v>45133</v>
      </c>
      <c r="B116" s="18">
        <v>8.4706670000000006</v>
      </c>
      <c r="C116" s="18">
        <v>18.451858999999999</v>
      </c>
      <c r="D116" s="18">
        <v>14.533877</v>
      </c>
      <c r="E116" s="18">
        <v>-1.6205609000000001</v>
      </c>
      <c r="F116" s="18">
        <v>29.163350000000001</v>
      </c>
      <c r="G116" s="18">
        <v>13.229156</v>
      </c>
      <c r="H116" s="18" t="e">
        <v>#N/A</v>
      </c>
      <c r="I116" s="18">
        <v>-11.268473</v>
      </c>
      <c r="J116" s="18">
        <v>23.533498999999999</v>
      </c>
      <c r="K116" s="25">
        <v>15.522622999999999</v>
      </c>
      <c r="L116" s="25">
        <v>17.238282999999999</v>
      </c>
      <c r="M116" s="25">
        <v>14.752853</v>
      </c>
      <c r="N116" s="25">
        <v>50.900852</v>
      </c>
      <c r="O116">
        <v>18.533802000000001</v>
      </c>
    </row>
    <row r="117" spans="1:15" x14ac:dyDescent="0.3">
      <c r="A117" s="2">
        <v>45163</v>
      </c>
      <c r="B117" s="18">
        <v>-1.4982641000000001</v>
      </c>
      <c r="C117" s="18">
        <v>6.6054105999999999</v>
      </c>
      <c r="D117" s="18">
        <v>8.4702249999999992</v>
      </c>
      <c r="E117" s="18">
        <v>0.84375142999999997</v>
      </c>
      <c r="F117" s="18">
        <v>14.36199</v>
      </c>
      <c r="G117" s="18">
        <v>5.9804320000000004</v>
      </c>
      <c r="H117" s="18" t="e">
        <v>#N/A</v>
      </c>
      <c r="I117" s="18">
        <v>-12.995428</v>
      </c>
      <c r="J117" s="18">
        <v>15.556049</v>
      </c>
      <c r="K117" s="25">
        <v>3.4319161999999999</v>
      </c>
      <c r="L117" s="25">
        <v>8.4724059999999994</v>
      </c>
      <c r="M117" s="25">
        <v>3.7821174000000002</v>
      </c>
      <c r="N117" s="25">
        <v>35.407470000000004</v>
      </c>
      <c r="O117">
        <v>7.0757627000000003</v>
      </c>
    </row>
    <row r="118" spans="1:15" x14ac:dyDescent="0.3">
      <c r="A118" s="2">
        <v>45195</v>
      </c>
      <c r="B118" s="18">
        <v>8.7845209999999998</v>
      </c>
      <c r="C118" s="18">
        <v>18.759464000000001</v>
      </c>
      <c r="D118" s="18">
        <v>16.564177999999998</v>
      </c>
      <c r="E118" s="18">
        <v>-2.1813989</v>
      </c>
      <c r="F118" s="18">
        <v>29.978348</v>
      </c>
      <c r="G118" s="18">
        <v>9.2635869999999993</v>
      </c>
      <c r="H118" s="18" t="e">
        <v>#N/A</v>
      </c>
      <c r="I118" s="18">
        <v>-11.599994000000001</v>
      </c>
      <c r="J118" s="18">
        <v>30.046581</v>
      </c>
      <c r="K118" s="25">
        <v>13.194394000000001</v>
      </c>
      <c r="L118" s="25">
        <v>24.588740000000001</v>
      </c>
      <c r="M118" s="25">
        <v>22.165929999999999</v>
      </c>
      <c r="N118" s="25">
        <v>44.569313000000001</v>
      </c>
      <c r="O118">
        <v>20.331202999999999</v>
      </c>
    </row>
    <row r="119" spans="1:15" x14ac:dyDescent="0.3">
      <c r="A119" s="2">
        <v>45225</v>
      </c>
      <c r="B119" s="18">
        <v>7.8137400000000001</v>
      </c>
      <c r="C119" s="18">
        <v>9.7090720000000008</v>
      </c>
      <c r="D119" s="18">
        <v>18.731451</v>
      </c>
      <c r="E119" s="18">
        <v>2.622509</v>
      </c>
      <c r="F119" s="18">
        <v>24.491703000000001</v>
      </c>
      <c r="G119" s="18">
        <v>10.670947999999999</v>
      </c>
      <c r="H119" s="18" t="e">
        <v>#N/A</v>
      </c>
      <c r="I119" s="18">
        <v>-9.3309879999999996</v>
      </c>
      <c r="J119" s="18">
        <v>13.6635895</v>
      </c>
      <c r="K119" s="25">
        <v>6.7308187000000004</v>
      </c>
      <c r="L119" s="25">
        <v>14.873255</v>
      </c>
      <c r="M119" s="25">
        <v>4.3738484</v>
      </c>
      <c r="N119" s="25">
        <v>27.036798000000001</v>
      </c>
      <c r="O119">
        <v>10.070347999999999</v>
      </c>
    </row>
    <row r="120" spans="1:15" x14ac:dyDescent="0.3">
      <c r="A120" s="2">
        <v>45254</v>
      </c>
      <c r="B120" s="18">
        <v>7.5504660000000001</v>
      </c>
      <c r="C120" s="18">
        <v>14.939726</v>
      </c>
      <c r="D120" s="18">
        <v>13.760114</v>
      </c>
      <c r="E120" s="18">
        <v>3.1022189999999998</v>
      </c>
      <c r="F120" s="18">
        <v>35.780740000000002</v>
      </c>
      <c r="G120" s="18">
        <v>9.8922489999999996</v>
      </c>
      <c r="H120" s="18" t="e">
        <v>#N/A</v>
      </c>
      <c r="I120" s="18">
        <v>-10.141831</v>
      </c>
      <c r="J120" s="18">
        <v>13.6164665</v>
      </c>
      <c r="K120" s="25">
        <v>8.3827130000000007</v>
      </c>
      <c r="L120" s="25">
        <v>13.695824</v>
      </c>
      <c r="M120" s="25">
        <v>8.2757000000000005</v>
      </c>
      <c r="N120" s="25">
        <v>24.081982</v>
      </c>
      <c r="O120">
        <v>13.721323</v>
      </c>
    </row>
    <row r="121" spans="1:15" x14ac:dyDescent="0.3">
      <c r="A121" s="2">
        <v>45286</v>
      </c>
      <c r="B121" s="18">
        <v>8.3631399999999996</v>
      </c>
      <c r="C121" s="18">
        <v>26.121521000000001</v>
      </c>
      <c r="D121" s="18">
        <v>14.623939500000001</v>
      </c>
      <c r="E121" s="18">
        <v>3.0006050000000002</v>
      </c>
      <c r="F121" s="18">
        <v>54.658172999999998</v>
      </c>
      <c r="G121" s="18">
        <v>8.6070419999999999</v>
      </c>
      <c r="H121" s="18" t="e">
        <v>#N/A</v>
      </c>
      <c r="I121" s="18">
        <v>3.0183792000000001E-2</v>
      </c>
      <c r="J121" s="18">
        <v>19.834959000000001</v>
      </c>
      <c r="K121" s="25">
        <v>17.454874</v>
      </c>
      <c r="L121" s="25">
        <v>18.049313000000001</v>
      </c>
      <c r="M121" s="25">
        <v>25.317764</v>
      </c>
      <c r="N121" s="25">
        <v>30.691873999999999</v>
      </c>
      <c r="O121">
        <v>23.715508</v>
      </c>
    </row>
    <row r="122" spans="1:15" x14ac:dyDescent="0.3">
      <c r="A122" s="2">
        <v>45317</v>
      </c>
      <c r="B122">
        <v>-3.6182284</v>
      </c>
      <c r="C122">
        <v>22.266089999999998</v>
      </c>
      <c r="D122">
        <v>4.201257</v>
      </c>
      <c r="E122">
        <v>7.7419640000000003</v>
      </c>
      <c r="F122">
        <v>45.472861999999999</v>
      </c>
      <c r="G122">
        <v>13.111936999999999</v>
      </c>
      <c r="H122" t="e">
        <v>#N/A</v>
      </c>
      <c r="I122">
        <v>-9.2934900000000003</v>
      </c>
      <c r="J122">
        <v>8.5332760000000007</v>
      </c>
      <c r="K122" s="25">
        <v>6.6679360000000001</v>
      </c>
      <c r="L122" s="25">
        <v>13.842154000000001</v>
      </c>
      <c r="M122" s="25">
        <v>7.3050620000000004</v>
      </c>
      <c r="N122" s="25">
        <v>15.982305999999999</v>
      </c>
      <c r="O122">
        <v>17.761790999999999</v>
      </c>
    </row>
    <row r="123" spans="1:15" x14ac:dyDescent="0.3">
      <c r="A123" s="2"/>
    </row>
    <row r="124" spans="1:15" x14ac:dyDescent="0.3">
      <c r="A124" s="2"/>
    </row>
    <row r="125" spans="1:15" x14ac:dyDescent="0.3">
      <c r="A125" s="2"/>
    </row>
    <row r="126" spans="1:15" x14ac:dyDescent="0.3">
      <c r="A126" s="2" t="s">
        <v>28</v>
      </c>
      <c r="B126" s="18" cm="1">
        <f t="array" ref="B126">MIN(_xlfn._xlws.FILTER(B2:B122, ISNUMBER(B2:B122)))</f>
        <v>-27.700783000000001</v>
      </c>
      <c r="C126" s="18" cm="1">
        <f t="array" ref="C126">MIN(_xlfn._xlws.FILTER(C2:C122, ISNUMBER(C2:C122)))</f>
        <v>-17.309909999999999</v>
      </c>
      <c r="D126" s="18" cm="1">
        <f t="array" ref="D126">MIN(_xlfn._xlws.FILTER(D2:D122, ISNUMBER(D2:D122)))</f>
        <v>-24.241108000000001</v>
      </c>
      <c r="E126" s="18" cm="1">
        <f t="array" ref="E126">MIN(_xlfn._xlws.FILTER(E2:E122, ISNUMBER(E2:E122)))</f>
        <v>-10.385018000000001</v>
      </c>
      <c r="F126" s="18" cm="1">
        <f t="array" ref="F126">MIN(_xlfn._xlws.FILTER(F2:F122, ISNUMBER(F2:F122)))</f>
        <v>-32.146500000000003</v>
      </c>
      <c r="G126" s="18" cm="1">
        <f t="array" ref="G126">MIN(_xlfn._xlws.FILTER(G2:G122, ISNUMBER(G2:G122)))</f>
        <v>-23.485105999999998</v>
      </c>
      <c r="H126" s="18" cm="1">
        <f t="array" ref="H126">MIN(_xlfn._xlws.FILTER(H2:H122, ISNUMBER(H2:H122)))</f>
        <v>-60.365513</v>
      </c>
      <c r="I126" s="18" cm="1">
        <f t="array" ref="I126">MIN(_xlfn._xlws.FILTER(I2:I122, ISNUMBER(I2:I122)))</f>
        <v>-32.206665000000001</v>
      </c>
      <c r="J126" s="18" cm="1">
        <f t="array" ref="J126">MIN(_xlfn._xlws.FILTER(J2:J122, ISNUMBER(J2:J122)))</f>
        <v>-30.009830000000001</v>
      </c>
      <c r="K126" s="18" cm="1">
        <f t="array" ref="K126">MIN(_xlfn._xlws.FILTER(K2:K122, ISNUMBER(K2:K122)))</f>
        <v>-25.392787999999999</v>
      </c>
      <c r="L126" s="18" cm="1">
        <f t="array" ref="L126">MIN(_xlfn._xlws.FILTER(L2:L122, ISNUMBER(L2:L122)))</f>
        <v>-30.674833</v>
      </c>
      <c r="M126" s="18" cm="1">
        <f t="array" ref="M126">MIN(_xlfn._xlws.FILTER(M2:M122, ISNUMBER(M2:M122)))</f>
        <v>-39.380474</v>
      </c>
      <c r="N126" s="18" cm="1">
        <f t="array" ref="N126">MIN(_xlfn._xlws.FILTER(N2:N122, ISNUMBER(N2:N122)))</f>
        <v>-31.189609999999998</v>
      </c>
      <c r="O126" s="18" cm="1">
        <f t="array" ref="O126">MIN(_xlfn._xlws.FILTER(O2:O122, ISNUMBER(O2:O122)))</f>
        <v>-21.244658000000001</v>
      </c>
    </row>
    <row r="127" spans="1:15" x14ac:dyDescent="0.3">
      <c r="A127" s="2" t="s">
        <v>50</v>
      </c>
      <c r="B127" s="20" cm="1">
        <f t="array" ref="B127">MAX(_xlfn._xlws.FILTER(B1:B122, ISNUMBER(B1:B122)))</f>
        <v>55.416943000000003</v>
      </c>
      <c r="C127" s="20" cm="1">
        <f t="array" ref="C127">MAX(_xlfn._xlws.FILTER(C1:C122, ISNUMBER(C1:C122)))</f>
        <v>54.046190000000003</v>
      </c>
      <c r="D127" s="20" cm="1">
        <f t="array" ref="D127">MAX(_xlfn._xlws.FILTER(D1:D122, ISNUMBER(D1:D122)))</f>
        <v>35.004570000000001</v>
      </c>
      <c r="E127" s="20" cm="1">
        <f t="array" ref="E127">MAX(_xlfn._xlws.FILTER(E1:E122, ISNUMBER(E1:E122)))</f>
        <v>22.395218</v>
      </c>
      <c r="F127" s="20" cm="1">
        <f t="array" ref="F127">MAX(_xlfn._xlws.FILTER(F1:F122, ISNUMBER(F1:F122)))</f>
        <v>65.696820000000002</v>
      </c>
      <c r="G127" s="20" cm="1">
        <f t="array" ref="G127">MAX(_xlfn._xlws.FILTER(G1:G122, ISNUMBER(G1:G122)))</f>
        <v>40.14546</v>
      </c>
      <c r="H127" s="20" cm="1">
        <f t="array" ref="H127">MAX(_xlfn._xlws.FILTER(H1:H122, ISNUMBER(H1:H122)))</f>
        <v>125.77066000000001</v>
      </c>
      <c r="I127" s="20" cm="1">
        <f t="array" ref="I127">MAX(_xlfn._xlws.FILTER(I1:I122, ISNUMBER(I1:I122)))</f>
        <v>41.215240000000001</v>
      </c>
      <c r="J127" s="20" cm="1">
        <f t="array" ref="J127">MAX(_xlfn._xlws.FILTER(J1:J122, ISNUMBER(J1:J122)))</f>
        <v>52.716099999999997</v>
      </c>
      <c r="K127" s="20" cm="1">
        <f t="array" ref="K127">MAX(_xlfn._xlws.FILTER(K1:K122, ISNUMBER(K1:K122)))</f>
        <v>66.609440000000006</v>
      </c>
      <c r="L127" s="20" cm="1">
        <f t="array" ref="L127">MAX(_xlfn._xlws.FILTER(L1:L122, ISNUMBER(L1:L122)))</f>
        <v>41.220190000000002</v>
      </c>
      <c r="M127" s="20" cm="1">
        <f t="array" ref="M127">MAX(_xlfn._xlws.FILTER(M1:M122, ISNUMBER(M1:M122)))</f>
        <v>82.962165999999996</v>
      </c>
      <c r="N127" s="20" cm="1">
        <f t="array" ref="N127">MAX(_xlfn._xlws.FILTER(N1:N122, ISNUMBER(N1:N122)))</f>
        <v>63.657389999999999</v>
      </c>
      <c r="O127" s="20" cm="1">
        <f t="array" ref="O127">MAX(_xlfn._xlws.FILTER(O1:O122, ISNUMBER(O1:O122)))</f>
        <v>52.567219999999999</v>
      </c>
    </row>
    <row r="128" spans="1:15" x14ac:dyDescent="0.3">
      <c r="A128" s="2" t="s">
        <v>51</v>
      </c>
      <c r="B128" s="18" cm="1">
        <f t="array" ref="B128">MEDIAN(_xlfn._xlws.FILTER(B1:B122, ISNUMBER(B1:B122)))</f>
        <v>3.308916</v>
      </c>
      <c r="C128" s="18" cm="1">
        <f t="array" ref="C128">MEDIAN(_xlfn._xlws.FILTER(C1:C122, ISNUMBER(C1:C122)))</f>
        <v>14.328360999999999</v>
      </c>
      <c r="D128" s="18" cm="1">
        <f t="array" ref="D128">MEDIAN(_xlfn._xlws.FILTER(D1:D122, ISNUMBER(D1:D122)))</f>
        <v>1.7770528999999999</v>
      </c>
      <c r="E128" s="18" cm="1">
        <f t="array" ref="E128">MEDIAN(_xlfn._xlws.FILTER(E1:E122, ISNUMBER(E1:E122)))</f>
        <v>3.416407</v>
      </c>
      <c r="F128" s="18" cm="1">
        <f t="array" ref="F128">MEDIAN(_xlfn._xlws.FILTER(F1:F122, ISNUMBER(F1:F122)))</f>
        <v>22.84423</v>
      </c>
      <c r="G128" s="18" cm="1">
        <f t="array" ref="G128">MEDIAN(_xlfn._xlws.FILTER(G1:G122, ISNUMBER(G1:G122)))</f>
        <v>-3.7999094000000002</v>
      </c>
      <c r="H128" s="18" cm="1">
        <f t="array" ref="H128">MEDIAN(_xlfn._xlws.FILTER(H1:H122, ISNUMBER(H1:H122)))</f>
        <v>-3.6044299999999998</v>
      </c>
      <c r="I128" s="18" cm="1">
        <f t="array" ref="I128">MEDIAN(_xlfn._xlws.FILTER(I1:I122, ISNUMBER(I1:I122)))</f>
        <v>-0.199157</v>
      </c>
      <c r="J128" s="18" cm="1">
        <f t="array" ref="J128">MEDIAN(_xlfn._xlws.FILTER(J1:J122, ISNUMBER(J1:J122)))</f>
        <v>4.2276144000000002</v>
      </c>
      <c r="K128" s="18" cm="1">
        <f t="array" ref="K128">MEDIAN(_xlfn._xlws.FILTER(K1:K122, ISNUMBER(K1:K122)))</f>
        <v>-0.61668160000000005</v>
      </c>
      <c r="L128" s="18" cm="1">
        <f t="array" ref="L128">MEDIAN(_xlfn._xlws.FILTER(L1:L122, ISNUMBER(L1:L122)))</f>
        <v>5.6075809999999997</v>
      </c>
      <c r="M128" s="18" cm="1">
        <f t="array" ref="M128">MEDIAN(_xlfn._xlws.FILTER(M1:M122, ISNUMBER(M1:M122)))</f>
        <v>2.0018457999999999</v>
      </c>
      <c r="N128" s="18" cm="1">
        <f t="array" ref="N128">MEDIAN(_xlfn._xlws.FILTER(N1:N122, ISNUMBER(N1:N122)))</f>
        <v>1.4676094</v>
      </c>
      <c r="O128" s="18" cm="1">
        <f t="array" ref="O128">MEDIAN(_xlfn._xlws.FILTER(O1:O122, ISNUMBER(O1:O122)))</f>
        <v>9.2831019999999995</v>
      </c>
    </row>
    <row r="129" spans="1:15" x14ac:dyDescent="0.3">
      <c r="A129" s="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spans="1:15" x14ac:dyDescent="0.3">
      <c r="A130" s="2" t="s">
        <v>30</v>
      </c>
      <c r="B130">
        <f>COUNTIF(B2:B122, "&lt;"&amp;#REF!)</f>
        <v>0</v>
      </c>
      <c r="C130">
        <f>COUNTIF(C2:C122, "&lt;"&amp;#REF!)</f>
        <v>0</v>
      </c>
      <c r="D130">
        <f>COUNTIF(D2:D122, "&lt;"&amp;#REF!)</f>
        <v>0</v>
      </c>
      <c r="E130">
        <f>COUNTIF(E2:E122, "&lt;"&amp;#REF!)</f>
        <v>0</v>
      </c>
      <c r="F130">
        <f>COUNTIF(F2:F122, "&lt;"&amp;#REF!)</f>
        <v>0</v>
      </c>
      <c r="G130">
        <f>COUNTIF(G2:G122, "&lt;"&amp;#REF!)</f>
        <v>0</v>
      </c>
      <c r="H130">
        <f>COUNTIF(H2:H122, "&lt;"&amp;#REF!)</f>
        <v>0</v>
      </c>
      <c r="I130">
        <f>COUNTIF(I2:I122, "&lt;"&amp;#REF!)</f>
        <v>0</v>
      </c>
      <c r="J130">
        <f>COUNTIF(J2:J122, "&lt;"&amp;#REF!)</f>
        <v>0</v>
      </c>
      <c r="K130">
        <f>COUNTIF(K2:K122, "&lt;"&amp;#REF!)</f>
        <v>0</v>
      </c>
      <c r="L130">
        <f>COUNTIF(L2:L122, "&lt;"&amp;#REF!)</f>
        <v>0</v>
      </c>
      <c r="M130">
        <f>COUNTIF(M2:M122, "&lt;"&amp;#REF!)</f>
        <v>0</v>
      </c>
      <c r="N130">
        <f>COUNTIF(N2:N122, "&lt;"&amp;#REF!)</f>
        <v>0</v>
      </c>
      <c r="O130">
        <f>COUNTIF(O2:O122, "&lt;"&amp;#REF!)</f>
        <v>0</v>
      </c>
    </row>
    <row r="131" spans="1:15" x14ac:dyDescent="0.3">
      <c r="A131" s="2" t="s">
        <v>29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113</v>
      </c>
      <c r="I131">
        <f t="shared" si="0"/>
        <v>121</v>
      </c>
      <c r="J131">
        <f t="shared" si="0"/>
        <v>121</v>
      </c>
      <c r="K131">
        <f t="shared" ref="K131:N131" si="1">COUNT(K1:K122)</f>
        <v>67</v>
      </c>
      <c r="L131">
        <f t="shared" si="1"/>
        <v>121</v>
      </c>
      <c r="M131">
        <f t="shared" si="1"/>
        <v>121</v>
      </c>
      <c r="N131">
        <f t="shared" si="1"/>
        <v>121</v>
      </c>
      <c r="O131">
        <f t="shared" ref="O131" si="2">COUNT(O1:O122)</f>
        <v>121</v>
      </c>
    </row>
    <row r="132" spans="1:15" x14ac:dyDescent="0.3">
      <c r="A132" s="2"/>
    </row>
    <row r="133" spans="1:15" x14ac:dyDescent="0.3">
      <c r="A133" s="2" t="s">
        <v>52</v>
      </c>
      <c r="B133" s="8">
        <f t="shared" ref="B133:J133" si="3">B130/B131</f>
        <v>0</v>
      </c>
      <c r="C133" s="8">
        <f t="shared" si="3"/>
        <v>0</v>
      </c>
      <c r="D133" s="8">
        <f t="shared" si="3"/>
        <v>0</v>
      </c>
      <c r="E133" s="8">
        <f t="shared" si="3"/>
        <v>0</v>
      </c>
      <c r="F133" s="8">
        <f t="shared" si="3"/>
        <v>0</v>
      </c>
      <c r="G133" s="8">
        <f t="shared" si="3"/>
        <v>0</v>
      </c>
      <c r="H133" s="8">
        <f t="shared" si="3"/>
        <v>0</v>
      </c>
      <c r="I133" s="8">
        <f t="shared" si="3"/>
        <v>0</v>
      </c>
      <c r="J133" s="8">
        <f t="shared" si="3"/>
        <v>0</v>
      </c>
      <c r="K133" s="8">
        <f t="shared" ref="K133:N133" si="4">K130/K131</f>
        <v>0</v>
      </c>
      <c r="L133" s="8">
        <f t="shared" si="4"/>
        <v>0</v>
      </c>
      <c r="M133" s="8">
        <f t="shared" si="4"/>
        <v>0</v>
      </c>
      <c r="N133" s="8">
        <f t="shared" si="4"/>
        <v>0</v>
      </c>
      <c r="O133" s="8">
        <f t="shared" ref="O133" si="5">O130/O131</f>
        <v>0</v>
      </c>
    </row>
    <row r="134" spans="1:15" x14ac:dyDescent="0.3">
      <c r="A134" s="2"/>
    </row>
    <row r="135" spans="1:15" x14ac:dyDescent="0.3">
      <c r="A135" s="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x14ac:dyDescent="0.3">
      <c r="A136" s="2" t="s">
        <v>54</v>
      </c>
      <c r="B136" s="18" cm="1">
        <f t="array" ref="B136">_xlfn.PERCENTRANK.EXC(_xlfn._xlws.FILTER(B2:B122, ISNUMBER(B2:B122)),B120)</f>
        <v>0.59</v>
      </c>
      <c r="C136" s="18" cm="1">
        <f t="array" ref="C136">_xlfn.PERCENTRANK.EXC(_xlfn._xlws.FILTER(C2:C122, ISNUMBER(C2:C122)),C120)</f>
        <v>0.54900000000000004</v>
      </c>
      <c r="D136" s="18" cm="1">
        <f t="array" ref="D136">_xlfn.PERCENTRANK.EXC(_xlfn._xlws.FILTER(D2:D122, ISNUMBER(D2:D122)),D120)</f>
        <v>0.77800000000000002</v>
      </c>
      <c r="E136" s="18" cm="1">
        <f t="array" ref="E136">_xlfn.PERCENTRANK.EXC(_xlfn._xlws.FILTER(E2:E122, ISNUMBER(E2:E122)),E120)</f>
        <v>0.47499999999999998</v>
      </c>
      <c r="F136" s="18" cm="1">
        <f t="array" ref="F136">_xlfn.PERCENTRANK.EXC(_xlfn._xlws.FILTER(F2:F122, ISNUMBER(F2:F122)),F120)</f>
        <v>0.81899999999999995</v>
      </c>
      <c r="G136" s="18" cm="1">
        <f t="array" ref="G136">_xlfn.PERCENTRANK.EXC(_xlfn._xlws.FILTER(G2:G122, ISNUMBER(G2:G122)),G120)</f>
        <v>0.80300000000000005</v>
      </c>
      <c r="H136" s="18" t="e" cm="1">
        <f t="array" ref="H136">_xlfn.PERCENTRANK.EXC(_xlfn._xlws.FILTER(H2:H122, ISNUMBER(H2:H122)),H120)</f>
        <v>#N/A</v>
      </c>
      <c r="I136" s="18" cm="1">
        <f t="array" ref="I136">_xlfn.PERCENTRANK.EXC(_xlfn._xlws.FILTER(I2:I122, ISNUMBER(I2:I122)),I120)</f>
        <v>0.188</v>
      </c>
      <c r="J136" s="18" cm="1">
        <f t="array" ref="J136">_xlfn.PERCENTRANK.EXC(_xlfn._xlws.FILTER(J2:J122, ISNUMBER(J2:J122)),J120)</f>
        <v>0.66300000000000003</v>
      </c>
      <c r="K136" s="18" cm="1">
        <f t="array" ref="K136">_xlfn.PERCENTRANK.EXC(_xlfn._xlws.FILTER(K2:K122, ISNUMBER(K2:K122)),K120)</f>
        <v>0.66100000000000003</v>
      </c>
      <c r="L136" s="18" cm="1">
        <f t="array" ref="L136">_xlfn.PERCENTRANK.EXC(_xlfn._xlws.FILTER(L2:L122, ISNUMBER(L2:L122)),L120)</f>
        <v>0.68799999999999994</v>
      </c>
      <c r="M136" s="18" cm="1">
        <f t="array" ref="M136">_xlfn.PERCENTRANK.EXC(_xlfn._xlws.FILTER(M2:M122, ISNUMBER(M2:M122)),M120)</f>
        <v>0.59</v>
      </c>
      <c r="N136" s="18" cm="1">
        <f t="array" ref="N136">_xlfn.PERCENTRANK.EXC(_xlfn._xlws.FILTER(N2:N122, ISNUMBER(N2:N122)),N120)</f>
        <v>0.72899999999999998</v>
      </c>
      <c r="O136" s="18" cm="1">
        <f t="array" ref="O136">_xlfn.PERCENTRANK.EXC(_xlfn._xlws.FILTER(O2:O122, ISNUMBER(O2:O122)),O120)</f>
        <v>0.63100000000000001</v>
      </c>
    </row>
    <row r="137" spans="1:15" x14ac:dyDescent="0.3">
      <c r="A137" s="2" t="s">
        <v>53</v>
      </c>
      <c r="B137" s="18" cm="1">
        <f t="array" ref="B137">_xlfn.PERCENTRANK.EXC(_xlfn._xlws.FILTER(B2:B122, ISNUMBER(B2:B122)),B121)</f>
        <v>0.622</v>
      </c>
      <c r="C137" s="18" cm="1">
        <f t="array" ref="C137">_xlfn.PERCENTRANK.EXC(_xlfn._xlws.FILTER(C2:C122, ISNUMBER(C2:C122)),C121)</f>
        <v>0.88500000000000001</v>
      </c>
      <c r="D137" s="18" cm="1">
        <f t="array" ref="D137">_xlfn.PERCENTRANK.EXC(_xlfn._xlws.FILTER(D2:D122, ISNUMBER(D2:D122)),D121)</f>
        <v>0.79500000000000004</v>
      </c>
      <c r="E137" s="18" cm="1">
        <f t="array" ref="E137">_xlfn.PERCENTRANK.EXC(_xlfn._xlws.FILTER(E2:E122, ISNUMBER(E2:E122)),E121)</f>
        <v>0.46700000000000003</v>
      </c>
      <c r="F137" s="18" cm="1">
        <f t="array" ref="F137">_xlfn.PERCENTRANK.EXC(_xlfn._xlws.FILTER(F2:F122, ISNUMBER(F2:F122)),F121)</f>
        <v>0.96699999999999997</v>
      </c>
      <c r="G137" s="18" cm="1">
        <f t="array" ref="G137">_xlfn.PERCENTRANK.EXC(_xlfn._xlws.FILTER(G2:G122, ISNUMBER(G2:G122)),G121)</f>
        <v>0.78600000000000003</v>
      </c>
      <c r="H137" s="18" t="e" cm="1">
        <f t="array" ref="H137">_xlfn.PERCENTRANK.EXC(_xlfn._xlws.FILTER(H2:H122, ISNUMBER(H2:H122)),H121)</f>
        <v>#N/A</v>
      </c>
      <c r="I137" s="18" cm="1">
        <f t="array" ref="I137">_xlfn.PERCENTRANK.EXC(_xlfn._xlws.FILTER(I2:I122, ISNUMBER(I2:I122)),I121)</f>
        <v>0.51600000000000001</v>
      </c>
      <c r="J137" s="18" cm="1">
        <f t="array" ref="J137">_xlfn.PERCENTRANK.EXC(_xlfn._xlws.FILTER(J2:J122, ISNUMBER(J2:J122)),J121)</f>
        <v>0.79500000000000004</v>
      </c>
      <c r="K137" s="18" cm="1">
        <f t="array" ref="K137">_xlfn.PERCENTRANK.EXC(_xlfn._xlws.FILTER(K2:K122, ISNUMBER(K2:K122)),K121)</f>
        <v>0.82299999999999995</v>
      </c>
      <c r="L137" s="18" cm="1">
        <f t="array" ref="L137">_xlfn.PERCENTRANK.EXC(_xlfn._xlws.FILTER(L2:L122, ISNUMBER(L2:L122)),L121)</f>
        <v>0.83599999999999997</v>
      </c>
      <c r="M137" s="18" cm="1">
        <f t="array" ref="M137">_xlfn.PERCENTRANK.EXC(_xlfn._xlws.FILTER(M2:M122, ISNUMBER(M2:M122)),M121)</f>
        <v>0.84399999999999997</v>
      </c>
      <c r="N137" s="18" cm="1">
        <f t="array" ref="N137">_xlfn.PERCENTRANK.EXC(_xlfn._xlws.FILTER(N2:N122, ISNUMBER(N2:N122)),N121)</f>
        <v>0.81100000000000005</v>
      </c>
      <c r="O137" s="18" cm="1">
        <f t="array" ref="O137">_xlfn.PERCENTRANK.EXC(_xlfn._xlws.FILTER(O2:O122, ISNUMBER(O2:O122)),O121)</f>
        <v>0.90900000000000003</v>
      </c>
    </row>
    <row r="138" spans="1:15" x14ac:dyDescent="0.3">
      <c r="A138" s="2" t="s">
        <v>55</v>
      </c>
      <c r="B138" s="18" cm="1">
        <f t="array" ref="B138">_xlfn.PERCENTRANK.EXC(_xlfn._xlws.FILTER(B2:B122, ISNUMBER(B2:B122)),B122)</f>
        <v>0.34399999999999997</v>
      </c>
      <c r="C138" s="18" cm="1">
        <f t="array" ref="C138">_xlfn.PERCENTRANK.EXC(_xlfn._xlws.FILTER(C2:C122, ISNUMBER(C2:C122)),C122)</f>
        <v>0.81899999999999995</v>
      </c>
      <c r="D138" s="18" cm="1">
        <f t="array" ref="D138">_xlfn.PERCENTRANK.EXC(_xlfn._xlws.FILTER(D2:D122, ISNUMBER(D2:D122)),D122)</f>
        <v>0.58099999999999996</v>
      </c>
      <c r="E138" s="18" cm="1">
        <f t="array" ref="E138">_xlfn.PERCENTRANK.EXC(_xlfn._xlws.FILTER(E2:E122, ISNUMBER(E2:E122)),E122)</f>
        <v>0.77</v>
      </c>
      <c r="F138" s="18" cm="1">
        <f t="array" ref="F138">_xlfn.PERCENTRANK.EXC(_xlfn._xlws.FILTER(F2:F122, ISNUMBER(F2:F122)),F122)</f>
        <v>0.91800000000000004</v>
      </c>
      <c r="G138" s="18" cm="1">
        <f t="array" ref="G138">_xlfn.PERCENTRANK.EXC(_xlfn._xlws.FILTER(G2:G122, ISNUMBER(G2:G122)),G122)</f>
        <v>0.85199999999999998</v>
      </c>
      <c r="H138" s="18" t="e" cm="1">
        <f t="array" ref="H138">_xlfn.PERCENTRANK.EXC(_xlfn._xlws.FILTER(H2:H122, ISNUMBER(H2:H122)),H122)</f>
        <v>#N/A</v>
      </c>
      <c r="I138" s="18" cm="1">
        <f t="array" ref="I138">_xlfn.PERCENTRANK.EXC(_xlfn._xlws.FILTER(I2:I122, ISNUMBER(I2:I122)),I122)</f>
        <v>0.21299999999999999</v>
      </c>
      <c r="J138" s="18" cm="1">
        <f t="array" ref="J138">_xlfn.PERCENTRANK.EXC(_xlfn._xlws.FILTER(J2:J122, ISNUMBER(J2:J122)),J122)</f>
        <v>0.59</v>
      </c>
      <c r="K138" s="18" cm="1">
        <f t="array" ref="K138">_xlfn.PERCENTRANK.EXC(_xlfn._xlws.FILTER(K2:K122, ISNUMBER(K2:K122)),K122)</f>
        <v>0.61699999999999999</v>
      </c>
      <c r="L138" s="18" cm="1">
        <f t="array" ref="L138">_xlfn.PERCENTRANK.EXC(_xlfn._xlws.FILTER(L2:L122, ISNUMBER(L2:L122)),L122)</f>
        <v>0.69599999999999995</v>
      </c>
      <c r="M138" s="18" cm="1">
        <f t="array" ref="M138">_xlfn.PERCENTRANK.EXC(_xlfn._xlws.FILTER(M2:M122, ISNUMBER(M2:M122)),M122)</f>
        <v>0.58099999999999996</v>
      </c>
      <c r="N138" s="18" cm="1">
        <f t="array" ref="N138">_xlfn.PERCENTRANK.EXC(_xlfn._xlws.FILTER(N2:N122, ISNUMBER(N2:N122)),N122)</f>
        <v>0.67200000000000004</v>
      </c>
      <c r="O138" s="18" cm="1">
        <f t="array" ref="O138">_xlfn.PERCENTRANK.EXC(_xlfn._xlws.FILTER(O2:O122, ISNUMBER(O2:O122)),O122)</f>
        <v>0.745</v>
      </c>
    </row>
    <row r="139" spans="1:15" x14ac:dyDescent="0.3">
      <c r="A139" s="2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1:15" x14ac:dyDescent="0.3">
      <c r="A140" s="2" t="s">
        <v>62</v>
      </c>
      <c r="B140" s="18">
        <f t="shared" ref="B140:J140" si="6">AVERAGE(B136:B138)</f>
        <v>0.51866666666666672</v>
      </c>
      <c r="C140" s="18">
        <f t="shared" si="6"/>
        <v>0.751</v>
      </c>
      <c r="D140" s="18">
        <f t="shared" si="6"/>
        <v>0.71799999999999997</v>
      </c>
      <c r="E140" s="18">
        <f t="shared" si="6"/>
        <v>0.57066666666666666</v>
      </c>
      <c r="F140" s="18">
        <f t="shared" si="6"/>
        <v>0.90133333333333343</v>
      </c>
      <c r="G140" s="18">
        <f t="shared" si="6"/>
        <v>0.81366666666666665</v>
      </c>
      <c r="H140" s="18" t="e">
        <f t="shared" si="6"/>
        <v>#N/A</v>
      </c>
      <c r="I140" s="18">
        <f t="shared" si="6"/>
        <v>0.30566666666666664</v>
      </c>
      <c r="J140" s="18">
        <f t="shared" si="6"/>
        <v>0.68266666666666664</v>
      </c>
      <c r="K140" s="18">
        <f t="shared" ref="K140:N140" si="7">AVERAGE(K136:K138)</f>
        <v>0.70033333333333336</v>
      </c>
      <c r="L140" s="18">
        <f t="shared" si="7"/>
        <v>0.73999999999999988</v>
      </c>
      <c r="M140" s="18">
        <f t="shared" si="7"/>
        <v>0.67166666666666652</v>
      </c>
      <c r="N140" s="18">
        <f t="shared" si="7"/>
        <v>0.7373333333333334</v>
      </c>
      <c r="O140" s="18">
        <f t="shared" ref="O140" si="8">AVERAGE(O136:O138)</f>
        <v>0.76166666666666671</v>
      </c>
    </row>
    <row r="141" spans="1:15" x14ac:dyDescent="0.3">
      <c r="A141" s="2"/>
    </row>
    <row r="142" spans="1:15" x14ac:dyDescent="0.3">
      <c r="A142" s="2"/>
    </row>
    <row r="143" spans="1:15" x14ac:dyDescent="0.3">
      <c r="A143" s="2"/>
    </row>
    <row r="144" spans="1:15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9" workbookViewId="0">
      <selection activeCell="G227" sqref="G227"/>
    </sheetView>
  </sheetViews>
  <sheetFormatPr defaultRowHeight="14.4" x14ac:dyDescent="0.3"/>
  <cols>
    <col min="2" max="2" width="12.109375" bestFit="1" customWidth="1"/>
    <col min="3" max="17" width="11.88671875" bestFit="1" customWidth="1"/>
  </cols>
  <sheetData>
    <row r="5" spans="2:17" x14ac:dyDescent="0.3">
      <c r="C5" t="s">
        <v>4</v>
      </c>
      <c r="D5" t="s">
        <v>1</v>
      </c>
      <c r="E5" t="s">
        <v>147</v>
      </c>
      <c r="F5" t="s">
        <v>148</v>
      </c>
      <c r="G5" t="s">
        <v>15</v>
      </c>
      <c r="H5" t="s">
        <v>149</v>
      </c>
      <c r="I5" t="s">
        <v>158</v>
      </c>
      <c r="J5" t="s">
        <v>150</v>
      </c>
      <c r="K5" t="s">
        <v>71</v>
      </c>
      <c r="L5" t="s">
        <v>161</v>
      </c>
      <c r="M5" t="s">
        <v>12</v>
      </c>
      <c r="N5" t="s">
        <v>89</v>
      </c>
      <c r="O5" t="s">
        <v>9</v>
      </c>
      <c r="P5" t="s">
        <v>175</v>
      </c>
      <c r="Q5" t="s">
        <v>153</v>
      </c>
    </row>
    <row r="6" spans="2:17" x14ac:dyDescent="0.3">
      <c r="B6" s="2" cm="1">
        <f t="array" ref="B6:B206">_xll.FDS(C5,"JULIAN(P_PRICE(0,-200D).dates)")</f>
        <v>45317</v>
      </c>
      <c r="C6" cm="1">
        <f t="array" ref="C6:C206">_xll.FDS(C5,"P_PRICE(0,-200D)")</f>
        <v>40.159999999999997</v>
      </c>
      <c r="D6" cm="1">
        <f t="array" ref="D6:D206">_xll.FDS(D5,"P_PRICE(0,-200D)")</f>
        <v>487.41</v>
      </c>
      <c r="E6" cm="1">
        <f t="array" ref="E6:E206">_xll.FDS(E5,"P_PRICE(0,-200D)")</f>
        <v>187.01</v>
      </c>
      <c r="F6" cm="1">
        <f t="array" ref="F6:F206">_xll.FDS(F5,"P_PRICE(0,-200D)")</f>
        <v>27.78</v>
      </c>
      <c r="G6" cm="1">
        <f t="array" ref="G6:G206">_xll.FDS(G5,"P_PRICE(0,-200D)")</f>
        <v>423.81</v>
      </c>
      <c r="H6" cm="1">
        <f t="array" ref="H6:H206">_xll.FDS(H5,"P_PRICE(0,-200D)")</f>
        <v>21.45</v>
      </c>
      <c r="I6" cm="1">
        <f t="array" ref="I6:I206">_xll.FDS(I5,"P_PRICE(0,-200D)")</f>
        <v>73.099999999999994</v>
      </c>
      <c r="J6" cm="1">
        <f t="array" ref="J6:J206">_xll.FDS(J5,"P_PRICE(0,-200D)")</f>
        <v>93.78</v>
      </c>
      <c r="K6" cm="1">
        <f t="array" ref="K6:K206">_xll.FDS(K5,"P_PRICE(0,-200D)")</f>
        <v>63.93</v>
      </c>
      <c r="L6" cm="1">
        <f t="array" ref="L6:L206">_xll.FDS(L5,"P_PRICE(0,-200D)")</f>
        <v>54.27</v>
      </c>
      <c r="M6" cm="1">
        <f t="array" ref="M6:M206">_xll.FDS(M5,"P_PRICE(0,-200D)")</f>
        <v>65.39</v>
      </c>
      <c r="N6" cm="1">
        <f t="array" ref="N6:N206">_xll.FDS(N5,"P_PRICE(0,-200D)")</f>
        <v>135.07</v>
      </c>
      <c r="O6" cm="1">
        <f t="array" ref="O6:O206">_xll.FDS(O5,"P_PRICE(0,-200D)")</f>
        <v>49.19</v>
      </c>
      <c r="P6" cm="1">
        <f t="array" ref="P6:P206">_xll.FDS(P5,"P_PRICE(0,-200D)")</f>
        <v>195.98</v>
      </c>
      <c r="Q6" cm="1">
        <f t="array" ref="Q6:Q206">_xll.FDS(Q5,"P_PRICE(0,-200D)")</f>
        <v>22.6</v>
      </c>
    </row>
    <row r="7" spans="2:17" x14ac:dyDescent="0.3">
      <c r="B7" s="2">
        <v>45316</v>
      </c>
      <c r="C7">
        <v>40.15</v>
      </c>
      <c r="D7">
        <v>488.03</v>
      </c>
      <c r="E7">
        <v>187.14</v>
      </c>
      <c r="F7">
        <v>27.78</v>
      </c>
      <c r="G7">
        <v>426.35</v>
      </c>
      <c r="H7">
        <v>21.4</v>
      </c>
      <c r="I7">
        <v>72.23</v>
      </c>
      <c r="J7">
        <v>93.96</v>
      </c>
      <c r="K7">
        <v>63.36</v>
      </c>
      <c r="L7">
        <v>54.06</v>
      </c>
      <c r="M7">
        <v>65.92</v>
      </c>
      <c r="N7">
        <v>134.94999999999999</v>
      </c>
      <c r="O7">
        <v>49.11</v>
      </c>
      <c r="P7">
        <v>195.97</v>
      </c>
      <c r="Q7">
        <v>22.75</v>
      </c>
    </row>
    <row r="8" spans="2:17" x14ac:dyDescent="0.3">
      <c r="B8" s="2">
        <v>45315</v>
      </c>
      <c r="C8">
        <v>40.049999999999997</v>
      </c>
      <c r="D8">
        <v>485.39</v>
      </c>
      <c r="E8">
        <v>186.4</v>
      </c>
      <c r="F8">
        <v>27.7</v>
      </c>
      <c r="G8">
        <v>425.83</v>
      </c>
      <c r="H8">
        <v>21.5</v>
      </c>
      <c r="I8">
        <v>70.540000000000006</v>
      </c>
      <c r="J8">
        <v>93.35</v>
      </c>
      <c r="K8">
        <v>63.07</v>
      </c>
      <c r="L8">
        <v>54.04</v>
      </c>
      <c r="M8">
        <v>66.17</v>
      </c>
      <c r="N8">
        <v>134.41999999999999</v>
      </c>
      <c r="O8">
        <v>49.2</v>
      </c>
      <c r="P8">
        <v>194.36</v>
      </c>
      <c r="Q8">
        <v>22.77</v>
      </c>
    </row>
    <row r="9" spans="2:17" x14ac:dyDescent="0.3">
      <c r="B9" s="2">
        <v>45314</v>
      </c>
      <c r="C9">
        <v>39.54</v>
      </c>
      <c r="D9">
        <v>484.86</v>
      </c>
      <c r="E9">
        <v>187.95</v>
      </c>
      <c r="F9">
        <v>27.78</v>
      </c>
      <c r="G9">
        <v>423.48</v>
      </c>
      <c r="H9">
        <v>21.34</v>
      </c>
      <c r="I9">
        <v>69.66</v>
      </c>
      <c r="J9">
        <v>93.9</v>
      </c>
      <c r="K9">
        <v>62.45</v>
      </c>
      <c r="L9">
        <v>53.74</v>
      </c>
      <c r="M9">
        <v>66.09</v>
      </c>
      <c r="N9">
        <v>134.11000000000001</v>
      </c>
      <c r="O9">
        <v>48.68</v>
      </c>
      <c r="P9">
        <v>195.97</v>
      </c>
      <c r="Q9">
        <v>22.11</v>
      </c>
    </row>
    <row r="10" spans="2:17" x14ac:dyDescent="0.3">
      <c r="B10" s="2">
        <v>45313</v>
      </c>
      <c r="C10">
        <v>39.32</v>
      </c>
      <c r="D10">
        <v>483.45</v>
      </c>
      <c r="E10">
        <v>187.22</v>
      </c>
      <c r="F10">
        <v>27.71</v>
      </c>
      <c r="G10">
        <v>421.73</v>
      </c>
      <c r="H10">
        <v>21.1</v>
      </c>
      <c r="I10">
        <v>69.69</v>
      </c>
      <c r="J10">
        <v>94.65</v>
      </c>
      <c r="K10">
        <v>62.6</v>
      </c>
      <c r="L10">
        <v>53.74</v>
      </c>
      <c r="M10">
        <v>66.680000000000007</v>
      </c>
      <c r="N10">
        <v>133.94</v>
      </c>
      <c r="O10">
        <v>49.77</v>
      </c>
      <c r="P10">
        <v>196.54</v>
      </c>
      <c r="Q10">
        <v>21.14</v>
      </c>
    </row>
    <row r="11" spans="2:17" x14ac:dyDescent="0.3">
      <c r="B11" s="2">
        <v>45310</v>
      </c>
      <c r="C11">
        <v>39.630000000000003</v>
      </c>
      <c r="D11">
        <v>482.43</v>
      </c>
      <c r="E11">
        <v>187.93</v>
      </c>
      <c r="F11">
        <v>27.7</v>
      </c>
      <c r="G11">
        <v>421.18</v>
      </c>
      <c r="H11">
        <v>21.01</v>
      </c>
      <c r="I11">
        <v>68.819999999999993</v>
      </c>
      <c r="J11">
        <v>94.09</v>
      </c>
      <c r="K11">
        <v>62.49</v>
      </c>
      <c r="L11">
        <v>53.95</v>
      </c>
      <c r="M11">
        <v>65.900000000000006</v>
      </c>
      <c r="N11">
        <v>133.63</v>
      </c>
      <c r="O11">
        <v>49.59</v>
      </c>
      <c r="P11">
        <v>192.43</v>
      </c>
      <c r="Q11">
        <v>21.68</v>
      </c>
    </row>
    <row r="12" spans="2:17" x14ac:dyDescent="0.3">
      <c r="B12" s="2">
        <v>45309</v>
      </c>
      <c r="C12">
        <v>39.270000000000003</v>
      </c>
      <c r="D12">
        <v>476.49</v>
      </c>
      <c r="E12">
        <v>187.37</v>
      </c>
      <c r="F12">
        <v>27.74</v>
      </c>
      <c r="G12">
        <v>412.99</v>
      </c>
      <c r="H12">
        <v>20.85</v>
      </c>
      <c r="I12">
        <v>69.06</v>
      </c>
      <c r="J12">
        <v>93.79</v>
      </c>
      <c r="K12">
        <v>62.47</v>
      </c>
      <c r="L12">
        <v>53.29</v>
      </c>
      <c r="M12">
        <v>65.73</v>
      </c>
      <c r="N12">
        <v>132.25</v>
      </c>
      <c r="O12">
        <v>49.08</v>
      </c>
      <c r="P12">
        <v>190.6</v>
      </c>
      <c r="Q12">
        <v>21.53</v>
      </c>
    </row>
    <row r="13" spans="2:17" x14ac:dyDescent="0.3">
      <c r="B13" s="2">
        <v>45308</v>
      </c>
      <c r="C13">
        <v>39.04</v>
      </c>
      <c r="D13">
        <v>472.29</v>
      </c>
      <c r="E13">
        <v>185.84</v>
      </c>
      <c r="F13">
        <v>27.71</v>
      </c>
      <c r="G13">
        <v>407.21</v>
      </c>
      <c r="H13">
        <v>20.61</v>
      </c>
      <c r="I13">
        <v>67.94</v>
      </c>
      <c r="J13">
        <v>94.67</v>
      </c>
      <c r="K13">
        <v>61.92</v>
      </c>
      <c r="L13">
        <v>52.7</v>
      </c>
      <c r="M13">
        <v>65.12</v>
      </c>
      <c r="N13">
        <v>131.15</v>
      </c>
      <c r="O13">
        <v>48.83</v>
      </c>
      <c r="P13">
        <v>189.48</v>
      </c>
      <c r="Q13">
        <v>21.45</v>
      </c>
    </row>
    <row r="14" spans="2:17" x14ac:dyDescent="0.3">
      <c r="B14" s="2">
        <v>45307</v>
      </c>
      <c r="C14">
        <v>39.57</v>
      </c>
      <c r="D14">
        <v>474.93</v>
      </c>
      <c r="E14">
        <v>187.91</v>
      </c>
      <c r="F14">
        <v>27.69</v>
      </c>
      <c r="G14">
        <v>409.52</v>
      </c>
      <c r="H14">
        <v>20.76</v>
      </c>
      <c r="I14">
        <v>67.25</v>
      </c>
      <c r="J14">
        <v>94.82</v>
      </c>
      <c r="K14">
        <v>62.41</v>
      </c>
      <c r="L14">
        <v>53.34</v>
      </c>
      <c r="M14">
        <v>65.94</v>
      </c>
      <c r="N14">
        <v>132.01</v>
      </c>
      <c r="O14">
        <v>49.4</v>
      </c>
      <c r="P14">
        <v>190.84</v>
      </c>
      <c r="Q14">
        <v>22.02</v>
      </c>
    </row>
    <row r="15" spans="2:17" x14ac:dyDescent="0.3">
      <c r="B15" s="2">
        <v>45303</v>
      </c>
      <c r="C15">
        <v>40.409999999999997</v>
      </c>
      <c r="D15">
        <v>476.68</v>
      </c>
      <c r="E15">
        <v>189.71</v>
      </c>
      <c r="F15">
        <v>27.45</v>
      </c>
      <c r="G15">
        <v>409.56</v>
      </c>
      <c r="H15">
        <v>20.61</v>
      </c>
      <c r="I15">
        <v>68.02</v>
      </c>
      <c r="J15">
        <v>96.52</v>
      </c>
      <c r="K15">
        <v>63.62</v>
      </c>
      <c r="L15">
        <v>54.55</v>
      </c>
      <c r="M15">
        <v>66.430000000000007</v>
      </c>
      <c r="N15">
        <v>132.93</v>
      </c>
      <c r="O15">
        <v>49.96</v>
      </c>
      <c r="P15">
        <v>193.23</v>
      </c>
      <c r="Q15">
        <v>22.73</v>
      </c>
    </row>
    <row r="16" spans="2:17" x14ac:dyDescent="0.3">
      <c r="B16" s="2">
        <v>45302</v>
      </c>
      <c r="C16">
        <v>40.22</v>
      </c>
      <c r="D16">
        <v>476.35</v>
      </c>
      <c r="E16">
        <v>187.87</v>
      </c>
      <c r="F16">
        <v>27.42</v>
      </c>
      <c r="G16">
        <v>409.35</v>
      </c>
      <c r="H16">
        <v>20.72</v>
      </c>
      <c r="I16">
        <v>67.650000000000006</v>
      </c>
      <c r="J16">
        <v>96.71</v>
      </c>
      <c r="K16">
        <v>63.44</v>
      </c>
      <c r="L16">
        <v>54.24</v>
      </c>
      <c r="M16">
        <v>65.8</v>
      </c>
      <c r="N16">
        <v>132.82</v>
      </c>
      <c r="O16">
        <v>49.19</v>
      </c>
      <c r="P16">
        <v>193.55</v>
      </c>
      <c r="Q16">
        <v>22.83</v>
      </c>
    </row>
    <row r="17" spans="2:17" x14ac:dyDescent="0.3">
      <c r="B17" s="2">
        <v>45301</v>
      </c>
      <c r="C17">
        <v>40.049999999999997</v>
      </c>
      <c r="D17">
        <v>476.56</v>
      </c>
      <c r="E17">
        <v>187.5</v>
      </c>
      <c r="F17">
        <v>27.4</v>
      </c>
      <c r="G17">
        <v>408.5</v>
      </c>
      <c r="H17">
        <v>20.61</v>
      </c>
      <c r="I17">
        <v>66.56</v>
      </c>
      <c r="J17">
        <v>96.17</v>
      </c>
      <c r="K17">
        <v>63.72</v>
      </c>
      <c r="L17">
        <v>54.12</v>
      </c>
      <c r="M17">
        <v>65.22</v>
      </c>
      <c r="N17">
        <v>132.83000000000001</v>
      </c>
      <c r="O17">
        <v>49.15</v>
      </c>
      <c r="P17">
        <v>195.08</v>
      </c>
      <c r="Q17">
        <v>22.49</v>
      </c>
    </row>
    <row r="18" spans="2:17" x14ac:dyDescent="0.3">
      <c r="B18" s="2">
        <v>45300</v>
      </c>
      <c r="C18">
        <v>40.090000000000003</v>
      </c>
      <c r="D18">
        <v>473.88</v>
      </c>
      <c r="E18">
        <v>187.93</v>
      </c>
      <c r="F18">
        <v>27.45</v>
      </c>
      <c r="G18">
        <v>405.75</v>
      </c>
      <c r="H18">
        <v>20.65</v>
      </c>
      <c r="I18">
        <v>67.39</v>
      </c>
      <c r="J18">
        <v>96.62</v>
      </c>
      <c r="K18">
        <v>63.45</v>
      </c>
      <c r="L18">
        <v>54.23</v>
      </c>
      <c r="M18">
        <v>64.069999999999993</v>
      </c>
      <c r="N18">
        <v>132.06</v>
      </c>
      <c r="O18">
        <v>48.85</v>
      </c>
      <c r="P18">
        <v>194.97</v>
      </c>
      <c r="Q18">
        <v>22.48</v>
      </c>
    </row>
    <row r="19" spans="2:17" x14ac:dyDescent="0.3">
      <c r="B19" s="2">
        <v>45299</v>
      </c>
      <c r="C19">
        <v>40.56</v>
      </c>
      <c r="D19">
        <v>474.6</v>
      </c>
      <c r="E19">
        <v>187.87</v>
      </c>
      <c r="F19">
        <v>27.36</v>
      </c>
      <c r="G19">
        <v>404.95</v>
      </c>
      <c r="H19">
        <v>20.51</v>
      </c>
      <c r="I19">
        <v>66.400000000000006</v>
      </c>
      <c r="J19">
        <v>97.24</v>
      </c>
      <c r="K19">
        <v>64.09</v>
      </c>
      <c r="L19">
        <v>54.99</v>
      </c>
      <c r="M19">
        <v>64.459999999999994</v>
      </c>
      <c r="N19">
        <v>132.59</v>
      </c>
      <c r="O19">
        <v>49.09</v>
      </c>
      <c r="P19">
        <v>196.73</v>
      </c>
      <c r="Q19">
        <v>22.94</v>
      </c>
    </row>
    <row r="20" spans="2:17" x14ac:dyDescent="0.3">
      <c r="B20" s="2">
        <v>45296</v>
      </c>
      <c r="C20">
        <v>40.49</v>
      </c>
      <c r="D20">
        <v>467.92</v>
      </c>
      <c r="E20">
        <v>189.35</v>
      </c>
      <c r="F20">
        <v>27.41</v>
      </c>
      <c r="G20">
        <v>396.75</v>
      </c>
      <c r="H20">
        <v>20.58</v>
      </c>
      <c r="I20">
        <v>69.03</v>
      </c>
      <c r="J20">
        <v>96.29</v>
      </c>
      <c r="K20">
        <v>63.37</v>
      </c>
      <c r="L20">
        <v>54.54</v>
      </c>
      <c r="M20">
        <v>63.53</v>
      </c>
      <c r="N20">
        <v>130.86000000000001</v>
      </c>
      <c r="O20">
        <v>49.09</v>
      </c>
      <c r="P20">
        <v>193.25</v>
      </c>
      <c r="Q20">
        <v>23.23</v>
      </c>
    </row>
    <row r="21" spans="2:17" x14ac:dyDescent="0.3">
      <c r="B21" s="2">
        <v>45295</v>
      </c>
      <c r="C21">
        <v>40.43</v>
      </c>
      <c r="D21">
        <v>467.28</v>
      </c>
      <c r="E21">
        <v>189.32</v>
      </c>
      <c r="F21">
        <v>27.41</v>
      </c>
      <c r="G21">
        <v>396.28</v>
      </c>
      <c r="H21">
        <v>20.72</v>
      </c>
      <c r="I21">
        <v>67.569999999999993</v>
      </c>
      <c r="J21">
        <v>97.22</v>
      </c>
      <c r="K21">
        <v>63.49</v>
      </c>
      <c r="L21">
        <v>54.34</v>
      </c>
      <c r="M21">
        <v>63.06</v>
      </c>
      <c r="N21">
        <v>130.69999999999999</v>
      </c>
      <c r="O21">
        <v>49.01</v>
      </c>
      <c r="P21">
        <v>193.82</v>
      </c>
      <c r="Q21">
        <v>23.36</v>
      </c>
    </row>
    <row r="22" spans="2:17" x14ac:dyDescent="0.3">
      <c r="B22" s="2">
        <v>45294</v>
      </c>
      <c r="C22">
        <v>40.5</v>
      </c>
      <c r="D22">
        <v>468.79</v>
      </c>
      <c r="E22">
        <v>189.13</v>
      </c>
      <c r="F22">
        <v>27.41</v>
      </c>
      <c r="G22">
        <v>398.33</v>
      </c>
      <c r="H22">
        <v>20.59</v>
      </c>
      <c r="I22">
        <v>68.19</v>
      </c>
      <c r="J22">
        <v>98.72</v>
      </c>
      <c r="K22">
        <v>63.13</v>
      </c>
      <c r="L22">
        <v>54.3</v>
      </c>
      <c r="M22">
        <v>63.21</v>
      </c>
      <c r="N22">
        <v>130.85</v>
      </c>
      <c r="O22">
        <v>48.59</v>
      </c>
      <c r="P22">
        <v>194.2</v>
      </c>
      <c r="Q22">
        <v>23.67</v>
      </c>
    </row>
    <row r="23" spans="2:17" x14ac:dyDescent="0.3">
      <c r="B23" s="2">
        <v>45293</v>
      </c>
      <c r="C23">
        <v>40.619999999999997</v>
      </c>
      <c r="D23">
        <v>472.65</v>
      </c>
      <c r="E23">
        <v>190.72</v>
      </c>
      <c r="F23">
        <v>27.32</v>
      </c>
      <c r="G23">
        <v>402.59</v>
      </c>
      <c r="H23">
        <v>20.69</v>
      </c>
      <c r="I23">
        <v>65.77</v>
      </c>
      <c r="J23">
        <v>98.31</v>
      </c>
      <c r="K23">
        <v>63.67</v>
      </c>
      <c r="L23">
        <v>54.92</v>
      </c>
      <c r="M23">
        <v>63.56</v>
      </c>
      <c r="N23">
        <v>131.91</v>
      </c>
      <c r="O23">
        <v>48.67</v>
      </c>
      <c r="P23">
        <v>199.52</v>
      </c>
      <c r="Q23">
        <v>23.24</v>
      </c>
    </row>
    <row r="24" spans="2:17" x14ac:dyDescent="0.3">
      <c r="B24" s="2">
        <v>45289</v>
      </c>
      <c r="C24">
        <v>41.1</v>
      </c>
      <c r="D24">
        <v>475.31</v>
      </c>
      <c r="E24">
        <v>191.17</v>
      </c>
      <c r="F24">
        <v>27.09</v>
      </c>
      <c r="G24">
        <v>409.52</v>
      </c>
      <c r="H24">
        <v>20.74</v>
      </c>
      <c r="I24">
        <v>66.650000000000006</v>
      </c>
      <c r="J24">
        <v>98.88</v>
      </c>
      <c r="K24">
        <v>64.48</v>
      </c>
      <c r="L24">
        <v>55.41</v>
      </c>
      <c r="M24">
        <v>64.14</v>
      </c>
      <c r="N24">
        <v>133.02000000000001</v>
      </c>
      <c r="O24">
        <v>48.81</v>
      </c>
      <c r="P24">
        <v>200.71</v>
      </c>
      <c r="Q24">
        <v>24.03</v>
      </c>
    </row>
    <row r="25" spans="2:17" x14ac:dyDescent="0.3">
      <c r="B25" s="2">
        <v>45288</v>
      </c>
      <c r="C25">
        <v>40.99</v>
      </c>
      <c r="D25">
        <v>476.69</v>
      </c>
      <c r="E25">
        <v>191.47</v>
      </c>
      <c r="F25">
        <v>27.04</v>
      </c>
      <c r="G25">
        <v>411.3</v>
      </c>
      <c r="H25">
        <v>21.05</v>
      </c>
      <c r="I25">
        <v>67.180000000000007</v>
      </c>
      <c r="J25">
        <v>99.78</v>
      </c>
      <c r="K25">
        <v>64.42</v>
      </c>
      <c r="L25">
        <v>55.5</v>
      </c>
      <c r="M25">
        <v>64.040000000000006</v>
      </c>
      <c r="N25">
        <v>133.28</v>
      </c>
      <c r="O25">
        <v>49.02</v>
      </c>
      <c r="P25">
        <v>204.04</v>
      </c>
      <c r="Q25">
        <v>23.88</v>
      </c>
    </row>
    <row r="26" spans="2:17" x14ac:dyDescent="0.3">
      <c r="B26" s="2">
        <v>45287</v>
      </c>
      <c r="C26">
        <v>40.74</v>
      </c>
      <c r="D26">
        <v>476.51</v>
      </c>
      <c r="E26">
        <v>192.59</v>
      </c>
      <c r="F26">
        <v>26.95</v>
      </c>
      <c r="G26">
        <v>411.5</v>
      </c>
      <c r="H26">
        <v>21</v>
      </c>
      <c r="I26">
        <v>68.92</v>
      </c>
      <c r="J26">
        <v>100.51</v>
      </c>
      <c r="K26">
        <v>64.86</v>
      </c>
      <c r="L26">
        <v>55.35</v>
      </c>
      <c r="M26">
        <v>63.66</v>
      </c>
      <c r="N26">
        <v>133.36000000000001</v>
      </c>
      <c r="O26">
        <v>48.84</v>
      </c>
      <c r="P26">
        <v>204.82</v>
      </c>
      <c r="Q26">
        <v>23.25</v>
      </c>
    </row>
    <row r="27" spans="2:17" x14ac:dyDescent="0.3">
      <c r="B27" s="2">
        <v>45286</v>
      </c>
      <c r="C27">
        <v>40.520000000000003</v>
      </c>
      <c r="D27">
        <v>475.65</v>
      </c>
      <c r="E27">
        <v>191.72</v>
      </c>
      <c r="F27">
        <v>27.09</v>
      </c>
      <c r="G27">
        <v>410.88</v>
      </c>
      <c r="H27">
        <v>20.98</v>
      </c>
      <c r="I27">
        <v>70.209999999999994</v>
      </c>
      <c r="J27">
        <v>98.76</v>
      </c>
      <c r="K27">
        <v>64.5</v>
      </c>
      <c r="L27">
        <v>54.93</v>
      </c>
      <c r="M27">
        <v>63.31</v>
      </c>
      <c r="N27">
        <v>132.97999999999999</v>
      </c>
      <c r="O27">
        <v>48.53</v>
      </c>
      <c r="P27">
        <v>204.1</v>
      </c>
      <c r="Q27">
        <v>23.22</v>
      </c>
    </row>
    <row r="28" spans="2:17" x14ac:dyDescent="0.3">
      <c r="B28" s="2">
        <v>45282</v>
      </c>
      <c r="C28">
        <v>40.26</v>
      </c>
      <c r="D28">
        <v>473.65</v>
      </c>
      <c r="E28">
        <v>190.27</v>
      </c>
      <c r="F28">
        <v>27.15</v>
      </c>
      <c r="G28">
        <v>408.38</v>
      </c>
      <c r="H28">
        <v>20.89</v>
      </c>
      <c r="I28">
        <v>68.69</v>
      </c>
      <c r="J28">
        <v>98.474999999999994</v>
      </c>
      <c r="K28">
        <v>64.099999999999994</v>
      </c>
      <c r="L28">
        <v>54.45</v>
      </c>
      <c r="M28">
        <v>63.33</v>
      </c>
      <c r="N28">
        <v>132.43</v>
      </c>
      <c r="O28">
        <v>48.36</v>
      </c>
      <c r="P28">
        <v>201.48</v>
      </c>
      <c r="Q28">
        <v>23.05</v>
      </c>
    </row>
    <row r="29" spans="2:17" x14ac:dyDescent="0.3">
      <c r="B29" s="2">
        <v>45281</v>
      </c>
      <c r="C29">
        <v>40.4</v>
      </c>
      <c r="D29">
        <v>472.7</v>
      </c>
      <c r="E29">
        <v>189.43</v>
      </c>
      <c r="F29">
        <v>27.16</v>
      </c>
      <c r="G29">
        <v>407.77</v>
      </c>
      <c r="H29">
        <v>20.79</v>
      </c>
      <c r="I29">
        <v>69.03</v>
      </c>
      <c r="J29">
        <v>98.93</v>
      </c>
      <c r="K29">
        <v>64.06</v>
      </c>
      <c r="L29">
        <v>54.31</v>
      </c>
      <c r="M29">
        <v>63.13</v>
      </c>
      <c r="N29">
        <v>132.16</v>
      </c>
      <c r="O29">
        <v>48.16</v>
      </c>
      <c r="P29">
        <v>199.62</v>
      </c>
      <c r="Q29">
        <v>23.71</v>
      </c>
    </row>
    <row r="30" spans="2:17" x14ac:dyDescent="0.3">
      <c r="B30" s="2">
        <v>45280</v>
      </c>
      <c r="C30">
        <v>39.630000000000003</v>
      </c>
      <c r="D30">
        <v>468.26</v>
      </c>
      <c r="E30">
        <v>188.1</v>
      </c>
      <c r="F30">
        <v>27.34</v>
      </c>
      <c r="G30">
        <v>403.08</v>
      </c>
      <c r="H30">
        <v>20.82</v>
      </c>
      <c r="I30">
        <v>68.790000000000006</v>
      </c>
      <c r="J30">
        <v>99.56</v>
      </c>
      <c r="K30">
        <v>63.12</v>
      </c>
      <c r="L30">
        <v>53.42</v>
      </c>
      <c r="M30">
        <v>62.05</v>
      </c>
      <c r="N30">
        <v>130.63</v>
      </c>
      <c r="O30">
        <v>47.4</v>
      </c>
      <c r="P30">
        <v>196.28</v>
      </c>
      <c r="Q30">
        <v>22.91</v>
      </c>
    </row>
    <row r="31" spans="2:17" x14ac:dyDescent="0.3">
      <c r="B31" s="2">
        <v>45279</v>
      </c>
      <c r="C31">
        <v>40.479999999999997</v>
      </c>
      <c r="D31">
        <v>474.84</v>
      </c>
      <c r="E31">
        <v>189.13</v>
      </c>
      <c r="F31">
        <v>27.22</v>
      </c>
      <c r="G31">
        <v>409.16</v>
      </c>
      <c r="H31">
        <v>21.07</v>
      </c>
      <c r="I31">
        <v>69.36</v>
      </c>
      <c r="J31">
        <v>98.89</v>
      </c>
      <c r="K31">
        <v>63.87</v>
      </c>
      <c r="L31">
        <v>54.89</v>
      </c>
      <c r="M31">
        <v>63.24</v>
      </c>
      <c r="N31">
        <v>133.47999999999999</v>
      </c>
      <c r="O31">
        <v>48.72</v>
      </c>
      <c r="P31">
        <v>200.93</v>
      </c>
      <c r="Q31">
        <v>24.2</v>
      </c>
    </row>
    <row r="32" spans="2:17" x14ac:dyDescent="0.3">
      <c r="B32" s="2">
        <v>45278</v>
      </c>
      <c r="C32">
        <v>40.200000000000003</v>
      </c>
      <c r="D32">
        <v>471.97</v>
      </c>
      <c r="E32">
        <v>187.85</v>
      </c>
      <c r="F32">
        <v>27.34</v>
      </c>
      <c r="G32">
        <v>407.08</v>
      </c>
      <c r="H32">
        <v>21.02</v>
      </c>
      <c r="I32">
        <v>68.09</v>
      </c>
      <c r="J32">
        <v>98.36</v>
      </c>
      <c r="K32">
        <v>63.21</v>
      </c>
      <c r="L32">
        <v>54.52</v>
      </c>
      <c r="M32">
        <v>63.05</v>
      </c>
      <c r="N32">
        <v>132.56</v>
      </c>
      <c r="O32">
        <v>48.454999999999998</v>
      </c>
      <c r="P32">
        <v>197.11</v>
      </c>
      <c r="Q32">
        <v>23.88</v>
      </c>
    </row>
    <row r="33" spans="2:17" x14ac:dyDescent="0.3">
      <c r="B33" s="2">
        <v>45275</v>
      </c>
      <c r="C33">
        <v>41.07</v>
      </c>
      <c r="D33">
        <v>469.33</v>
      </c>
      <c r="E33">
        <v>187</v>
      </c>
      <c r="F33">
        <v>29.09</v>
      </c>
      <c r="G33">
        <v>405.34</v>
      </c>
      <c r="H33">
        <v>21.96</v>
      </c>
      <c r="I33">
        <v>67.150000000000006</v>
      </c>
      <c r="J33">
        <v>99.15</v>
      </c>
      <c r="K33">
        <v>63.48</v>
      </c>
      <c r="L33">
        <v>54.37</v>
      </c>
      <c r="M33">
        <v>63.17</v>
      </c>
      <c r="N33">
        <v>131.94999999999999</v>
      </c>
      <c r="O33">
        <v>48.3</v>
      </c>
      <c r="P33">
        <v>197.04</v>
      </c>
      <c r="Q33">
        <v>24.13</v>
      </c>
    </row>
    <row r="34" spans="2:17" x14ac:dyDescent="0.3">
      <c r="B34" s="2">
        <v>45274</v>
      </c>
      <c r="C34">
        <v>41.31</v>
      </c>
      <c r="D34">
        <v>472.01</v>
      </c>
      <c r="E34">
        <v>188.73</v>
      </c>
      <c r="F34">
        <v>28.9</v>
      </c>
      <c r="G34">
        <v>403.39</v>
      </c>
      <c r="H34">
        <v>21.9</v>
      </c>
      <c r="I34">
        <v>67.16</v>
      </c>
      <c r="J34">
        <v>99.04</v>
      </c>
      <c r="K34">
        <v>64.19</v>
      </c>
      <c r="L34">
        <v>54.69</v>
      </c>
      <c r="M34">
        <v>63.72</v>
      </c>
      <c r="N34">
        <v>132.36000000000001</v>
      </c>
      <c r="O34">
        <v>48.35</v>
      </c>
      <c r="P34">
        <v>198.71</v>
      </c>
      <c r="Q34">
        <v>24.18</v>
      </c>
    </row>
    <row r="35" spans="2:17" x14ac:dyDescent="0.3">
      <c r="B35" s="2">
        <v>45273</v>
      </c>
      <c r="C35">
        <v>40.770000000000003</v>
      </c>
      <c r="D35">
        <v>470.5</v>
      </c>
      <c r="E35">
        <v>187.63</v>
      </c>
      <c r="F35">
        <v>29.17</v>
      </c>
      <c r="G35">
        <v>403.74</v>
      </c>
      <c r="H35">
        <v>21.72</v>
      </c>
      <c r="I35">
        <v>65.33</v>
      </c>
      <c r="J35">
        <v>96.84</v>
      </c>
      <c r="K35">
        <v>63.46</v>
      </c>
      <c r="L35">
        <v>53.93</v>
      </c>
      <c r="M35">
        <v>64.010000000000005</v>
      </c>
      <c r="N35">
        <v>131.66999999999999</v>
      </c>
      <c r="O35">
        <v>47.96</v>
      </c>
      <c r="P35">
        <v>193.33</v>
      </c>
      <c r="Q35">
        <v>23.87</v>
      </c>
    </row>
    <row r="36" spans="2:17" x14ac:dyDescent="0.3">
      <c r="B36" s="2">
        <v>45272</v>
      </c>
      <c r="C36">
        <v>40.39</v>
      </c>
      <c r="D36">
        <v>464.1</v>
      </c>
      <c r="E36">
        <v>183.49</v>
      </c>
      <c r="F36">
        <v>29.42</v>
      </c>
      <c r="G36">
        <v>398.67</v>
      </c>
      <c r="H36">
        <v>21.85</v>
      </c>
      <c r="I36">
        <v>64.25</v>
      </c>
      <c r="J36">
        <v>94.62</v>
      </c>
      <c r="K36">
        <v>62.58</v>
      </c>
      <c r="L36">
        <v>53.14</v>
      </c>
      <c r="M36">
        <v>63.05</v>
      </c>
      <c r="N36">
        <v>129.75</v>
      </c>
      <c r="O36">
        <v>47.38</v>
      </c>
      <c r="P36">
        <v>187</v>
      </c>
      <c r="Q36">
        <v>23.95</v>
      </c>
    </row>
    <row r="37" spans="2:17" x14ac:dyDescent="0.3">
      <c r="B37" s="2">
        <v>45271</v>
      </c>
      <c r="C37">
        <v>40.39</v>
      </c>
      <c r="D37">
        <v>461.99</v>
      </c>
      <c r="E37">
        <v>183.59</v>
      </c>
      <c r="F37">
        <v>29.5</v>
      </c>
      <c r="G37">
        <v>395.52</v>
      </c>
      <c r="H37">
        <v>21.71</v>
      </c>
      <c r="I37">
        <v>66.8</v>
      </c>
      <c r="J37">
        <v>94.34</v>
      </c>
      <c r="K37">
        <v>62.47</v>
      </c>
      <c r="L37">
        <v>53.21</v>
      </c>
      <c r="M37">
        <v>63.14</v>
      </c>
      <c r="N37">
        <v>129.41</v>
      </c>
      <c r="O37">
        <v>47.56</v>
      </c>
      <c r="P37">
        <v>187.19</v>
      </c>
      <c r="Q37">
        <v>23.79</v>
      </c>
    </row>
    <row r="38" spans="2:17" x14ac:dyDescent="0.3">
      <c r="B38" s="2">
        <v>45268</v>
      </c>
      <c r="C38">
        <v>40.21</v>
      </c>
      <c r="D38">
        <v>460.2</v>
      </c>
      <c r="E38">
        <v>185.64</v>
      </c>
      <c r="F38">
        <v>29.46</v>
      </c>
      <c r="G38">
        <v>392.17</v>
      </c>
      <c r="H38">
        <v>21.82</v>
      </c>
      <c r="I38">
        <v>66.53</v>
      </c>
      <c r="J38">
        <v>94.54</v>
      </c>
      <c r="K38">
        <v>62.38</v>
      </c>
      <c r="L38">
        <v>52.99</v>
      </c>
      <c r="M38">
        <v>62.78</v>
      </c>
      <c r="N38">
        <v>128.91999999999999</v>
      </c>
      <c r="O38">
        <v>47.31</v>
      </c>
      <c r="P38">
        <v>186.8</v>
      </c>
      <c r="Q38">
        <v>23.7</v>
      </c>
    </row>
    <row r="39" spans="2:17" x14ac:dyDescent="0.3">
      <c r="B39" s="2">
        <v>45267</v>
      </c>
      <c r="C39">
        <v>40.409999999999997</v>
      </c>
      <c r="D39">
        <v>458.23</v>
      </c>
      <c r="E39">
        <v>188.15</v>
      </c>
      <c r="F39">
        <v>29.35</v>
      </c>
      <c r="G39">
        <v>390.43</v>
      </c>
      <c r="H39">
        <v>21.68</v>
      </c>
      <c r="I39">
        <v>65.11</v>
      </c>
      <c r="J39">
        <v>95.32</v>
      </c>
      <c r="K39">
        <v>62.04</v>
      </c>
      <c r="L39">
        <v>53.01</v>
      </c>
      <c r="M39">
        <v>63.15</v>
      </c>
      <c r="N39">
        <v>128.46</v>
      </c>
      <c r="O39">
        <v>47.46</v>
      </c>
      <c r="P39">
        <v>185.39</v>
      </c>
      <c r="Q39">
        <v>24.03</v>
      </c>
    </row>
    <row r="40" spans="2:17" x14ac:dyDescent="0.3">
      <c r="B40" s="2">
        <v>45266</v>
      </c>
      <c r="C40">
        <v>40.25</v>
      </c>
      <c r="D40">
        <v>454.76</v>
      </c>
      <c r="E40">
        <v>187.84</v>
      </c>
      <c r="F40">
        <v>29.51</v>
      </c>
      <c r="G40">
        <v>385.05</v>
      </c>
      <c r="H40">
        <v>21.55</v>
      </c>
      <c r="I40">
        <v>64.760000000000005</v>
      </c>
      <c r="J40">
        <v>95.87</v>
      </c>
      <c r="K40">
        <v>61.82</v>
      </c>
      <c r="L40">
        <v>52.72</v>
      </c>
      <c r="M40">
        <v>62.67</v>
      </c>
      <c r="N40">
        <v>127.54</v>
      </c>
      <c r="O40">
        <v>47.34</v>
      </c>
      <c r="P40">
        <v>184.06</v>
      </c>
      <c r="Q40">
        <v>23.95</v>
      </c>
    </row>
    <row r="41" spans="2:17" x14ac:dyDescent="0.3">
      <c r="B41" s="2">
        <v>45265</v>
      </c>
      <c r="C41">
        <v>40.299999999999997</v>
      </c>
      <c r="D41">
        <v>456.6</v>
      </c>
      <c r="E41">
        <v>187.15</v>
      </c>
      <c r="F41">
        <v>29.44</v>
      </c>
      <c r="G41">
        <v>387.29</v>
      </c>
      <c r="H41">
        <v>22.01</v>
      </c>
      <c r="I41">
        <v>67.58</v>
      </c>
      <c r="J41">
        <v>94.61</v>
      </c>
      <c r="K41">
        <v>61.81</v>
      </c>
      <c r="L41">
        <v>52.78</v>
      </c>
      <c r="M41">
        <v>62.02</v>
      </c>
      <c r="N41">
        <v>127.84</v>
      </c>
      <c r="O41">
        <v>47.27</v>
      </c>
      <c r="P41">
        <v>184.39</v>
      </c>
      <c r="Q41">
        <v>23.94</v>
      </c>
    </row>
    <row r="42" spans="2:17" x14ac:dyDescent="0.3">
      <c r="B42" s="2">
        <v>45264</v>
      </c>
      <c r="C42">
        <v>40.44</v>
      </c>
      <c r="D42">
        <v>456.69</v>
      </c>
      <c r="E42">
        <v>187.86</v>
      </c>
      <c r="F42">
        <v>29.33</v>
      </c>
      <c r="G42">
        <v>386.32</v>
      </c>
      <c r="H42">
        <v>21.98</v>
      </c>
      <c r="I42">
        <v>68.47</v>
      </c>
      <c r="J42">
        <v>92.614999999999995</v>
      </c>
      <c r="K42">
        <v>61.87</v>
      </c>
      <c r="L42">
        <v>52.88</v>
      </c>
      <c r="M42">
        <v>62.25</v>
      </c>
      <c r="N42">
        <v>128.04</v>
      </c>
      <c r="O42">
        <v>46.84</v>
      </c>
      <c r="P42">
        <v>186.89</v>
      </c>
      <c r="Q42">
        <v>24.31</v>
      </c>
    </row>
    <row r="43" spans="2:17" x14ac:dyDescent="0.3">
      <c r="B43" s="2">
        <v>45261</v>
      </c>
      <c r="C43">
        <v>40.799999999999997</v>
      </c>
      <c r="D43">
        <v>459.1</v>
      </c>
      <c r="E43">
        <v>192.01</v>
      </c>
      <c r="F43">
        <v>29.2</v>
      </c>
      <c r="G43">
        <v>389.94</v>
      </c>
      <c r="H43">
        <v>22.02</v>
      </c>
      <c r="I43">
        <v>69.239999999999995</v>
      </c>
      <c r="J43">
        <v>92.99</v>
      </c>
      <c r="K43">
        <v>62.21</v>
      </c>
      <c r="L43">
        <v>53.35</v>
      </c>
      <c r="M43">
        <v>63.21</v>
      </c>
      <c r="N43">
        <v>128.76</v>
      </c>
      <c r="O43">
        <v>46.4</v>
      </c>
      <c r="P43">
        <v>184.91</v>
      </c>
      <c r="Q43">
        <v>24.89</v>
      </c>
    </row>
    <row r="44" spans="2:17" x14ac:dyDescent="0.3">
      <c r="B44" s="2">
        <v>45260</v>
      </c>
      <c r="C44">
        <v>40.630000000000003</v>
      </c>
      <c r="D44">
        <v>456.4</v>
      </c>
      <c r="E44">
        <v>188.75</v>
      </c>
      <c r="F44">
        <v>29.29</v>
      </c>
      <c r="G44">
        <v>388.83</v>
      </c>
      <c r="H44">
        <v>22.28</v>
      </c>
      <c r="I44">
        <v>70.14</v>
      </c>
      <c r="J44">
        <v>91.56</v>
      </c>
      <c r="K44">
        <v>61.62</v>
      </c>
      <c r="L44">
        <v>52.88</v>
      </c>
      <c r="M44">
        <v>62.61</v>
      </c>
      <c r="N44">
        <v>127.78</v>
      </c>
      <c r="O44">
        <v>46.02</v>
      </c>
      <c r="P44">
        <v>179.66</v>
      </c>
      <c r="Q44">
        <v>25.16</v>
      </c>
    </row>
    <row r="45" spans="2:17" x14ac:dyDescent="0.3">
      <c r="B45" s="2">
        <v>45259</v>
      </c>
      <c r="C45">
        <v>40.51</v>
      </c>
      <c r="D45">
        <v>454.61</v>
      </c>
      <c r="E45">
        <v>189.54</v>
      </c>
      <c r="F45">
        <v>29.08</v>
      </c>
      <c r="G45">
        <v>389.81</v>
      </c>
      <c r="H45">
        <v>22.08</v>
      </c>
      <c r="I45">
        <v>72.52</v>
      </c>
      <c r="J45">
        <v>92.63</v>
      </c>
      <c r="K45">
        <v>61.76</v>
      </c>
      <c r="L45">
        <v>52.84</v>
      </c>
      <c r="M45">
        <v>62.49</v>
      </c>
      <c r="N45">
        <v>127.43</v>
      </c>
      <c r="O45">
        <v>45.63</v>
      </c>
      <c r="P45">
        <v>178.98</v>
      </c>
      <c r="Q45">
        <v>25.06</v>
      </c>
    </row>
    <row r="46" spans="2:17" x14ac:dyDescent="0.3">
      <c r="B46" s="2">
        <v>45258</v>
      </c>
      <c r="C46">
        <v>40.74</v>
      </c>
      <c r="D46">
        <v>454.93</v>
      </c>
      <c r="E46">
        <v>189.26</v>
      </c>
      <c r="F46">
        <v>29.05</v>
      </c>
      <c r="G46">
        <v>390.19</v>
      </c>
      <c r="H46">
        <v>21.94</v>
      </c>
      <c r="I46">
        <v>71.260000000000005</v>
      </c>
      <c r="J46">
        <v>91.48</v>
      </c>
      <c r="K46">
        <v>61.48</v>
      </c>
      <c r="L46">
        <v>52.91</v>
      </c>
      <c r="M46">
        <v>62.55</v>
      </c>
      <c r="N46">
        <v>127.41</v>
      </c>
      <c r="O46">
        <v>45.49</v>
      </c>
      <c r="P46">
        <v>178.04</v>
      </c>
      <c r="Q46">
        <v>25.71</v>
      </c>
    </row>
    <row r="47" spans="2:17" x14ac:dyDescent="0.3">
      <c r="B47" s="2">
        <v>45257</v>
      </c>
      <c r="C47">
        <v>40.409999999999997</v>
      </c>
      <c r="D47">
        <v>454.48</v>
      </c>
      <c r="E47">
        <v>186.77</v>
      </c>
      <c r="F47">
        <v>29.15</v>
      </c>
      <c r="G47">
        <v>389.17</v>
      </c>
      <c r="H47">
        <v>21.59</v>
      </c>
      <c r="I47">
        <v>69.959999999999994</v>
      </c>
      <c r="J47">
        <v>91.3</v>
      </c>
      <c r="K47">
        <v>61.48</v>
      </c>
      <c r="L47">
        <v>52.33</v>
      </c>
      <c r="M47">
        <v>62.56</v>
      </c>
      <c r="N47">
        <v>127.31</v>
      </c>
      <c r="O47">
        <v>45.09</v>
      </c>
      <c r="P47">
        <v>178.73</v>
      </c>
      <c r="Q47">
        <v>26.02</v>
      </c>
    </row>
    <row r="48" spans="2:17" x14ac:dyDescent="0.3">
      <c r="B48" s="2">
        <v>45254</v>
      </c>
      <c r="C48">
        <v>40.6</v>
      </c>
      <c r="D48">
        <v>455.3</v>
      </c>
      <c r="E48">
        <v>185.52</v>
      </c>
      <c r="F48">
        <v>29.21</v>
      </c>
      <c r="G48">
        <v>389.51</v>
      </c>
      <c r="H48">
        <v>21.74</v>
      </c>
      <c r="I48">
        <v>70.819999999999993</v>
      </c>
      <c r="J48">
        <v>89.8</v>
      </c>
      <c r="K48">
        <v>61.67</v>
      </c>
      <c r="L48">
        <v>52.38</v>
      </c>
      <c r="M48">
        <v>62.61</v>
      </c>
      <c r="N48">
        <v>127.52</v>
      </c>
      <c r="O48">
        <v>45.19</v>
      </c>
      <c r="P48">
        <v>179.33</v>
      </c>
      <c r="Q48">
        <v>26.36</v>
      </c>
    </row>
    <row r="49" spans="2:17" x14ac:dyDescent="0.3">
      <c r="B49" s="2">
        <v>45252</v>
      </c>
      <c r="C49">
        <v>40.47</v>
      </c>
      <c r="D49">
        <v>455.02</v>
      </c>
      <c r="E49">
        <v>184.56</v>
      </c>
      <c r="F49">
        <v>29.34</v>
      </c>
      <c r="G49">
        <v>390.06</v>
      </c>
      <c r="H49">
        <v>22.07</v>
      </c>
      <c r="I49">
        <v>71.61</v>
      </c>
      <c r="J49">
        <v>90.87</v>
      </c>
      <c r="K49">
        <v>61.02</v>
      </c>
      <c r="L49">
        <v>52.45</v>
      </c>
      <c r="M49">
        <v>62.49</v>
      </c>
      <c r="N49">
        <v>127.23</v>
      </c>
      <c r="O49">
        <v>45.21</v>
      </c>
      <c r="P49">
        <v>178.13</v>
      </c>
      <c r="Q49">
        <v>26.29</v>
      </c>
    </row>
    <row r="50" spans="2:17" x14ac:dyDescent="0.3">
      <c r="B50" s="2">
        <v>45251</v>
      </c>
      <c r="C50">
        <v>40.58</v>
      </c>
      <c r="D50">
        <v>453.27</v>
      </c>
      <c r="E50">
        <v>185.35</v>
      </c>
      <c r="F50">
        <v>29.24</v>
      </c>
      <c r="G50">
        <v>388.47</v>
      </c>
      <c r="H50">
        <v>22.18</v>
      </c>
      <c r="I50">
        <v>72.53</v>
      </c>
      <c r="J50">
        <v>90.55</v>
      </c>
      <c r="K50">
        <v>60.92</v>
      </c>
      <c r="L50">
        <v>52.57</v>
      </c>
      <c r="M50">
        <v>62.1</v>
      </c>
      <c r="N50">
        <v>126.8</v>
      </c>
      <c r="O50">
        <v>45.06</v>
      </c>
      <c r="P50">
        <v>177.02</v>
      </c>
      <c r="Q50">
        <v>26.16</v>
      </c>
    </row>
    <row r="51" spans="2:17" x14ac:dyDescent="0.3">
      <c r="B51" s="2">
        <v>45250</v>
      </c>
      <c r="C51">
        <v>40.82</v>
      </c>
      <c r="D51">
        <v>454.26</v>
      </c>
      <c r="E51">
        <v>183.37</v>
      </c>
      <c r="F51">
        <v>29.21</v>
      </c>
      <c r="G51">
        <v>390.74</v>
      </c>
      <c r="H51">
        <v>22.14</v>
      </c>
      <c r="I51">
        <v>72.3</v>
      </c>
      <c r="J51">
        <v>90.59</v>
      </c>
      <c r="K51">
        <v>61.18</v>
      </c>
      <c r="L51">
        <v>52.76</v>
      </c>
      <c r="M51">
        <v>62.36</v>
      </c>
      <c r="N51">
        <v>127.07</v>
      </c>
      <c r="O51">
        <v>45.05</v>
      </c>
      <c r="P51">
        <v>179.33</v>
      </c>
      <c r="Q51">
        <v>26.69</v>
      </c>
    </row>
    <row r="52" spans="2:17" x14ac:dyDescent="0.3">
      <c r="B52" s="2">
        <v>45247</v>
      </c>
      <c r="C52">
        <v>40.39</v>
      </c>
      <c r="D52">
        <v>450.79</v>
      </c>
      <c r="E52">
        <v>183.67</v>
      </c>
      <c r="F52">
        <v>29.3</v>
      </c>
      <c r="G52">
        <v>386.04</v>
      </c>
      <c r="H52">
        <v>22.08</v>
      </c>
      <c r="I52">
        <v>70.75</v>
      </c>
      <c r="J52">
        <v>90.04</v>
      </c>
      <c r="K52">
        <v>60.9</v>
      </c>
      <c r="L52">
        <v>52.31</v>
      </c>
      <c r="M52">
        <v>62.35</v>
      </c>
      <c r="N52">
        <v>126.3</v>
      </c>
      <c r="O52">
        <v>45.045000000000002</v>
      </c>
      <c r="P52">
        <v>178.29</v>
      </c>
      <c r="Q52">
        <v>26.12</v>
      </c>
    </row>
    <row r="53" spans="2:17" x14ac:dyDescent="0.3">
      <c r="B53" s="2">
        <v>45246</v>
      </c>
      <c r="C53">
        <v>40.229999999999997</v>
      </c>
      <c r="D53">
        <v>450.23</v>
      </c>
      <c r="E53">
        <v>183.69</v>
      </c>
      <c r="F53">
        <v>29.46</v>
      </c>
      <c r="G53">
        <v>385.95</v>
      </c>
      <c r="H53">
        <v>22.12</v>
      </c>
      <c r="I53">
        <v>68.05</v>
      </c>
      <c r="J53">
        <v>89.62</v>
      </c>
      <c r="K53">
        <v>60.07</v>
      </c>
      <c r="L53">
        <v>52.24</v>
      </c>
      <c r="M53">
        <v>61.39</v>
      </c>
      <c r="N53">
        <v>125.66</v>
      </c>
      <c r="O53">
        <v>44.98</v>
      </c>
      <c r="P53">
        <v>175.88</v>
      </c>
      <c r="Q53">
        <v>26.1</v>
      </c>
    </row>
    <row r="54" spans="2:17" x14ac:dyDescent="0.3">
      <c r="B54" s="2">
        <v>45245</v>
      </c>
      <c r="C54">
        <v>40.65</v>
      </c>
      <c r="D54">
        <v>449.68</v>
      </c>
      <c r="E54">
        <v>181.64</v>
      </c>
      <c r="F54">
        <v>29.44</v>
      </c>
      <c r="G54">
        <v>385.62</v>
      </c>
      <c r="H54">
        <v>22.29</v>
      </c>
      <c r="I54">
        <v>71.34</v>
      </c>
      <c r="J54">
        <v>88.52</v>
      </c>
      <c r="K54">
        <v>60.2</v>
      </c>
      <c r="L54">
        <v>52.18</v>
      </c>
      <c r="M54">
        <v>61.18</v>
      </c>
      <c r="N54">
        <v>125.66</v>
      </c>
      <c r="O54">
        <v>44.94</v>
      </c>
      <c r="P54">
        <v>178.77</v>
      </c>
      <c r="Q54">
        <v>27.21</v>
      </c>
    </row>
    <row r="55" spans="2:17" x14ac:dyDescent="0.3">
      <c r="B55" s="2">
        <v>45244</v>
      </c>
      <c r="C55">
        <v>40.369999999999997</v>
      </c>
      <c r="D55">
        <v>448.73</v>
      </c>
      <c r="E55">
        <v>182.12</v>
      </c>
      <c r="F55">
        <v>29.33</v>
      </c>
      <c r="G55">
        <v>385.33</v>
      </c>
      <c r="H55">
        <v>22.25</v>
      </c>
      <c r="I55">
        <v>72.69</v>
      </c>
      <c r="J55">
        <v>89.78</v>
      </c>
      <c r="K55">
        <v>60.21</v>
      </c>
      <c r="L55">
        <v>51.98</v>
      </c>
      <c r="M55">
        <v>61.64</v>
      </c>
      <c r="N55">
        <v>125.46</v>
      </c>
      <c r="O55">
        <v>45.08</v>
      </c>
      <c r="P55">
        <v>178.46</v>
      </c>
      <c r="Q55">
        <v>26.58</v>
      </c>
    </row>
    <row r="56" spans="2:17" x14ac:dyDescent="0.3">
      <c r="B56" s="2">
        <v>45243</v>
      </c>
      <c r="C56">
        <v>39.450000000000003</v>
      </c>
      <c r="D56">
        <v>440.19</v>
      </c>
      <c r="E56">
        <v>180.51</v>
      </c>
      <c r="F56">
        <v>29.8</v>
      </c>
      <c r="G56">
        <v>377.21</v>
      </c>
      <c r="H56">
        <v>22.36</v>
      </c>
      <c r="I56">
        <v>72.92</v>
      </c>
      <c r="J56">
        <v>87.79</v>
      </c>
      <c r="K56">
        <v>58.48</v>
      </c>
      <c r="L56">
        <v>50.64</v>
      </c>
      <c r="M56">
        <v>60.44</v>
      </c>
      <c r="N56">
        <v>122.88</v>
      </c>
      <c r="O56">
        <v>44.42</v>
      </c>
      <c r="P56">
        <v>169.17</v>
      </c>
      <c r="Q56">
        <v>26.02</v>
      </c>
    </row>
    <row r="57" spans="2:17" x14ac:dyDescent="0.3">
      <c r="B57" s="2">
        <v>45240</v>
      </c>
      <c r="C57">
        <v>39.380000000000003</v>
      </c>
      <c r="D57">
        <v>440.61</v>
      </c>
      <c r="E57">
        <v>179.51</v>
      </c>
      <c r="F57">
        <v>29.84</v>
      </c>
      <c r="G57">
        <v>378.39</v>
      </c>
      <c r="H57">
        <v>22.04</v>
      </c>
      <c r="I57">
        <v>71.790000000000006</v>
      </c>
      <c r="J57">
        <v>87.99</v>
      </c>
      <c r="K57">
        <v>58.33</v>
      </c>
      <c r="L57">
        <v>50.84</v>
      </c>
      <c r="M57">
        <v>60.47</v>
      </c>
      <c r="N57">
        <v>122.84</v>
      </c>
      <c r="O57">
        <v>44.49</v>
      </c>
      <c r="P57">
        <v>169.11</v>
      </c>
      <c r="Q57">
        <v>25.68</v>
      </c>
    </row>
    <row r="58" spans="2:17" x14ac:dyDescent="0.3">
      <c r="B58" s="2">
        <v>45239</v>
      </c>
      <c r="C58">
        <v>39.11</v>
      </c>
      <c r="D58">
        <v>433.84</v>
      </c>
      <c r="E58">
        <v>181.49</v>
      </c>
      <c r="F58">
        <v>29.86</v>
      </c>
      <c r="G58">
        <v>370.07</v>
      </c>
      <c r="H58">
        <v>22.13</v>
      </c>
      <c r="I58">
        <v>70.25</v>
      </c>
      <c r="J58">
        <v>87.5</v>
      </c>
      <c r="K58">
        <v>58.06</v>
      </c>
      <c r="L58">
        <v>50.32</v>
      </c>
      <c r="M58">
        <v>59.89</v>
      </c>
      <c r="N58">
        <v>121.31</v>
      </c>
      <c r="O58">
        <v>44.04</v>
      </c>
      <c r="P58">
        <v>167.24</v>
      </c>
      <c r="Q58">
        <v>25.76</v>
      </c>
    </row>
    <row r="59" spans="2:17" x14ac:dyDescent="0.3">
      <c r="B59" s="2">
        <v>45238</v>
      </c>
      <c r="C59">
        <v>39.46</v>
      </c>
      <c r="D59">
        <v>437.25</v>
      </c>
      <c r="E59">
        <v>180.77</v>
      </c>
      <c r="F59">
        <v>29.73</v>
      </c>
      <c r="G59">
        <v>372.94</v>
      </c>
      <c r="H59">
        <v>22.26</v>
      </c>
      <c r="I59">
        <v>70.19</v>
      </c>
      <c r="J59">
        <v>89.56</v>
      </c>
      <c r="K59">
        <v>58.07</v>
      </c>
      <c r="L59">
        <v>50.69</v>
      </c>
      <c r="M59">
        <v>59.64</v>
      </c>
      <c r="N59">
        <v>122.02</v>
      </c>
      <c r="O59">
        <v>44.33</v>
      </c>
      <c r="P59">
        <v>169.87</v>
      </c>
      <c r="Q59">
        <v>26.12</v>
      </c>
    </row>
    <row r="60" spans="2:17" x14ac:dyDescent="0.3">
      <c r="B60" s="2">
        <v>45237</v>
      </c>
      <c r="C60">
        <v>39.64</v>
      </c>
      <c r="D60">
        <v>436.93</v>
      </c>
      <c r="E60">
        <v>182.59</v>
      </c>
      <c r="F60">
        <v>29.74</v>
      </c>
      <c r="G60">
        <v>372.7</v>
      </c>
      <c r="H60">
        <v>22.16</v>
      </c>
      <c r="I60">
        <v>71.8</v>
      </c>
      <c r="J60">
        <v>88.06</v>
      </c>
      <c r="K60">
        <v>57.79</v>
      </c>
      <c r="L60">
        <v>51.02</v>
      </c>
      <c r="M60">
        <v>60.64</v>
      </c>
      <c r="N60">
        <v>121.99</v>
      </c>
      <c r="O60">
        <v>44.21</v>
      </c>
      <c r="P60">
        <v>171.7</v>
      </c>
      <c r="Q60">
        <v>26.31</v>
      </c>
    </row>
    <row r="61" spans="2:17" x14ac:dyDescent="0.3">
      <c r="B61" s="2">
        <v>45236</v>
      </c>
      <c r="C61">
        <v>39.630000000000003</v>
      </c>
      <c r="D61">
        <v>435.69</v>
      </c>
      <c r="E61">
        <v>183.35</v>
      </c>
      <c r="F61">
        <v>29.64</v>
      </c>
      <c r="G61">
        <v>369.21</v>
      </c>
      <c r="H61">
        <v>22.46</v>
      </c>
      <c r="I61">
        <v>74.91</v>
      </c>
      <c r="J61">
        <v>86.78</v>
      </c>
      <c r="K61">
        <v>58.05</v>
      </c>
      <c r="L61">
        <v>51.16</v>
      </c>
      <c r="M61">
        <v>61.2</v>
      </c>
      <c r="N61">
        <v>121.89</v>
      </c>
      <c r="O61">
        <v>44.19</v>
      </c>
      <c r="P61">
        <v>172.31</v>
      </c>
      <c r="Q61">
        <v>26.43</v>
      </c>
    </row>
    <row r="62" spans="2:17" x14ac:dyDescent="0.3">
      <c r="B62" s="2">
        <v>45233</v>
      </c>
      <c r="C62">
        <v>39.51</v>
      </c>
      <c r="D62">
        <v>434.69</v>
      </c>
      <c r="E62">
        <v>184.79</v>
      </c>
      <c r="F62">
        <v>29.61</v>
      </c>
      <c r="G62">
        <v>367.71</v>
      </c>
      <c r="H62">
        <v>22.4</v>
      </c>
      <c r="I62">
        <v>74.849999999999994</v>
      </c>
      <c r="J62">
        <v>87.63</v>
      </c>
      <c r="K62">
        <v>58.24</v>
      </c>
      <c r="L62">
        <v>50.68</v>
      </c>
      <c r="M62">
        <v>62</v>
      </c>
      <c r="N62">
        <v>121.93</v>
      </c>
      <c r="O62">
        <v>44.15</v>
      </c>
      <c r="P62">
        <v>174.49</v>
      </c>
      <c r="Q62">
        <v>26.35</v>
      </c>
    </row>
    <row r="63" spans="2:17" x14ac:dyDescent="0.3">
      <c r="B63" s="2">
        <v>45232</v>
      </c>
      <c r="C63">
        <v>38.799999999999997</v>
      </c>
      <c r="D63">
        <v>430.76</v>
      </c>
      <c r="E63">
        <v>184.12</v>
      </c>
      <c r="F63">
        <v>29.89</v>
      </c>
      <c r="G63">
        <v>363.44</v>
      </c>
      <c r="H63">
        <v>22.24</v>
      </c>
      <c r="I63">
        <v>76.180000000000007</v>
      </c>
      <c r="J63">
        <v>87.04</v>
      </c>
      <c r="K63">
        <v>57.76</v>
      </c>
      <c r="L63">
        <v>49.89</v>
      </c>
      <c r="M63">
        <v>60.95</v>
      </c>
      <c r="N63">
        <v>120.72</v>
      </c>
      <c r="O63">
        <v>43.83</v>
      </c>
      <c r="P63">
        <v>169.87</v>
      </c>
      <c r="Q63">
        <v>25.75</v>
      </c>
    </row>
    <row r="64" spans="2:17" x14ac:dyDescent="0.3">
      <c r="B64" s="2">
        <v>45231</v>
      </c>
      <c r="C64">
        <v>38.21</v>
      </c>
      <c r="D64">
        <v>422.66</v>
      </c>
      <c r="E64">
        <v>183.51</v>
      </c>
      <c r="F64">
        <v>30.04</v>
      </c>
      <c r="G64">
        <v>356.96</v>
      </c>
      <c r="H64">
        <v>21.98</v>
      </c>
      <c r="I64">
        <v>74.75</v>
      </c>
      <c r="J64">
        <v>85.1</v>
      </c>
      <c r="K64">
        <v>56.52</v>
      </c>
      <c r="L64">
        <v>48.87</v>
      </c>
      <c r="M64">
        <v>59.97</v>
      </c>
      <c r="N64">
        <v>118.32</v>
      </c>
      <c r="O64">
        <v>43.4</v>
      </c>
      <c r="P64">
        <v>165.46</v>
      </c>
      <c r="Q64">
        <v>25.48</v>
      </c>
    </row>
    <row r="65" spans="2:17" x14ac:dyDescent="0.3">
      <c r="B65" s="2">
        <v>45230</v>
      </c>
      <c r="C65">
        <v>37.94</v>
      </c>
      <c r="D65">
        <v>418.2</v>
      </c>
      <c r="E65">
        <v>184.09</v>
      </c>
      <c r="F65">
        <v>30.03</v>
      </c>
      <c r="G65">
        <v>350.87</v>
      </c>
      <c r="H65">
        <v>22.01</v>
      </c>
      <c r="I65">
        <v>75.02</v>
      </c>
      <c r="J65">
        <v>83.58</v>
      </c>
      <c r="K65">
        <v>56.14</v>
      </c>
      <c r="L65">
        <v>48.21</v>
      </c>
      <c r="M65">
        <v>58.96</v>
      </c>
      <c r="N65">
        <v>117.11</v>
      </c>
      <c r="O65">
        <v>43.24</v>
      </c>
      <c r="P65">
        <v>164.52</v>
      </c>
      <c r="Q65">
        <v>25.52</v>
      </c>
    </row>
    <row r="66" spans="2:17" x14ac:dyDescent="0.3">
      <c r="B66" s="2">
        <v>45229</v>
      </c>
      <c r="C66">
        <v>38.119999999999997</v>
      </c>
      <c r="D66">
        <v>415.59</v>
      </c>
      <c r="E66">
        <v>185.1</v>
      </c>
      <c r="F66">
        <v>29.85</v>
      </c>
      <c r="G66">
        <v>349.2</v>
      </c>
      <c r="H66">
        <v>21.9</v>
      </c>
      <c r="I66">
        <v>76.05</v>
      </c>
      <c r="J66">
        <v>83.99</v>
      </c>
      <c r="K66">
        <v>56.04</v>
      </c>
      <c r="L66">
        <v>48.37</v>
      </c>
      <c r="M66">
        <v>58.25</v>
      </c>
      <c r="N66">
        <v>116.43</v>
      </c>
      <c r="O66">
        <v>43.33</v>
      </c>
      <c r="P66">
        <v>163.11000000000001</v>
      </c>
      <c r="Q66">
        <v>25.94</v>
      </c>
    </row>
    <row r="67" spans="2:17" x14ac:dyDescent="0.3">
      <c r="B67" s="2">
        <v>45226</v>
      </c>
      <c r="C67">
        <v>37.78</v>
      </c>
      <c r="D67">
        <v>410.68</v>
      </c>
      <c r="E67">
        <v>186.15</v>
      </c>
      <c r="F67">
        <v>29.97</v>
      </c>
      <c r="G67">
        <v>345.31</v>
      </c>
      <c r="H67">
        <v>22.05</v>
      </c>
      <c r="I67">
        <v>78.36</v>
      </c>
      <c r="J67">
        <v>84.37</v>
      </c>
      <c r="K67">
        <v>55.18</v>
      </c>
      <c r="L67">
        <v>47.86</v>
      </c>
      <c r="M67">
        <v>57.82</v>
      </c>
      <c r="N67">
        <v>115.01</v>
      </c>
      <c r="O67">
        <v>42.96</v>
      </c>
      <c r="P67">
        <v>162.21</v>
      </c>
      <c r="Q67">
        <v>25.67</v>
      </c>
    </row>
    <row r="68" spans="2:17" x14ac:dyDescent="0.3">
      <c r="B68" s="2">
        <v>45225</v>
      </c>
      <c r="C68">
        <v>37.74</v>
      </c>
      <c r="D68">
        <v>412.55</v>
      </c>
      <c r="E68">
        <v>184.01</v>
      </c>
      <c r="F68">
        <v>30.01</v>
      </c>
      <c r="G68">
        <v>343.66</v>
      </c>
      <c r="H68">
        <v>21.85</v>
      </c>
      <c r="I68">
        <v>76.89</v>
      </c>
      <c r="J68">
        <v>84.73</v>
      </c>
      <c r="K68">
        <v>55.57</v>
      </c>
      <c r="L68">
        <v>48.02</v>
      </c>
      <c r="M68">
        <v>57.34</v>
      </c>
      <c r="N68">
        <v>115.58</v>
      </c>
      <c r="O68">
        <v>42.73</v>
      </c>
      <c r="P68">
        <v>164.14</v>
      </c>
      <c r="Q68">
        <v>25.58</v>
      </c>
    </row>
    <row r="69" spans="2:17" x14ac:dyDescent="0.3">
      <c r="B69" s="2">
        <v>45224</v>
      </c>
      <c r="C69">
        <v>37.880000000000003</v>
      </c>
      <c r="D69">
        <v>417.55</v>
      </c>
      <c r="E69">
        <v>183.72</v>
      </c>
      <c r="F69">
        <v>29.94</v>
      </c>
      <c r="G69">
        <v>350.34</v>
      </c>
      <c r="H69">
        <v>21.81</v>
      </c>
      <c r="I69">
        <v>78.459999999999994</v>
      </c>
      <c r="J69">
        <v>83.45</v>
      </c>
      <c r="K69">
        <v>55.81</v>
      </c>
      <c r="L69">
        <v>48.41</v>
      </c>
      <c r="M69">
        <v>58.13</v>
      </c>
      <c r="N69">
        <v>116.77</v>
      </c>
      <c r="O69">
        <v>43.25</v>
      </c>
      <c r="P69">
        <v>163.72</v>
      </c>
      <c r="Q69">
        <v>25.53</v>
      </c>
    </row>
    <row r="70" spans="2:17" x14ac:dyDescent="0.3">
      <c r="B70" s="2">
        <v>45223</v>
      </c>
      <c r="C70">
        <v>38.29</v>
      </c>
      <c r="D70">
        <v>423.63</v>
      </c>
      <c r="E70">
        <v>182.95</v>
      </c>
      <c r="F70">
        <v>29.86</v>
      </c>
      <c r="G70">
        <v>359.13</v>
      </c>
      <c r="H70">
        <v>21.91</v>
      </c>
      <c r="I70">
        <v>76.930000000000007</v>
      </c>
      <c r="J70">
        <v>85.35</v>
      </c>
      <c r="K70">
        <v>56.31</v>
      </c>
      <c r="L70">
        <v>49</v>
      </c>
      <c r="M70">
        <v>58.36</v>
      </c>
      <c r="N70">
        <v>118.3</v>
      </c>
      <c r="O70">
        <v>43.75</v>
      </c>
      <c r="P70">
        <v>166.47</v>
      </c>
      <c r="Q70">
        <v>26.06</v>
      </c>
    </row>
    <row r="71" spans="2:17" x14ac:dyDescent="0.3">
      <c r="B71" s="2">
        <v>45222</v>
      </c>
      <c r="C71">
        <v>37.82</v>
      </c>
      <c r="D71">
        <v>420.46</v>
      </c>
      <c r="E71">
        <v>182.97</v>
      </c>
      <c r="F71">
        <v>29.69</v>
      </c>
      <c r="G71">
        <v>355.67</v>
      </c>
      <c r="H71">
        <v>21.93</v>
      </c>
      <c r="I71">
        <v>78.89</v>
      </c>
      <c r="J71">
        <v>84.24</v>
      </c>
      <c r="K71">
        <v>56.1</v>
      </c>
      <c r="L71">
        <v>48.66</v>
      </c>
      <c r="M71">
        <v>57.99</v>
      </c>
      <c r="N71">
        <v>117.5</v>
      </c>
      <c r="O71">
        <v>43.62</v>
      </c>
      <c r="P71">
        <v>165.03</v>
      </c>
      <c r="Q71">
        <v>25.25</v>
      </c>
    </row>
    <row r="72" spans="2:17" x14ac:dyDescent="0.3">
      <c r="B72" s="2">
        <v>45219</v>
      </c>
      <c r="C72">
        <v>37.9</v>
      </c>
      <c r="D72">
        <v>421.19</v>
      </c>
      <c r="E72">
        <v>183.59</v>
      </c>
      <c r="F72">
        <v>29.84</v>
      </c>
      <c r="G72">
        <v>354.6</v>
      </c>
      <c r="H72">
        <v>21.92</v>
      </c>
      <c r="I72">
        <v>80.7</v>
      </c>
      <c r="J72">
        <v>83.24</v>
      </c>
      <c r="K72">
        <v>55.98</v>
      </c>
      <c r="L72">
        <v>48.81</v>
      </c>
      <c r="M72">
        <v>58.13</v>
      </c>
      <c r="N72">
        <v>117.65</v>
      </c>
      <c r="O72">
        <v>43.98</v>
      </c>
      <c r="P72">
        <v>166.44</v>
      </c>
      <c r="Q72">
        <v>25.03</v>
      </c>
    </row>
    <row r="73" spans="2:17" x14ac:dyDescent="0.3">
      <c r="B73" s="2">
        <v>45218</v>
      </c>
      <c r="C73">
        <v>38.36</v>
      </c>
      <c r="D73">
        <v>426.43</v>
      </c>
      <c r="E73">
        <v>183.09</v>
      </c>
      <c r="F73">
        <v>29.83</v>
      </c>
      <c r="G73">
        <v>359.97</v>
      </c>
      <c r="H73">
        <v>21.97</v>
      </c>
      <c r="I73">
        <v>81.680000000000007</v>
      </c>
      <c r="J73">
        <v>82.77</v>
      </c>
      <c r="K73">
        <v>56.52</v>
      </c>
      <c r="L73">
        <v>49.32</v>
      </c>
      <c r="M73">
        <v>58.52</v>
      </c>
      <c r="N73">
        <v>118.98</v>
      </c>
      <c r="O73">
        <v>44.33</v>
      </c>
      <c r="P73">
        <v>168.62</v>
      </c>
      <c r="Q73">
        <v>25.56</v>
      </c>
    </row>
    <row r="74" spans="2:17" x14ac:dyDescent="0.3">
      <c r="B74" s="2">
        <v>45217</v>
      </c>
      <c r="C74">
        <v>38.5</v>
      </c>
      <c r="D74">
        <v>430.21</v>
      </c>
      <c r="E74">
        <v>180.87</v>
      </c>
      <c r="F74">
        <v>29.92</v>
      </c>
      <c r="G74">
        <v>363.37</v>
      </c>
      <c r="H74">
        <v>21.92</v>
      </c>
      <c r="I74">
        <v>79.84</v>
      </c>
      <c r="J74">
        <v>84.5</v>
      </c>
      <c r="K74">
        <v>56.99</v>
      </c>
      <c r="L74">
        <v>49.42</v>
      </c>
      <c r="M74">
        <v>58.95</v>
      </c>
      <c r="N74">
        <v>120.06</v>
      </c>
      <c r="O74">
        <v>44.22</v>
      </c>
      <c r="P74">
        <v>171.35</v>
      </c>
      <c r="Q74">
        <v>26.01</v>
      </c>
    </row>
    <row r="75" spans="2:17" x14ac:dyDescent="0.3">
      <c r="B75" s="2">
        <v>45216</v>
      </c>
      <c r="C75">
        <v>39.14</v>
      </c>
      <c r="D75">
        <v>436.02</v>
      </c>
      <c r="E75">
        <v>178.29</v>
      </c>
      <c r="F75">
        <v>29.81</v>
      </c>
      <c r="G75">
        <v>368.2</v>
      </c>
      <c r="H75">
        <v>21.86</v>
      </c>
      <c r="I75">
        <v>78.8</v>
      </c>
      <c r="J75">
        <v>85.25</v>
      </c>
      <c r="K75">
        <v>58.06</v>
      </c>
      <c r="L75">
        <v>50.13</v>
      </c>
      <c r="M75">
        <v>59.89</v>
      </c>
      <c r="N75">
        <v>121.84</v>
      </c>
      <c r="O75">
        <v>44.77</v>
      </c>
      <c r="P75">
        <v>174.95</v>
      </c>
      <c r="Q75">
        <v>26.45</v>
      </c>
    </row>
    <row r="76" spans="2:17" x14ac:dyDescent="0.3">
      <c r="B76" s="2">
        <v>45215</v>
      </c>
      <c r="C76">
        <v>39.31</v>
      </c>
      <c r="D76">
        <v>436.04</v>
      </c>
      <c r="E76">
        <v>177.96</v>
      </c>
      <c r="F76">
        <v>29.8</v>
      </c>
      <c r="G76">
        <v>369.41</v>
      </c>
      <c r="H76">
        <v>21.73</v>
      </c>
      <c r="I76">
        <v>78.39</v>
      </c>
      <c r="J76">
        <v>86.2</v>
      </c>
      <c r="K76">
        <v>58.12</v>
      </c>
      <c r="L76">
        <v>50.17</v>
      </c>
      <c r="M76">
        <v>59.77</v>
      </c>
      <c r="N76">
        <v>121.85</v>
      </c>
      <c r="O76">
        <v>44.76</v>
      </c>
      <c r="P76">
        <v>173.02</v>
      </c>
      <c r="Q76">
        <v>26.65</v>
      </c>
    </row>
    <row r="77" spans="2:17" x14ac:dyDescent="0.3">
      <c r="B77" s="2">
        <v>45212</v>
      </c>
      <c r="C77">
        <v>39.03</v>
      </c>
      <c r="D77">
        <v>431.5</v>
      </c>
      <c r="E77">
        <v>178.83</v>
      </c>
      <c r="F77">
        <v>29.93</v>
      </c>
      <c r="G77">
        <v>365.28</v>
      </c>
      <c r="H77">
        <v>21.71</v>
      </c>
      <c r="I77">
        <v>78.989999999999995</v>
      </c>
      <c r="J77">
        <v>87.61</v>
      </c>
      <c r="K77">
        <v>57.59</v>
      </c>
      <c r="L77">
        <v>49.67</v>
      </c>
      <c r="M77">
        <v>59.58</v>
      </c>
      <c r="N77">
        <v>120.68</v>
      </c>
      <c r="O77">
        <v>44.46</v>
      </c>
      <c r="P77">
        <v>170.27</v>
      </c>
      <c r="Q77">
        <v>26.48</v>
      </c>
    </row>
    <row r="78" spans="2:17" x14ac:dyDescent="0.3">
      <c r="B78" s="2">
        <v>45211</v>
      </c>
      <c r="C78">
        <v>39.18</v>
      </c>
      <c r="D78">
        <v>433.66</v>
      </c>
      <c r="E78">
        <v>173.26</v>
      </c>
      <c r="F78">
        <v>29.91</v>
      </c>
      <c r="G78">
        <v>369.93</v>
      </c>
      <c r="H78">
        <v>21.61</v>
      </c>
      <c r="I78">
        <v>75.42</v>
      </c>
      <c r="J78">
        <v>86.07</v>
      </c>
      <c r="K78">
        <v>58.12</v>
      </c>
      <c r="L78">
        <v>49.86</v>
      </c>
      <c r="M78">
        <v>60.33</v>
      </c>
      <c r="N78">
        <v>121.38</v>
      </c>
      <c r="O78">
        <v>44.32</v>
      </c>
      <c r="P78">
        <v>171.7</v>
      </c>
      <c r="Q78">
        <v>26.68</v>
      </c>
    </row>
    <row r="79" spans="2:17" x14ac:dyDescent="0.3">
      <c r="B79" s="2">
        <v>45210</v>
      </c>
      <c r="C79">
        <v>39.6</v>
      </c>
      <c r="D79">
        <v>436.32</v>
      </c>
      <c r="E79">
        <v>173.79</v>
      </c>
      <c r="F79">
        <v>29.66</v>
      </c>
      <c r="G79">
        <v>371.22</v>
      </c>
      <c r="H79">
        <v>21.41</v>
      </c>
      <c r="I79">
        <v>75.67</v>
      </c>
      <c r="J79">
        <v>88.47</v>
      </c>
      <c r="K79">
        <v>58.79</v>
      </c>
      <c r="L79">
        <v>50.27</v>
      </c>
      <c r="M79">
        <v>60.18</v>
      </c>
      <c r="N79">
        <v>122.32</v>
      </c>
      <c r="O79">
        <v>44.68</v>
      </c>
      <c r="P79">
        <v>175.67</v>
      </c>
      <c r="Q79">
        <v>27.15</v>
      </c>
    </row>
    <row r="80" spans="2:17" x14ac:dyDescent="0.3">
      <c r="B80" s="2">
        <v>45209</v>
      </c>
      <c r="C80">
        <v>39.479999999999997</v>
      </c>
      <c r="D80">
        <v>434.54</v>
      </c>
      <c r="E80">
        <v>172.53</v>
      </c>
      <c r="F80">
        <v>29.66</v>
      </c>
      <c r="G80">
        <v>368.59</v>
      </c>
      <c r="H80">
        <v>21.55</v>
      </c>
      <c r="I80">
        <v>76.709999999999994</v>
      </c>
      <c r="J80">
        <v>86.66</v>
      </c>
      <c r="K80">
        <v>58.4</v>
      </c>
      <c r="L80">
        <v>49.98</v>
      </c>
      <c r="M80">
        <v>60.33</v>
      </c>
      <c r="N80">
        <v>121.78</v>
      </c>
      <c r="O80">
        <v>44.59</v>
      </c>
      <c r="P80">
        <v>175.97</v>
      </c>
      <c r="Q80">
        <v>26.89</v>
      </c>
    </row>
    <row r="81" spans="2:17" x14ac:dyDescent="0.3">
      <c r="B81" s="2">
        <v>45208</v>
      </c>
      <c r="C81">
        <v>38.86</v>
      </c>
      <c r="D81">
        <v>432.29</v>
      </c>
      <c r="E81">
        <v>172.82</v>
      </c>
      <c r="F81">
        <v>29.73</v>
      </c>
      <c r="G81">
        <v>366.56</v>
      </c>
      <c r="H81">
        <v>21.57</v>
      </c>
      <c r="I81">
        <v>77.13</v>
      </c>
      <c r="J81">
        <v>86.78</v>
      </c>
      <c r="K81">
        <v>57.5</v>
      </c>
      <c r="L81">
        <v>49.37</v>
      </c>
      <c r="M81">
        <v>59.55</v>
      </c>
      <c r="N81">
        <v>120.79</v>
      </c>
      <c r="O81">
        <v>44.09</v>
      </c>
      <c r="P81">
        <v>174</v>
      </c>
      <c r="Q81">
        <v>26.22</v>
      </c>
    </row>
    <row r="82" spans="2:17" x14ac:dyDescent="0.3">
      <c r="B82" s="2">
        <v>45205</v>
      </c>
      <c r="C82">
        <v>39.1</v>
      </c>
      <c r="D82">
        <v>429.54</v>
      </c>
      <c r="E82">
        <v>169.7</v>
      </c>
      <c r="F82">
        <v>29.74</v>
      </c>
      <c r="G82">
        <v>364.7</v>
      </c>
      <c r="H82">
        <v>21.58</v>
      </c>
      <c r="I82">
        <v>74.16</v>
      </c>
      <c r="J82">
        <v>84.79</v>
      </c>
      <c r="K82">
        <v>57.68</v>
      </c>
      <c r="L82">
        <v>49.68</v>
      </c>
      <c r="M82">
        <v>59.38</v>
      </c>
      <c r="N82">
        <v>120.25</v>
      </c>
      <c r="O82">
        <v>44.58</v>
      </c>
      <c r="P82">
        <v>173</v>
      </c>
      <c r="Q82">
        <v>26.23</v>
      </c>
    </row>
    <row r="83" spans="2:17" x14ac:dyDescent="0.3">
      <c r="B83" s="2">
        <v>45204</v>
      </c>
      <c r="C83">
        <v>38.57</v>
      </c>
      <c r="D83">
        <v>424.5</v>
      </c>
      <c r="E83">
        <v>168.83</v>
      </c>
      <c r="F83">
        <v>29.8</v>
      </c>
      <c r="G83">
        <v>358.69</v>
      </c>
      <c r="H83">
        <v>21.44</v>
      </c>
      <c r="I83">
        <v>73.989999999999995</v>
      </c>
      <c r="J83">
        <v>85.83</v>
      </c>
      <c r="K83">
        <v>56.94</v>
      </c>
      <c r="L83">
        <v>49.15</v>
      </c>
      <c r="M83">
        <v>59.23</v>
      </c>
      <c r="N83">
        <v>118.88</v>
      </c>
      <c r="O83">
        <v>44.16</v>
      </c>
      <c r="P83">
        <v>171.35</v>
      </c>
      <c r="Q83">
        <v>25.69</v>
      </c>
    </row>
    <row r="84" spans="2:17" x14ac:dyDescent="0.3">
      <c r="B84" s="2">
        <v>45203</v>
      </c>
      <c r="C84">
        <v>38.409999999999997</v>
      </c>
      <c r="D84">
        <v>424.66</v>
      </c>
      <c r="E84">
        <v>169.14</v>
      </c>
      <c r="F84">
        <v>29.9</v>
      </c>
      <c r="G84">
        <v>359.75</v>
      </c>
      <c r="H84">
        <v>21.32</v>
      </c>
      <c r="I84">
        <v>75.59</v>
      </c>
      <c r="J84">
        <v>86.26</v>
      </c>
      <c r="K84">
        <v>56.61</v>
      </c>
      <c r="L84">
        <v>48.99</v>
      </c>
      <c r="M84">
        <v>58.09</v>
      </c>
      <c r="N84">
        <v>118.63</v>
      </c>
      <c r="O84">
        <v>43.87</v>
      </c>
      <c r="P84">
        <v>171.22</v>
      </c>
      <c r="Q84">
        <v>25.53</v>
      </c>
    </row>
    <row r="85" spans="2:17" x14ac:dyDescent="0.3">
      <c r="B85" s="2">
        <v>45202</v>
      </c>
      <c r="C85">
        <v>38.57</v>
      </c>
      <c r="D85">
        <v>421.59</v>
      </c>
      <c r="E85">
        <v>169.16</v>
      </c>
      <c r="F85">
        <v>29.99</v>
      </c>
      <c r="G85">
        <v>354.92</v>
      </c>
      <c r="H85">
        <v>21.37</v>
      </c>
      <c r="I85">
        <v>79.930000000000007</v>
      </c>
      <c r="J85">
        <v>85.06</v>
      </c>
      <c r="K85">
        <v>56.33</v>
      </c>
      <c r="L85">
        <v>49.06</v>
      </c>
      <c r="M85">
        <v>58.73</v>
      </c>
      <c r="N85">
        <v>117.94</v>
      </c>
      <c r="O85">
        <v>43.95</v>
      </c>
      <c r="P85">
        <v>171.14</v>
      </c>
      <c r="Q85">
        <v>25.75</v>
      </c>
    </row>
    <row r="86" spans="2:17" x14ac:dyDescent="0.3">
      <c r="B86" s="2">
        <v>45201</v>
      </c>
      <c r="C86">
        <v>39.07</v>
      </c>
      <c r="D86">
        <v>427.31</v>
      </c>
      <c r="E86">
        <v>169.65</v>
      </c>
      <c r="F86">
        <v>29.96</v>
      </c>
      <c r="G86">
        <v>361.26</v>
      </c>
      <c r="H86">
        <v>21.58</v>
      </c>
      <c r="I86">
        <v>79.39</v>
      </c>
      <c r="J86">
        <v>86.93</v>
      </c>
      <c r="K86">
        <v>56.94</v>
      </c>
      <c r="L86">
        <v>49.59</v>
      </c>
      <c r="M86">
        <v>59.77</v>
      </c>
      <c r="N86">
        <v>119.51</v>
      </c>
      <c r="O86">
        <v>44.21</v>
      </c>
      <c r="P86">
        <v>174.07</v>
      </c>
      <c r="Q86">
        <v>26.37</v>
      </c>
    </row>
    <row r="87" spans="2:17" x14ac:dyDescent="0.3">
      <c r="B87" s="2">
        <v>45198</v>
      </c>
      <c r="C87">
        <v>39.21</v>
      </c>
      <c r="D87">
        <v>427.48</v>
      </c>
      <c r="E87">
        <v>171.45</v>
      </c>
      <c r="F87">
        <v>29.73</v>
      </c>
      <c r="G87">
        <v>358.27</v>
      </c>
      <c r="H87">
        <v>21.41</v>
      </c>
      <c r="I87">
        <v>80.86</v>
      </c>
      <c r="J87">
        <v>88.69</v>
      </c>
      <c r="K87">
        <v>57.93</v>
      </c>
      <c r="L87">
        <v>49.83</v>
      </c>
      <c r="M87">
        <v>60.29</v>
      </c>
      <c r="N87">
        <v>120.17</v>
      </c>
      <c r="O87">
        <v>44.22</v>
      </c>
      <c r="P87">
        <v>176.74</v>
      </c>
      <c r="Q87">
        <v>26.53</v>
      </c>
    </row>
    <row r="88" spans="2:17" x14ac:dyDescent="0.3">
      <c r="B88" s="2">
        <v>45197</v>
      </c>
      <c r="C88">
        <v>39.17</v>
      </c>
      <c r="D88">
        <v>428.52</v>
      </c>
      <c r="E88">
        <v>173.23</v>
      </c>
      <c r="F88">
        <v>29.71</v>
      </c>
      <c r="G88">
        <v>358.01</v>
      </c>
      <c r="H88">
        <v>21.8</v>
      </c>
      <c r="I88">
        <v>81.569999999999993</v>
      </c>
      <c r="J88">
        <v>88.68</v>
      </c>
      <c r="K88">
        <v>57.85</v>
      </c>
      <c r="L88">
        <v>49.93</v>
      </c>
      <c r="M88">
        <v>61.15</v>
      </c>
      <c r="N88">
        <v>120.52</v>
      </c>
      <c r="O88">
        <v>44.25</v>
      </c>
      <c r="P88">
        <v>177.58</v>
      </c>
      <c r="Q88">
        <v>26.26</v>
      </c>
    </row>
    <row r="89" spans="2:17" x14ac:dyDescent="0.3">
      <c r="B89" s="2">
        <v>45196</v>
      </c>
      <c r="C89">
        <v>39.090000000000003</v>
      </c>
      <c r="D89">
        <v>426.05</v>
      </c>
      <c r="E89">
        <v>174.1</v>
      </c>
      <c r="F89">
        <v>29.87</v>
      </c>
      <c r="G89">
        <v>355.04</v>
      </c>
      <c r="H89">
        <v>21.61</v>
      </c>
      <c r="I89">
        <v>82.9</v>
      </c>
      <c r="J89">
        <v>88.41</v>
      </c>
      <c r="K89">
        <v>57.29</v>
      </c>
      <c r="L89">
        <v>49.7</v>
      </c>
      <c r="M89">
        <v>61.03</v>
      </c>
      <c r="N89">
        <v>119.58</v>
      </c>
      <c r="O89">
        <v>44.59</v>
      </c>
      <c r="P89">
        <v>175.99</v>
      </c>
      <c r="Q89">
        <v>26.41</v>
      </c>
    </row>
    <row r="90" spans="2:17" x14ac:dyDescent="0.3">
      <c r="B90" s="2">
        <v>45195</v>
      </c>
      <c r="C90">
        <v>39.04</v>
      </c>
      <c r="D90">
        <v>425.88</v>
      </c>
      <c r="E90">
        <v>176.28</v>
      </c>
      <c r="F90">
        <v>29.73</v>
      </c>
      <c r="G90">
        <v>354.21</v>
      </c>
      <c r="H90">
        <v>21.67</v>
      </c>
      <c r="I90">
        <v>80.88</v>
      </c>
      <c r="J90">
        <v>88.87</v>
      </c>
      <c r="K90">
        <v>57.54</v>
      </c>
      <c r="L90">
        <v>49.68</v>
      </c>
      <c r="M90">
        <v>60.77</v>
      </c>
      <c r="N90">
        <v>119.67</v>
      </c>
      <c r="O90">
        <v>44.32</v>
      </c>
      <c r="P90">
        <v>174.36</v>
      </c>
      <c r="Q90">
        <v>26.35</v>
      </c>
    </row>
    <row r="91" spans="2:17" x14ac:dyDescent="0.3">
      <c r="B91" s="2">
        <v>45194</v>
      </c>
      <c r="C91">
        <v>39.5</v>
      </c>
      <c r="D91">
        <v>432.23</v>
      </c>
      <c r="E91">
        <v>177.7</v>
      </c>
      <c r="F91">
        <v>29.64</v>
      </c>
      <c r="G91">
        <v>359.61</v>
      </c>
      <c r="H91">
        <v>21.75</v>
      </c>
      <c r="I91">
        <v>80.39</v>
      </c>
      <c r="J91">
        <v>89.18</v>
      </c>
      <c r="K91">
        <v>58.27</v>
      </c>
      <c r="L91">
        <v>50.41</v>
      </c>
      <c r="M91">
        <v>61.72</v>
      </c>
      <c r="N91">
        <v>121.39</v>
      </c>
      <c r="O91">
        <v>44.63</v>
      </c>
      <c r="P91">
        <v>177.46</v>
      </c>
      <c r="Q91">
        <v>26.72</v>
      </c>
    </row>
    <row r="92" spans="2:17" x14ac:dyDescent="0.3">
      <c r="B92" s="2">
        <v>45191</v>
      </c>
      <c r="C92">
        <v>39.65</v>
      </c>
      <c r="D92">
        <v>430.42</v>
      </c>
      <c r="E92">
        <v>178.62</v>
      </c>
      <c r="F92">
        <v>29.53</v>
      </c>
      <c r="G92">
        <v>357.91</v>
      </c>
      <c r="H92">
        <v>21.86</v>
      </c>
      <c r="I92">
        <v>80.63</v>
      </c>
      <c r="J92">
        <v>91.43</v>
      </c>
      <c r="K92">
        <v>58.67</v>
      </c>
      <c r="L92">
        <v>50.41</v>
      </c>
      <c r="M92">
        <v>61.8</v>
      </c>
      <c r="N92">
        <v>121.17</v>
      </c>
      <c r="O92">
        <v>44.48</v>
      </c>
      <c r="P92">
        <v>176.67</v>
      </c>
      <c r="Q92">
        <v>27.14</v>
      </c>
    </row>
    <row r="93" spans="2:17" x14ac:dyDescent="0.3">
      <c r="B93" s="2">
        <v>45190</v>
      </c>
      <c r="C93">
        <v>39.19</v>
      </c>
      <c r="D93">
        <v>431.39</v>
      </c>
      <c r="E93">
        <v>178.05</v>
      </c>
      <c r="F93">
        <v>29.46</v>
      </c>
      <c r="G93">
        <v>357.86</v>
      </c>
      <c r="H93">
        <v>21.9</v>
      </c>
      <c r="I93">
        <v>80.41</v>
      </c>
      <c r="J93">
        <v>90.7</v>
      </c>
      <c r="K93">
        <v>58.8</v>
      </c>
      <c r="L93">
        <v>50.25</v>
      </c>
      <c r="M93">
        <v>61.63</v>
      </c>
      <c r="N93">
        <v>121.36</v>
      </c>
      <c r="O93">
        <v>44.45</v>
      </c>
      <c r="P93">
        <v>177.07</v>
      </c>
      <c r="Q93">
        <v>26.21</v>
      </c>
    </row>
    <row r="94" spans="2:17" x14ac:dyDescent="0.3">
      <c r="B94" s="2">
        <v>45189</v>
      </c>
      <c r="C94">
        <v>39.83</v>
      </c>
      <c r="D94">
        <v>438.64</v>
      </c>
      <c r="E94">
        <v>179.35</v>
      </c>
      <c r="F94">
        <v>29.44</v>
      </c>
      <c r="G94">
        <v>364.54</v>
      </c>
      <c r="H94">
        <v>22.21</v>
      </c>
      <c r="I94">
        <v>80.14</v>
      </c>
      <c r="J94">
        <v>93.09</v>
      </c>
      <c r="K94">
        <v>59.66</v>
      </c>
      <c r="L94">
        <v>51.07</v>
      </c>
      <c r="M94">
        <v>62.6</v>
      </c>
      <c r="N94">
        <v>123.43</v>
      </c>
      <c r="O94">
        <v>44.88</v>
      </c>
      <c r="P94">
        <v>179.86</v>
      </c>
      <c r="Q94">
        <v>26.79</v>
      </c>
    </row>
    <row r="95" spans="2:17" x14ac:dyDescent="0.3">
      <c r="B95" s="2">
        <v>45188</v>
      </c>
      <c r="C95">
        <v>39.950000000000003</v>
      </c>
      <c r="D95">
        <v>442.71</v>
      </c>
      <c r="E95">
        <v>179.22</v>
      </c>
      <c r="F95">
        <v>29.39</v>
      </c>
      <c r="G95">
        <v>369.87</v>
      </c>
      <c r="H95">
        <v>22.27</v>
      </c>
      <c r="I95">
        <v>81.5</v>
      </c>
      <c r="J95">
        <v>92.8</v>
      </c>
      <c r="K95">
        <v>59.55</v>
      </c>
      <c r="L95">
        <v>51.19</v>
      </c>
      <c r="M95">
        <v>63.45</v>
      </c>
      <c r="N95">
        <v>124.34</v>
      </c>
      <c r="O95">
        <v>45</v>
      </c>
      <c r="P95">
        <v>181.68</v>
      </c>
      <c r="Q95">
        <v>26.98</v>
      </c>
    </row>
    <row r="96" spans="2:17" x14ac:dyDescent="0.3">
      <c r="B96" s="2">
        <v>45187</v>
      </c>
      <c r="C96">
        <v>40.15</v>
      </c>
      <c r="D96">
        <v>443.63</v>
      </c>
      <c r="E96">
        <v>179.39</v>
      </c>
      <c r="F96">
        <v>29.37</v>
      </c>
      <c r="G96">
        <v>370.66</v>
      </c>
      <c r="H96">
        <v>22.18</v>
      </c>
      <c r="I96">
        <v>81.45</v>
      </c>
      <c r="J96">
        <v>93.49</v>
      </c>
      <c r="K96">
        <v>59.51</v>
      </c>
      <c r="L96">
        <v>51.47</v>
      </c>
      <c r="M96">
        <v>63.14</v>
      </c>
      <c r="N96">
        <v>124.52</v>
      </c>
      <c r="O96">
        <v>45.17</v>
      </c>
      <c r="P96">
        <v>182.39</v>
      </c>
      <c r="Q96">
        <v>27.05</v>
      </c>
    </row>
    <row r="97" spans="2:17" x14ac:dyDescent="0.3">
      <c r="B97" s="2">
        <v>45184</v>
      </c>
      <c r="C97">
        <v>40.54</v>
      </c>
      <c r="D97">
        <v>443.37</v>
      </c>
      <c r="E97">
        <v>178.34</v>
      </c>
      <c r="F97">
        <v>29.42</v>
      </c>
      <c r="G97">
        <v>370.81</v>
      </c>
      <c r="H97">
        <v>22.34</v>
      </c>
      <c r="I97">
        <v>81.290000000000006</v>
      </c>
      <c r="J97">
        <v>92.96</v>
      </c>
      <c r="K97">
        <v>60.19</v>
      </c>
      <c r="L97">
        <v>51.5</v>
      </c>
      <c r="M97">
        <v>62.99</v>
      </c>
      <c r="N97">
        <v>124.62</v>
      </c>
      <c r="O97">
        <v>45.12</v>
      </c>
      <c r="P97">
        <v>183.61</v>
      </c>
      <c r="Q97">
        <v>27.18</v>
      </c>
    </row>
    <row r="98" spans="2:17" x14ac:dyDescent="0.3">
      <c r="B98" s="2">
        <v>45183</v>
      </c>
      <c r="C98">
        <v>40.75</v>
      </c>
      <c r="D98">
        <v>450.36</v>
      </c>
      <c r="E98">
        <v>177.17</v>
      </c>
      <c r="F98">
        <v>29.44</v>
      </c>
      <c r="G98">
        <v>377.27</v>
      </c>
      <c r="H98">
        <v>22.21</v>
      </c>
      <c r="I98">
        <v>81.12</v>
      </c>
      <c r="J98">
        <v>93.53</v>
      </c>
      <c r="K98">
        <v>60.28</v>
      </c>
      <c r="L98">
        <v>51.72</v>
      </c>
      <c r="M98">
        <v>63.34</v>
      </c>
      <c r="N98">
        <v>125.72</v>
      </c>
      <c r="O98">
        <v>45.244999999999997</v>
      </c>
      <c r="P98">
        <v>185.55</v>
      </c>
      <c r="Q98">
        <v>27.3</v>
      </c>
    </row>
    <row r="99" spans="2:17" x14ac:dyDescent="0.3">
      <c r="B99" s="2">
        <v>45182</v>
      </c>
      <c r="C99">
        <v>40.51</v>
      </c>
      <c r="D99">
        <v>446.51</v>
      </c>
      <c r="E99">
        <v>177.08</v>
      </c>
      <c r="F99">
        <v>29.26</v>
      </c>
      <c r="G99">
        <v>374.21</v>
      </c>
      <c r="H99">
        <v>22.11</v>
      </c>
      <c r="I99">
        <v>79.680000000000007</v>
      </c>
      <c r="J99">
        <v>94.21</v>
      </c>
      <c r="K99">
        <v>59.57</v>
      </c>
      <c r="L99">
        <v>51.32</v>
      </c>
      <c r="M99">
        <v>62.28</v>
      </c>
      <c r="N99">
        <v>124.52</v>
      </c>
      <c r="O99">
        <v>45.11</v>
      </c>
      <c r="P99">
        <v>182.97</v>
      </c>
      <c r="Q99">
        <v>27.07</v>
      </c>
    </row>
    <row r="100" spans="2:17" x14ac:dyDescent="0.3">
      <c r="B100" s="2">
        <v>45181</v>
      </c>
      <c r="C100">
        <v>40.549999999999997</v>
      </c>
      <c r="D100">
        <v>445.99</v>
      </c>
      <c r="E100">
        <v>177.49</v>
      </c>
      <c r="F100">
        <v>29.24</v>
      </c>
      <c r="G100">
        <v>372.79</v>
      </c>
      <c r="H100">
        <v>22.04</v>
      </c>
      <c r="I100">
        <v>79.7</v>
      </c>
      <c r="J100">
        <v>94.23</v>
      </c>
      <c r="K100">
        <v>59.82</v>
      </c>
      <c r="L100">
        <v>51.24</v>
      </c>
      <c r="M100">
        <v>62.31</v>
      </c>
      <c r="N100">
        <v>124.48</v>
      </c>
      <c r="O100">
        <v>45.06</v>
      </c>
      <c r="P100">
        <v>184.18</v>
      </c>
      <c r="Q100">
        <v>27.3</v>
      </c>
    </row>
    <row r="101" spans="2:17" x14ac:dyDescent="0.3">
      <c r="B101" s="2">
        <v>45180</v>
      </c>
      <c r="C101">
        <v>40.659999999999997</v>
      </c>
      <c r="D101">
        <v>448.45</v>
      </c>
      <c r="E101">
        <v>178.41</v>
      </c>
      <c r="F101">
        <v>29.19</v>
      </c>
      <c r="G101">
        <v>376.97</v>
      </c>
      <c r="H101">
        <v>22.01</v>
      </c>
      <c r="I101">
        <v>78.37</v>
      </c>
      <c r="J101">
        <v>93.69</v>
      </c>
      <c r="K101">
        <v>60.21</v>
      </c>
      <c r="L101">
        <v>51.49</v>
      </c>
      <c r="M101">
        <v>62.32</v>
      </c>
      <c r="N101">
        <v>125.09</v>
      </c>
      <c r="O101">
        <v>45.46</v>
      </c>
      <c r="P101">
        <v>184.36</v>
      </c>
      <c r="Q101">
        <v>27.24</v>
      </c>
    </row>
    <row r="102" spans="2:17" x14ac:dyDescent="0.3">
      <c r="B102" s="2">
        <v>45177</v>
      </c>
      <c r="C102">
        <v>40.200000000000003</v>
      </c>
      <c r="D102">
        <v>445.52</v>
      </c>
      <c r="E102">
        <v>178.08</v>
      </c>
      <c r="F102">
        <v>29.33</v>
      </c>
      <c r="G102">
        <v>372.58</v>
      </c>
      <c r="H102">
        <v>21.85</v>
      </c>
      <c r="I102">
        <v>78.3</v>
      </c>
      <c r="J102">
        <v>94.37</v>
      </c>
      <c r="K102">
        <v>59.59</v>
      </c>
      <c r="L102">
        <v>50.95</v>
      </c>
      <c r="M102">
        <v>61.61</v>
      </c>
      <c r="N102">
        <v>124.12</v>
      </c>
      <c r="O102">
        <v>45.02</v>
      </c>
      <c r="P102">
        <v>183.92</v>
      </c>
      <c r="Q102">
        <v>26.88</v>
      </c>
    </row>
    <row r="103" spans="2:17" x14ac:dyDescent="0.3">
      <c r="B103" s="2">
        <v>45176</v>
      </c>
      <c r="C103">
        <v>40.119999999999997</v>
      </c>
      <c r="D103">
        <v>444.85</v>
      </c>
      <c r="E103">
        <v>178.02</v>
      </c>
      <c r="F103">
        <v>29.3</v>
      </c>
      <c r="G103">
        <v>372.06</v>
      </c>
      <c r="H103">
        <v>21.9</v>
      </c>
      <c r="I103">
        <v>77.95</v>
      </c>
      <c r="J103">
        <v>94.01</v>
      </c>
      <c r="K103">
        <v>59.5</v>
      </c>
      <c r="L103">
        <v>50.74</v>
      </c>
      <c r="M103">
        <v>62.23</v>
      </c>
      <c r="N103">
        <v>124.09</v>
      </c>
      <c r="O103">
        <v>44.55</v>
      </c>
      <c r="P103">
        <v>184.33</v>
      </c>
      <c r="Q103">
        <v>26.92</v>
      </c>
    </row>
    <row r="104" spans="2:17" x14ac:dyDescent="0.3">
      <c r="B104" s="2">
        <v>45175</v>
      </c>
      <c r="C104">
        <v>40.54</v>
      </c>
      <c r="D104">
        <v>446.22</v>
      </c>
      <c r="E104">
        <v>177.83</v>
      </c>
      <c r="F104">
        <v>29.23</v>
      </c>
      <c r="G104">
        <v>374.74</v>
      </c>
      <c r="H104">
        <v>21.94</v>
      </c>
      <c r="I104">
        <v>78.52</v>
      </c>
      <c r="J104">
        <v>93.75</v>
      </c>
      <c r="K104">
        <v>59.76</v>
      </c>
      <c r="L104">
        <v>50.98</v>
      </c>
      <c r="M104">
        <v>62.23</v>
      </c>
      <c r="N104">
        <v>124.45</v>
      </c>
      <c r="O104">
        <v>44.17</v>
      </c>
      <c r="P104">
        <v>186.13</v>
      </c>
      <c r="Q104">
        <v>27.71</v>
      </c>
    </row>
    <row r="105" spans="2:17" x14ac:dyDescent="0.3">
      <c r="B105" s="2">
        <v>45174</v>
      </c>
      <c r="C105">
        <v>40.729999999999997</v>
      </c>
      <c r="D105">
        <v>449.24</v>
      </c>
      <c r="E105">
        <v>178.64</v>
      </c>
      <c r="F105">
        <v>29.22</v>
      </c>
      <c r="G105">
        <v>378.07</v>
      </c>
      <c r="H105">
        <v>21.92</v>
      </c>
      <c r="I105">
        <v>77.760000000000005</v>
      </c>
      <c r="J105">
        <v>93.52</v>
      </c>
      <c r="K105">
        <v>59.98</v>
      </c>
      <c r="L105">
        <v>51.36</v>
      </c>
      <c r="M105">
        <v>62.07</v>
      </c>
      <c r="N105">
        <v>125.21</v>
      </c>
      <c r="O105">
        <v>44.35</v>
      </c>
      <c r="P105">
        <v>186.83</v>
      </c>
      <c r="Q105">
        <v>27.63</v>
      </c>
    </row>
    <row r="106" spans="2:17" x14ac:dyDescent="0.3">
      <c r="B106" s="2">
        <v>45170</v>
      </c>
      <c r="C106">
        <v>40.97</v>
      </c>
      <c r="D106">
        <v>451.19</v>
      </c>
      <c r="E106">
        <v>180.11</v>
      </c>
      <c r="F106">
        <v>29.07</v>
      </c>
      <c r="G106">
        <v>377.59</v>
      </c>
      <c r="H106">
        <v>21.78</v>
      </c>
      <c r="I106">
        <v>76.92</v>
      </c>
      <c r="J106">
        <v>94.85</v>
      </c>
      <c r="K106">
        <v>60.71</v>
      </c>
      <c r="L106">
        <v>51.64</v>
      </c>
      <c r="M106">
        <v>62.04</v>
      </c>
      <c r="N106">
        <v>125.91</v>
      </c>
      <c r="O106">
        <v>44.24</v>
      </c>
      <c r="P106">
        <v>190.85</v>
      </c>
      <c r="Q106">
        <v>28.04</v>
      </c>
    </row>
    <row r="107" spans="2:17" x14ac:dyDescent="0.3">
      <c r="B107" s="2">
        <v>45169</v>
      </c>
      <c r="C107">
        <v>40.53</v>
      </c>
      <c r="D107">
        <v>450.35</v>
      </c>
      <c r="E107">
        <v>180.02</v>
      </c>
      <c r="F107">
        <v>28.89</v>
      </c>
      <c r="G107">
        <v>377.99</v>
      </c>
      <c r="H107">
        <v>21.74</v>
      </c>
      <c r="I107">
        <v>75.06</v>
      </c>
      <c r="J107">
        <v>96.64</v>
      </c>
      <c r="K107">
        <v>60.92</v>
      </c>
      <c r="L107">
        <v>51.27</v>
      </c>
      <c r="M107">
        <v>61.64</v>
      </c>
      <c r="N107">
        <v>125.7</v>
      </c>
      <c r="O107">
        <v>43.97</v>
      </c>
      <c r="P107">
        <v>188.61</v>
      </c>
      <c r="Q107">
        <v>27.4</v>
      </c>
    </row>
    <row r="108" spans="2:17" x14ac:dyDescent="0.3">
      <c r="B108" s="2">
        <v>45168</v>
      </c>
      <c r="C108">
        <v>41.02</v>
      </c>
      <c r="D108">
        <v>451.01</v>
      </c>
      <c r="E108">
        <v>180.32</v>
      </c>
      <c r="F108">
        <v>28.75</v>
      </c>
      <c r="G108">
        <v>376.86</v>
      </c>
      <c r="H108">
        <v>21.85</v>
      </c>
      <c r="I108">
        <v>73.66</v>
      </c>
      <c r="J108">
        <v>96.21</v>
      </c>
      <c r="K108">
        <v>61.47</v>
      </c>
      <c r="L108">
        <v>51.93</v>
      </c>
      <c r="M108">
        <v>60.99</v>
      </c>
      <c r="N108">
        <v>125.89</v>
      </c>
      <c r="O108">
        <v>44.13</v>
      </c>
      <c r="P108">
        <v>188.94</v>
      </c>
      <c r="Q108">
        <v>27.76</v>
      </c>
    </row>
    <row r="109" spans="2:17" x14ac:dyDescent="0.3">
      <c r="B109" s="2">
        <v>45167</v>
      </c>
      <c r="C109">
        <v>41.17</v>
      </c>
      <c r="D109">
        <v>449.16</v>
      </c>
      <c r="E109">
        <v>179.87</v>
      </c>
      <c r="F109">
        <v>28.8</v>
      </c>
      <c r="G109">
        <v>374.77</v>
      </c>
      <c r="H109">
        <v>21.8</v>
      </c>
      <c r="I109">
        <v>73.319999999999993</v>
      </c>
      <c r="J109">
        <v>96.31</v>
      </c>
      <c r="K109">
        <v>61.5</v>
      </c>
      <c r="L109">
        <v>52.11</v>
      </c>
      <c r="M109">
        <v>61.1</v>
      </c>
      <c r="N109">
        <v>125.4</v>
      </c>
      <c r="O109">
        <v>44.19</v>
      </c>
      <c r="P109">
        <v>188.23</v>
      </c>
      <c r="Q109">
        <v>27.95</v>
      </c>
    </row>
    <row r="110" spans="2:17" x14ac:dyDescent="0.3">
      <c r="B110" s="2">
        <v>45166</v>
      </c>
      <c r="C110">
        <v>40.630000000000003</v>
      </c>
      <c r="D110">
        <v>442.76</v>
      </c>
      <c r="E110">
        <v>178.13</v>
      </c>
      <c r="F110">
        <v>28.96</v>
      </c>
      <c r="G110">
        <v>366.76</v>
      </c>
      <c r="H110">
        <v>21.83</v>
      </c>
      <c r="I110">
        <v>72.41</v>
      </c>
      <c r="J110">
        <v>95.32</v>
      </c>
      <c r="K110">
        <v>60.64</v>
      </c>
      <c r="L110">
        <v>51.67</v>
      </c>
      <c r="M110">
        <v>60.68</v>
      </c>
      <c r="N110">
        <v>123.64</v>
      </c>
      <c r="O110">
        <v>43.88</v>
      </c>
      <c r="P110">
        <v>185.64</v>
      </c>
      <c r="Q110">
        <v>27.41</v>
      </c>
    </row>
    <row r="111" spans="2:17" x14ac:dyDescent="0.3">
      <c r="B111" s="2">
        <v>45163</v>
      </c>
      <c r="C111">
        <v>40.229999999999997</v>
      </c>
      <c r="D111">
        <v>439.97</v>
      </c>
      <c r="E111">
        <v>177.62</v>
      </c>
      <c r="F111">
        <v>29.01</v>
      </c>
      <c r="G111">
        <v>364.02</v>
      </c>
      <c r="H111">
        <v>21.62</v>
      </c>
      <c r="I111">
        <v>72.45</v>
      </c>
      <c r="J111">
        <v>95.22</v>
      </c>
      <c r="K111">
        <v>60.01</v>
      </c>
      <c r="L111">
        <v>51.37</v>
      </c>
      <c r="M111">
        <v>59.97</v>
      </c>
      <c r="N111">
        <v>122.7</v>
      </c>
      <c r="O111">
        <v>43.76</v>
      </c>
      <c r="P111">
        <v>184</v>
      </c>
      <c r="Q111">
        <v>26.77</v>
      </c>
    </row>
    <row r="112" spans="2:17" x14ac:dyDescent="0.3">
      <c r="B112" s="2">
        <v>45162</v>
      </c>
      <c r="C112">
        <v>40.26</v>
      </c>
      <c r="D112">
        <v>436.89</v>
      </c>
      <c r="E112">
        <v>177.85</v>
      </c>
      <c r="F112">
        <v>28.97</v>
      </c>
      <c r="G112">
        <v>361.22</v>
      </c>
      <c r="H112">
        <v>21.56</v>
      </c>
      <c r="I112">
        <v>71.41</v>
      </c>
      <c r="J112">
        <v>94.91</v>
      </c>
      <c r="K112">
        <v>59.58</v>
      </c>
      <c r="L112">
        <v>51.3</v>
      </c>
      <c r="M112">
        <v>59.66</v>
      </c>
      <c r="N112">
        <v>121.87</v>
      </c>
      <c r="O112">
        <v>43.77</v>
      </c>
      <c r="P112">
        <v>183.22</v>
      </c>
      <c r="Q112">
        <v>26.82</v>
      </c>
    </row>
    <row r="113" spans="2:17" x14ac:dyDescent="0.3">
      <c r="B113" s="2">
        <v>45161</v>
      </c>
      <c r="C113">
        <v>40.43</v>
      </c>
      <c r="D113">
        <v>443.03</v>
      </c>
      <c r="E113">
        <v>177.89</v>
      </c>
      <c r="F113">
        <v>28.74</v>
      </c>
      <c r="G113">
        <v>369.11</v>
      </c>
      <c r="H113">
        <v>21.38</v>
      </c>
      <c r="I113">
        <v>71.36</v>
      </c>
      <c r="J113">
        <v>95.54</v>
      </c>
      <c r="K113">
        <v>60.42</v>
      </c>
      <c r="L113">
        <v>51.6</v>
      </c>
      <c r="M113">
        <v>60.45</v>
      </c>
      <c r="N113">
        <v>123.51</v>
      </c>
      <c r="O113">
        <v>44.19</v>
      </c>
      <c r="P113">
        <v>185.79</v>
      </c>
      <c r="Q113">
        <v>26.7</v>
      </c>
    </row>
    <row r="114" spans="2:17" x14ac:dyDescent="0.3">
      <c r="B114" s="2">
        <v>45160</v>
      </c>
      <c r="C114">
        <v>39.840000000000003</v>
      </c>
      <c r="D114">
        <v>438.15</v>
      </c>
      <c r="E114">
        <v>176.1</v>
      </c>
      <c r="F114">
        <v>28.84</v>
      </c>
      <c r="G114">
        <v>363.38</v>
      </c>
      <c r="H114">
        <v>21.16</v>
      </c>
      <c r="I114">
        <v>72.28</v>
      </c>
      <c r="J114">
        <v>93.23</v>
      </c>
      <c r="K114">
        <v>59.92</v>
      </c>
      <c r="L114">
        <v>50.77</v>
      </c>
      <c r="M114">
        <v>59.66</v>
      </c>
      <c r="N114">
        <v>122.21</v>
      </c>
      <c r="O114">
        <v>43.51</v>
      </c>
      <c r="P114">
        <v>183.83</v>
      </c>
      <c r="Q114">
        <v>26.14</v>
      </c>
    </row>
    <row r="115" spans="2:17" x14ac:dyDescent="0.3">
      <c r="B115" s="2">
        <v>45159</v>
      </c>
      <c r="C115">
        <v>39.909999999999997</v>
      </c>
      <c r="D115">
        <v>439.34</v>
      </c>
      <c r="E115">
        <v>175.81</v>
      </c>
      <c r="F115">
        <v>28.74</v>
      </c>
      <c r="G115">
        <v>363.9</v>
      </c>
      <c r="H115">
        <v>21.29</v>
      </c>
      <c r="I115">
        <v>72.58</v>
      </c>
      <c r="J115">
        <v>92.52</v>
      </c>
      <c r="K115">
        <v>60.14</v>
      </c>
      <c r="L115">
        <v>50.86</v>
      </c>
      <c r="M115">
        <v>59.37</v>
      </c>
      <c r="N115">
        <v>122.57</v>
      </c>
      <c r="O115">
        <v>43.6</v>
      </c>
      <c r="P115">
        <v>184.38</v>
      </c>
      <c r="Q115">
        <v>26.15</v>
      </c>
    </row>
    <row r="116" spans="2:17" x14ac:dyDescent="0.3">
      <c r="B116" s="2">
        <v>45156</v>
      </c>
      <c r="C116">
        <v>39.82</v>
      </c>
      <c r="D116">
        <v>436.5</v>
      </c>
      <c r="E116">
        <v>175.33</v>
      </c>
      <c r="F116">
        <v>28.77</v>
      </c>
      <c r="G116">
        <v>358.13</v>
      </c>
      <c r="H116">
        <v>21.35</v>
      </c>
      <c r="I116">
        <v>72.790000000000006</v>
      </c>
      <c r="J116">
        <v>93.77</v>
      </c>
      <c r="K116">
        <v>59.8</v>
      </c>
      <c r="L116">
        <v>50.66</v>
      </c>
      <c r="M116">
        <v>59.32</v>
      </c>
      <c r="N116">
        <v>121.82</v>
      </c>
      <c r="O116">
        <v>43.33</v>
      </c>
      <c r="P116">
        <v>184.65</v>
      </c>
      <c r="Q116">
        <v>26.19</v>
      </c>
    </row>
    <row r="117" spans="2:17" x14ac:dyDescent="0.3">
      <c r="B117" s="2">
        <v>45155</v>
      </c>
      <c r="C117">
        <v>40.07</v>
      </c>
      <c r="D117">
        <v>436.29</v>
      </c>
      <c r="E117">
        <v>175.3</v>
      </c>
      <c r="F117">
        <v>28.75</v>
      </c>
      <c r="G117">
        <v>358.58</v>
      </c>
      <c r="H117">
        <v>21.18</v>
      </c>
      <c r="I117">
        <v>71.98</v>
      </c>
      <c r="J117">
        <v>93.44</v>
      </c>
      <c r="K117">
        <v>59.9</v>
      </c>
      <c r="L117">
        <v>50.64</v>
      </c>
      <c r="M117">
        <v>59.17</v>
      </c>
      <c r="N117">
        <v>121.85</v>
      </c>
      <c r="O117">
        <v>43.2</v>
      </c>
      <c r="P117">
        <v>183.65</v>
      </c>
      <c r="Q117">
        <v>26.85</v>
      </c>
    </row>
    <row r="118" spans="2:17" x14ac:dyDescent="0.3">
      <c r="B118" s="2">
        <v>45154</v>
      </c>
      <c r="C118">
        <v>39.94</v>
      </c>
      <c r="D118">
        <v>439.64</v>
      </c>
      <c r="E118">
        <v>175.57</v>
      </c>
      <c r="F118">
        <v>28.76</v>
      </c>
      <c r="G118">
        <v>362.54</v>
      </c>
      <c r="H118">
        <v>21.19</v>
      </c>
      <c r="I118">
        <v>71.37</v>
      </c>
      <c r="J118">
        <v>93.84</v>
      </c>
      <c r="K118">
        <v>60.42</v>
      </c>
      <c r="L118">
        <v>50.65</v>
      </c>
      <c r="M118">
        <v>59.42</v>
      </c>
      <c r="N118">
        <v>122.7</v>
      </c>
      <c r="O118">
        <v>43.36</v>
      </c>
      <c r="P118">
        <v>185.84</v>
      </c>
      <c r="Q118">
        <v>26.65</v>
      </c>
    </row>
    <row r="119" spans="2:17" x14ac:dyDescent="0.3">
      <c r="B119" s="2">
        <v>45153</v>
      </c>
      <c r="C119">
        <v>40.21</v>
      </c>
      <c r="D119">
        <v>442.89</v>
      </c>
      <c r="E119">
        <v>176.59</v>
      </c>
      <c r="F119">
        <v>28.68</v>
      </c>
      <c r="G119">
        <v>366.42</v>
      </c>
      <c r="H119">
        <v>21.08</v>
      </c>
      <c r="I119">
        <v>72.62</v>
      </c>
      <c r="J119">
        <v>94.58</v>
      </c>
      <c r="K119">
        <v>60.79</v>
      </c>
      <c r="L119">
        <v>50.93</v>
      </c>
      <c r="M119">
        <v>60.17</v>
      </c>
      <c r="N119">
        <v>123.68</v>
      </c>
      <c r="O119">
        <v>43.23</v>
      </c>
      <c r="P119">
        <v>188.14</v>
      </c>
      <c r="Q119">
        <v>27.21</v>
      </c>
    </row>
    <row r="120" spans="2:17" x14ac:dyDescent="0.3">
      <c r="B120" s="2">
        <v>45152</v>
      </c>
      <c r="C120">
        <v>40.64</v>
      </c>
      <c r="D120">
        <v>448.11</v>
      </c>
      <c r="E120">
        <v>177.06</v>
      </c>
      <c r="F120">
        <v>28.67</v>
      </c>
      <c r="G120">
        <v>370.35</v>
      </c>
      <c r="H120">
        <v>21.25</v>
      </c>
      <c r="I120">
        <v>73.81</v>
      </c>
      <c r="J120">
        <v>95.16</v>
      </c>
      <c r="K120">
        <v>61.58</v>
      </c>
      <c r="L120">
        <v>51.4</v>
      </c>
      <c r="M120">
        <v>60.82</v>
      </c>
      <c r="N120">
        <v>125.17</v>
      </c>
      <c r="O120">
        <v>43.47</v>
      </c>
      <c r="P120">
        <v>190.66</v>
      </c>
      <c r="Q120">
        <v>27.66</v>
      </c>
    </row>
    <row r="121" spans="2:17" x14ac:dyDescent="0.3">
      <c r="B121" s="2">
        <v>45149</v>
      </c>
      <c r="C121">
        <v>40.83</v>
      </c>
      <c r="D121">
        <v>445.65</v>
      </c>
      <c r="E121">
        <v>177.6</v>
      </c>
      <c r="F121">
        <v>28.57</v>
      </c>
      <c r="G121">
        <v>366.24</v>
      </c>
      <c r="H121">
        <v>21.41</v>
      </c>
      <c r="I121">
        <v>74.25</v>
      </c>
      <c r="J121">
        <v>95.37</v>
      </c>
      <c r="K121">
        <v>61.7</v>
      </c>
      <c r="L121">
        <v>51.58</v>
      </c>
      <c r="M121">
        <v>61.37</v>
      </c>
      <c r="N121">
        <v>124.87</v>
      </c>
      <c r="O121">
        <v>43.62</v>
      </c>
      <c r="P121">
        <v>190.99</v>
      </c>
      <c r="Q121">
        <v>27.92</v>
      </c>
    </row>
    <row r="122" spans="2:17" x14ac:dyDescent="0.3">
      <c r="B122" s="2">
        <v>45148</v>
      </c>
      <c r="C122">
        <v>41.43</v>
      </c>
      <c r="D122">
        <v>445.91</v>
      </c>
      <c r="E122">
        <v>177.6</v>
      </c>
      <c r="F122">
        <v>28.51</v>
      </c>
      <c r="G122">
        <v>368.59</v>
      </c>
      <c r="H122">
        <v>21.41</v>
      </c>
      <c r="I122">
        <v>74.2</v>
      </c>
      <c r="J122">
        <v>95.59</v>
      </c>
      <c r="K122">
        <v>62.23</v>
      </c>
      <c r="L122">
        <v>52.05</v>
      </c>
      <c r="M122">
        <v>61.47</v>
      </c>
      <c r="N122">
        <v>125.17</v>
      </c>
      <c r="O122">
        <v>43.87</v>
      </c>
      <c r="P122">
        <v>190.72</v>
      </c>
      <c r="Q122">
        <v>28.83</v>
      </c>
    </row>
    <row r="123" spans="2:17" x14ac:dyDescent="0.3">
      <c r="B123" s="2">
        <v>45147</v>
      </c>
      <c r="C123">
        <v>41.35</v>
      </c>
      <c r="D123">
        <v>445.75</v>
      </c>
      <c r="E123">
        <v>177.79</v>
      </c>
      <c r="F123">
        <v>28.46</v>
      </c>
      <c r="G123">
        <v>367.91</v>
      </c>
      <c r="H123">
        <v>21.39</v>
      </c>
      <c r="I123">
        <v>75.099999999999994</v>
      </c>
      <c r="J123">
        <v>97.19</v>
      </c>
      <c r="K123">
        <v>61.99</v>
      </c>
      <c r="L123">
        <v>52.12</v>
      </c>
      <c r="M123">
        <v>61.21</v>
      </c>
      <c r="N123">
        <v>125.01</v>
      </c>
      <c r="O123">
        <v>43.94</v>
      </c>
      <c r="P123">
        <v>191.57</v>
      </c>
      <c r="Q123">
        <v>28.6</v>
      </c>
    </row>
    <row r="124" spans="2:17" x14ac:dyDescent="0.3">
      <c r="B124" s="2">
        <v>45146</v>
      </c>
      <c r="C124">
        <v>41.28</v>
      </c>
      <c r="D124">
        <v>448.75</v>
      </c>
      <c r="E124">
        <v>178.64</v>
      </c>
      <c r="F124">
        <v>28.44</v>
      </c>
      <c r="G124">
        <v>372</v>
      </c>
      <c r="H124">
        <v>21.43</v>
      </c>
      <c r="I124">
        <v>74.06</v>
      </c>
      <c r="J124">
        <v>96.69</v>
      </c>
      <c r="K124">
        <v>61.85</v>
      </c>
      <c r="L124">
        <v>51.94</v>
      </c>
      <c r="M124">
        <v>61.75</v>
      </c>
      <c r="N124">
        <v>125.65</v>
      </c>
      <c r="O124">
        <v>43.93</v>
      </c>
      <c r="P124">
        <v>193.08</v>
      </c>
      <c r="Q124">
        <v>28.48</v>
      </c>
    </row>
    <row r="125" spans="2:17" x14ac:dyDescent="0.3">
      <c r="B125" s="2">
        <v>45145</v>
      </c>
      <c r="C125">
        <v>41.71</v>
      </c>
      <c r="D125">
        <v>450.71</v>
      </c>
      <c r="E125">
        <v>179.78</v>
      </c>
      <c r="F125">
        <v>28.31</v>
      </c>
      <c r="G125">
        <v>375.19</v>
      </c>
      <c r="H125">
        <v>21.59</v>
      </c>
      <c r="I125">
        <v>73.819999999999993</v>
      </c>
      <c r="J125">
        <v>95.58</v>
      </c>
      <c r="K125">
        <v>62.18</v>
      </c>
      <c r="L125">
        <v>52.53</v>
      </c>
      <c r="M125">
        <v>62.3</v>
      </c>
      <c r="N125">
        <v>126.29</v>
      </c>
      <c r="O125">
        <v>44.19</v>
      </c>
      <c r="P125">
        <v>194.3</v>
      </c>
      <c r="Q125">
        <v>29.02</v>
      </c>
    </row>
    <row r="126" spans="2:17" x14ac:dyDescent="0.3">
      <c r="B126" s="2">
        <v>45142</v>
      </c>
      <c r="C126">
        <v>41.78</v>
      </c>
      <c r="D126">
        <v>446.81</v>
      </c>
      <c r="E126">
        <v>180.19</v>
      </c>
      <c r="F126">
        <v>28.29</v>
      </c>
      <c r="G126">
        <v>372.04</v>
      </c>
      <c r="H126">
        <v>21.64</v>
      </c>
      <c r="I126">
        <v>73.790000000000006</v>
      </c>
      <c r="J126">
        <v>96.53</v>
      </c>
      <c r="K126">
        <v>61.59</v>
      </c>
      <c r="L126">
        <v>52.41</v>
      </c>
      <c r="M126">
        <v>61.78</v>
      </c>
      <c r="N126">
        <v>125.22</v>
      </c>
      <c r="O126">
        <v>44.03</v>
      </c>
      <c r="P126">
        <v>194.17</v>
      </c>
      <c r="Q126">
        <v>29.13</v>
      </c>
    </row>
    <row r="127" spans="2:17" x14ac:dyDescent="0.3">
      <c r="B127" s="2">
        <v>45141</v>
      </c>
      <c r="C127">
        <v>41.73</v>
      </c>
      <c r="D127">
        <v>448.84</v>
      </c>
      <c r="E127">
        <v>179.54</v>
      </c>
      <c r="F127">
        <v>28.43</v>
      </c>
      <c r="G127">
        <v>373.79</v>
      </c>
      <c r="H127">
        <v>21.62</v>
      </c>
      <c r="I127">
        <v>73.14</v>
      </c>
      <c r="J127">
        <v>94.85</v>
      </c>
      <c r="K127">
        <v>61.48</v>
      </c>
      <c r="L127">
        <v>52.25</v>
      </c>
      <c r="M127">
        <v>61.19</v>
      </c>
      <c r="N127">
        <v>125.52</v>
      </c>
      <c r="O127">
        <v>43.6</v>
      </c>
      <c r="P127">
        <v>194.56</v>
      </c>
      <c r="Q127">
        <v>29.55</v>
      </c>
    </row>
    <row r="128" spans="2:17" x14ac:dyDescent="0.3">
      <c r="B128" s="2">
        <v>45140</v>
      </c>
      <c r="C128">
        <v>41.55</v>
      </c>
      <c r="D128">
        <v>450.13</v>
      </c>
      <c r="E128">
        <v>179.6</v>
      </c>
      <c r="F128">
        <v>28.45</v>
      </c>
      <c r="G128">
        <v>374.39</v>
      </c>
      <c r="H128">
        <v>21.79</v>
      </c>
      <c r="I128">
        <v>71.48</v>
      </c>
      <c r="J128">
        <v>97.09</v>
      </c>
      <c r="K128">
        <v>61.65</v>
      </c>
      <c r="L128">
        <v>52.5</v>
      </c>
      <c r="M128">
        <v>61.49</v>
      </c>
      <c r="N128">
        <v>125.9</v>
      </c>
      <c r="O128">
        <v>43.71</v>
      </c>
      <c r="P128">
        <v>195.11</v>
      </c>
      <c r="Q128">
        <v>28.77</v>
      </c>
    </row>
    <row r="129" spans="2:17" x14ac:dyDescent="0.3">
      <c r="B129" s="2">
        <v>45139</v>
      </c>
      <c r="C129">
        <v>42.47</v>
      </c>
      <c r="D129">
        <v>456.48</v>
      </c>
      <c r="E129">
        <v>180.46</v>
      </c>
      <c r="F129">
        <v>28.35</v>
      </c>
      <c r="G129">
        <v>382.79</v>
      </c>
      <c r="H129">
        <v>21.96</v>
      </c>
      <c r="I129">
        <v>72.959999999999994</v>
      </c>
      <c r="J129">
        <v>98.14</v>
      </c>
      <c r="K129">
        <v>62.79</v>
      </c>
      <c r="L129">
        <v>53.65</v>
      </c>
      <c r="M129">
        <v>62.67</v>
      </c>
      <c r="N129">
        <v>127.91</v>
      </c>
      <c r="O129">
        <v>44.48</v>
      </c>
      <c r="P129">
        <v>197.8</v>
      </c>
      <c r="Q129">
        <v>29.68</v>
      </c>
    </row>
    <row r="130" spans="2:17" x14ac:dyDescent="0.3">
      <c r="B130" s="2">
        <v>45138</v>
      </c>
      <c r="C130">
        <v>43.07</v>
      </c>
      <c r="D130">
        <v>457.79</v>
      </c>
      <c r="E130">
        <v>182.35</v>
      </c>
      <c r="F130">
        <v>28.22</v>
      </c>
      <c r="G130">
        <v>383.68</v>
      </c>
      <c r="H130">
        <v>21.93</v>
      </c>
      <c r="I130">
        <v>73.17</v>
      </c>
      <c r="J130">
        <v>100.05</v>
      </c>
      <c r="K130">
        <v>63.49</v>
      </c>
      <c r="L130">
        <v>54.06</v>
      </c>
      <c r="M130">
        <v>63.42</v>
      </c>
      <c r="N130">
        <v>128.54</v>
      </c>
      <c r="O130">
        <v>44.76</v>
      </c>
      <c r="P130">
        <v>198.71</v>
      </c>
      <c r="Q130">
        <v>30.42</v>
      </c>
    </row>
    <row r="131" spans="2:17" x14ac:dyDescent="0.3">
      <c r="B131" s="2">
        <v>45135</v>
      </c>
      <c r="C131">
        <v>43.02</v>
      </c>
      <c r="D131">
        <v>456.92</v>
      </c>
      <c r="E131">
        <v>181.86</v>
      </c>
      <c r="F131">
        <v>28.17</v>
      </c>
      <c r="G131">
        <v>383.48</v>
      </c>
      <c r="H131">
        <v>21.99</v>
      </c>
      <c r="I131">
        <v>72.09</v>
      </c>
      <c r="J131">
        <v>99.81</v>
      </c>
      <c r="K131">
        <v>63.51</v>
      </c>
      <c r="L131">
        <v>54.19</v>
      </c>
      <c r="M131">
        <v>63.7</v>
      </c>
      <c r="N131">
        <v>128.44</v>
      </c>
      <c r="O131">
        <v>44.5</v>
      </c>
      <c r="P131">
        <v>196.43</v>
      </c>
      <c r="Q131">
        <v>30.08</v>
      </c>
    </row>
    <row r="132" spans="2:17" x14ac:dyDescent="0.3">
      <c r="B132" s="2">
        <v>45134</v>
      </c>
      <c r="C132">
        <v>42</v>
      </c>
      <c r="D132">
        <v>452.49</v>
      </c>
      <c r="E132">
        <v>180.42</v>
      </c>
      <c r="F132">
        <v>28.21</v>
      </c>
      <c r="G132">
        <v>376.62</v>
      </c>
      <c r="H132">
        <v>22.11</v>
      </c>
      <c r="I132">
        <v>71.430000000000007</v>
      </c>
      <c r="J132">
        <v>99.3</v>
      </c>
      <c r="K132">
        <v>62.97</v>
      </c>
      <c r="L132">
        <v>53.58</v>
      </c>
      <c r="M132">
        <v>63.34</v>
      </c>
      <c r="N132">
        <v>127.22</v>
      </c>
      <c r="O132">
        <v>44.23</v>
      </c>
      <c r="P132">
        <v>193.92</v>
      </c>
      <c r="Q132">
        <v>28.5</v>
      </c>
    </row>
    <row r="133" spans="2:17" x14ac:dyDescent="0.3">
      <c r="B133" s="2">
        <v>45133</v>
      </c>
      <c r="C133">
        <v>42.47</v>
      </c>
      <c r="D133">
        <v>455.51</v>
      </c>
      <c r="E133">
        <v>183.3</v>
      </c>
      <c r="F133">
        <v>27.95</v>
      </c>
      <c r="G133">
        <v>377.52</v>
      </c>
      <c r="H133">
        <v>22.31</v>
      </c>
      <c r="I133">
        <v>70.66</v>
      </c>
      <c r="J133">
        <v>101.27</v>
      </c>
      <c r="K133">
        <v>63.34</v>
      </c>
      <c r="L133">
        <v>54.23</v>
      </c>
      <c r="M133">
        <v>62.83</v>
      </c>
      <c r="N133">
        <v>128.01</v>
      </c>
      <c r="O133">
        <v>44.68</v>
      </c>
      <c r="P133">
        <v>196.46</v>
      </c>
      <c r="Q133">
        <v>28.97</v>
      </c>
    </row>
    <row r="134" spans="2:17" x14ac:dyDescent="0.3">
      <c r="B134" s="2">
        <v>45132</v>
      </c>
      <c r="C134">
        <v>42.21</v>
      </c>
      <c r="D134">
        <v>455.44</v>
      </c>
      <c r="E134">
        <v>182.41</v>
      </c>
      <c r="F134">
        <v>28.03</v>
      </c>
      <c r="G134">
        <v>378.78</v>
      </c>
      <c r="H134">
        <v>22.36</v>
      </c>
      <c r="I134">
        <v>71.16</v>
      </c>
      <c r="J134">
        <v>101.17</v>
      </c>
      <c r="K134">
        <v>63.22</v>
      </c>
      <c r="L134">
        <v>54.07</v>
      </c>
      <c r="M134">
        <v>62.58</v>
      </c>
      <c r="N134">
        <v>127.92</v>
      </c>
      <c r="O134">
        <v>44.51</v>
      </c>
      <c r="P134">
        <v>194.92</v>
      </c>
      <c r="Q134">
        <v>28.56</v>
      </c>
    </row>
    <row r="135" spans="2:17" x14ac:dyDescent="0.3">
      <c r="B135" s="2">
        <v>45131</v>
      </c>
      <c r="C135">
        <v>41.89</v>
      </c>
      <c r="D135">
        <v>454.2</v>
      </c>
      <c r="E135">
        <v>181.4</v>
      </c>
      <c r="F135">
        <v>28.06</v>
      </c>
      <c r="G135">
        <v>376.23</v>
      </c>
      <c r="H135">
        <v>22.35</v>
      </c>
      <c r="I135">
        <v>70.69</v>
      </c>
      <c r="J135">
        <v>101.36</v>
      </c>
      <c r="K135">
        <v>63.1</v>
      </c>
      <c r="L135">
        <v>53.75</v>
      </c>
      <c r="M135">
        <v>62.5</v>
      </c>
      <c r="N135">
        <v>127.59</v>
      </c>
      <c r="O135">
        <v>44.53</v>
      </c>
      <c r="P135">
        <v>194.94</v>
      </c>
      <c r="Q135">
        <v>28.21</v>
      </c>
    </row>
    <row r="136" spans="2:17" x14ac:dyDescent="0.3">
      <c r="B136" s="2">
        <v>45128</v>
      </c>
      <c r="C136">
        <v>41.34</v>
      </c>
      <c r="D136">
        <v>452.18</v>
      </c>
      <c r="E136">
        <v>182.18</v>
      </c>
      <c r="F136">
        <v>27.96</v>
      </c>
      <c r="G136">
        <v>375.63</v>
      </c>
      <c r="H136">
        <v>22.01</v>
      </c>
      <c r="I136">
        <v>68.989999999999995</v>
      </c>
      <c r="J136">
        <v>101.73</v>
      </c>
      <c r="K136">
        <v>63.42</v>
      </c>
      <c r="L136">
        <v>53.21</v>
      </c>
      <c r="M136">
        <v>62.41</v>
      </c>
      <c r="N136">
        <v>127.4</v>
      </c>
      <c r="O136">
        <v>44.36</v>
      </c>
      <c r="P136">
        <v>194.46</v>
      </c>
      <c r="Q136">
        <v>27.62</v>
      </c>
    </row>
    <row r="137" spans="2:17" x14ac:dyDescent="0.3">
      <c r="B137" s="2">
        <v>45127</v>
      </c>
      <c r="C137">
        <v>41.36</v>
      </c>
      <c r="D137">
        <v>452.18</v>
      </c>
      <c r="E137">
        <v>182.74</v>
      </c>
      <c r="F137">
        <v>27.88</v>
      </c>
      <c r="G137">
        <v>376.76</v>
      </c>
      <c r="H137">
        <v>22.05</v>
      </c>
      <c r="I137">
        <v>68.05</v>
      </c>
      <c r="J137">
        <v>101.7</v>
      </c>
      <c r="K137">
        <v>63.2</v>
      </c>
      <c r="L137">
        <v>53.28</v>
      </c>
      <c r="M137">
        <v>62.48</v>
      </c>
      <c r="N137">
        <v>127.33</v>
      </c>
      <c r="O137">
        <v>44.55</v>
      </c>
      <c r="P137">
        <v>195.08</v>
      </c>
      <c r="Q137">
        <v>27.6</v>
      </c>
    </row>
    <row r="138" spans="2:17" x14ac:dyDescent="0.3">
      <c r="B138" s="2">
        <v>45126</v>
      </c>
      <c r="C138">
        <v>41.62</v>
      </c>
      <c r="D138">
        <v>455.2</v>
      </c>
      <c r="E138">
        <v>183.67</v>
      </c>
      <c r="F138">
        <v>27.72</v>
      </c>
      <c r="G138">
        <v>385.65</v>
      </c>
      <c r="H138">
        <v>22</v>
      </c>
      <c r="I138">
        <v>67.69</v>
      </c>
      <c r="J138">
        <v>102.95</v>
      </c>
      <c r="K138">
        <v>63.44</v>
      </c>
      <c r="L138">
        <v>53.67</v>
      </c>
      <c r="M138">
        <v>63.32</v>
      </c>
      <c r="N138">
        <v>128.1</v>
      </c>
      <c r="O138">
        <v>44.65</v>
      </c>
      <c r="P138">
        <v>196.8</v>
      </c>
      <c r="Q138">
        <v>27.7</v>
      </c>
    </row>
    <row r="139" spans="2:17" x14ac:dyDescent="0.3">
      <c r="B139" s="2">
        <v>45125</v>
      </c>
      <c r="C139">
        <v>41.68</v>
      </c>
      <c r="D139">
        <v>454.19</v>
      </c>
      <c r="E139">
        <v>183.64</v>
      </c>
      <c r="F139">
        <v>27.61</v>
      </c>
      <c r="G139">
        <v>385.74</v>
      </c>
      <c r="H139">
        <v>21.74</v>
      </c>
      <c r="I139">
        <v>67.959999999999994</v>
      </c>
      <c r="J139">
        <v>101.8</v>
      </c>
      <c r="K139">
        <v>63.45</v>
      </c>
      <c r="L139">
        <v>53.88</v>
      </c>
      <c r="M139">
        <v>63.31</v>
      </c>
      <c r="N139">
        <v>127.93</v>
      </c>
      <c r="O139">
        <v>44.53</v>
      </c>
      <c r="P139">
        <v>195.97</v>
      </c>
      <c r="Q139">
        <v>27.52</v>
      </c>
    </row>
    <row r="140" spans="2:17" x14ac:dyDescent="0.3">
      <c r="B140" s="2">
        <v>45124</v>
      </c>
      <c r="C140">
        <v>41.98</v>
      </c>
      <c r="D140">
        <v>450.84</v>
      </c>
      <c r="E140">
        <v>181.56</v>
      </c>
      <c r="F140">
        <v>27.59</v>
      </c>
      <c r="G140">
        <v>382.61</v>
      </c>
      <c r="H140">
        <v>21.44</v>
      </c>
      <c r="I140">
        <v>66.58</v>
      </c>
      <c r="J140">
        <v>101.34</v>
      </c>
      <c r="K140">
        <v>63.08</v>
      </c>
      <c r="L140">
        <v>53.95</v>
      </c>
      <c r="M140">
        <v>62.45</v>
      </c>
      <c r="N140">
        <v>126.92</v>
      </c>
      <c r="O140">
        <v>44.56</v>
      </c>
      <c r="P140">
        <v>193.58</v>
      </c>
      <c r="Q140">
        <v>28.15</v>
      </c>
    </row>
    <row r="141" spans="2:17" x14ac:dyDescent="0.3">
      <c r="B141" s="2">
        <v>45121</v>
      </c>
      <c r="C141">
        <v>41.93</v>
      </c>
      <c r="D141">
        <v>449.28</v>
      </c>
      <c r="E141">
        <v>181.43</v>
      </c>
      <c r="F141">
        <v>27.62</v>
      </c>
      <c r="G141">
        <v>379.07</v>
      </c>
      <c r="H141">
        <v>21.59</v>
      </c>
      <c r="I141">
        <v>67.47</v>
      </c>
      <c r="J141">
        <v>101.29</v>
      </c>
      <c r="K141">
        <v>63.17</v>
      </c>
      <c r="L141">
        <v>53.69</v>
      </c>
      <c r="M141">
        <v>62.42</v>
      </c>
      <c r="N141">
        <v>126.64</v>
      </c>
      <c r="O141">
        <v>44.26</v>
      </c>
      <c r="P141">
        <v>191.53</v>
      </c>
      <c r="Q141">
        <v>28.29</v>
      </c>
    </row>
    <row r="142" spans="2:17" x14ac:dyDescent="0.3">
      <c r="B142" s="2">
        <v>45120</v>
      </c>
      <c r="C142">
        <v>42.19</v>
      </c>
      <c r="D142">
        <v>449.56</v>
      </c>
      <c r="E142">
        <v>182.01</v>
      </c>
      <c r="F142">
        <v>27.57</v>
      </c>
      <c r="G142">
        <v>379.15</v>
      </c>
      <c r="H142">
        <v>21.35</v>
      </c>
      <c r="I142">
        <v>69.09</v>
      </c>
      <c r="J142">
        <v>101.89</v>
      </c>
      <c r="K142">
        <v>63.47</v>
      </c>
      <c r="L142">
        <v>53.77</v>
      </c>
      <c r="M142">
        <v>63.18</v>
      </c>
      <c r="N142">
        <v>126.98</v>
      </c>
      <c r="O142">
        <v>44.17</v>
      </c>
      <c r="P142">
        <v>193.42</v>
      </c>
      <c r="Q142">
        <v>28.8</v>
      </c>
    </row>
    <row r="143" spans="2:17" x14ac:dyDescent="0.3">
      <c r="B143" s="2">
        <v>45119</v>
      </c>
      <c r="C143">
        <v>41.73</v>
      </c>
      <c r="D143">
        <v>446.02</v>
      </c>
      <c r="E143">
        <v>181.88</v>
      </c>
      <c r="F143">
        <v>27.76</v>
      </c>
      <c r="G143">
        <v>372.82</v>
      </c>
      <c r="H143">
        <v>21.21</v>
      </c>
      <c r="I143">
        <v>67.87</v>
      </c>
      <c r="J143">
        <v>100.83</v>
      </c>
      <c r="K143">
        <v>62.49</v>
      </c>
      <c r="L143">
        <v>53.26</v>
      </c>
      <c r="M143">
        <v>62.25</v>
      </c>
      <c r="N143">
        <v>125.53</v>
      </c>
      <c r="O143">
        <v>44.26</v>
      </c>
      <c r="P143">
        <v>191.87</v>
      </c>
      <c r="Q143">
        <v>28.16</v>
      </c>
    </row>
    <row r="144" spans="2:17" x14ac:dyDescent="0.3">
      <c r="B144" s="2">
        <v>45118</v>
      </c>
      <c r="C144">
        <v>40.950000000000003</v>
      </c>
      <c r="D144">
        <v>442.46</v>
      </c>
      <c r="E144">
        <v>179.45</v>
      </c>
      <c r="F144">
        <v>28.09</v>
      </c>
      <c r="G144">
        <v>368.17</v>
      </c>
      <c r="H144">
        <v>21.39</v>
      </c>
      <c r="I144">
        <v>67.03</v>
      </c>
      <c r="J144">
        <v>99.72</v>
      </c>
      <c r="K144">
        <v>61.04</v>
      </c>
      <c r="L144">
        <v>52.31</v>
      </c>
      <c r="M144">
        <v>61.82</v>
      </c>
      <c r="N144">
        <v>124.18</v>
      </c>
      <c r="O144">
        <v>43.97</v>
      </c>
      <c r="P144">
        <v>189.8</v>
      </c>
      <c r="Q144">
        <v>27.34</v>
      </c>
    </row>
    <row r="145" spans="2:17" x14ac:dyDescent="0.3">
      <c r="B145" s="2">
        <v>45117</v>
      </c>
      <c r="C145">
        <v>40.590000000000003</v>
      </c>
      <c r="D145">
        <v>439.66</v>
      </c>
      <c r="E145">
        <v>178.78</v>
      </c>
      <c r="F145">
        <v>28.16</v>
      </c>
      <c r="G145">
        <v>366.36</v>
      </c>
      <c r="H145">
        <v>21.18</v>
      </c>
      <c r="I145">
        <v>65.540000000000006</v>
      </c>
      <c r="J145">
        <v>99.21</v>
      </c>
      <c r="K145">
        <v>60.39</v>
      </c>
      <c r="L145">
        <v>51.69</v>
      </c>
      <c r="M145">
        <v>61.55</v>
      </c>
      <c r="N145">
        <v>123.25</v>
      </c>
      <c r="O145">
        <v>43.66</v>
      </c>
      <c r="P145">
        <v>187.87</v>
      </c>
      <c r="Q145">
        <v>27.16</v>
      </c>
    </row>
    <row r="146" spans="2:17" x14ac:dyDescent="0.3">
      <c r="B146" s="2">
        <v>45114</v>
      </c>
      <c r="C146">
        <v>40.58</v>
      </c>
      <c r="D146">
        <v>438.55</v>
      </c>
      <c r="E146">
        <v>178.64</v>
      </c>
      <c r="F146">
        <v>28.23</v>
      </c>
      <c r="G146">
        <v>366.24</v>
      </c>
      <c r="H146">
        <v>21.16</v>
      </c>
      <c r="I146">
        <v>65.849999999999994</v>
      </c>
      <c r="J146">
        <v>99.08</v>
      </c>
      <c r="K146">
        <v>60.03</v>
      </c>
      <c r="L146">
        <v>51.72</v>
      </c>
      <c r="M146">
        <v>61.64</v>
      </c>
      <c r="N146">
        <v>122.87</v>
      </c>
      <c r="O146">
        <v>43.6</v>
      </c>
      <c r="P146">
        <v>184.71</v>
      </c>
      <c r="Q146">
        <v>27.18</v>
      </c>
    </row>
    <row r="147" spans="2:17" x14ac:dyDescent="0.3">
      <c r="B147" s="2">
        <v>45113</v>
      </c>
      <c r="C147">
        <v>40.1</v>
      </c>
      <c r="D147">
        <v>439.66</v>
      </c>
      <c r="E147">
        <v>177.31</v>
      </c>
      <c r="F147">
        <v>28.47</v>
      </c>
      <c r="G147">
        <v>367.46</v>
      </c>
      <c r="H147">
        <v>21.22</v>
      </c>
      <c r="I147">
        <v>64.44</v>
      </c>
      <c r="J147">
        <v>99.68</v>
      </c>
      <c r="K147">
        <v>59.64</v>
      </c>
      <c r="L147">
        <v>51.33</v>
      </c>
      <c r="M147">
        <v>60.77</v>
      </c>
      <c r="N147">
        <v>122.77</v>
      </c>
      <c r="O147">
        <v>43.58</v>
      </c>
      <c r="P147">
        <v>182.78</v>
      </c>
      <c r="Q147">
        <v>26.6</v>
      </c>
    </row>
    <row r="148" spans="2:17" x14ac:dyDescent="0.3">
      <c r="B148" s="2">
        <v>45112</v>
      </c>
      <c r="C148">
        <v>40.880000000000003</v>
      </c>
      <c r="D148">
        <v>443.13</v>
      </c>
      <c r="E148">
        <v>177.84</v>
      </c>
      <c r="F148">
        <v>28.54</v>
      </c>
      <c r="G148">
        <v>370.28</v>
      </c>
      <c r="H148">
        <v>21.24</v>
      </c>
      <c r="I148">
        <v>64.63</v>
      </c>
      <c r="J148">
        <v>101.11</v>
      </c>
      <c r="K148">
        <v>60.72</v>
      </c>
      <c r="L148">
        <v>52.27</v>
      </c>
      <c r="M148">
        <v>61.58</v>
      </c>
      <c r="N148">
        <v>124.16</v>
      </c>
      <c r="O148">
        <v>43.77</v>
      </c>
      <c r="P148">
        <v>185.78</v>
      </c>
      <c r="Q148">
        <v>27.39</v>
      </c>
    </row>
    <row r="149" spans="2:17" x14ac:dyDescent="0.3">
      <c r="B149" s="2">
        <v>45110</v>
      </c>
      <c r="C149">
        <v>41.08</v>
      </c>
      <c r="D149">
        <v>443.79</v>
      </c>
      <c r="E149">
        <v>178.47</v>
      </c>
      <c r="F149">
        <v>28.41</v>
      </c>
      <c r="G149">
        <v>370.29</v>
      </c>
      <c r="H149">
        <v>21.31</v>
      </c>
      <c r="I149">
        <v>63.39</v>
      </c>
      <c r="J149">
        <v>102.08</v>
      </c>
      <c r="K149">
        <v>61.52</v>
      </c>
      <c r="L149">
        <v>52.53</v>
      </c>
      <c r="M149">
        <v>62.09</v>
      </c>
      <c r="N149">
        <v>124.8</v>
      </c>
      <c r="O149">
        <v>43.79</v>
      </c>
      <c r="P149">
        <v>187.65</v>
      </c>
      <c r="Q149">
        <v>27.71</v>
      </c>
    </row>
    <row r="150" spans="2:17" x14ac:dyDescent="0.3">
      <c r="B150" s="2">
        <v>45107</v>
      </c>
      <c r="C150">
        <v>40.68</v>
      </c>
      <c r="D150">
        <v>443.28</v>
      </c>
      <c r="E150">
        <v>178.27</v>
      </c>
      <c r="F150">
        <v>28.38</v>
      </c>
      <c r="G150">
        <v>369.42</v>
      </c>
      <c r="H150">
        <v>21.07</v>
      </c>
      <c r="I150">
        <v>63.55</v>
      </c>
      <c r="J150">
        <v>102.94</v>
      </c>
      <c r="K150">
        <v>61.7</v>
      </c>
      <c r="L150">
        <v>51.98</v>
      </c>
      <c r="M150">
        <v>61.9</v>
      </c>
      <c r="N150">
        <v>124.52</v>
      </c>
      <c r="O150">
        <v>43.7</v>
      </c>
      <c r="P150">
        <v>187.27</v>
      </c>
      <c r="Q150">
        <v>27.19</v>
      </c>
    </row>
    <row r="151" spans="2:17" x14ac:dyDescent="0.3">
      <c r="B151" s="2">
        <v>45106</v>
      </c>
      <c r="C151">
        <v>40.33</v>
      </c>
      <c r="D151">
        <v>438.11</v>
      </c>
      <c r="E151">
        <v>177.09</v>
      </c>
      <c r="F151">
        <v>28.5</v>
      </c>
      <c r="G151">
        <v>363.81</v>
      </c>
      <c r="H151">
        <v>20.93</v>
      </c>
      <c r="I151">
        <v>62.96</v>
      </c>
      <c r="J151">
        <v>101.74</v>
      </c>
      <c r="K151">
        <v>60.75</v>
      </c>
      <c r="L151">
        <v>51.68</v>
      </c>
      <c r="M151">
        <v>61.51</v>
      </c>
      <c r="N151">
        <v>123.18</v>
      </c>
      <c r="O151">
        <v>43.34</v>
      </c>
      <c r="P151">
        <v>186.38</v>
      </c>
      <c r="Q151">
        <v>26.94</v>
      </c>
    </row>
    <row r="152" spans="2:17" x14ac:dyDescent="0.3">
      <c r="B152" s="2">
        <v>45105</v>
      </c>
      <c r="C152">
        <v>40.5</v>
      </c>
      <c r="D152">
        <v>436.39</v>
      </c>
      <c r="E152">
        <v>177.28</v>
      </c>
      <c r="F152">
        <v>28.38</v>
      </c>
      <c r="G152">
        <v>364.54</v>
      </c>
      <c r="H152">
        <v>21.05</v>
      </c>
      <c r="I152">
        <v>62.52</v>
      </c>
      <c r="J152">
        <v>103.61</v>
      </c>
      <c r="K152">
        <v>60.84</v>
      </c>
      <c r="L152">
        <v>51.77</v>
      </c>
      <c r="M152">
        <v>61.82</v>
      </c>
      <c r="N152">
        <v>122.82</v>
      </c>
      <c r="O152">
        <v>43.35</v>
      </c>
      <c r="P152">
        <v>184.26</v>
      </c>
      <c r="Q152">
        <v>27.37</v>
      </c>
    </row>
    <row r="153" spans="2:17" x14ac:dyDescent="0.3">
      <c r="B153" s="2">
        <v>45104</v>
      </c>
      <c r="C153">
        <v>40.659999999999997</v>
      </c>
      <c r="D153">
        <v>436.17</v>
      </c>
      <c r="E153">
        <v>177.69</v>
      </c>
      <c r="F153">
        <v>28.25</v>
      </c>
      <c r="G153">
        <v>363.83</v>
      </c>
      <c r="H153">
        <v>21.29</v>
      </c>
      <c r="I153">
        <v>61.3</v>
      </c>
      <c r="J153">
        <v>103.17</v>
      </c>
      <c r="K153">
        <v>60.89</v>
      </c>
      <c r="L153">
        <v>52.05</v>
      </c>
      <c r="M153">
        <v>61.14</v>
      </c>
      <c r="N153">
        <v>122.8</v>
      </c>
      <c r="O153">
        <v>43.02</v>
      </c>
      <c r="P153">
        <v>183.36</v>
      </c>
      <c r="Q153">
        <v>27.6</v>
      </c>
    </row>
    <row r="154" spans="2:17" x14ac:dyDescent="0.3">
      <c r="B154" s="2">
        <v>45103</v>
      </c>
      <c r="C154">
        <v>40.28</v>
      </c>
      <c r="D154">
        <v>431.44</v>
      </c>
      <c r="E154">
        <v>178.51</v>
      </c>
      <c r="F154">
        <v>28.32</v>
      </c>
      <c r="G154">
        <v>357.68</v>
      </c>
      <c r="H154">
        <v>21.51</v>
      </c>
      <c r="I154">
        <v>62.73</v>
      </c>
      <c r="J154">
        <v>103.44</v>
      </c>
      <c r="K154">
        <v>60.28</v>
      </c>
      <c r="L154">
        <v>51.77</v>
      </c>
      <c r="M154">
        <v>60.91</v>
      </c>
      <c r="N154">
        <v>121.54</v>
      </c>
      <c r="O154">
        <v>42.77</v>
      </c>
      <c r="P154">
        <v>180.75</v>
      </c>
      <c r="Q154">
        <v>27.01</v>
      </c>
    </row>
    <row r="155" spans="2:17" x14ac:dyDescent="0.3">
      <c r="B155" s="2">
        <v>45100</v>
      </c>
      <c r="C155">
        <v>40.15</v>
      </c>
      <c r="D155">
        <v>433.21</v>
      </c>
      <c r="E155">
        <v>178.2</v>
      </c>
      <c r="F155">
        <v>28.35</v>
      </c>
      <c r="G155">
        <v>362.54</v>
      </c>
      <c r="H155">
        <v>21.53</v>
      </c>
      <c r="I155">
        <v>62.42</v>
      </c>
      <c r="J155">
        <v>103.33</v>
      </c>
      <c r="K155">
        <v>60.2</v>
      </c>
      <c r="L155">
        <v>51.57</v>
      </c>
      <c r="M155">
        <v>60.91</v>
      </c>
      <c r="N155">
        <v>121.79</v>
      </c>
      <c r="O155">
        <v>42.58</v>
      </c>
      <c r="P155">
        <v>180.57</v>
      </c>
      <c r="Q155">
        <v>26.87</v>
      </c>
    </row>
    <row r="156" spans="2:17" x14ac:dyDescent="0.3">
      <c r="B156" s="2">
        <v>45099</v>
      </c>
      <c r="C156">
        <v>40.72</v>
      </c>
      <c r="D156">
        <v>436.51</v>
      </c>
      <c r="E156">
        <v>177.71</v>
      </c>
      <c r="F156">
        <v>28.2</v>
      </c>
      <c r="G156">
        <v>366.17</v>
      </c>
      <c r="H156">
        <v>21.95</v>
      </c>
      <c r="I156">
        <v>62.52</v>
      </c>
      <c r="J156">
        <v>102.31</v>
      </c>
      <c r="K156">
        <v>60.94</v>
      </c>
      <c r="L156">
        <v>52.19</v>
      </c>
      <c r="M156">
        <v>62.45</v>
      </c>
      <c r="N156">
        <v>122.89</v>
      </c>
      <c r="O156">
        <v>42.96</v>
      </c>
      <c r="P156">
        <v>183.33</v>
      </c>
      <c r="Q156">
        <v>27.44</v>
      </c>
    </row>
    <row r="157" spans="2:17" x14ac:dyDescent="0.3">
      <c r="B157" s="2">
        <v>45098</v>
      </c>
      <c r="C157">
        <v>40.9</v>
      </c>
      <c r="D157">
        <v>434.94</v>
      </c>
      <c r="E157">
        <v>179.49</v>
      </c>
      <c r="F157">
        <v>28.1</v>
      </c>
      <c r="G157">
        <v>361.9</v>
      </c>
      <c r="H157">
        <v>22.13</v>
      </c>
      <c r="I157">
        <v>65.040000000000006</v>
      </c>
      <c r="J157">
        <v>103.56</v>
      </c>
      <c r="K157">
        <v>61.18</v>
      </c>
      <c r="L157">
        <v>52.37</v>
      </c>
      <c r="M157">
        <v>62.97</v>
      </c>
      <c r="N157">
        <v>122.91</v>
      </c>
      <c r="O157">
        <v>43.075000000000003</v>
      </c>
      <c r="P157">
        <v>184.7</v>
      </c>
      <c r="Q157">
        <v>27.5</v>
      </c>
    </row>
    <row r="158" spans="2:17" x14ac:dyDescent="0.3">
      <c r="B158" s="2">
        <v>45097</v>
      </c>
      <c r="C158">
        <v>40.97</v>
      </c>
      <c r="D158">
        <v>437.18</v>
      </c>
      <c r="E158">
        <v>179.75</v>
      </c>
      <c r="F158">
        <v>28.23</v>
      </c>
      <c r="G158">
        <v>366.9</v>
      </c>
      <c r="H158">
        <v>21.9</v>
      </c>
      <c r="I158">
        <v>63.92</v>
      </c>
      <c r="J158">
        <v>103.31</v>
      </c>
      <c r="K158">
        <v>61.3</v>
      </c>
      <c r="L158">
        <v>52.44</v>
      </c>
      <c r="M158">
        <v>62.23</v>
      </c>
      <c r="N158">
        <v>123.24</v>
      </c>
      <c r="O158">
        <v>43.01</v>
      </c>
      <c r="P158">
        <v>185.13</v>
      </c>
      <c r="Q158">
        <v>27.67</v>
      </c>
    </row>
    <row r="159" spans="2:17" x14ac:dyDescent="0.3">
      <c r="B159" s="2">
        <v>45093</v>
      </c>
      <c r="C159">
        <v>41.94</v>
      </c>
      <c r="D159">
        <v>439.46</v>
      </c>
      <c r="E159">
        <v>181.63</v>
      </c>
      <c r="F159">
        <v>28.15</v>
      </c>
      <c r="G159">
        <v>367.93</v>
      </c>
      <c r="H159">
        <v>21.99</v>
      </c>
      <c r="I159">
        <v>64.349999999999994</v>
      </c>
      <c r="J159">
        <v>102.6</v>
      </c>
      <c r="K159">
        <v>63.28</v>
      </c>
      <c r="L159">
        <v>53.01</v>
      </c>
      <c r="M159">
        <v>63.1</v>
      </c>
      <c r="N159">
        <v>124.29</v>
      </c>
      <c r="O159">
        <v>43.13</v>
      </c>
      <c r="P159">
        <v>185.94</v>
      </c>
      <c r="Q159">
        <v>28.91</v>
      </c>
    </row>
    <row r="160" spans="2:17" x14ac:dyDescent="0.3">
      <c r="B160" s="2">
        <v>45092</v>
      </c>
      <c r="C160">
        <v>42.09</v>
      </c>
      <c r="D160">
        <v>442.6</v>
      </c>
      <c r="E160">
        <v>181.91</v>
      </c>
      <c r="F160">
        <v>28.1</v>
      </c>
      <c r="G160">
        <v>370.26</v>
      </c>
      <c r="H160">
        <v>21.7</v>
      </c>
      <c r="I160">
        <v>63.41</v>
      </c>
      <c r="J160">
        <v>103</v>
      </c>
      <c r="K160">
        <v>63.33</v>
      </c>
      <c r="L160">
        <v>53.24</v>
      </c>
      <c r="M160">
        <v>63.71</v>
      </c>
      <c r="N160">
        <v>124.7</v>
      </c>
      <c r="O160">
        <v>43.01</v>
      </c>
      <c r="P160">
        <v>187.44</v>
      </c>
      <c r="Q160">
        <v>29.08</v>
      </c>
    </row>
    <row r="161" spans="2:17" x14ac:dyDescent="0.3">
      <c r="B161" s="2">
        <v>45091</v>
      </c>
      <c r="C161">
        <v>41.69</v>
      </c>
      <c r="D161">
        <v>437.18</v>
      </c>
      <c r="E161">
        <v>180.64</v>
      </c>
      <c r="F161">
        <v>28.26</v>
      </c>
      <c r="G161">
        <v>365.9</v>
      </c>
      <c r="H161">
        <v>21.33</v>
      </c>
      <c r="I161">
        <v>61.83</v>
      </c>
      <c r="J161">
        <v>102.02</v>
      </c>
      <c r="K161">
        <v>62.48</v>
      </c>
      <c r="L161">
        <v>53</v>
      </c>
      <c r="M161">
        <v>63.8</v>
      </c>
      <c r="N161">
        <v>123.18</v>
      </c>
      <c r="O161">
        <v>42.78</v>
      </c>
      <c r="P161">
        <v>185.91</v>
      </c>
      <c r="Q161">
        <v>28.45</v>
      </c>
    </row>
    <row r="162" spans="2:17" x14ac:dyDescent="0.3">
      <c r="B162" s="2">
        <v>45090</v>
      </c>
      <c r="C162">
        <v>41.3</v>
      </c>
      <c r="D162">
        <v>436.66</v>
      </c>
      <c r="E162">
        <v>180.54</v>
      </c>
      <c r="F162">
        <v>28.4</v>
      </c>
      <c r="G162">
        <v>363.26</v>
      </c>
      <c r="H162">
        <v>21.3</v>
      </c>
      <c r="I162">
        <v>62.14</v>
      </c>
      <c r="J162">
        <v>101.21</v>
      </c>
      <c r="K162">
        <v>62.26</v>
      </c>
      <c r="L162">
        <v>52.78</v>
      </c>
      <c r="M162">
        <v>63.51</v>
      </c>
      <c r="N162">
        <v>122.95</v>
      </c>
      <c r="O162">
        <v>42.64</v>
      </c>
      <c r="P162">
        <v>187.93</v>
      </c>
      <c r="Q162">
        <v>28.07</v>
      </c>
    </row>
    <row r="163" spans="2:17" x14ac:dyDescent="0.3">
      <c r="B163" s="2">
        <v>45089</v>
      </c>
      <c r="C163">
        <v>40.96</v>
      </c>
      <c r="D163">
        <v>433.8</v>
      </c>
      <c r="E163">
        <v>181.88</v>
      </c>
      <c r="F163">
        <v>28.49</v>
      </c>
      <c r="G163">
        <v>360.49</v>
      </c>
      <c r="H163">
        <v>21.24</v>
      </c>
      <c r="I163">
        <v>60.24</v>
      </c>
      <c r="J163">
        <v>102.22</v>
      </c>
      <c r="K163">
        <v>61.78</v>
      </c>
      <c r="L163">
        <v>52.35</v>
      </c>
      <c r="M163">
        <v>62.61</v>
      </c>
      <c r="N163">
        <v>122.03</v>
      </c>
      <c r="O163">
        <v>42.28</v>
      </c>
      <c r="P163">
        <v>185.8</v>
      </c>
      <c r="Q163">
        <v>27.75</v>
      </c>
    </row>
    <row r="164" spans="2:17" x14ac:dyDescent="0.3">
      <c r="B164" s="2">
        <v>45086</v>
      </c>
      <c r="C164">
        <v>40.86</v>
      </c>
      <c r="D164">
        <v>429.9</v>
      </c>
      <c r="E164">
        <v>182.04</v>
      </c>
      <c r="F164">
        <v>28.48</v>
      </c>
      <c r="G164">
        <v>354.5</v>
      </c>
      <c r="H164">
        <v>21.19</v>
      </c>
      <c r="I164">
        <v>62.93</v>
      </c>
      <c r="J164">
        <v>101.92</v>
      </c>
      <c r="K164">
        <v>61.51</v>
      </c>
      <c r="L164">
        <v>52.19</v>
      </c>
      <c r="M164">
        <v>62.22</v>
      </c>
      <c r="N164">
        <v>121.09</v>
      </c>
      <c r="O164">
        <v>42.11</v>
      </c>
      <c r="P164">
        <v>185.03</v>
      </c>
      <c r="Q164">
        <v>27.82</v>
      </c>
    </row>
    <row r="165" spans="2:17" x14ac:dyDescent="0.3">
      <c r="B165" s="2">
        <v>45085</v>
      </c>
      <c r="C165">
        <v>40.75</v>
      </c>
      <c r="D165">
        <v>429.13</v>
      </c>
      <c r="E165">
        <v>182.53</v>
      </c>
      <c r="F165">
        <v>28.39</v>
      </c>
      <c r="G165">
        <v>353.15</v>
      </c>
      <c r="H165">
        <v>21.24</v>
      </c>
      <c r="I165">
        <v>63.46</v>
      </c>
      <c r="J165">
        <v>102.06</v>
      </c>
      <c r="K165">
        <v>61.88</v>
      </c>
      <c r="L165">
        <v>51.85</v>
      </c>
      <c r="M165">
        <v>61.52</v>
      </c>
      <c r="N165">
        <v>120.95</v>
      </c>
      <c r="O165">
        <v>42.23</v>
      </c>
      <c r="P165">
        <v>186.54</v>
      </c>
      <c r="Q165">
        <v>27.79</v>
      </c>
    </row>
    <row r="166" spans="2:17" x14ac:dyDescent="0.3">
      <c r="B166" s="2">
        <v>45084</v>
      </c>
      <c r="C166">
        <v>40.53</v>
      </c>
      <c r="D166">
        <v>426.55</v>
      </c>
      <c r="E166">
        <v>180.15</v>
      </c>
      <c r="F166">
        <v>28.62</v>
      </c>
      <c r="G166">
        <v>348.82</v>
      </c>
      <c r="H166">
        <v>20.89</v>
      </c>
      <c r="I166">
        <v>64.709999999999994</v>
      </c>
      <c r="J166">
        <v>100.88</v>
      </c>
      <c r="K166">
        <v>61.17</v>
      </c>
      <c r="L166">
        <v>51.53</v>
      </c>
      <c r="M166">
        <v>61</v>
      </c>
      <c r="N166">
        <v>120.16</v>
      </c>
      <c r="O166">
        <v>42.33</v>
      </c>
      <c r="P166">
        <v>187.24</v>
      </c>
      <c r="Q166">
        <v>27.5</v>
      </c>
    </row>
    <row r="167" spans="2:17" x14ac:dyDescent="0.3">
      <c r="B167" s="2">
        <v>45083</v>
      </c>
      <c r="C167">
        <v>40.619999999999997</v>
      </c>
      <c r="D167">
        <v>428.03</v>
      </c>
      <c r="E167">
        <v>182.34</v>
      </c>
      <c r="F167">
        <v>28.61</v>
      </c>
      <c r="G167">
        <v>354.84</v>
      </c>
      <c r="H167">
        <v>21.02</v>
      </c>
      <c r="I167">
        <v>63.79</v>
      </c>
      <c r="J167">
        <v>102.4</v>
      </c>
      <c r="K167">
        <v>61.44</v>
      </c>
      <c r="L167">
        <v>51.98</v>
      </c>
      <c r="M167">
        <v>63.04</v>
      </c>
      <c r="N167">
        <v>121.98</v>
      </c>
      <c r="O167">
        <v>42.26</v>
      </c>
      <c r="P167">
        <v>184.31</v>
      </c>
      <c r="Q167">
        <v>27.99</v>
      </c>
    </row>
    <row r="168" spans="2:17" x14ac:dyDescent="0.3">
      <c r="B168" s="2">
        <v>45082</v>
      </c>
      <c r="C168">
        <v>40.31</v>
      </c>
      <c r="D168">
        <v>427.1</v>
      </c>
      <c r="E168">
        <v>182.14</v>
      </c>
      <c r="F168">
        <v>28.52</v>
      </c>
      <c r="G168">
        <v>354.9</v>
      </c>
      <c r="H168">
        <v>20.85</v>
      </c>
      <c r="I168">
        <v>64.03</v>
      </c>
      <c r="J168">
        <v>101.8</v>
      </c>
      <c r="K168">
        <v>61.21</v>
      </c>
      <c r="L168">
        <v>51.64</v>
      </c>
      <c r="M168">
        <v>61.78</v>
      </c>
      <c r="N168">
        <v>121.46</v>
      </c>
      <c r="O168">
        <v>42.16</v>
      </c>
      <c r="P168">
        <v>179.58</v>
      </c>
      <c r="Q168">
        <v>27.39</v>
      </c>
    </row>
    <row r="169" spans="2:17" x14ac:dyDescent="0.3">
      <c r="B169" s="2">
        <v>45079</v>
      </c>
      <c r="C169">
        <v>40.35</v>
      </c>
      <c r="D169">
        <v>427.92</v>
      </c>
      <c r="E169">
        <v>181.05</v>
      </c>
      <c r="F169">
        <v>28.57</v>
      </c>
      <c r="G169">
        <v>354.65</v>
      </c>
      <c r="H169">
        <v>20.88</v>
      </c>
      <c r="I169">
        <v>64.150000000000006</v>
      </c>
      <c r="J169">
        <v>101.99</v>
      </c>
      <c r="K169">
        <v>61.65</v>
      </c>
      <c r="L169">
        <v>51.63</v>
      </c>
      <c r="M169">
        <v>62</v>
      </c>
      <c r="N169">
        <v>121.83</v>
      </c>
      <c r="O169">
        <v>42.28</v>
      </c>
      <c r="P169">
        <v>182.02</v>
      </c>
      <c r="Q169">
        <v>27.43</v>
      </c>
    </row>
    <row r="170" spans="2:17" x14ac:dyDescent="0.3">
      <c r="B170" s="2">
        <v>45078</v>
      </c>
      <c r="C170">
        <v>39.72</v>
      </c>
      <c r="D170">
        <v>421.82</v>
      </c>
      <c r="E170">
        <v>183.76</v>
      </c>
      <c r="F170">
        <v>28.27</v>
      </c>
      <c r="G170">
        <v>352.01</v>
      </c>
      <c r="H170">
        <v>20.76</v>
      </c>
      <c r="I170">
        <v>62.55</v>
      </c>
      <c r="J170">
        <v>103.12</v>
      </c>
      <c r="K170">
        <v>60.93</v>
      </c>
      <c r="L170">
        <v>50.96</v>
      </c>
      <c r="M170">
        <v>60.83</v>
      </c>
      <c r="N170">
        <v>120.03</v>
      </c>
      <c r="O170">
        <v>42.125</v>
      </c>
      <c r="P170">
        <v>175.65</v>
      </c>
      <c r="Q170">
        <v>26.63</v>
      </c>
    </row>
    <row r="171" spans="2:17" x14ac:dyDescent="0.3">
      <c r="B171" s="2">
        <v>45077</v>
      </c>
      <c r="C171">
        <v>39.049999999999997</v>
      </c>
      <c r="D171">
        <v>417.85</v>
      </c>
      <c r="E171">
        <v>182.32</v>
      </c>
      <c r="F171">
        <v>28.61</v>
      </c>
      <c r="G171">
        <v>347.99</v>
      </c>
      <c r="H171">
        <v>20.46</v>
      </c>
      <c r="I171">
        <v>60.63</v>
      </c>
      <c r="J171">
        <v>102.99</v>
      </c>
      <c r="K171">
        <v>60.22</v>
      </c>
      <c r="L171">
        <v>50.33</v>
      </c>
      <c r="M171">
        <v>59.34</v>
      </c>
      <c r="N171">
        <v>118.6</v>
      </c>
      <c r="O171">
        <v>41.7</v>
      </c>
      <c r="P171">
        <v>173.77</v>
      </c>
      <c r="Q171">
        <v>25.97</v>
      </c>
    </row>
    <row r="172" spans="2:17" x14ac:dyDescent="0.3">
      <c r="B172" s="2">
        <v>45076</v>
      </c>
      <c r="C172">
        <v>39.33</v>
      </c>
      <c r="D172">
        <v>420.18</v>
      </c>
      <c r="E172">
        <v>182.04</v>
      </c>
      <c r="F172">
        <v>28.56</v>
      </c>
      <c r="G172">
        <v>349.98</v>
      </c>
      <c r="H172">
        <v>20.440000000000001</v>
      </c>
      <c r="I172">
        <v>62.3</v>
      </c>
      <c r="J172">
        <v>102.1</v>
      </c>
      <c r="K172">
        <v>60.87</v>
      </c>
      <c r="L172">
        <v>50.89</v>
      </c>
      <c r="M172">
        <v>59.86</v>
      </c>
      <c r="N172">
        <v>119.52</v>
      </c>
      <c r="O172">
        <v>41.81</v>
      </c>
      <c r="P172">
        <v>175.5</v>
      </c>
      <c r="Q172">
        <v>26.04</v>
      </c>
    </row>
    <row r="173" spans="2:17" x14ac:dyDescent="0.3">
      <c r="B173" s="2">
        <v>45072</v>
      </c>
      <c r="C173">
        <v>39.85</v>
      </c>
      <c r="D173">
        <v>420.02</v>
      </c>
      <c r="E173">
        <v>180.92</v>
      </c>
      <c r="F173">
        <v>28.59</v>
      </c>
      <c r="G173">
        <v>348.4</v>
      </c>
      <c r="H173">
        <v>20.57</v>
      </c>
      <c r="I173">
        <v>64.8</v>
      </c>
      <c r="J173">
        <v>101.09</v>
      </c>
      <c r="K173">
        <v>61.51</v>
      </c>
      <c r="L173">
        <v>51.19</v>
      </c>
      <c r="M173">
        <v>60.25</v>
      </c>
      <c r="N173">
        <v>119.91</v>
      </c>
      <c r="O173">
        <v>42.02</v>
      </c>
      <c r="P173">
        <v>176.15</v>
      </c>
      <c r="Q173">
        <v>26.83</v>
      </c>
    </row>
    <row r="174" spans="2:17" x14ac:dyDescent="0.3">
      <c r="B174" s="2">
        <v>45071</v>
      </c>
      <c r="C174">
        <v>39.200000000000003</v>
      </c>
      <c r="D174">
        <v>414.65</v>
      </c>
      <c r="E174">
        <v>180.2</v>
      </c>
      <c r="F174">
        <v>28.6</v>
      </c>
      <c r="G174">
        <v>339.72</v>
      </c>
      <c r="H174">
        <v>20.399999999999999</v>
      </c>
      <c r="I174">
        <v>64.09</v>
      </c>
      <c r="J174">
        <v>100.28</v>
      </c>
      <c r="K174">
        <v>60.84</v>
      </c>
      <c r="L174">
        <v>50.32</v>
      </c>
      <c r="M174">
        <v>60.05</v>
      </c>
      <c r="N174">
        <v>118.41</v>
      </c>
      <c r="O174">
        <v>41.41</v>
      </c>
      <c r="P174">
        <v>174.17</v>
      </c>
      <c r="Q174">
        <v>26.39</v>
      </c>
    </row>
    <row r="175" spans="2:17" x14ac:dyDescent="0.3">
      <c r="B175" s="2">
        <v>45070</v>
      </c>
      <c r="C175">
        <v>39.270000000000003</v>
      </c>
      <c r="D175">
        <v>411.09</v>
      </c>
      <c r="E175">
        <v>181.95</v>
      </c>
      <c r="F175">
        <v>28.47</v>
      </c>
      <c r="G175">
        <v>331.65</v>
      </c>
      <c r="H175">
        <v>20.63</v>
      </c>
      <c r="I175">
        <v>65.66</v>
      </c>
      <c r="J175">
        <v>100.53</v>
      </c>
      <c r="K175">
        <v>61</v>
      </c>
      <c r="L175">
        <v>50.05</v>
      </c>
      <c r="M175">
        <v>59.71</v>
      </c>
      <c r="N175">
        <v>117.91</v>
      </c>
      <c r="O175">
        <v>41.19</v>
      </c>
      <c r="P175">
        <v>175.54</v>
      </c>
      <c r="Q175">
        <v>26.94</v>
      </c>
    </row>
    <row r="176" spans="2:17" x14ac:dyDescent="0.3">
      <c r="B176" s="2">
        <v>45069</v>
      </c>
      <c r="C176">
        <v>39.549999999999997</v>
      </c>
      <c r="D176">
        <v>414.09</v>
      </c>
      <c r="E176">
        <v>183.43</v>
      </c>
      <c r="F176">
        <v>28.37</v>
      </c>
      <c r="G176">
        <v>333.36</v>
      </c>
      <c r="H176">
        <v>20.74</v>
      </c>
      <c r="I176">
        <v>64.87</v>
      </c>
      <c r="J176">
        <v>101.03</v>
      </c>
      <c r="K176">
        <v>61.97</v>
      </c>
      <c r="L176">
        <v>50.14</v>
      </c>
      <c r="M176">
        <v>60.35</v>
      </c>
      <c r="N176">
        <v>119.03</v>
      </c>
      <c r="O176">
        <v>41.13</v>
      </c>
      <c r="P176">
        <v>177.42</v>
      </c>
      <c r="Q176">
        <v>27.49</v>
      </c>
    </row>
    <row r="177" spans="2:17" x14ac:dyDescent="0.3">
      <c r="B177" s="2">
        <v>45068</v>
      </c>
      <c r="C177">
        <v>40.15</v>
      </c>
      <c r="D177">
        <v>418.79</v>
      </c>
      <c r="E177">
        <v>183.21</v>
      </c>
      <c r="F177">
        <v>28.29</v>
      </c>
      <c r="G177">
        <v>337.64</v>
      </c>
      <c r="H177">
        <v>20.76</v>
      </c>
      <c r="I177">
        <v>63.91</v>
      </c>
      <c r="J177">
        <v>100.74</v>
      </c>
      <c r="K177">
        <v>62.89</v>
      </c>
      <c r="L177">
        <v>50.61</v>
      </c>
      <c r="M177">
        <v>61.23</v>
      </c>
      <c r="N177">
        <v>120.47</v>
      </c>
      <c r="O177">
        <v>41.26</v>
      </c>
      <c r="P177">
        <v>178.26</v>
      </c>
      <c r="Q177">
        <v>28.35</v>
      </c>
    </row>
    <row r="178" spans="2:17" x14ac:dyDescent="0.3">
      <c r="B178" s="2">
        <v>45065</v>
      </c>
      <c r="C178">
        <v>39.89</v>
      </c>
      <c r="D178">
        <v>418.62</v>
      </c>
      <c r="E178">
        <v>183.64</v>
      </c>
      <c r="F178">
        <v>28.27</v>
      </c>
      <c r="G178">
        <v>336.51</v>
      </c>
      <c r="H178">
        <v>20.78</v>
      </c>
      <c r="I178">
        <v>63.9</v>
      </c>
      <c r="J178">
        <v>101.1</v>
      </c>
      <c r="K178">
        <v>62.97</v>
      </c>
      <c r="L178">
        <v>50.38</v>
      </c>
      <c r="M178">
        <v>60.96</v>
      </c>
      <c r="N178">
        <v>120.39</v>
      </c>
      <c r="O178">
        <v>40.880000000000003</v>
      </c>
      <c r="P178">
        <v>176.11</v>
      </c>
      <c r="Q178">
        <v>27.9</v>
      </c>
    </row>
    <row r="179" spans="2:17" x14ac:dyDescent="0.3">
      <c r="B179" s="2">
        <v>45064</v>
      </c>
      <c r="C179">
        <v>39.909999999999997</v>
      </c>
      <c r="D179">
        <v>419.23</v>
      </c>
      <c r="E179">
        <v>181.84</v>
      </c>
      <c r="F179">
        <v>28.35</v>
      </c>
      <c r="G179">
        <v>337.27</v>
      </c>
      <c r="H179">
        <v>20.7</v>
      </c>
      <c r="I179">
        <v>64.040000000000006</v>
      </c>
      <c r="J179">
        <v>101.82</v>
      </c>
      <c r="K179">
        <v>62.51</v>
      </c>
      <c r="L179">
        <v>50.26</v>
      </c>
      <c r="M179">
        <v>60.86</v>
      </c>
      <c r="N179">
        <v>120.33</v>
      </c>
      <c r="O179">
        <v>40.93</v>
      </c>
      <c r="P179">
        <v>177.19</v>
      </c>
      <c r="Q179">
        <v>28.05</v>
      </c>
    </row>
    <row r="180" spans="2:17" x14ac:dyDescent="0.3">
      <c r="B180" s="2">
        <v>45063</v>
      </c>
      <c r="C180">
        <v>40.159999999999997</v>
      </c>
      <c r="D180">
        <v>415.23</v>
      </c>
      <c r="E180">
        <v>184.23</v>
      </c>
      <c r="F180">
        <v>28.14</v>
      </c>
      <c r="G180">
        <v>331.12</v>
      </c>
      <c r="H180">
        <v>20.78</v>
      </c>
      <c r="I180">
        <v>64.599999999999994</v>
      </c>
      <c r="J180">
        <v>102.58</v>
      </c>
      <c r="K180">
        <v>62.63</v>
      </c>
      <c r="L180">
        <v>50.22</v>
      </c>
      <c r="M180">
        <v>60.85</v>
      </c>
      <c r="N180">
        <v>119.56</v>
      </c>
      <c r="O180">
        <v>41.23</v>
      </c>
      <c r="P180">
        <v>176.12</v>
      </c>
      <c r="Q180">
        <v>28.44</v>
      </c>
    </row>
    <row r="181" spans="2:17" x14ac:dyDescent="0.3">
      <c r="B181" s="2">
        <v>45062</v>
      </c>
      <c r="C181">
        <v>40.020000000000003</v>
      </c>
      <c r="D181">
        <v>410.25</v>
      </c>
      <c r="E181">
        <v>184.87</v>
      </c>
      <c r="F181">
        <v>28.09</v>
      </c>
      <c r="G181">
        <v>327.16000000000003</v>
      </c>
      <c r="H181">
        <v>20.94</v>
      </c>
      <c r="I181">
        <v>62.54</v>
      </c>
      <c r="J181">
        <v>102.88</v>
      </c>
      <c r="K181">
        <v>62.36</v>
      </c>
      <c r="L181">
        <v>49.7</v>
      </c>
      <c r="M181">
        <v>60.44</v>
      </c>
      <c r="N181">
        <v>118.43</v>
      </c>
      <c r="O181">
        <v>41.29</v>
      </c>
      <c r="P181">
        <v>172.28</v>
      </c>
      <c r="Q181">
        <v>28.74</v>
      </c>
    </row>
    <row r="182" spans="2:17" x14ac:dyDescent="0.3">
      <c r="B182" s="2">
        <v>45061</v>
      </c>
      <c r="C182">
        <v>40.299999999999997</v>
      </c>
      <c r="D182">
        <v>413.01</v>
      </c>
      <c r="E182">
        <v>187.21</v>
      </c>
      <c r="F182">
        <v>28.02</v>
      </c>
      <c r="G182">
        <v>326.79000000000002</v>
      </c>
      <c r="H182">
        <v>21.09</v>
      </c>
      <c r="I182">
        <v>62.99</v>
      </c>
      <c r="J182">
        <v>103.19</v>
      </c>
      <c r="K182">
        <v>63.02</v>
      </c>
      <c r="L182">
        <v>50.02</v>
      </c>
      <c r="M182">
        <v>60.56</v>
      </c>
      <c r="N182">
        <v>119.46</v>
      </c>
      <c r="O182">
        <v>41.66</v>
      </c>
      <c r="P182">
        <v>174.83</v>
      </c>
      <c r="Q182">
        <v>29.04</v>
      </c>
    </row>
    <row r="183" spans="2:17" x14ac:dyDescent="0.3">
      <c r="B183" s="2">
        <v>45058</v>
      </c>
      <c r="C183">
        <v>39.61</v>
      </c>
      <c r="D183">
        <v>411.59</v>
      </c>
      <c r="E183">
        <v>186.81</v>
      </c>
      <c r="F183">
        <v>28.1</v>
      </c>
      <c r="G183">
        <v>325.02999999999997</v>
      </c>
      <c r="H183">
        <v>20.83</v>
      </c>
      <c r="I183">
        <v>62.07</v>
      </c>
      <c r="J183">
        <v>104.27</v>
      </c>
      <c r="K183">
        <v>62.55</v>
      </c>
      <c r="L183">
        <v>49.57</v>
      </c>
      <c r="M183">
        <v>60.2</v>
      </c>
      <c r="N183">
        <v>118.75</v>
      </c>
      <c r="O183">
        <v>41.32</v>
      </c>
      <c r="P183">
        <v>172.72</v>
      </c>
      <c r="Q183">
        <v>27.79</v>
      </c>
    </row>
    <row r="184" spans="2:17" x14ac:dyDescent="0.3">
      <c r="B184" s="2">
        <v>45057</v>
      </c>
      <c r="C184">
        <v>40.06</v>
      </c>
      <c r="D184">
        <v>412.13</v>
      </c>
      <c r="E184">
        <v>187.13</v>
      </c>
      <c r="F184">
        <v>27.92</v>
      </c>
      <c r="G184">
        <v>326.2</v>
      </c>
      <c r="H184">
        <v>20.78</v>
      </c>
      <c r="I184">
        <v>63.25</v>
      </c>
      <c r="J184">
        <v>105.15</v>
      </c>
      <c r="K184">
        <v>62.72</v>
      </c>
      <c r="L184">
        <v>49.9</v>
      </c>
      <c r="M184">
        <v>59.91</v>
      </c>
      <c r="N184">
        <v>118.92</v>
      </c>
      <c r="O184">
        <v>41.46</v>
      </c>
      <c r="P184">
        <v>173.07</v>
      </c>
      <c r="Q184">
        <v>28.54</v>
      </c>
    </row>
    <row r="185" spans="2:17" x14ac:dyDescent="0.3">
      <c r="B185" s="2">
        <v>45056</v>
      </c>
      <c r="C185">
        <v>40.22</v>
      </c>
      <c r="D185">
        <v>412.85</v>
      </c>
      <c r="E185">
        <v>188.75</v>
      </c>
      <c r="F185">
        <v>27.74</v>
      </c>
      <c r="G185">
        <v>325.14</v>
      </c>
      <c r="H185">
        <v>21.03</v>
      </c>
      <c r="I185">
        <v>64.39</v>
      </c>
      <c r="J185">
        <v>104.05</v>
      </c>
      <c r="K185">
        <v>62.99</v>
      </c>
      <c r="L185">
        <v>50.33</v>
      </c>
      <c r="M185">
        <v>59.74</v>
      </c>
      <c r="N185">
        <v>119.2</v>
      </c>
      <c r="O185">
        <v>41.71</v>
      </c>
      <c r="P185">
        <v>174.41</v>
      </c>
      <c r="Q185">
        <v>28.24</v>
      </c>
    </row>
    <row r="186" spans="2:17" x14ac:dyDescent="0.3">
      <c r="B186" s="2">
        <v>45055</v>
      </c>
      <c r="C186">
        <v>40.21</v>
      </c>
      <c r="D186">
        <v>410.93</v>
      </c>
      <c r="E186">
        <v>189.02</v>
      </c>
      <c r="F186">
        <v>27.79</v>
      </c>
      <c r="G186">
        <v>321.64</v>
      </c>
      <c r="H186">
        <v>20.96</v>
      </c>
      <c r="I186">
        <v>64.87</v>
      </c>
      <c r="J186">
        <v>103.05</v>
      </c>
      <c r="K186">
        <v>63.07</v>
      </c>
      <c r="L186">
        <v>50.2</v>
      </c>
      <c r="M186">
        <v>60.04</v>
      </c>
      <c r="N186">
        <v>118.91</v>
      </c>
      <c r="O186">
        <v>41.47</v>
      </c>
      <c r="P186">
        <v>173.53</v>
      </c>
      <c r="Q186">
        <v>28.44</v>
      </c>
    </row>
    <row r="187" spans="2:17" x14ac:dyDescent="0.3">
      <c r="B187" s="2">
        <v>45054</v>
      </c>
      <c r="C187">
        <v>40.46</v>
      </c>
      <c r="D187">
        <v>412.74</v>
      </c>
      <c r="E187">
        <v>187.69</v>
      </c>
      <c r="F187">
        <v>27.7</v>
      </c>
      <c r="G187">
        <v>323.69</v>
      </c>
      <c r="H187">
        <v>20.91</v>
      </c>
      <c r="I187">
        <v>64.260000000000005</v>
      </c>
      <c r="J187">
        <v>103.42</v>
      </c>
      <c r="K187">
        <v>63.57</v>
      </c>
      <c r="L187">
        <v>50.32</v>
      </c>
      <c r="M187">
        <v>59.4</v>
      </c>
      <c r="N187">
        <v>119.4</v>
      </c>
      <c r="O187">
        <v>41.53</v>
      </c>
      <c r="P187">
        <v>174.05</v>
      </c>
      <c r="Q187">
        <v>28.89</v>
      </c>
    </row>
    <row r="188" spans="2:17" x14ac:dyDescent="0.3">
      <c r="B188" s="2">
        <v>45051</v>
      </c>
      <c r="C188">
        <v>40.450000000000003</v>
      </c>
      <c r="D188">
        <v>412.63</v>
      </c>
      <c r="E188">
        <v>187.46</v>
      </c>
      <c r="F188">
        <v>27.66</v>
      </c>
      <c r="G188">
        <v>322.89</v>
      </c>
      <c r="H188">
        <v>21.03</v>
      </c>
      <c r="I188">
        <v>63.03</v>
      </c>
      <c r="J188">
        <v>104.89</v>
      </c>
      <c r="K188">
        <v>63.56</v>
      </c>
      <c r="L188">
        <v>50.32</v>
      </c>
      <c r="M188">
        <v>59.53</v>
      </c>
      <c r="N188">
        <v>119.35</v>
      </c>
      <c r="O188">
        <v>41.4</v>
      </c>
      <c r="P188">
        <v>174.45</v>
      </c>
      <c r="Q188">
        <v>28.67</v>
      </c>
    </row>
    <row r="189" spans="2:17" x14ac:dyDescent="0.3">
      <c r="B189" s="2">
        <v>45050</v>
      </c>
      <c r="C189">
        <v>40.020000000000003</v>
      </c>
      <c r="D189">
        <v>405.13</v>
      </c>
      <c r="E189">
        <v>190.44</v>
      </c>
      <c r="F189">
        <v>27.7</v>
      </c>
      <c r="G189">
        <v>316.17</v>
      </c>
      <c r="H189">
        <v>20.7</v>
      </c>
      <c r="I189">
        <v>60.7</v>
      </c>
      <c r="J189">
        <v>105.24</v>
      </c>
      <c r="K189">
        <v>62.62</v>
      </c>
      <c r="L189">
        <v>49.67</v>
      </c>
      <c r="M189">
        <v>58.74</v>
      </c>
      <c r="N189">
        <v>117.29</v>
      </c>
      <c r="O189">
        <v>41.26</v>
      </c>
      <c r="P189">
        <v>170.4</v>
      </c>
      <c r="Q189">
        <v>28.3</v>
      </c>
    </row>
    <row r="190" spans="2:17" x14ac:dyDescent="0.3">
      <c r="B190" s="2">
        <v>45049</v>
      </c>
      <c r="C190">
        <v>39.68</v>
      </c>
      <c r="D190">
        <v>408.02</v>
      </c>
      <c r="E190">
        <v>189.11</v>
      </c>
      <c r="F190">
        <v>27.67</v>
      </c>
      <c r="G190">
        <v>317.29000000000002</v>
      </c>
      <c r="H190">
        <v>20.6</v>
      </c>
      <c r="I190">
        <v>60.31</v>
      </c>
      <c r="J190">
        <v>106.29</v>
      </c>
      <c r="K190">
        <v>62.94</v>
      </c>
      <c r="L190">
        <v>49.43</v>
      </c>
      <c r="M190">
        <v>58.63</v>
      </c>
      <c r="N190">
        <v>117.86</v>
      </c>
      <c r="O190">
        <v>40.92</v>
      </c>
      <c r="P190">
        <v>172.33</v>
      </c>
      <c r="Q190">
        <v>27.56</v>
      </c>
    </row>
    <row r="191" spans="2:17" x14ac:dyDescent="0.3">
      <c r="B191" s="2">
        <v>45048</v>
      </c>
      <c r="C191">
        <v>39.69</v>
      </c>
      <c r="D191">
        <v>410.84</v>
      </c>
      <c r="E191">
        <v>187.52</v>
      </c>
      <c r="F191">
        <v>27.82</v>
      </c>
      <c r="G191">
        <v>319.38</v>
      </c>
      <c r="H191">
        <v>20.54</v>
      </c>
      <c r="I191">
        <v>63.05</v>
      </c>
      <c r="J191">
        <v>105.7</v>
      </c>
      <c r="K191">
        <v>62.74</v>
      </c>
      <c r="L191">
        <v>49.45</v>
      </c>
      <c r="M191">
        <v>58.28</v>
      </c>
      <c r="N191">
        <v>118.37</v>
      </c>
      <c r="O191">
        <v>41.06</v>
      </c>
      <c r="P191">
        <v>171.7</v>
      </c>
      <c r="Q191">
        <v>27.69</v>
      </c>
    </row>
    <row r="192" spans="2:17" x14ac:dyDescent="0.3">
      <c r="B192" s="2">
        <v>45047</v>
      </c>
      <c r="C192">
        <v>40.11</v>
      </c>
      <c r="D192">
        <v>415.51</v>
      </c>
      <c r="E192">
        <v>183.97</v>
      </c>
      <c r="F192">
        <v>27.89</v>
      </c>
      <c r="G192">
        <v>322.19</v>
      </c>
      <c r="H192">
        <v>20.73</v>
      </c>
      <c r="I192">
        <v>66.55</v>
      </c>
      <c r="J192">
        <v>103.13</v>
      </c>
      <c r="K192">
        <v>63.48</v>
      </c>
      <c r="L192">
        <v>49.75</v>
      </c>
      <c r="M192">
        <v>58.77</v>
      </c>
      <c r="N192">
        <v>119.67</v>
      </c>
      <c r="O192">
        <v>41.12</v>
      </c>
      <c r="P192">
        <v>175.3</v>
      </c>
      <c r="Q192">
        <v>28.22</v>
      </c>
    </row>
    <row r="193" spans="2:17" x14ac:dyDescent="0.3">
      <c r="B193" s="2">
        <v>45044</v>
      </c>
      <c r="C193">
        <v>40.24</v>
      </c>
      <c r="D193">
        <v>415.93</v>
      </c>
      <c r="E193">
        <v>184.8</v>
      </c>
      <c r="F193">
        <v>27.75</v>
      </c>
      <c r="G193">
        <v>322.56</v>
      </c>
      <c r="H193">
        <v>20.95</v>
      </c>
      <c r="I193">
        <v>67.5</v>
      </c>
      <c r="J193">
        <v>106.46</v>
      </c>
      <c r="K193">
        <v>63.47</v>
      </c>
      <c r="L193">
        <v>49.9</v>
      </c>
      <c r="M193">
        <v>58.84</v>
      </c>
      <c r="N193">
        <v>119.79</v>
      </c>
      <c r="O193">
        <v>41.12</v>
      </c>
      <c r="P193">
        <v>175.2</v>
      </c>
      <c r="Q193">
        <v>28.33</v>
      </c>
    </row>
    <row r="194" spans="2:17" x14ac:dyDescent="0.3">
      <c r="B194" s="2">
        <v>45043</v>
      </c>
      <c r="C194">
        <v>40</v>
      </c>
      <c r="D194">
        <v>412.41</v>
      </c>
      <c r="E194">
        <v>184.75</v>
      </c>
      <c r="F194">
        <v>27.71</v>
      </c>
      <c r="G194">
        <v>320.35000000000002</v>
      </c>
      <c r="H194">
        <v>20.98</v>
      </c>
      <c r="I194">
        <v>65.81</v>
      </c>
      <c r="J194">
        <v>104.77</v>
      </c>
      <c r="K194">
        <v>63.38</v>
      </c>
      <c r="L194">
        <v>49.67</v>
      </c>
      <c r="M194">
        <v>59.31</v>
      </c>
      <c r="N194">
        <v>119.18</v>
      </c>
      <c r="O194">
        <v>40.75</v>
      </c>
      <c r="P194">
        <v>173.68</v>
      </c>
      <c r="Q194">
        <v>28.19</v>
      </c>
    </row>
    <row r="195" spans="2:17" x14ac:dyDescent="0.3">
      <c r="B195" s="2">
        <v>45042</v>
      </c>
      <c r="C195">
        <v>39.49</v>
      </c>
      <c r="D195">
        <v>404.36</v>
      </c>
      <c r="E195">
        <v>184.74</v>
      </c>
      <c r="F195">
        <v>27.7</v>
      </c>
      <c r="G195">
        <v>311.87</v>
      </c>
      <c r="H195">
        <v>21.02</v>
      </c>
      <c r="I195">
        <v>65.36</v>
      </c>
      <c r="J195">
        <v>105.82</v>
      </c>
      <c r="K195">
        <v>62.65</v>
      </c>
      <c r="L195">
        <v>48.97</v>
      </c>
      <c r="M195">
        <v>58.36</v>
      </c>
      <c r="N195">
        <v>117.11</v>
      </c>
      <c r="O195">
        <v>40.26</v>
      </c>
      <c r="P195">
        <v>171.39</v>
      </c>
      <c r="Q195">
        <v>27.8</v>
      </c>
    </row>
    <row r="196" spans="2:17" x14ac:dyDescent="0.3">
      <c r="B196" s="2">
        <v>45041</v>
      </c>
      <c r="C196">
        <v>39.22</v>
      </c>
      <c r="D196">
        <v>406.08</v>
      </c>
      <c r="E196">
        <v>185.75</v>
      </c>
      <c r="F196">
        <v>27.79</v>
      </c>
      <c r="G196">
        <v>309.99</v>
      </c>
      <c r="H196">
        <v>20.99</v>
      </c>
      <c r="I196">
        <v>67.62</v>
      </c>
      <c r="J196">
        <v>106.96</v>
      </c>
      <c r="K196">
        <v>62.6</v>
      </c>
      <c r="L196">
        <v>48.83</v>
      </c>
      <c r="M196">
        <v>58.57</v>
      </c>
      <c r="N196">
        <v>117.49</v>
      </c>
      <c r="O196">
        <v>40.01</v>
      </c>
      <c r="P196">
        <v>173.06</v>
      </c>
      <c r="Q196">
        <v>27.35</v>
      </c>
    </row>
    <row r="197" spans="2:17" x14ac:dyDescent="0.3">
      <c r="B197" s="2">
        <v>45040</v>
      </c>
      <c r="C197">
        <v>39.9</v>
      </c>
      <c r="D197">
        <v>412.63</v>
      </c>
      <c r="E197">
        <v>184.81</v>
      </c>
      <c r="F197">
        <v>27.66</v>
      </c>
      <c r="G197">
        <v>315.95</v>
      </c>
      <c r="H197">
        <v>21.06</v>
      </c>
      <c r="I197">
        <v>69.25</v>
      </c>
      <c r="J197">
        <v>105.41</v>
      </c>
      <c r="K197">
        <v>63.67</v>
      </c>
      <c r="L197">
        <v>49.6</v>
      </c>
      <c r="M197">
        <v>58.98</v>
      </c>
      <c r="N197">
        <v>119.36</v>
      </c>
      <c r="O197">
        <v>40.19</v>
      </c>
      <c r="P197">
        <v>177.44</v>
      </c>
      <c r="Q197">
        <v>28.11</v>
      </c>
    </row>
    <row r="198" spans="2:17" x14ac:dyDescent="0.3">
      <c r="B198" s="2">
        <v>45037</v>
      </c>
      <c r="C198">
        <v>39.950000000000003</v>
      </c>
      <c r="D198">
        <v>412.2</v>
      </c>
      <c r="E198">
        <v>184.25</v>
      </c>
      <c r="F198">
        <v>27.75</v>
      </c>
      <c r="G198">
        <v>316.61</v>
      </c>
      <c r="H198">
        <v>20.94</v>
      </c>
      <c r="I198">
        <v>68.209999999999994</v>
      </c>
      <c r="J198">
        <v>104.4</v>
      </c>
      <c r="K198">
        <v>63.41</v>
      </c>
      <c r="L198">
        <v>49.53</v>
      </c>
      <c r="M198">
        <v>59.01</v>
      </c>
      <c r="N198">
        <v>119.22</v>
      </c>
      <c r="O198">
        <v>39.880000000000003</v>
      </c>
      <c r="P198">
        <v>177.56</v>
      </c>
      <c r="Q198">
        <v>28.4</v>
      </c>
    </row>
    <row r="199" spans="2:17" x14ac:dyDescent="0.3">
      <c r="B199" s="2">
        <v>45036</v>
      </c>
      <c r="C199">
        <v>40.33</v>
      </c>
      <c r="D199">
        <v>411.88</v>
      </c>
      <c r="E199">
        <v>186.09</v>
      </c>
      <c r="F199">
        <v>27.78</v>
      </c>
      <c r="G199">
        <v>316.27999999999997</v>
      </c>
      <c r="H199">
        <v>21.08</v>
      </c>
      <c r="I199">
        <v>67.599999999999994</v>
      </c>
      <c r="J199">
        <v>104.99</v>
      </c>
      <c r="K199">
        <v>62.94</v>
      </c>
      <c r="L199">
        <v>49.77</v>
      </c>
      <c r="M199">
        <v>58.68</v>
      </c>
      <c r="N199">
        <v>118.97</v>
      </c>
      <c r="O199">
        <v>39.86</v>
      </c>
      <c r="P199">
        <v>177.33</v>
      </c>
      <c r="Q199">
        <v>28.82</v>
      </c>
    </row>
    <row r="200" spans="2:17" x14ac:dyDescent="0.3">
      <c r="B200" s="2">
        <v>45035</v>
      </c>
      <c r="C200">
        <v>40.380000000000003</v>
      </c>
      <c r="D200">
        <v>414.14</v>
      </c>
      <c r="E200">
        <v>185.36</v>
      </c>
      <c r="F200">
        <v>27.78</v>
      </c>
      <c r="G200">
        <v>318.70999999999998</v>
      </c>
      <c r="H200">
        <v>21.11</v>
      </c>
      <c r="I200">
        <v>69.3</v>
      </c>
      <c r="J200">
        <v>104.1</v>
      </c>
      <c r="K200">
        <v>63.03</v>
      </c>
      <c r="L200">
        <v>49.715000000000003</v>
      </c>
      <c r="M200">
        <v>58.49</v>
      </c>
      <c r="N200">
        <v>119.44</v>
      </c>
      <c r="O200">
        <v>39.81</v>
      </c>
      <c r="P200">
        <v>178.25</v>
      </c>
      <c r="Q200">
        <v>29.01</v>
      </c>
    </row>
    <row r="201" spans="2:17" x14ac:dyDescent="0.3">
      <c r="B201" s="2">
        <v>45034</v>
      </c>
      <c r="C201">
        <v>40.799999999999997</v>
      </c>
      <c r="D201">
        <v>414.21</v>
      </c>
      <c r="E201">
        <v>186.25</v>
      </c>
      <c r="F201">
        <v>27.72</v>
      </c>
      <c r="G201">
        <v>318.86</v>
      </c>
      <c r="H201">
        <v>21.3</v>
      </c>
      <c r="I201">
        <v>70.73</v>
      </c>
      <c r="J201">
        <v>104.2</v>
      </c>
      <c r="K201">
        <v>63.17</v>
      </c>
      <c r="L201">
        <v>50.23</v>
      </c>
      <c r="M201">
        <v>58.96</v>
      </c>
      <c r="N201">
        <v>119.62</v>
      </c>
      <c r="O201">
        <v>39.94</v>
      </c>
      <c r="P201">
        <v>178.02</v>
      </c>
      <c r="Q201">
        <v>29.37</v>
      </c>
    </row>
    <row r="202" spans="2:17" x14ac:dyDescent="0.3">
      <c r="B202" s="2">
        <v>45033</v>
      </c>
      <c r="C202">
        <v>40.880000000000003</v>
      </c>
      <c r="D202">
        <v>413.94</v>
      </c>
      <c r="E202">
        <v>185.53</v>
      </c>
      <c r="F202">
        <v>27.82</v>
      </c>
      <c r="G202">
        <v>318.83999999999997</v>
      </c>
      <c r="H202">
        <v>21.2</v>
      </c>
      <c r="I202">
        <v>70.84</v>
      </c>
      <c r="J202">
        <v>103.83</v>
      </c>
      <c r="K202">
        <v>62.74</v>
      </c>
      <c r="L202">
        <v>50.28</v>
      </c>
      <c r="M202">
        <v>58.61</v>
      </c>
      <c r="N202">
        <v>119.31</v>
      </c>
      <c r="O202">
        <v>40.020000000000003</v>
      </c>
      <c r="P202">
        <v>178.78</v>
      </c>
      <c r="Q202">
        <v>29.49</v>
      </c>
    </row>
    <row r="203" spans="2:17" x14ac:dyDescent="0.3">
      <c r="B203" s="2">
        <v>45030</v>
      </c>
      <c r="C203">
        <v>40.659999999999997</v>
      </c>
      <c r="D203">
        <v>412.46</v>
      </c>
      <c r="E203">
        <v>186.36</v>
      </c>
      <c r="F203">
        <v>27.68</v>
      </c>
      <c r="G203">
        <v>318.57</v>
      </c>
      <c r="H203">
        <v>20.91</v>
      </c>
      <c r="I203">
        <v>72.09</v>
      </c>
      <c r="J203">
        <v>105.08</v>
      </c>
      <c r="K203">
        <v>63.04</v>
      </c>
      <c r="L203">
        <v>50.4</v>
      </c>
      <c r="M203">
        <v>58.44</v>
      </c>
      <c r="N203">
        <v>119.14</v>
      </c>
      <c r="O203">
        <v>40.159999999999997</v>
      </c>
      <c r="P203">
        <v>176.51</v>
      </c>
      <c r="Q203">
        <v>28.71</v>
      </c>
    </row>
    <row r="204" spans="2:17" x14ac:dyDescent="0.3">
      <c r="B204" s="2">
        <v>45029</v>
      </c>
      <c r="C204">
        <v>40.880000000000003</v>
      </c>
      <c r="D204">
        <v>413.47</v>
      </c>
      <c r="E204">
        <v>189.72</v>
      </c>
      <c r="F204">
        <v>27.52</v>
      </c>
      <c r="G204">
        <v>319.17</v>
      </c>
      <c r="H204">
        <v>20.87</v>
      </c>
      <c r="I204">
        <v>71.8</v>
      </c>
      <c r="J204">
        <v>106.05</v>
      </c>
      <c r="K204">
        <v>63.14</v>
      </c>
      <c r="L204">
        <v>50.64</v>
      </c>
      <c r="M204">
        <v>58.88</v>
      </c>
      <c r="N204">
        <v>119.42</v>
      </c>
      <c r="O204">
        <v>40.35</v>
      </c>
      <c r="P204">
        <v>178.17</v>
      </c>
      <c r="Q204">
        <v>29.07</v>
      </c>
    </row>
    <row r="205" spans="2:17" x14ac:dyDescent="0.3">
      <c r="B205" s="2">
        <v>45028</v>
      </c>
      <c r="C205">
        <v>40.39</v>
      </c>
      <c r="D205">
        <v>408.05</v>
      </c>
      <c r="E205">
        <v>187.19</v>
      </c>
      <c r="F205">
        <v>27.65</v>
      </c>
      <c r="G205">
        <v>313.04000000000002</v>
      </c>
      <c r="H205">
        <v>20.77</v>
      </c>
      <c r="I205">
        <v>72.430000000000007</v>
      </c>
      <c r="J205">
        <v>106.89</v>
      </c>
      <c r="K205">
        <v>62.3</v>
      </c>
      <c r="L205">
        <v>50.07</v>
      </c>
      <c r="M205">
        <v>58.07</v>
      </c>
      <c r="N205">
        <v>117.84</v>
      </c>
      <c r="O205">
        <v>40.200000000000003</v>
      </c>
      <c r="P205">
        <v>175.84</v>
      </c>
      <c r="Q205">
        <v>28.41</v>
      </c>
    </row>
    <row r="206" spans="2:17" x14ac:dyDescent="0.3">
      <c r="B206" s="2">
        <v>45027</v>
      </c>
      <c r="C206">
        <v>40.700000000000003</v>
      </c>
      <c r="D206">
        <v>409.72</v>
      </c>
      <c r="E206">
        <v>186.28</v>
      </c>
      <c r="F206">
        <v>27.8</v>
      </c>
      <c r="G206">
        <v>315.83</v>
      </c>
      <c r="H206">
        <v>20.84</v>
      </c>
      <c r="I206">
        <v>71.069999999999993</v>
      </c>
      <c r="J206">
        <v>107</v>
      </c>
      <c r="K206">
        <v>61.81</v>
      </c>
      <c r="L206">
        <v>49.99</v>
      </c>
      <c r="M206">
        <v>57.88</v>
      </c>
      <c r="N206">
        <v>117.94</v>
      </c>
      <c r="O206">
        <v>40.07</v>
      </c>
      <c r="P206">
        <v>177.14</v>
      </c>
      <c r="Q206">
        <v>29.21</v>
      </c>
    </row>
    <row r="208" spans="2:17" x14ac:dyDescent="0.3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">
      <c r="B209" t="s">
        <v>176</v>
      </c>
      <c r="C209" s="25">
        <f>C6</f>
        <v>40.159999999999997</v>
      </c>
      <c r="D209" s="25">
        <f t="shared" si="0"/>
        <v>487.41</v>
      </c>
      <c r="E209" s="25">
        <f t="shared" si="0"/>
        <v>187.01</v>
      </c>
      <c r="F209" s="25">
        <f t="shared" si="0"/>
        <v>27.78</v>
      </c>
      <c r="G209" s="25">
        <f t="shared" si="0"/>
        <v>423.81</v>
      </c>
      <c r="H209" s="25">
        <f t="shared" si="0"/>
        <v>21.45</v>
      </c>
      <c r="I209" s="25">
        <f t="shared" si="0"/>
        <v>73.099999999999994</v>
      </c>
      <c r="J209" s="25">
        <f t="shared" si="0"/>
        <v>93.78</v>
      </c>
      <c r="K209" s="25">
        <f t="shared" si="0"/>
        <v>63.93</v>
      </c>
      <c r="L209" s="25">
        <f t="shared" si="0"/>
        <v>54.27</v>
      </c>
      <c r="M209" s="25">
        <f t="shared" si="0"/>
        <v>65.39</v>
      </c>
      <c r="N209" s="25">
        <f t="shared" si="0"/>
        <v>135.07</v>
      </c>
      <c r="O209" s="25">
        <f t="shared" si="0"/>
        <v>49.19</v>
      </c>
      <c r="P209" s="25">
        <f t="shared" si="0"/>
        <v>195.98</v>
      </c>
      <c r="Q209" s="25">
        <f t="shared" si="0"/>
        <v>22.6</v>
      </c>
    </row>
    <row r="210" spans="2:17" x14ac:dyDescent="0.3">
      <c r="B210" t="s">
        <v>177</v>
      </c>
      <c r="C210" s="25">
        <f>AVERAGE(C6:C35)</f>
        <v>40.252333333333326</v>
      </c>
      <c r="D210" s="25">
        <f t="shared" ref="D210:Q210" si="1">AVERAGE(D6:D35)</f>
        <v>475.58033333333339</v>
      </c>
      <c r="E210" s="25">
        <f t="shared" si="1"/>
        <v>188.64200000000002</v>
      </c>
      <c r="F210" s="25">
        <f t="shared" si="1"/>
        <v>27.592000000000002</v>
      </c>
      <c r="G210" s="25">
        <f t="shared" si="1"/>
        <v>409.84333333333325</v>
      </c>
      <c r="H210" s="25">
        <f t="shared" si="1"/>
        <v>20.988000000000003</v>
      </c>
      <c r="I210" s="25">
        <f t="shared" si="1"/>
        <v>68.381000000000014</v>
      </c>
      <c r="J210" s="25">
        <f t="shared" si="1"/>
        <v>96.932833333333335</v>
      </c>
      <c r="K210" s="25">
        <f t="shared" si="1"/>
        <v>63.481000000000002</v>
      </c>
      <c r="L210" s="25">
        <f t="shared" si="1"/>
        <v>54.304333333333339</v>
      </c>
      <c r="M210" s="25">
        <f t="shared" si="1"/>
        <v>64.437666666666672</v>
      </c>
      <c r="N210" s="25">
        <f t="shared" si="1"/>
        <v>132.63199999999998</v>
      </c>
      <c r="O210" s="25">
        <f t="shared" si="1"/>
        <v>48.845166666666657</v>
      </c>
      <c r="P210" s="25">
        <f t="shared" si="1"/>
        <v>196.48966666666664</v>
      </c>
      <c r="Q210" s="25">
        <f t="shared" si="1"/>
        <v>22.977666666666668</v>
      </c>
    </row>
    <row r="211" spans="2:17" x14ac:dyDescent="0.3">
      <c r="B211" t="s">
        <v>178</v>
      </c>
      <c r="C211" s="25">
        <f>AVERAGE(C6:C65)</f>
        <v>40.138166666666685</v>
      </c>
      <c r="D211" s="25">
        <f t="shared" ref="D211:Q211" si="2">AVERAGE(D6:D65)</f>
        <v>461.79333333333324</v>
      </c>
      <c r="E211" s="25">
        <f t="shared" si="2"/>
        <v>186.73266666666677</v>
      </c>
      <c r="F211" s="25">
        <f t="shared" si="2"/>
        <v>28.537500000000001</v>
      </c>
      <c r="G211" s="25">
        <f t="shared" si="2"/>
        <v>395.99849999999986</v>
      </c>
      <c r="H211" s="25">
        <f t="shared" si="2"/>
        <v>21.517666666666674</v>
      </c>
      <c r="I211" s="25">
        <f t="shared" si="2"/>
        <v>69.513333333333364</v>
      </c>
      <c r="J211" s="25">
        <f t="shared" si="2"/>
        <v>93.677666666666681</v>
      </c>
      <c r="K211" s="25">
        <f t="shared" si="2"/>
        <v>61.859333333333339</v>
      </c>
      <c r="L211" s="25">
        <f t="shared" si="2"/>
        <v>53.089333333333336</v>
      </c>
      <c r="M211" s="25">
        <f t="shared" si="2"/>
        <v>63.09816666666665</v>
      </c>
      <c r="N211" s="25">
        <f t="shared" si="2"/>
        <v>129.00533333333334</v>
      </c>
      <c r="O211" s="25">
        <f t="shared" si="2"/>
        <v>47.099999999999994</v>
      </c>
      <c r="P211" s="25">
        <f t="shared" si="2"/>
        <v>186.928</v>
      </c>
      <c r="Q211" s="25">
        <f t="shared" si="2"/>
        <v>24.246166666666664</v>
      </c>
    </row>
    <row r="212" spans="2:17" x14ac:dyDescent="0.3">
      <c r="B212" t="s">
        <v>179</v>
      </c>
      <c r="C212" s="25">
        <f>AVERAGE(C6:C206)</f>
        <v>40.239651741293542</v>
      </c>
      <c r="D212" s="25">
        <f t="shared" ref="D212:Q212" si="3">AVERAGE(D6:D206)</f>
        <v>441.03940298507467</v>
      </c>
      <c r="E212" s="25">
        <f t="shared" si="3"/>
        <v>182.36402985074631</v>
      </c>
      <c r="F212" s="25">
        <f t="shared" si="3"/>
        <v>28.602189054726374</v>
      </c>
      <c r="G212" s="25">
        <f t="shared" si="3"/>
        <v>367.9780597014925</v>
      </c>
      <c r="H212" s="25">
        <f t="shared" si="3"/>
        <v>21.454925373134326</v>
      </c>
      <c r="I212" s="25">
        <f t="shared" si="3"/>
        <v>70.337114427860698</v>
      </c>
      <c r="J212" s="25">
        <f t="shared" si="3"/>
        <v>96.332686567164217</v>
      </c>
      <c r="K212" s="25">
        <f t="shared" si="3"/>
        <v>61.146467661691524</v>
      </c>
      <c r="L212" s="25">
        <f t="shared" si="3"/>
        <v>51.65813432835818</v>
      </c>
      <c r="M212" s="25">
        <f t="shared" si="3"/>
        <v>61.473830845771126</v>
      </c>
      <c r="N212" s="25">
        <f t="shared" si="3"/>
        <v>124.11716417910449</v>
      </c>
      <c r="O212" s="25">
        <f t="shared" si="3"/>
        <v>44.310074626865685</v>
      </c>
      <c r="P212" s="25">
        <f t="shared" si="3"/>
        <v>183.02004975124379</v>
      </c>
      <c r="Q212" s="25">
        <f t="shared" si="3"/>
        <v>26.537263681592027</v>
      </c>
    </row>
    <row r="213" spans="2:17" x14ac:dyDescent="0.3">
      <c r="B213" t="s">
        <v>180</v>
      </c>
      <c r="C213" s="25">
        <f>C209/C210</f>
        <v>0.99770613711834522</v>
      </c>
      <c r="D213" s="25">
        <f t="shared" ref="D213:Q213" si="4">D209/D210</f>
        <v>1.0248741712756555</v>
      </c>
      <c r="E213" s="25">
        <f t="shared" si="4"/>
        <v>0.99134869223184641</v>
      </c>
      <c r="F213" s="25">
        <f t="shared" si="4"/>
        <v>1.0068135691504783</v>
      </c>
      <c r="G213" s="25">
        <f t="shared" si="4"/>
        <v>1.034078062349028</v>
      </c>
      <c r="H213" s="25">
        <f t="shared" si="4"/>
        <v>1.0220125786163521</v>
      </c>
      <c r="I213" s="25">
        <f t="shared" si="4"/>
        <v>1.0690103976250709</v>
      </c>
      <c r="J213" s="25">
        <f t="shared" si="4"/>
        <v>0.96747404130351433</v>
      </c>
      <c r="K213" s="25">
        <f t="shared" si="4"/>
        <v>1.0070729824671949</v>
      </c>
      <c r="L213" s="25">
        <f t="shared" si="4"/>
        <v>0.9993677607066348</v>
      </c>
      <c r="M213" s="25">
        <f t="shared" si="4"/>
        <v>1.0147791405647835</v>
      </c>
      <c r="N213" s="25">
        <f t="shared" si="4"/>
        <v>1.0183816876771821</v>
      </c>
      <c r="O213" s="25">
        <f t="shared" si="4"/>
        <v>1.0070597227293046</v>
      </c>
      <c r="P213" s="25">
        <f t="shared" si="4"/>
        <v>0.99740614010236339</v>
      </c>
      <c r="Q213" s="25">
        <f t="shared" si="4"/>
        <v>0.98356375030827037</v>
      </c>
    </row>
    <row r="214" spans="2:17" x14ac:dyDescent="0.3">
      <c r="B214" t="s">
        <v>181</v>
      </c>
      <c r="C214" s="25">
        <f t="shared" ref="C214:Q215" si="5">C210/C211</f>
        <v>1.0028443418359079</v>
      </c>
      <c r="D214" s="25">
        <f t="shared" si="5"/>
        <v>1.029855346547518</v>
      </c>
      <c r="E214" s="25">
        <f t="shared" si="5"/>
        <v>1.0102249561762087</v>
      </c>
      <c r="F214" s="25">
        <f t="shared" si="5"/>
        <v>0.96686815593517306</v>
      </c>
      <c r="G214" s="25">
        <f t="shared" si="5"/>
        <v>1.0349618327678851</v>
      </c>
      <c r="H214" s="25">
        <f t="shared" si="5"/>
        <v>0.97538456771954807</v>
      </c>
      <c r="I214" s="25">
        <f t="shared" si="5"/>
        <v>0.98371055912534744</v>
      </c>
      <c r="J214" s="25">
        <f t="shared" si="5"/>
        <v>1.034748588244085</v>
      </c>
      <c r="K214" s="25">
        <f t="shared" si="5"/>
        <v>1.0262153919106789</v>
      </c>
      <c r="L214" s="25">
        <f t="shared" si="5"/>
        <v>1.022885953236055</v>
      </c>
      <c r="M214" s="25">
        <f t="shared" si="5"/>
        <v>1.0212288259827944</v>
      </c>
      <c r="N214" s="25">
        <f t="shared" si="5"/>
        <v>1.0281125328151806</v>
      </c>
      <c r="O214" s="25">
        <f t="shared" si="5"/>
        <v>1.0370523708421797</v>
      </c>
      <c r="P214" s="25">
        <f t="shared" si="5"/>
        <v>1.0511516020428542</v>
      </c>
      <c r="Q214" s="25">
        <f t="shared" si="5"/>
        <v>0.94768245152154651</v>
      </c>
    </row>
    <row r="215" spans="2:17" x14ac:dyDescent="0.3">
      <c r="B215" t="s">
        <v>182</v>
      </c>
      <c r="C215" s="25">
        <f t="shared" si="5"/>
        <v>0.9974779832768107</v>
      </c>
      <c r="D215" s="25">
        <f t="shared" si="5"/>
        <v>1.0470568620576537</v>
      </c>
      <c r="E215" s="25">
        <f t="shared" si="5"/>
        <v>1.0239555838917134</v>
      </c>
      <c r="F215" s="25">
        <f t="shared" si="5"/>
        <v>0.9977383180496221</v>
      </c>
      <c r="G215" s="25">
        <f t="shared" si="5"/>
        <v>1.0761470407263896</v>
      </c>
      <c r="H215" s="25">
        <f t="shared" si="5"/>
        <v>1.0029243305414108</v>
      </c>
      <c r="I215" s="25">
        <f t="shared" si="5"/>
        <v>0.98828810221704189</v>
      </c>
      <c r="J215" s="25">
        <f t="shared" si="5"/>
        <v>0.97243905474756565</v>
      </c>
      <c r="K215" s="25">
        <f t="shared" si="5"/>
        <v>1.011658329563466</v>
      </c>
      <c r="L215" s="25">
        <f t="shared" si="5"/>
        <v>1.0277052011959613</v>
      </c>
      <c r="M215" s="25">
        <f t="shared" si="5"/>
        <v>1.0264232080309221</v>
      </c>
      <c r="N215" s="25">
        <f t="shared" si="5"/>
        <v>1.0393835065968402</v>
      </c>
      <c r="O215" s="25">
        <f t="shared" si="5"/>
        <v>1.0629636803058495</v>
      </c>
      <c r="P215" s="25">
        <f t="shared" si="5"/>
        <v>1.0213525799717997</v>
      </c>
      <c r="Q215" s="25">
        <f t="shared" si="5"/>
        <v>0.91366491125780169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6434830"><![CDATA[{"FXI^P_PRICE(0,-200D)":[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,27.82,27.79,27.5,27.99,27.39,27.43,26.63,25.97,26.04,26.83,26.39,26.94,27.49,28.35,27.9,28.05,28.44,28.74,29.04,27.79,28.54,28.24,28.44,28.89,28.67,28.3,27.56,27.69,28.22,28.33,28.19,27.8,27.35,28.11,28.4,28.82,29.01,29.37,29.49,28.71,29.07,28.41,29.21],"VGK^P_PRICE(0,-200D)":[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,61.51,61.88,61.17,61.44,61.21,61.65,60.93,60.22,60.87,61.51,60.84,61.0,61.97,62.89,62.97,62.51,62.63,62.36,63.02,62.55,62.72,62.99,63.07,63.57,63.56,62.62,62.94,62.74,63.48,63.47,63.38,62.65,62.6,63.67,63.41,62.94,63.03,63.17,62.74,63.04,63.14,62.3,61.81],"GLD^P_PRICE(0,-200D)":[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,182.04,182.53,180.15,182.34,182.14,181.05,183.76,182.32,182.04,180.92,180.2,181.95,183.43,183.21,183.64,181.84,184.23,184.87,187.21,186.81,187.13,188.75,189.02,187.69,187.46,190.44,189.11,187.52,183.97,184.8,184.75,184.74,185.75,184.81,184.25,186.09,185.36,186.25,185.53,186.36,189.72,187.19,186.28],"IWM^P_PRICE(0,-200D)":[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,185.03,186.54,187.24,184.31,179.58,182.02,175.65,173.77,175.5,176.15,174.17,175.54,177.42,178.26,176.11,177.19,176.12,172.28,174.83,172.72,173.07,174.41,173.53,174.05,174.45,170.4,172.33,171.7,175.3,175.2,173.68,171.39,173.06,177.44,177.56,177.33,178.25,178.02,178.78,176.51,178.17,175.84,177.14],"TLT^P_PRICE(0,-200D)":[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,101.92,102.06,100.88,102.4,101.8,101.99,103.12,102.99,102.1,101.09,100.28,100.53,101.03,100.74,101.1,101.82,102.58,102.88,103.19,104.27,105.15,104.05,103.05,103.42,104.89,105.24,106.29,105.7,103.13,106.46,104.77,105.82,106.96,105.41,104.4,104.99,104.1,104.2,103.83,105.08,106.05,106.89,107.0],"SPY^P_PRICE(0,-200D)":[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,429.9,429.13,426.55,428.03,427.1,427.92,421.82,417.85,420.18,420.02,414.65,411.09,414.09,418.79,418.62,419.23,415.23,410.25,413.01,411.59,412.13,412.85,410.93,412.74,412.63,405.13,408.02,410.84,415.51,415.93,412.41,404.36,406.08,412.63,412.2,411.88,414.14,414.21,413.94,412.46,413.47,408.05,409.72],"EWJ^P_PRICE_RETURNS_PR('52W',2,-10AY,0,AM)":[20.5742,14.781475,3.8450599,-3.642428,-0.8357346,12.18046,5.607581,7.8641295,-0.2465725,-4.945034,-1.6092598,-2.02834,0.49654245,8.730197,16.21641,21.550571,16.570711,10.102856,6.614852,2.200377,-0.7001519,12.229097,8.446836,6.880021,-2.170384,-9.703838,-10.511613,-8.1192255,-9.420246,-11.399084,-5.798614,3.1307936,9.572517,2.1770477,0.1711607,3.388548,16.65746,20.059132,16.50833,9.88977,15.581142,20.995308,16.715288,12.412394,12.856293,17.32496,22.511887,22.250128,27.849174,22.833014,15.460563,18.597376,14.624357,9.966636,10.829878,7.881522,10.5175495,-5.5586042,-7.3948803,-15.334463,-14.698208,-10.273033,-5.651772,-7.6835036,-9.512531,-5.759549,-5.929792,-5.4583073,-3.7040293,8.052039,11.097086,21.772718,13.955534,1.5881777,-6.5776587,-5.1444054,3.4550548,4.5045257,3.0509353,11.082733,4.7806025,3.12258,11.02873,11.889267,18.178988,25.749361,41.22019,36.890984,26.765347,23.535597,22.502888,17.304493,25.24314,17.883099,3.7154317,4.1419864,-6.8993864,-6.275904,-7.443756,-16.892672,-13.234722,-19.328535,-18.165934,-17.672937,-30.674833,-24.702972,-16.752338,-17.76151,-6.378293,-9.372139,-7.8611493,5.373633,5.146837,14.481068,17.238283,8.472406,24.58874,14.873255,13.695824,18.049313,13.842154],"QQQ^P_PRICE_RETURNS_PR('52W',2,-10AY,0,AM)":[31.64674,37.149334,29.176092,25.45948,24.31141,33.73126,31.022585,31.703926,26.608444,21.58128,26.52161,21.549511,21.897352,22.516119,21.62856,27.60278,22.84423,18.322432,15.621686,4.6585083,6.4388633,15.666962,10.058033,9.051704,0.06186962,-4.0344477,0.46263933,-0.82114935,1.4234424,-4.3124557,3.57697,14.6246195,15.301681,6.087959,5.2518845,7.932508,23.085487,28.439962,23.040903,25.705862,30.223274,36.190178,28.62909,23.00582,23.235535,25.386524,33.27626,31.40422,37.376022,32.00867,26.945639,21.089481,21.440971,23.390747,25.289774,29.301273,29.69693,14.277113,5.0445795,-1.7611146,-1.0620892,2.8081536,9.86011,18.717861,5.9936643,8.921301,9.416413,2.1714091,3.6983728,15.398884,26.743258,41.380703,37.581097,25.654089,8.092129,13.682116,29.656578,30.337166,32.009674,59.241306,43.934788,44.432594,46.164,47.11615,48.60095,46.148014,65.69682,60.756718,46.79328,42.845142,45.006966,28.281998,41.42488,35.896347,32.74374,29.40756,5.3689003,11.062706,15.98078,-6.720895,-9.983092,-15.33202,-19.671219,-16.989946,-26.051586,-26.2361,-27.6007,-32.1465,-14.242399,-13.655591,-12.896097,-0.9091675,17.284012,22.275675,29.16335,14.36199,29.978348,24.491703,35.78074,54.658173,45.472862],"URTH^FG_TOTAL_RETURNC(-10AY,0,AM)":[-2.062571,3.0626893,0.9174228,0.1835227,1.2681484,2.7891397,0.8883238,0.18018484,-2.619791,-2.2720873,4.8209906,0.24168491,-1.41173,3.628528,-1.6098797,3.1088114,-0.07935166,-0.58279634,-1.8052042,-6.58527,-0.77837706,5.8170557,0.27976036,-1.2925506,-8.085722,1.1501431,5.208969,3.826487,-0.5204618,-3.4643888,6.2546372,0.934577,-0.76009035,-0.4456222,1.1566758,2.7819037,2.7585387,2.0893812,0.38757324,2.2591233,2.0567775,0.7476926,2.1698713,-0.9830177,2.2919536,2.2765398,1.7806888,2.2414565,6.8977237,-3.4867644,-3.998232,1.2046814,1.0429621,-0.70590377,3.498745,0.20990372,1.5103102,-9.372288,1.0185838,-7.2609005,8.264172,4.8664093,0.5800724,3.7317634,-3.2268703,3.0879736,3.0682325,-4.954326,4.002714,1.889646,3.299141,3.11234,1.1729002,-5.5566607,-16.380955,6.112385,6.249249,2.2194982,6.432998,7.169652,-4.745233,2.5520563,8.570576,2.9122114,3.6073208,-1.0306597,3.7017584,5.0295353,0.6267071,2.005875,1.9881725,1.1062026,-0.091809034,2.0753503,-0.9678066,2.6129246,-7.4284077,0.6912112,2.5223494,-8.120525,-1.474458,-4.503143,-0.19989014,2.794981,-10.415375,5.585766,6.9288373,-3.4701467,6.7068696,-2.680254,-0.20238161,3.2534003,2.390921,2.3460388,5.3233504,-4.1481137,-2.4694383,-3.4177303,10.330498,5.1513195,1.5716791],"TLT^FG_TOTAL_RETURNC(-10AY,0,AM)":[5.2693486,0.66246986,1.6533256,1.9911885,1.4739394,0.89176893,2.2578359,1.7179132,-0.9209037,3.4595013,1.7593265,2.819097,7.997751,-4.2046127,0.97875595,-0.087469816,-4.923773,-5.6986094,5.581045,0.6622553,-0.105291605,2.2516847,-2.1490693,1.0314584,3.4884691,3.6311507,-0.47501922,-1.5645504,2.4005532,4.6280026,2.498293,-0.21916032,-0.3032744,-3.8283825,-8.420009,-1.8365264,0.9741545,2.5801063,-0.73221326,1.2371778,1.3264537,4.091084,-3.300935,3.0899525,-0.23353696,-3.2197654,3.7878036,-0.90293884,-1.2386143,-4.183817,1.5061021,-1.2345672,1.6144753,1.3645172,-1.1902034,2.771616,-3.6989152,-1.9163728,0.14631748,4.9616218,0.42493343,1.2916088,2.813208,-0.706619,3.4221888,3.4892678,-0.18287897,10.788525,-1.8837094,-2.5412261,2.062261,-2.4816513,3.5794973,5.9260964,8.874035,4.740691,-4.272848,1.3065815,2.8375626,-3.255856,0.77688694,-3.3157408,-0.3953159,-0.66964626,-2.4858475,-6.5813723,-4.3974457,2.4793148,-0.31166673,2.151084,4.3958664,0.38433075,-0.9115279,-1.1076391,3.8755894,-1.1049926,-5.399948,-2.4474323,-5.875498,-4.7127905,-2.7890503,-5.075431,4.575515,-3.1140149,-8.55186,-6.7450047,6.936109,-0.25003552,4.718089,-5.377519,6.08685,-0.7142842,-4.2216063,2.5956035,-1.8314898,-5.7103815,-6.3848076,-4.3513775,6.3402534,10.665321,-5.042529],"SPY^FG_TOTAL_RETURNC(-10AY,0,AM)":[-2.7004957,3.3316612,0.5080581,0.71362257,2.179408,3.1648517,1.166594,1.3200521,-0.7507205,-0.74279904,5.7068706,0.93694925,-1.4344692,2.886355,-2.4609387,3.1080484,-0.44881105,0.06892681,-0.8674145,-6.509614,-0.30356646,7.337308,1.1207819,-1.1437953,-7.5262547,2.5705576,4.651177,2.8550625,0.20141602,-2.4597585,6.7050576,0.2491355,-0.9036422,-0.23338199,3.6399364,2.493167,1.6038299,3.2311559,-0.7859647,1.9413352,1.3884306,1.1444688,1.7016768,-1.1599243,2.35281,2.6256561,1.8543124,3.1436443,7.2569966,-3.028822,-4.2207956,0.4526496,2.1929264,0.24645329,4.322529,1.471734,1.2810111,-8.4690275,0.8178592,-7.421267,7.9616547,5.0944448,1.0855913,4.371798,-3.6229193,3.2196283,3.972876,-4.638922,3.603363,1.5488267,4.1379213,3.3242583,1.8052816,-5.2529097,-15.632545,8.3346,5.6931734,0.7684231,6.942177,8.317757,-5.037421,3.2427788,6.8564177,2.18364,4.008138,-0.89372396,4.4481993,5.462396,0.349617,2.1367788,3.3777952,1.188159,-0.20475388,2.7145147,0.6601453,2.8988004,-7.909054,1.0083556,3.7306905,-8.082795,-2.5931299,-3.3428192,0.20766258,3.689015,-9.743547,4.8612475,5.316472,-4.3845296,5.7036877,-2.0679414,0.22666454,2.1756172,3.872788,3.1018734,5.5789948,-3.4115613,-2.8568506,-3.1299949,10.362375,4.893863,2.4724126],"CPALM-FDS^FG_PRICE_CHANGE(0,-6AM)":0.802608477552047,"W-FDS^FG_PRICE(0)/MAX(FG_PRICE(0,-1AY))":0.757891414141414,"W-FDS^FG_PRICE(0)":6.0025,"PASP-FDS^FG_PRICE_CHANGE(0,-1AM)":-23.4126984126984,"NI-FDS^FG_PRICE_CHANGE(0,-6AM)":-23.3603707995365,"PLATI-FDS^FG_PRICE(0)/MAX(FG_PRICE(0,-1AY))":0.797356828193833,"PLATI-FDS^FG_PRICE(0)":905.0,"INDA^P_PRICE(0,-200D)":[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,42.11,42.23,42.33,42.26,42.16,42.28,42.125,41.7,41.81,42.02,41.41,41.19,41.13,41.26,40.88,40.93,41.23,41.29,41.66,41.32,41.46,41.71,41.47,41.53,41.4,41.26,40.92,41.06,41.12,41.12,40.75,40.26,40.01,40.19,39.88,39.86,39.81,39.94,40.02,40.16,40.35,40.2,40.07],"USO^P_PRICE(0,-200D)":[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,62.93,63.46,64.71,63.79,64.03,64.15,62.55,60.63,62.3,64.8,64.09,65.66,64.87,63.91,63.9,64.04,64.6,62.54,62.99,62.07,63.25,64.39,64.87,64.26,63.03,60.7,60.31,63.05,66.55,67.5,65.81,65.36,67.62,69.25,68.21,67.6,69.3,70.73,70.84,72.09,71.8,72.43,71.07],"VWO^P_PRICE(0,-200D)":[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,40.86,40.75,40.53,40.62,40.31,40.35,39.72,39.05,39.33,39.85,39.2,39.27,39.55,40.15,39.89,39.91,40.16,40.02,40.3,39.61,40.06,40.22,40.21,40.46,40.45,40.02,39.68,39.69,40.11,40.24,40.0,39.49,39.22,39.9,39.95,40.33,40.38,40.8,40.88,40.66,40.88,40.39,40.7],"EMXC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0.917089,-1.6530812,-0.6166816,-11.915898,-11.685932,-13.2129135,-13.490206,-9.791576,-8.631569,-4.638833,-7.2976947,5.2294135,0.24939775,-6.7436514,-1.6700208,10.311758,9.58482,18.368351,9.843981,-2.565229,-21.992462,-22.013754,-11.442841,-11.168885,-4.820955,8.2865,-1.1507928,-0.97013116,9.765363,11.446869,17.696274,26.335217,63.643837,66.60944,56.22374,47.34157,35.50842,30.83781,38.44688,32.22195,11.867523,10.965288,0.8818984,2.6791215,1.8742442,-10.230577,-12.131798,-20.448696,-19.549501,-16.009634,-25.392788,-23.851555,-16.22787,-18.65226,-9.812635,-14.793462,-14.342272,-6.9648504,-0.93367696,9.03573,15.522623,3.4319162,13.194394,6.7308187,8.382713,17.454874,6.667936],"UUP^P_PRICE_RETURNS_PR('52W',2,-10AY,0,AM)":[-0.96197724,-3.491497,-5.0952554,-5.197692,-5.5408955,-4.928952,-2.2603989,0.13642311,4.9723744,6.7979455,7.3305726,10.448456,16.419983,16.836739,19.701206,19.587635,18.994415,16.767872,17.933273,12.897372,10.630787,10.711145,11.263382,6.70017,2.2248745,0.9924531,-2.693212,-3.996867,-3.560251,-0.76090693,-1.2180805,-0.7240534,-1.7942607,1.1498809,1.0007739,4.267812,0.97162724,3.3214688,3.2490969,4.3265343,2.1095395,1.6545653,-3.6197305,-2.0816326,-1.9488394,-3.4888268,-8.216059,-8.851266,-10.385018,-10.095024,-9.355015,-5.8187904,-1.1412859,-0.7002592,3.4819007,4.273689,3.7003517,4.2819858,7.5196266,7.040262,10.31605,10.253084,12.2240305,10.578239,7.509792,5.1244974,7.1323514,6.9358945,9.280788,5.0489902,4.9013734,4.1484356,4.9462795,6.7052245,6.2208176,5.4178357,4.1018724,3.416407,-1.6973019,-3.965193,-3.4029126,-4.102206,-6.0264826,-7.2734175,-7.919669,-8.439136,-7.3098364,-10.011042,-9.593135,-6.1573505,-2.352941,-0.39840937,-1.6875982,0.3183484,3.8694143,5.7542086,6.337452,6.162691,5.5977583,11.860943,12.386454,12.560785,15.100408,16.52,22.395218,17.017067,10.050058,9.700001,7.085824,10.667265,7.1070075,2.169466,5.9558034,2.839446,-1.6205609,0.84375143,-2.1813989,2.622509,3.102219,3.000605,7.741964],"EWI^FG_TOTAL_RETURNC(-10AY,0,AM)":[1.4294982,5.2530527,4.5039535,3.203261,-4.4017973,4.45354,-2.7507246,-5.0677595,-1.9242704,-6.0126543,0.8754134,-5.489212,-0.8534908,6.169307,0.40540695,2.1534324,0.92226267,4.817271,-2.7249634,-3.3224761,-4.3800592,5.8491945,-5.3928137,-0.544852,-13.058907,-7.591838,6.890464,4.0495872,-2.2239864,-13.526487,5.5072427,2.4725199,-2.6809573,3.4894466,-5.5456934,14.480209,1.2008309,-5.0736485,10.387934,4.099953,6.301582,-0.4793167,6.7508936,2.6039958,2.2412658,-0.22565722,0.6461978,-0.6103575,11.854494,-5.5458784,-1.567781,5.9650183,-9.784847,-3.7468016,2.0586133,-5.025637,5.3275704,-14.798361,2.0056129,-4.8553886,8.70657,3.6195636,2.749908,1.0126591,-3.4371674,4.8228145,1.5007257,-5.3371787,4.7619104,3.7454605,2.8741717,1.8284202,-1.0444701,-5.2093983,-22.41379,-6.851852,7.25646,10.69194,8.5025425,2.027297,-7.9098167,1.6597509,18.693876,2.1781564,-0.9501159,2.500856,5.080211,2.7989745,2.2586584,1.2498975,-2.147621,0.6491542,-0.15357137,3.3835769,-5.8911085,4.1494966,-1.8780768,-1.5688717,-7.4593544,-6.3382683,6.1419606,-10.144586,-9.062004,1.8356681,-6.60944,10.340071,15.326953,-1.0623097,10.892927,-1.0023415,-1.8562257,7.668495,-2.6828468,3.1598449,8.213818,-5.0903616,-3.9987326,-3.041321,11.830891,4.9663067,-1.5882373],"OIL^FG_TOTAL_RETURNC(-10AY,0,AM)":[-2.9150367,5.5168986,-1.0179281,1.7997026,3.8457155,2.6420474,-3.3602536,-6.0292006,-1.3045549,-11.776018,-8.689726,-23.86635,-15.04702,10.590399,-1.2137175,8.043062,-3.3997715,2.245152,-18.575668,-18.805153,12.807381,-3.5013258,-2.6937842,-14.4977455,-16.545635,2.9303432,12.969232,7.755685,9.640444,-3.7710428,-10.525089,7.8318477,-5.460298,6.570184,-5.9765816,11.861074,-1.230222,-1.3641834,-10.823811,1.7194867,0.09944439,-13.04636,10.853004,-1.4084518,7.386756,1.5249848,10.131025,1.5670419,10.399998,-2.6397526,3.51516,4.5646906,1.4243603,-0.1452744,1.648879,0.3053546,6.04738,-4.77857,-23.692883,-8.761734,13.1889105,4.1398644,4.9034,4.064703,-6.0452757,0.4079342,-4.0288925,-5.400687,5.061996,2.6322603,3.0458093,5.9519053,-10.467529,-9.69482,-39.339848,-13.774771,32.304573,9.489369,7.50674,5.0340533,-9.164924,-4.090458,16.551733,4.525614,7.673514,16.573883,1.3433218,2.233386,6.8268657,10.889578,-1.4753342,-3.8371623,9.391726,12.0996475,-15.19841,7.393539,15.729845,6.3253045,24.858356,-6.976742,10.731709,-4.6806216,-6.8315926,1.555109,-16.41354,15.924036,-8.388149,3.4817219,2.3928165,-5.29049,-8.798838,6.9422245,-0.98383427,null,null,null,null,null,null,null,null],"VWO^FG_TOTAL_RETURNC(-10AY,0,AM)":[-5.548644,1.2644887,3.030777,2.4303794,6.030655,1.4208794,4.200518,1.6035557,-5.812204,-2.4923503,3.544724,-6.3480854,4.170823,0.14384985,-4.092419,11.702919,-3.0445397,-3.8651586,-6.933337,-12.060433,-1.8370807,10.12609,-3.472221,-3.5622835,-11.544222,3.525424,10.899651,3.9633274,-4.0682793,-0.049823523,9.946239,1.7929912,0.5898595,1.9339323,-5.2437487,-2.1170795,8.392811,3.21306,2.7844667,0.22382736,2.0099282,0.7481575,4.4703603,2.7907014,-0.7702768,1.9607902,3.1674147,0.20631552,12.093222,-3.6681056,-3.7902653,-2.9898226,-1.267761,-6.28776,3.8516402,-3.434068,-1.3404429,-9.0666,3.8759708,-1.5859902,7.9515576,3.097558,-0.20848513,3.2304049,-8.306492,6.927657,0.70887804,-7.2735786,4.172194,3.14883,1.2163043,6.2989473,-0.5836129,-6.0058713,-16.271055,0.8623123,5.215156,7.5779915,8.419728,4.617536,-5.118126,6.215894,7.9070807,1.8837452,10.241211,-2.6701272,-0.9955168,2.8516412,0.22480488,2.5142193,-6.5799117,-0.31390786,0.11872053,2.4409652,-4.9980583,1.288116,-1.423347,-0.226897,-4.4349613,-8.309835,0.7572293,-0.19128919,-3.8160622,2.932477,-10.226435,-2.4594605,7.4535847,1.5509129,11.432255,-8.615101,0.70647,-0.5540073,0.9116173,1.6383529,5.436945,-5.274314,-2.1664262,-3.3299148,7.5781584,1.9502163,-0.88844895],"CPALM-FDS^FG_PRICE_CHANGE(0,-3AM)":9.47970580223372,"W-FDS^FG_PRICE_CHANGE(0,-1AY)":-20.2325581395349,"PASP-FDS^MAX(FG_PRICE(0,-5AY))":3158.12,"URTH^P_PRICE(0,-200D)":[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,121.09,120.95,120.16,121.98,121.46,121.83,120.03,118.6,119.52,119.91,118.41,117.91,119.03,120.47,120.39,120.33,119.56,118.43,119.46,118.75,118.92,119.2,118.91,119.4,119.35,117.29,117.86,118.37,119.67,119.79,119.18,117.11,117.49,119.36,119.22,118.97,119.44,119.62,119.31,119.14,119.42,117.84,117.94],"DBA^P_PRICE(0,-200D)":[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,21.19,21.24,20.89,21.02,20.85,20.88,20.76,20.46,20.44,20.57,20.4,20.63,20.74,20.76,20.78,20.7,20.78,20.94,21.09,20.83,20.78,21.03,20.96,20.91,21.03,20.7,20.6,20.54,20.73,20.95,20.98,21.02,20.99,21.06,20.94,21.08,21.11,21.3,21.2,20.91,20.87,20.77,20.84],"VWO^JULIAN(P_PRICE(0,-200D).DATES)":[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,45069,45068,45065,45064,45063,45062,45061,45058,45057,45056,45055,45054,45051,45050,45049,45048,45047,45044,45043,45042,45041,45040,45037,45036,45035,45034,45033,45030,45029,45028,45027],"VGK^P_PRICE_RETURNS_PR('52W',2,-10AY,0,AM)":[17.133057,26.585854,23.042858,22.912645,21.152449,29.258717,17.826675,13.857019,5.8058143,-3.5480082,2.0280123,-3.5290062,-2.2045374,-2.5788844,-2.4458766,-1.8079817,-3.2986283,-2.9063404,-4.9546423,-8.499986,-8.801055,1.637125,-5.0110936,-2.7092576,-10.410768,-15.523535,-12.097555,-9.232879,-8.771568,-18.043678,-10.040915,-2.0806968,2.0971537,-7.069671,-6.581056,-2.6746154,10.065079,13.486052,11.964512,11.125755,16.09174,27.682793,23.013222,19.438244,22.406555,26.885927,32.119705,27.144634,31.899225,25.150251,16.268467,14.467394,7.2509646,4.8626065,4.9856663,4.2276144,2.6526213,-9.418678,-9.168988,-15.183335,-15.394515,-7.898271,-4.5366707,-4.0105524,-5.9417605,0.8923769,-1.9610047,-5.210674,-3.065461,12.2676735,13.8582115,25.573242,18.572224,4.9422503,-14.632016,-15.980297,-8.242869,-6.376922,-0.93744993,8.93898,-0.3013432,-3.2104194,5.9221745,6.291008,8.869612,15.608335,47.022915,52.7161,47.339104,38.684906,31.987583,28.88844,35.116257,35.50912,15.29417,16.223394,7.9699874,6.3448787,2.3590088,-10.387909,-11.041439,-17.57536,-19.174744,-21.795303,-30.00983,-23.920887,-12.836498,-14.958036,-2.7026355,-0.8678019,-2.707708,11.641752,7.5009584,15.132082,23.533499,15.556049,30.046581,13.6635895,13.6164665,19.834959,8.533276],"GLD^P_PRICE_RETURNS_PR('52W',2,-10AY,0,AM)":[-24.241108,-17.993855,-18.9439,-11.438256,-7.5031576,7.1440697,-2.2375047,-8.933187,-8.396589,-8.891451,-3.8891613,-1.6361117,0.57240725,-9.398174,-7.91803,-9.2405205,-8.513373,-11.181253,-15.279454,-12.711793,-6.4571085,-5.8470607,-11.197782,-8.619308,-12.7652645,0.8960128,1.5361786,4.997778,2.3439527,11.919355,19.601334,17.070686,16.155184,8.399892,9.906303,5.4931164,5.564356,1.7770529,2.1748424,1.8028617,3.396809,-6.0709476,-4.8571467,-2.7647972,-3.4574687,-0.380826,8.008825,12.823116,13.076115,5.6391,7.925284,3.4177423,3.1218529,0.7603884,-3.4284294,-6.6481295,-8.193922,-2.9585361,-5.461085,-1.7327666,-3.9931238,-0.6880164,-3.1025827,-2.8806925,-1.8528938,11.495888,15.43578,26.305187,25.42237,21.872854,19.111038,18.987131,22.206629,22.6071,23.282385,35.00457,32.638084,25.246286,32.990993,27.165545,23.34485,25.86353,23.657715,24.831879,17.326664,5.0918937,5.8731437,2.5823832,10.410845,0.47647953,-5.8981476,-8.556938,-6.9197416,-6.087935,-1.5692234,-3.8030148,-2.205968,6.470871,12.73334,6.2814713,-2.7471304,2.439177,-4.828739,-3.5247803,-7.3913097,-7.5739503,-2.333647,-1.0120153,5.7011604,-4.96217,0.2839446,4.1845202,4.7233224,4.9503207,14.533877,8.470225,16.564178,18.731451,13.760114,14.6239395,4.201257],"EWD^FG_TOTAL_RETURNC(-10AY,0,AM)":[-0.6835699,3.383994,-0.2773881,0.22252798,2.6921988,-2.5579393,0.94151497,-2.8547287,-4.189694,-2.064985,5.023253,-4.440689,-0.09337664,6.8535805,-1.6326487,2.0450473,-0.8713305,0.42470694,-3.563881,-6.6395283,-3.8577676,5.7222605,-2.178216,0.39266348,-6.659937,-0.7207215,3.7023664,6.6853285,-2.2637725,-9.581083,6.985712,3.282833,0.34928322,-2.436471,-1.3200164,3.05444,6.736839,0.16436577,3.6429286,5.098164,2.7116656,0.4411459,2.299881,0.4963398,2.5566578,0.28328896,-1.6666651,-1.4652908,7.5088263,-4.2727947,-4.406297,-0.11972785,-0.029963255,-4.752117,5.6324124,-1.3408184,4.456389,-13.43419,1.0485768,-5.3049326,7.7119827,2.3413658,0.8289099,6.2479496,-6.5304875,4.9443603,-2.311945,-7.5666666,6.022358,7.176876,1.2059689,5.603385,-0.9019792,-4.5813084,-18.855328,3.095603,9.578109,7.308233,11.4137535,5.0058246,-5.238366,3.9485335,12.324131,0.5717397,6.047678,-0.5679071,7.5202227,5.422759,0.5248785,0.51208735,3.529656,-2.3208022,-1.9344032,3.5377383,-7.7034593,5.4131627,-8.892298,-6.3132524,-0.07717013,-9.060478,1.3869166,-8.825434,-0.34656525,-3.9203286,-12.339586,12.199699,13.282037,-3.824228,9.944403,-1.9662857,-4.3266535,8.056307,-3.1042218,-1.4015973,4.699731,-9.531725,-0.88821054,-4.1409135,16.441,12.341892,-5.858588],"DBA^FG_TOTAL_RETURNC(-10AY,0,AM)":[-1.0607898,11.793816,3.7624478,3.483832,-3.400892,-0.2489388,-4.7415314,-2.0583808,-3.2479942,1.5402794,0.19447803,-2.135098,-6.7036867,-2.3809552,-2.4825752,-0.17864704,-1.6554832,3.3211946,-4.4473705,-4.7004642,2.1760106,0.28396845,-2.218032,-1.158303,-1.7089844,-0.7948339,4.106164,1.2986898,1.139605,1.5492916,-4.207116,-0.9169817,-0.58451295,1.0289073,-1.5518963,-2.709353,4.3544292,-1.5526414,-1.4292777,-3.2999992,2.5336027,-3.6812901,3.1937122,-5.3779783,0.9651542,2.071154,-0.41623116,-2.9780567,1.723206,1.3234496,-1.7241359,0.85060596,2.0558834,-7.5929823,-1.900506,-2.9059708,-0.46949387,4.481137,-3.6117375,0.3515482,0.7075548,-3.1615853,1.6323924,-3.6287844,0.4320979,2.5814414,-2.0371497,-7.4617743,4.031718,0.8894563,1.5743017,3.0930758,-0.8552313,-4.0665445,-7.064867,-7.9474807,3.2282352,-4.290909,4.4832826,4.8727274,1.4563084,1.7771721,3.9623857,2.260983,4.169297,4.9120665,-2.1965265,9.810877,-1.9375682,-2.1405041,8.076275,-0.5189419,-1.9301057,2.3936152,3.740251,-0.20029545,1.2042165,2.5780916,7.5398684,-0.17977953,0.31517744,-6.956917,-4.486251,4.848492,-3.998071,-0.45158267,0.15121698,2.1591783,-1.8316865,2.168429,-1.4807582,5.310631,-2.14082,4.569769,3.7191987,-3.0927777,0.23126602,0.8306384,-0.50343275,0.91362,2.2402406],"VWO^JULIAN(FG_TOTAL_RETURNC(-10AY,0,AM).DATES)":[41663,41696,41724,41754,41782,41816,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],"CPALM-FDS^FG_PRICE_CHANGE(0,-1AM)":8.65098675317653,"W-FDS^FG_PRICE_CHANGE(0,-6AM)":-16.6319444444444,"PASP-FDS^FG_PRICE(0)/MAX(FG_PRICE(0,-1AY))":0.564327485380117,"PASP-FDS^FG_PRICE(0)":965.0,"NI-FDS^FG_PRICE_CHANGE(0,-1AM)":1.06968215158925,"PLATI-FDS^FG_PRICE_CHANGE(0,-6AM)":-6.41158221302999,"BRENT-FDS^FG_PRICE(0)/MAX(FG_PRICE(0,-1AY))":0.870614479821537,"BRENT-FDS^FG_PRICE(0)":85.86,"COPP-FDS^FG_PRICE_CHANGE(0,-1AM)":-1.15517905275319,"TIOS-FDS^FG_PRICE_CHANGE(0,-6AM)":20.063778899814,"EWJ^P_PRICE(0,-200D)":[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,62.22,61.52,61.0,63.04,61.78,62.0,60.83,59.34,59.86,60.25,60.05,59.71,60.35,61.23,60.96,60.86,60.85,60.44,60.56,60.2,59.91,59.74,60.04,59.4,59.53,58.74,58.63,58.28,58.77,58.84,59.31,58.36,58.57,58.98,59.01,58.68,58.49,58.96,58.61,58.44,58.88,58.07,57.88],"QQQ^P_PRICE(0,-200D)":[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,354.5,353.15,348.82,354.84,354.9,354.65,352.01,347.99,349.98,348.4,339.72,331.65,333.36,337.64,336.51,337.27,331.12,327.16,326.79,325.03,326.2,325.14,321.64,323.69,322.89,316.17,317.29,319.38,322.19,322.56,320.35,311.87,309.99,315.95,316.61,316.28,318.71,318.86,318.84,318.57,319.17,313.04,315.83],"URTH^P_PRICE_RETURNS_PR('52W',2,-10AY,0,AM)":[18.422043,22.0693,18.680143,12.119174,13.549864,20.122742,16.561926,16.55444,9.959102,5.260384,9.026074,7.3597193,8.073175,8.666515,5.945146,8.491409,7.5877905,4.0584445,0.79710484,-5.5594683,-3.907591,4.19122,-0.2141118,-1.7270982,-8.492762,-10.681248,-6.3678083,-3.8263083,-4.2508783,-6.828153,0.60515404,8.703828,8.723867,2.2891521,3.1836271,6.832373,20.119202,22.648012,15.678763,13.93249,16.88416,21.984089,17.29462,14.828194,18.604982,21.848059,23.00266,21.955072,26.867508,19.93798,14.698052,13.515341,12.387705,10.766172,12.2068405,13.865685,12.690926,-0.1440525,-0.89175105,-10.10291,-8.182693,-1.0737658,3.6440134,6.2320232,1.4469743,5.630362,5.1909924,-0.22993684,2.2197366,13.333189,17.516624,30.661308,23.353624,9.966743,-8.577186,-6.1208606,2.678609,1.8135667,5.137384,18.548656,8.636272,9.283102,14.954889,15.067458,17.395365,23.021294,52.56722,51.01031,43.01907,39.65328,36.759937,29.022335,36.9895,34.696327,22.862673,22.847116,9.456718,10.289705,11.477399,-3.6896884,-5.7007194,-11.487526,-13.611979,-12.169045,-21.244658,-18.536228,-14.014233,-17.25486,-4.6200395,-5.65998,-9.990382,0.8449197,4.801297,12.317812,18.533802,7.0757627,20.331203,10.070348,13.721323,23.715508,17.761791],"TLT^P_PRICE_RETURNS_PR('52W',2,-10AY,0,AM)":[-7.4387608,-6.2278214,-3.8431048,-6.06913,-0.29343963,7.804644,11.113715,15.605545,12.63386,14.512491,19.867336,25.475323,28.727436,22.503399,21.690464,19.381916,11.694384,4.398358,9.0640545,6.672466,7.3931932,6.2950134,2.4907112,0.80806017,-3.75821,4.1140795,0.16235113,1.0981202,8.886349,19.033348,17.282688,16.255749,16.025352,9.12627,2.1327376,-0.199157,-3.1774342,-4.7437725,-4.407078,-1.6862512,-2.717483,-3.2167077,-8.692593,-6.213546,-5.598503,-5.00108,7.8231096,8.686376,6.30461,-0.7049203,1.534009,-0.944978,-0.4941702,-3.2654285,-1.1539161,-1.0784447,-4.881954,-3.600943,-6.983173,-1.4784455,-0.1904428,5.905926,7.2696686,7.8430653,10.444832,12.062335,13.204754,22.035515,24.335802,24.289501,25.907278,16.978645,20.07538,26.173569,33.61149,41.21524,30.454885,27.703476,31.248295,14.889229,18.76371,17.066849,14.9156685,16.651476,9.55646,-3.3796608,-15.157443,-16.98922,-13.554251,-11.900645,-11.51278,-8.183277,-9.721565,-7.659757,-3.7003458,-3.742987,-6.9876013,0.33932924,-4.707986,-11.0844555,-13.294119,-20.264603,-19.28934,-22.102076,-28.10849,-32.206665,-28.44571,-29.605902,-22.076834,-24.362064,-15.993285,-11.236745,-12.544805,-5.4773865,-11.268473,-12.995428,-11.599994,-9.330988,-10.141831,0.030183792,-9.29349],"EMXC^P_PRICE(0,-200D)":[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,52.19,51.85,51.53,51.98,51.64,51.63,50.96,50.33,50.89,51.19,50.32,50.05,50.14,50.61,50.38,50.26,50.22,49.7,50.02,49.57,49.9,50.33,50.2,50.32,50.32,49.67,49.43,49.45,49.75,49.9,49.67,48.97,48.83,49.6,49.53,49.77,49.715,50.23,50.28,50.4,50.64,50.07,49.99],"VWO^JULIAN(P_PRICE_RETURNS_PR('52W',2,-10AY,0,AM).DATES)":[41663,41696,41724,41754,41782,41816,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],"CPALM-FDS^FG_PRICE_CHANGE(0,-1AY)":6.3790365272631,"PASP-FDS^FG_PRICE_CHANGE(0,-3AM)":-14.9779735682819,"PLATI-FDS^FG_PRICE_CHANGE(0,-1AY)":-12.9807692307692,"COPP-FDS^MAX(FG_PRICE(0,-5AY))":4.929,"TIOS-FDS^FG_PRICE_CHANGE(0,-3AM)":14.4280287040945,"FC0000US^FG_PRICE(0)":368.2897,"FC0000GB^FG_PRICE(0)":119.17794,"FC0000GR^FG_PRICE(0)":9.324532,"FC0000AU^FG_PRICE(0)":347.62616,"EWD^FG_PRICE_MAVG(0,,,,30)":38.146667,"SPY^FG_PRICE_MAVG(0,,,,200)":441.196,"EWU^FG_PRICE_MAVG(0,,,,30)":32.683666,"EWA^FG_PRICE(0)":23.69,"EWD^FG_COMPANY_NAME":"iShares MSCI Sweden ETF","EWA^FG_COMPANY_NAME":"iShares MSCI Australia ETF","EWG^FG_COMPANY_NAME":"iShares MSCI Germany ETF","IWM^FG_TOTAL_RETURNC(0,-6AM)":0.60464144,"INDA^P_PRICE(0)/P_PRICE_LOW_PR(0,,,USD,,,\"PRICE\",\"INTRA\",\"52W\")-1":0.30252874,"VGK^P_PRICE(0)/P_PRICE_HIGH_PR(0,,,USD,,,\"PRICE\",\"INTRA\",\"52W\")":0.9848263,"EWD^FG_TOTAL_RETURNC(0,-3AM)":23.148298,"SPY^P_PRICE(0)/P_PRICE_HIGH_PR(0,,,USD,,,\"PRICE\",\"INTRA\",\"52W\")":0.99650395,"EWL^P_PRICE(0)/P_PRICE_LOW_PR(0,,,USD,,,\"PRICE\",\"INTRA\",\"52W\")-1":0.15090251,"EWG^FG_TOTAL_RETURNC(0,-6AM)":1.4901161,"ENZL^P_PRICE(0)/P_PRICE_LOW_PR(0,,,USD,,,\"PRICE\",\"INTRA\",\"52W\")-1":0.1430633,"SPY^FMA_PCT_ABOVE_MAVG(200,0,,,,\"PORTAGG\")":70.1195219123506,"VGK^PERCENT_CHANGE(FMA_EPS(+1,0,,,,\"PORTAGG\",\"MEAN\"),FMA_EPS(+1,-3AM,,,,\"PORTAGG\",\"MEAN\"))":2.13812512841139,"EWN^PERCENT_CHANGE(FMA_EPS(+1,0,,,,\"PORTAGG\",\"MEAN\"),FMA_EPS(+1,-1AM,,,,\"PORTAGG\",\"MEAN\"))":-2.81773580255581,"EWU^PERCENT_CHANGE(FMA_EPS(+1,0,,,,\"PORTAGG\",\"MEAN\"),FMA_EPS(+1,-3AM,,,,\"PORTAGG\",\"MEAN\"))":-5.146670697028,"EWG^PERCENT_CHANGE(FMA_EPS(+1,0,,,,\"PORTAGG\",\"MEAN\"),FMA_EPS(+1,-1AM,,,,\"PORTAGG\",\"MEAN\"))":-3.77328064175356,"ENZL^FMA_PCT_ABOVE_MAVG(200,0,,,,\"PORTAGG\")":50.0,"EWJ^FMA_COS_UP(\"EPS\",\"1M\",+1,0,,,\"PORTAGG\",\"MEANR\")":87.0,"EWI^SIZE(FG_CONSTITUENTS)":26,"EWQ^FMA_COS_DOWN(\"EPS\",\"1M\",+1,0,,,\"PORTAGG\",\"MEANR\")":33.0,"EWL^SIZE(FG_CONSTITUENTS)":47,"EWC^FMA_COS_DOWN(\"EPS\",\"1M\",+1,0,,,\"PORTAGG\",\"MEANR\")":34.0,"EWN^FG_COMPANY_NAME":"iShares MSCI Netherlands ETF","PLATI-FDS^FG_PRICE_CHANGE(0,-3AM)":-1.4161220043573,"COPP-FDS^FG_PRICE(0)/MAX(FG_PRICE(0,-1AY))":0.902390438247012,"TIOS-FDS^FG_PRICE_CHANGE(0,-1AM)":-0.154696132596688,"FC0000CH^FG_PRICE(0)":330.17142,"FC0000NZ^FG_PRICE(0)":394.01794,"SPY^FG_PRICE_MAVG(0,,,,60)":461.79333,"EWU^FG_PRICE(0)":32.64,"EWG^FG_PRICE_MAVG(0,,,,60)":28.4035,"ENZL^FG_PRICE_MAVG(0,,,,200)":46.927845,"ENZL^FG_COMPANY_NAME":"iShares MSCI New Zealand ETF","IWM^FG_TOTAL_RETURNC(0,-3AM)":19.844496,"INDA^P_PRICE(0)/P_PRICE_HIGH_PR(0,,,USD,,,\"PRICE\",\"INTRA\",\"52W\")":0.97988045,"EWJ^FG_TOTAL_RETURNC(0,-3AM)":15.646446,"VGK^FG_TOTAL_RETURNC(0,-6AM)":2.1065354,"EWN^P_PRICE(0)/P_PRICE_LOW_PR(0,,,USD,,,\"PRICE\",\"INTRA\",\"52W\")-1":0.26591337,"SPY^FG_TOTAL_RETURNC(0,-6AM)":7.8213453,"EWG^FG_TOTAL_RETURNC(0,-3AM)":18.418766,"ENZL^P_PRICE(0)/P_PRICE_HIGH_PR(0,,,USD,,,\"PRICE\",\"INTRA\",\"52W\")":0.8791003,"QQQ^PERCENT_CHANGE(FMA_EPS(+1,0,,,,\"PORTAGG\",\"MEAN\"),FMA_EPS(+1,-1AM,,,,\"PORTAGG\",\"MEAN\"))":-0.894138850610147,"EWJ^PERCENT_CHANGE(FMA_EPS(+1,0,,,,\"PORTAGG\",\"MEAN\"),FMA_EPS(+1,-3AM,,,,\"PORTAGG\",\"MEAN\"))":3.14053455069197,"VGK^PERCENT_CHANGE(FMA_EPS(+1,0,,,,\"PORTAGG\",\"MEAN\"),FMA_EPS(+1,-1AM,,,,\"PORTAGG\",\"MEAN\"))":-0.27643832895587,"EWN^FMA_PCT_ABOVE_MAVG(200,0,,,,\"PORTAGG\")":53.7037037037037,"EWG^FMA_PCT_ABOVE_MAVG(200,0,,,,\"PORTAGG\")":52.5423728813559,"FXI^SIZE(FG_CONSTITUENTS)":51,"EMXC^FMA_COS_DOWN(\"EPS\",\"1M\",+1,0,,,\"PORTAGG\",\"MEANR\")":283.0,"URTH^SIZE(FG_CONSTITUENTS)":1484,"EWI^FMA_COS_DOWN(\"EPS\",\"1M\",+1,0,,,\"PORTAGG\",\"MEANR\")":13.0,"EWQ^FMA_COS_UP(\"EPS\",\"1M\",+1,0,,,\"PORTAGG\",\"MEANR\")":20.0,"EWC^FMA_COS_UP(\"EPS\",\"1M\",+1,0,,,\"PORTAGG\",\"MEANR\")":24.0,"EWQ^FG_COMPANY_NAME":"iShares MSCI France ETF","FXI^P_PRICE(0)/P_PRICE_HIGH_PR(0,,,USD,,,\"PRICE\",\"INTRA\",\"52W\")":0.6771536,"EWD^FG_PRICE_MAVG(0,,,,60)":36.580666,"EWG^FG_PRICE_MAVG(0,,,,200)":28.03795,"IWM^P_PRICE(0)/P_PRICE_HIGH_PR(0,,,USD,,,\"PRICE\",\"INTRA\",\"52W\")":0.95372033,"VGK^P_PRICE(0)/P_PRICE_LOW_PR(0,,,USD,,,\"PRICE\",\"INTRA\",\"52W\")-1":0.16109693,"EWD^FG_TOTAL_RETURNC(0,-6AM)":5.8481574,"UUP^P_PRICE(0,-200D)":[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,28.48,28.39,28.62,28.61,28.52,28.57,28.27,28.61,28.56,28.59,28.6,28.47,28.37,28.29,28.27,28.35,28.14,28.09,28.02,28.1,27.92,27.74,27.79,27.7,27.66,27.7,27.67,27.82,27.89,27.75,27.71,27.7,27.79,27.66,27.75,27.78,27.78,27.72,27.82,27.68,27.52,27.65,27.8],"EWJ^FG_TOTAL_RETURNC(-10AY,0,AM)":[-2.2594094,-1.1130154,-4.329002,-0.2714932,3.3575296,6.1650515,0.9991646,-1.896131,0.08403063,-5.4575977,3.5523891,-0.27419925,0.25951862,6.9887757,2.2580743,4.9684525,-1.5026331,0.274539,-2.5229335,-5.6470633,-3.4912705,7.665813,0.32000542,-2.6456714,-7.590759,-1.2499928,2.622056,6.4317107,-2.897352,-2.557677,4.320991,3.296709,2.5368214,0.39904118,-1.6494393,1.7248273,2.9943824,0.52683353,0.6793499,0.38558245,2.1317482,2.0068169,0.63079596,0.22124052,2.1891117,4.3744326,3.570199,0.6532788,7.711518,-3.4173489,-5.3634286,3.1128407,-1.3453662,-2.0829558,1.4207482,-2.7679324,5.0338387,-10.808128,1.5564203,-7.976323,7.73226,2.3368,-0.48930645,0.8923769,-2.9783428,1.6401052,1.2375355,-2.2806048,6.9828153,1.378715,3.081429,0.86649656,-0.268054,-7.77759,-8.48816,1.2937903,7.015133,2.6711702,0.6489992,4.4778824,0.7371783,-0.05105138,11.169767,1.2067914,5.6213856,-1.8699586,2.7704477,-1.8114448,-0.90063214,1.0293365,-1.1546373,0.044369698,7.389891,-5.780351,-2.1910608,1.9935966,-5.9198856,0.22078753,-1.2745857,-10.663056,3.461194,-6.4918814,0.72625875,0.647068,-9.570169,2.3359776,11.075819,-1.9089937,7.10243,-5.1824093,2.7148604,2.1529794,3.238523,1.809144,3.1521916,-4.5519648,1.3339996,-5.644232,9.190798,2.5432944,3.28542],"CPALM-FDS^FG_PRICE_MAVG(0,,,,30)":3758.4666,"PASP-FDS^FG_PRICE_MAVG(0,,,,30)":1064.4667,"PLATI-FDS^FG_PRICE_CHANGE(0,-1AM)":-8.3080040526849,"COPP-FDS^FG_PRICE_CHANGE(0,-1AY)":-9.76095617529882,"TIOS-FDS^FG_PRICE_MAVG(0,,,,30)":136.90466,"EWD^FG_PRICE(0)":37.28,"SPY^FG_PRICE_MAVG(0,,,,30)":475.58032,"EWL^FG_PRICE_MAVG(0,,,,200)":45.9677,"EWG^FG_PRICE_MAVG(0,,,,30)":29.250334,"EWI^FG_COMPANY_NAME":"iShares MSCI Italy ETF","EWC^FG_COMPANY_NAME":"iShares MSCI Canada ETF","QQQ^P_PRICE(0)/P_PRICE_LOW_PR(0,,,USD,,,\"PRICE\",\"INTRA\",\"52W\")-1":0.48606193,"INDA^FG_TOTAL_RETURNC(0,-6AM)":10.093999,"URTH^P_PRICE(0)/P_PRICE_LOW_PR(0,,,USD,,,\"PRICE\",\"INTRA\",\"52W\")-1":0.2337414,"EWN^P_PRICE(0)/P_PRICE_HIGH_PR(0,,,USD,,,\"PRICE\",\"INTRA\",\"52W\")":0.9965293,"SPY^FG_TOTAL_RETURNC(0,-3AM)":18.62551,"EWL^P_PRICE(0)/P_PRICE_HIGH_PR(0,,,USD,,,\"PRICE\",\"INTRA\",\"52W\")":0.97721463,"EWC^P_PRICE(0)/P_PRICE_LOW_PR(0,,,USD,,,\"PRICE\",\"INTRA\",\"52W\")-1":0.16109526,"ENZL^FG_TOTAL_RETURNC(0,-6AM)":-3.300351,"QQQ^FMA_PCT_ABOVE_MAVG(200,0,,,,\"PORTAGG\")":77.4509803921569,"VGK^FMA_PCT_ABOVE_MAVG(200,0,,,,\"PORTAGG\")":64.5440251572327,"EWQ^PERCENT_CHANGE(FMA_EPS(+1,0,,,,\"PORTAGG\",\"MEAN\"),FMA_EPS(+1,-3AM,,,,\"PORTAGG\",\"MEAN\"))":-1.12806063240472,"EWU^PERCENT_CHANGE(FMA_EPS(+1,0,,,,\"PORTAGG\",\"MEAN\"),FMA_EPS(+1,-1AM,,,,\"PORTAGG\",\"MEAN\"))":-4.21993710913714,"EWC^PERCENT_CHANGE(FMA_EPS(+1,0,,,,\"PORTAGG\",\"MEAN\"),FMA_EPS(+1,-3AM,,,,\"PORTAGG\",\"MEAN\"))":-2.67943761464201,"FXI^FMA_COS_DOWN(\"EPS\",\"1M\",+1,0,,,\"PORTAGG\",\"MEANR\")":23.0,"EMXC^FMA_COS_UP(\"EPS\",\"1M\",+1,0,,,\"PORTAGG\",\"MEANR\")":240.0,"EWI^FMA_COS_UP(\"EPS\",\"1M\",+1,0,,,\"PORTAGG\",\"MEANR\")":6.0,"SPY^SIZE(FG_CONSTITUENTS)":504,"EWL^FMA_COS_DOWN(\"EPS\",\"1M\",+1,0,,,\"PORTAGG\",\"MEANR\")":31.0,"EWA^SIZE(FG_CONSTITUENTS)":59,"SPY^FG_COMPANY_NAME":"SPDR S&P 500 ETF Trust","FXI^FG_TOTAL_RETURNC(0,-6AM)":-19.919842,"EMXC^FG_TOTAL_RETURNC(0,-3AM)":14.363348,"TLT^FG_TOTAL_RETURNC(0,-3AM)":11.747646,"DBA^FG_TOTAL_RETURNC(0,-6AM)":0.5383134,"QQQ^FG_TOTAL_RETURNC(0,-1AM)":3.2010078,"GLD^FG_TOTAL_RETURNC(0,-6AM)":2.023995,"SPY^FG_TOTAL_RETURNC(0,-1AM)":2.4724126,"FXI^FG_TOTAL_RETURNC(0,-3AM)":-9.307188,"EMXC^FG_TOTAL_RETURNC(0,-1AM)":-1.2015283,"EWL^FG_TOTAL_RETURNC(0,-3AM)":13.857138,"EWC^P_PRICE(0)/P_PRICE_HIGH_PR(0,,,USD,,,\"PRICE\",\"INTRA\",\"52W\")":0.9859421,"FXI^PERCENT_CHANGE(FMA_EPS(+1,0,,,,\"PORTAGG\",\"MEAN\"),FMA_EPS(+1,-3AM,,,,\"PORTAGG\",\"MEAN\"))":-4.29127385667383,"EMXC^PERCENT_CHANGE(FMA_EPS(+1,0,,,,\"PORTAGG\",\"MEAN\"),FMA_EPS(+1,-1AM,,,,\"PORTAGG\",\"MEAN\"))":-2.09908008561561,"EWJ^FMA_PCT_ABOVE_MAVG(200,0,,,,\"PORTAGG\")":75.2212389380531,"EMXC^FG_TOTAL_RETURNC(-10AY,0,AM)":[null,null,null,null,null,null,null,null,null,null,null,null,null,null,null,null,null,null,null,null,null,null,null,null,null,null,null,null,null,null,null,null,null,null,null,null,null,null,null,null,null,null,null,1.2050629,-1.0160387,2.2352934,2.7426124,-0.41196346,10.61182,-3.7119448,-2.6771724,-2.2013187,-2.773887,-6.525797,4.530406,-1.7811179,0.44327974,-9.388166,3.0108452,-2.133882,9.580601,1.025784,-1.4256835,2.0724177,-6.1384497,6.844604,-0.41652322,-8.632535,5.907917,3.8585901,0.15898943,5.7103634,0.6339431,-9.447628,-21.080124,1.6852379,6.960976,7.1751237,7.512927,3.1638265,-4.0372014,4.82378,11.599075,6.1194777,6.928313,-2.8010726,2.2260547,3.5280228,0.29349327,2.4454355,-2.4378538,-0.39196014,1.2133121,0.4373908,-5.5806456,4.282129,-1.8733025,0.28774738,-2.1265805,-6.742543,-1.8306255,-7.4433384,-1.1302888,3.9908528,-10.0939455,2.5122285,7.6339245,-2.2748768,8.789598,-7.1538744,0.68535805,1.0107279,4.533386,1.8709779,4.7517896,-5.273837,-3.2898545,-3.3413827,9.079552,6.1190367,-1.2015283],"CPALM-FDS^FG_PRICE(0)":4019.0,"NI-FDS^MAX(FG_PRICE(0,-5AY))":48241.0,"PLATI-FDS^FG_PRICE_MAVG(0,,,,30)":947.5333,"FC0000CA^FG_PRICE(0)":280.76566,"EWN^FG_PRICE_MAVG(0,,,,200)":41.73738,"EWL^FG_PRICE_MAVG(0,,,,60)":45.926,"EWG^FG_PRICE(0)":29.39,"ENZL^FG_PRICE_MAVG(0,,,,60)":46.217667,"INDA^FG_TOTAL_RETURNC(0,-3AM)":15.118181,"URTH^P_PRICE(0)/P_PRICE_HIGH_PR(0,,,USD,,,\"PRICE\",\"INTRA\",\"52W\")":0.9971946,"VGK^FG_TOTAL_RETURNC(0,-3AM)":15.876019,"EWN^FG_TOTAL_RETURNC(0,-6AM)":5.1609755,"EWL^FG_TOTAL_RETURNC(0,-6AM)":0.27259588,"ENZL^FG_TOTAL_RETURNC(0,-3AM)":15.336048,"EMXC^PERCENT_CHANGE(FMA_EPS(+1,0,,,,\"PORTAGG\",\"MEAN\"),FMA_EPS(+1,-3AM,,,,\"PORTAGG\",\"MEAN\"))":0.0247089731993381,"EWJ^PERCENT_CHANGE(FMA_EPS(+1,0,,,,\"PORTAGG\",\"MEAN\"),FMA_EPS(+1,-1AM,,,,\"PORTAGG\",\"MEAN\"))":-3.55077547740622,"EWI^PERCENT_CHANGE(FMA_EPS(+1,0,,,,\"PORTAGG\",\"MEAN\"),FMA_EPS(+1,-3AM,,,,\"PORTAGG\",\"MEAN\"))":-0.331049008113385,"EWQ^PERCENT_CHANGE(FMA_EPS(+1,0,,,,\"PORTAGG\",\"MEAN\"),FMA_EPS(+1,-1AM,,,,\"PORTAGG\",\"MEAN\"))":-3.18879833863257,"EWU^FMA_PCT_ABOVE_MAVG(200,0,,,,\"PORTAGG\")":53.5714285714286,"FXI^FMA_COS_UP(\"EPS\",\"1M\",+1,0,,,\"PORTAGG\",\"MEANR\")":20.0,"INDA^SIZE(FG_CONSTITUENTS)":132,"URTH^FMA_COS_DOWN(\"EPS\",\"1M\",+1,0,,,\"PORTAGG\",\"MEANR\")":595.0,"EWD^SIZE(FG_CONSTITUENTS)":45,"SPY^FMA_COS_DOWN(\"EPS\",\"1M\",+1,0,,,\"PORTAGG\",\"MEANR\")":155.0,"EWL^FMA_COS_UP(\"EPS\",\"1M\",+1,0,,,\"PORTAGG\",\"MEANR\")":13.0,"QQQ^FG_COMPANY_NAME":"Invesco QQQ Trust Series I","SPY^FMA_COS_UP(\"EPS\",\"1M\",+1,0,,,\"PORTAGG\",\"MEANR\")":223.0,"EWJ^SIZE(FG_CONSTITUENTS)":227,"EWA^FMA_COS_DOWN(\"EPS\",\"1M\",+1,0,,,\"PORTAGG\",\"MEANR\")":18.0,"EWU^FG_COMPANY_NAME":"iShares MSCI United Kingdom ETF","TLT^FG_TOTAL_RETURNC(0,-1AM)":-5.042529,"DBA^FG_TOTAL_RETURNC(0,-3AM)":2.65491,"GLD^FG_TOTAL_RETURNC(0,-3AM)":1.630342,"VWO^P_PRICE(0)/P_PRICE_HIGH_PR(0,,,USD,,,\"PRICE\",\"INTRA\",\"52W\")":0.9317866,"USO^FG_TOTAL_RETURNC(0,-1AM)":4.1162252,"CPALM-FDS^FG_PRICE(0)/MAX(FG_PRICE(0,-1AY))":0.928819043217009,"EWU^FG_PRICE_MAVG(0,,,,60)":32.29067,"EWG^P_PRICE(0)/P_PRICE_HIGH_PR(0,,,USD,,,\"PRICE\",\"INTRA\",\"52W\")":0.9829431,"ENZL^PERCENT_CHANGE(FMA_EPS(+1,0,,,,\"PORTAGG\",\"MEAN\"),FMA_EPS(+1,-1AM,,,,\"PORTAGG\",\"MEAN\"))":-2.33636420315115,"VGK^FMA_COS_UP(\"EPS\",\"1M\",+1,0,,,\"PORTAGG\",\"MEANR\")":383.0,"TLT^FG_TOTAL_RETURNC(0,-6AM)":-5.6531787,"QQQ^FG_TOTAL_RETURNC(0,-3AM)":23.632133,"EWI^P_PRICE_RETURNS_PR('52W',2,-10AY,0,AM)":[11.5750675,37.311424,47.578598,41.97004,30.626179,48.847626,32.309414,22.333347,11.902988,-3.5899103,0.64741373,-6.7184687,-8.818054,-8.0243,-11.631507,-13.506645,-7.6590595,-7.337493,-7.801914,-5.6089344,-6.009364,3.6420584,-2.8629363,2.3598552,-10.304981,-21.930801,-18.100912,-15.345711,-17.984808,-31.18961,-26.611942,-22.212952,-20.830727,-22.595692,-22.720772,-11.171997,3.5439968,8.084286,9.845936,9.899103,19.481743,37.509216,39.130093,38.812386,46.35457,41.10068,50.491833,30.53155,44.272923,43.555214,28.00728,30.300653,10.0389,6.951821,2.2507071,-4.471034,-2.495581,-16.736746,-15.612114,-19.2164,-20.660568,-13.871586,-10.093612,-14.295459,-10.601598,-0.09781122,-0.6439209,-0.9698272,-1.5016794,19.984257,20.957338,29.454458,19.732594,7.801497,-18.599342,-24.910046,-16.624249,-11.955953,-7.286668,1.4396191,-10.209883,-12.622923,1.1583447,1.4676094,1.2563825,9.492564,48.293137,63.65739,56.0315,39.99784,28.713,26.974415,36.42341,40.003204,11.004424,13.146055,12.086034,6.8855286,-4.4183674,-13.634282,-10.354519,-20.22589,-26.06467,-25.193083,-30.029942,-25.321781,-12.017292,-13.064199,-1.7491221,1.9693971,5.526507,20.471859,10.455645,26.810242,50.900852,35.40747,44.569313,27.036798,24.081982,30.691874,15.982306],"VGK^FG_TOTAL_RETURNC(-10AY,0,AM)":[-1.46451,4.4063687,-1.3121903,2.3083568,1.7342925,0.5975604,-1.454848,-1.6969264,-3.3409595,-4.467964,4.6581507,-3.0649781,-0.111693144,4.0067077,-1.17746,3.4281611,-0.24682283,1.0056496,-2.8789759,-6.001836,-4.0393233,6.8881154,-2.5738835,-0.39664507,-7.950282,-1.928848,4.5030117,5.0893784,0.26015043,-9.417361,6.789565,2.3157835,0.054955482,-2.7088523,-2.0616293,3.747952,4.1193724,0.08074045,4.17186,4.302132,4.740572,-0.37323833,2.88409,-0.10578632,1.9750237,0.8514404,1.1371493,0.6714344,8.0129385,-5.040163,-3.2210946,2.686417,-1.425463,-3.023821,3.004825,-1.6322255,1.2561321,-11.008054,1.4159322,-5.994487,6.8106294,4.276824,0.31120777,3.2523394,-2.5706053,3.127551,0.09170771,-4.8927965,3.5477042,3.5754442,2.3495436,3.6778808,-0.22268295,-6.7124486,-18.39925,1.5664101,6.459546,5.2247286,6.5086365,3.9984941,-5.7142735,1.0640383,11.868298,3.6502123,2.7080894,-0.9382069,3.7743568,5.499375,2.7112007,0.7353902,-0.3366053,1.5565395,-1.4452696,1.6528845,-4.8199773,4.2252064,-4.3471756,-1.3139606,-2.539295,-6.4110875,1.9621372,-6.854767,-2.0698547,-1.736182,-11.7973385,10.496389,11.775184,-0.79329014,9.437359,-2.398163,-1.5252888,7.461405,-1.8196404,-0.2426982,5.076313,-5.2573442,-3.69609,-3.4237087,10.977149,5.345273,-0.8837223],"W-FDS^MAX(FG_PRICE(0,-5AY))":14.2525,"NI-FDS^FG_PRICE(0)/MAX(FG_PRICE(0,-1AY))":0.550066533599468,"COPP-FDS^FG_PRICE_CHANGE(0,-6AM)":-1.02814548258578,"TIOS-FDS^FG_PRICE(0)":135.54,"EWN^FG_PRICE_MAVG(0,,,,60)":42.65445,"SPY^FG_PRICE(0)":487.41,"EWL^FG_PRICE_MAVG(0,,,,30)":47.42,"EWC^FG_PRICE_MAVG(0,,,,200)":34.61225,"ENZL^FG_PRICE_MAVG(0,,,,30)":47.466167,"QQQ^P_PRICE(0)/P_PRICE_HIGH_PR(0,,,USD,,,\"PRICE\",\"INTRA\",\"52W\")":0.98594856,"SPY^P_PRICE(0)/P_PRICE_LOW_PR(0,,,USD,,,\"PRICE\",\"INTRA\",\"52W\")-1":0.28046763,"URTH^FG_TOTAL_RETURNC(0,-6AM)":6.3951373,"EWI^P_PRICE(0)/P_PRICE_LOW_PR(0,,,USD,,,\"PRICE\",\"INTRA\",\"52W\")-1":0.2022996,"EWQ^FMA_PCT_ABOVE_MAVG(200,0,,,,\"PORTAGG\")":72.5806451612903,"EWL^PERCENT_CHANGE(FMA_EPS(+1,0,,,,\"PORTAGG\",\"MEAN\"),FMA_EPS(+1,-3AM,,,,\"PORTAGG\",\"MEAN\"))":-1.38681640694641,"EWC^PERCENT_CHANGE(FMA_EPS(+1,0,,,,\"PORTAGG\",\"MEAN\"),FMA_EPS(+1,-1AM,,,,\"PORTAGG\",\"MEAN\"))":-3.8460091058999,"IWM^SIZE(FG_CONSTITUENTS)":1953,"INDA^FMA_COS_DOWN(\"EPS\",\"1M\",+1,0,,,\"PORTAGG\",\"MEANR\")":69.0,"URTH^FMA_COS_UP(\"EPS\",\"1M\",+1,0,,,\"PORTAGG\",\"MEANR\")":555.0,"FXI^FG_TOTAL_RETURNC(0,-1AM)":-2.6701093,"UUP^P_PRICE(0)/P_PRICE_HIGH_PR(0,,,USD,,,\"PRICE\",\"INTRA\",\"52W\")":0.92093486,"EWD^P_PRICE_RETURNS_PR('52W',2,-10AY,0,AM)":[17.450344,16.776478,15.446472,16.530346,15.851461,22.30766,9.675228,6.6081405,-1.6021252,-5.808723,2.0905733,-5.1761627,-4.612666,-1.411444,-2.7512968,-1.4478445,-4.4188557,-1.4931619,-5.4086566,-9.556448,-9.298193,-2.0266235,-8.825445,-4.15886,-10.430342,-16.779482,-13.572377,-8.276451,-9.564865,-18.894917,-9.6679325,-0.067442656,4.30547,-3.7439287,-2.899462,-0.123399496,13.981056,15.500296,14.931309,13.221455,18.985199,32.173775,26.384735,22.12187,25.680042,29.183626,29.71462,23.08402,23.97425,18.482315,9.2806225,3.8550973,0.9349108,-4.1435122,-1.0208786,-1.514113,-1.0303676,-14.568156,-12.209147,-15.630126,-14.793909,-9.630245,-4.6811285,1.39575,-5.7905254,4.453647,-3.4020603,-9.497833,-8.141059,12.355781,13.907409,27.028883,17.910374,8.964658,-12.307871,-15.198368,-0.24513602,2.0018458,14.916348,32.157005,18.645107,14.5625,27.227772,21.41837,29.581738,35.03207,78.92337,82.962166,67.84601,55.45162,46.09059,35.89734,41.671467,40.079773,15.103304,21.19168,3.6479235,-3.9637089,-7.834035,-21.710217,-21.038855,-28.20639,-31.056028,-32.185013,-39.380474,-34.309048,-22.166967,-26.43826,-11.229218,-4.7084513,-11.674571,5.6795716,0.99829435,9.222019,14.752853,3.7821174,22.16593,4.3738484,8.2757,25.317764,7.305062],"NI-FDS^FG_PRICE_CHANGE(0,-1AY)":-42.4869565217391,"BRENT-FDS^MAX(FG_PRICE(0,-5AY))":140.85,"COPP-FDS^FG_PRICE_CHANGE(0,-3AM)":7.90248003362757,"EWI^FG_PRICE_MAVG(0,,,,200)":31.768,"EWN^FG_PRICE_MAVG(0,,,,30)":44.092567,"QQQ^FG_PRICE_MAVG(0,,,,200)":368.2388,"EWC^FG_PRICE_MAVG(0,,,,60)":35.21417,"ENZL^FG_PRICE(0)":46.9,"FXI^P_PRICE(0)/P_PRICE_LOW_PR(0,,,USD,,,\"PRICE\",\"INTRA\",\"52W\")-1":0.08341324,"QQQ^FG_TOTAL_RETURNC(0,-6AM)":12.7061,"URTH^FG_TOTAL_RETURNC(0,-3AM)":17.837345,"EWI^P_PRICE(0)/P_PRICE_HIGH_PR(0,,,USD,,,\"PRICE\",\"INTRA\",\"52W\")":0.97607934,"EWN^FG_TOTAL_RETURNC(0,-3AM)":25.778818,"EWJ^P_PRICE(0)/P_PRICE_LOW_PR(0,,,USD,,,\"PRICE\",\"INTRA\",\"52W\")-1":0.19860685,"EWC^FG_TOTAL_RETURNC(0,-6AM)":3.0292988,"EMXC^FMA_PCT_ABOVE_MAVG(200,0,,,,\"PORTAGG\")":60.6824925816024,"URTH^PERCENT_CHANGE(FMA_EPS(+1,0,,,,\"PORTAGG\",\"MEAN\"),FMA_EPS(+1,-3AM,,,,\"PORTAGG\",\"MEAN\"))":-0.996110990164579,"EWI^PERCENT_CHANGE(FMA_EPS(+1,0,,,,\"PORTAGG\",\"MEAN\"),FMA_EPS(+1,-1AM,,,,\"PORTAGG\",\"MEAN\"))":-2.56266426664765,"SPY^PERCENT_CHANGE(FMA_EPS(+1,0,,,,\"PORTAGG\",\"MEAN\"),FMA_EPS(+1,-3AM,,,,\"PORTAGG\",\"MEAN\"))":-1.54372808415427,"EWL^PERCENT_CHANGE(FMA_EPS(+1,0,,,,\"PORTAGG\",\"MEAN\"),FMA_EPS(+1,-1AM,,,,\"PORTAGG\",\"MEAN\"))":-3.34099851178726,"EWC^FMA_PCT_ABOVE_MAVG(200,0,,,,\"PORTAGG\")":65.1685393258427,"INDA^FMA_COS_UP(\"EPS\",\"1M\",+1,0,,,\"PORTAGG\",\"MEANR\")":44.0,"VWO^SIZE(FG_CONSTITUENTS)":4684,"EWD^FMA_COS_DOWN(\"EPS\",\"1M\",+1,0,,,\"PORTAGG\",\"MEANR\")":21.0,"QQQ^SIZE(FG_CONSTITUENTS)":102,"EWJ^FMA_COS_DOWN(\"EPS\",\"1M\",+1,0,,,\"PORTAGG\",\"MEANR\")":87.0,"EWA^FMA_COS_UP(\"EPS\",\"1M\",+1,0,,,\"PORTAGG\",\"MEANR\")":28.0,"EWJ^P_PRICE(0)/P_PRICE_HIGH_PR(0,,,USD,,,\"PRICE\",\"INTRA\",\"52W\")":0.9781601,"USO^P_PRICE(0)/P_PRICE_HIGH_PR(0,,,USD,,,\"PRICE\",\"INTRA\",\"52W\")":0.87765634,"ENZL^SIZE(FG_CONSTITUENTS)":16,"EWL^FG_COMPANY_NAME":"iShares MSCI Switzerland ETF","EWJ^FG_TOTAL_RETURNC(0,-6AM)":5.541408,"SPY^PERCENT_CHANGE(FMA_EPS(+1,0,,,,\"PORTAGG\",\"MEAN\"),FMA_EPS(+1,-1AM,,,,\"PORTAGG\",\"MEAN\"))":-0.734568163547285,"EWU^FMA_COS_UP(\"EPS\",\"1M\",+1,0,,,\"PORTAGG\",\"MEANR\")":39.0,"TLT^P_PRICE(0)/P_PRICE_HIGH_PR(0,,,USD,,,\"PRICE\",\"INTRA\",\"52W\")":0.8575975,"EMXC^FG_TOTAL_RETURNC(0,-6AM)":1.2673497,"DBA^P_PRICE(0)/P_PRICE_HIGH_PR(0,,,USD,,,\"PRICE\",\"INTRA\",\"52W\")":0.9537573,"GLD^P_PRICE(0)/P_PRICE_HIGH_PR(0,,,USD,,,\"PRICE\",\"INTRA\",\"52W\")":0.96804935,"QQQ^FG_TOTAL_RETURNC(-10AY,0,AM)":[-1.1397302,4.023528,-2.5450766,-1.3505757,4.2812347,4.1284204,3.6425948,2.853012,-0.48749447,-0.16196966,6.996548,-0.085777044,-0.85681677,4.5515656,-3.2510817,5.1760197,-1.2122333,0.29553175,1.6747475,-7.263726,0.13978481,9.648275,1.151979,-1.0591984,-8.3844,0.27145147,4.0099382,1.1094451,1.023519,-4.553914,9.109211,2.627647,0.7312894,0.88630915,0.3547907,1.4787197,4.459238,3.7432313,0.49282312,3.2993913,4.6539187,-0.18051267,3.0516386,-2.0017922,1.0665298,2.6472092,6.328249,0.3743887,9.206486,-0.31006932,-3.3614576,-1.4659286,4.7719,1.6019821,4.6376467,1.349616,1.1620164,-9.556627,-2.2620916,-6.128746,8.32349,5.1771164,3.2673001,6.4786315,-6.5512657,4.5129895,5.1133037,-5.361253,2.6738882,3.3055186,4.584956,4.712355,4.16764,-2.7929962,-11.165786,11.433041,7.108116,5.0615788,6.385815,14.243233,-6.8522635,3.281045,5.636966,4.672098,6.1474323,-4.397571,0.71669817,8.110762,-2.1953583,4.7085404,5.44554,1.0665178,0.35779476,1.5509129,3.1863332,1.5931368,-13.189059,0.34825802,4.0562153,-11.746204,-5.6158247,-1.3921797,-0.08146167,4.4399977,-10.597574,1.2975216,3.2346368,-6.5908375,9.717237,-0.50793886,6.6883087,0.3152132,11.713219,2.804613,5.546856,-3.5759686999999998,-2.5543094,-2.978456,13.341677,5.69582,3.2010078],"W-FDS^FG_PRICE_CHANGE(0,-3AM)":3.58067299396032,"BRENT-FDS^FG_PRICE_CHANGE(0,-1AY)":-2.69718948322756,"COPP-FDS^FG_PRICE_MAVG(0,,,,30)":3.8337667,"FC0000JP^FG_PRICE(0)":167.85266,"EWN^FG_PRICE(0)":45.94,"QQQ^FG_PRICE_MAVG(0,,,,60)":395.9985,"EWL^FG_PRICE(0)":47.82,"EWC^FG_PRICE_MAVG(0,,,,30)":36.24967,"VWO^P_PRICE(0)/P_PRICE_LOW_PR(0,,,USD,,,\"PRICE\",\"INTRA\",\"52W\")-1":0.07221997,"EWI^FG_TOTAL_RETURNC(0,-6AM)":2.0546079,"EWQ^P_PRICE(0)/P_PRICE_LOW_PR(0,,,USD,,,\"PRICE\",\"INTRA\",\"52W\")-1":0.15894234,"EWC^FG_TOTAL_RETURNC(0,-3AM)":16.17509,"FXI^PERCENT_CHANGE(FMA_EPS(+1,0,,,,\"PORTAGG\",\"MEAN\"),FMA_EPS(+1,-1AM,,,,\"PORTAGG\",\"MEAN\"))":-1.93559033302675,"INDA^PERCENT_CHANGE(FMA_EPS(+1,0,,,,\"PORTAGG\",\"MEAN\"),FMA_EPS(+1,-3AM,,,,\"PORTAGG\",\"MEAN\"))":-1.02389000946144,"URTH^PERCENT_CHANGE(FMA_EPS(+1,0,,,,\"PORTAGG\",\"MEAN\"),FMA_EPS(+1,-1AM,,,,\"PORTAGG\",\"MEAN\"))":-1.64504239301674,"EWI^FMA_PCT_ABOVE_MAVG(200,0,,,,\"PORTAGG\")":72.0,"EWL^FMA_PCT_ABOVE_MAVG(200,0,,,,\"PORTAGG\")":53.3333333333333,"EWA^PERCENT_CHANGE(FMA_EPS(+1,0,,,,\"PORTAGG\",\"MEAN\"),FMA_EPS(+1,-3AM,,,,\"PORTAGG\",\"MEAN\"))":0.489736664573848,"IWM^FMA_COS_DOWN(\"EPS\",\"1M\",+1,0,,,\"PORTAGG\",\"MEANR\")":439.0,"VWO^FMA_COS_DOWN(\"EPS\",\"1M\",+1,0,,,\"PORTAGG\",\"MEANR\")":1281.0,"EWD^FMA_COS_UP(\"EPS\",\"1M\",+1,0,,,\"PORTAGG\",\"MEANR\")":10.0,"USO^FG_TOTAL_RETURNC(0,-6AM)":3.4531474,"DBA^FG_TOTAL_RETURNC(0,-1AM)":2.2402406,"UUP^FG_TOTAL_RETURNC(0,-6AM)":5.7374597,"GLD^FG_TOTAL_RETURNC(0,-1AM)":-2.4567127,"VWO^FG_TOTAL_RETURNC(0,-6AM)":-2.6167512,"EWQ^SIZE(FG_CONSTITUENTS)":62,"EWU^FMA_COS_DOWN(\"EPS\",\"1M\",+1,0,,,\"PORTAGG\",\"MEANR\")":36.0,"EWJ^FG_TOTAL_RETURNC(0,-1AM)":3.28542,"UUP^FG_TOTAL_RETURNC(0,-1AM)":2.5470614,"VWO^FG_TOTAL_RETURNC(0,-1AM)":-0.88844895,"PASP-FDS^FG_PRICE_CHANGE(0,-6AM)":-23.7154150197628,"TIOS-FDS^FG_PRICE_CHANGE(0,-1AY)":10.6539309331374,"EWQ^FG_PRICE(0)":39.01,"EWA^FG_PRICE_MAVG(0,,,,30)":23.806667,"EWU^FG_TOTAL_RETURNC(0,-3AM)":9.372497,"EWA^FG_TOTAL_RETURNC(0,-3AM)":17.312443,"VWO^FMA_PCT_ABOVE_MAVG(200,0,,,,\"PORTAGG\")":43.1372549019608,"OIL^P_PRICE_RETURNS_PR('52W',2,-10AY,0,AM)":[2.0044804,12.287307,8.437241,13.690937,18.403137,19.652058,6.038761,-2.801156,-2.8711498,-10.716027,-16.666662,-39.518898,-47.076775,-44.532097,-44.641815,-42.018803,-45.34601,-45.55735,-54.144386,-60.365513,-54.545456,-50.449467,-47.41533,-41.38691,-41.744007,-45.779114,-33.882587,-38.159435,-29.81149,-34.614056,-27.410109,-3.5960734,-19.20743,-10.775155,-13.785315,13.417398,33.492744,33.896935,0.98052025,-4.6761456,-12.971306,-21.359825,-2.5704503,-10.00539,1.1858702,-3.60443,9.602106,2.5190353,14.59074,13.108837,31.296026,34.96852,38.491154,57.044937,44.00549,47.020985,44.68138,35.698296,-5.9779406,-15.539432,-12.568593,-7.37586,-6.1336813,-6.5825167,-16.573292,-12.98303,-17.84351,-22.51712,-23.237085,-16.64958,11.729002,29.747105,3.1943917,-11.004096,-48.538322,-59.07141,-39.955795,-34.525074,-26.087612,-18.564766,-29.640383,-34.204185,-25.083424,-25.992268,-11.706466,13.977062,90.41848,125.77066,82.29432,80.53487,69.200325,54.90961,85.40206,118.04778,58.64885,63.361477,75.19789,55.335533,104.28736,79.137085,85.685074,60.724224,50.935425,59.399033,21.797157,25.952375,20.454025,31.111109,16.00151,2.099371,-23.637014,-13.231707,-22.411896,null,null,null,null,null,null,null,null],"UUP^FG_TOTAL_RETURNC(-10AY,0,AM)":[-0.046223402,-0.2775252,-0.6493449,-0.3734827,0.6560445,-0.32588243,0.98085403,1.8501401,3.5422325,-0.087714195,2.1949053,2.6202679,5.3578973,0.07946491,1.7864227,-0.46801567,0.15673637,-2.1909237,1.8000007,-2.318269,0.88495016,0.5582094,3.0134797,-1.9245565,0.981164,-1.1270881,-2.0047188,-1.7248333,0.612247,0.5273819,1.4527798,-1.8297493,-0.20259619,3.5728812,2.861619,1.4862776,-2.440852,0.57736635,-1.4925361,-0.6992996,-1.5258193,0.07946491,-3.8110375,-0.990504,0.6669402,1.9461751,-1.9902587,0.5922437,-4.082471,0.90283155,-0.68172216,3.174603,3.118503,0.76613426,0.24009943,0.5988121,-0.7142842,2.5179863,1.05263,0.1437664,-0.934577,0.62892437,1.0937452,1.6615152,-0.22804737,-0.9904742,2.1546721,0.4143119,1.4628649,-1.1829913,0.6359935,-0.5750239,0.6483555,1.4778376,0.6348014,0.8163214,-1.3985991,-1.642406,-3.2258093,-1.5686274,1.7928243,-1.6438365,-1.2733757,-1.8540859,-0.20534396,0.9053588,1.8760204,-2.121693,-0.9406984,1.9405484,0.85054636,0.40160418,0.19999743,0.6387234,2.221346,-0.15522242,0.42752028,0.0,2.2058845,3.5592556,-0.4753232,2.057314,3.1677485,1.6399145,5.2523255,-3.7834287,-3.1186461,-1.2392998,-1.9656897,3.8643837,-1.6146004,-1.177311,3.2129884,-0.9443879,-1.3064921,3.7924886,2.4819016,0.941813,-2.665782,-1.3366342,2.5470614],"W-FDS^FG_PRICE_CHANGE(0,-1AM)":-5.65815324165029,"NI-FDS^FG_PRICE_CHANGE(0,-3AM)":-7.62569832402234,"BRENT-FDS^FG_PRICE_CHANGE(0,-6AM)":1.94728093089527,"COPP-FDS^FG_PRICE(0)":3.8505,"EWI^FG_PRICE_MAVG(0,,,,60)":32.915165,"EWQ^FG_PRICE_MAVG(0,,,,200)":37.572723,"QQQ^FG_PRICE_MAVG(0,,,,30)":409.84332,"EWJ^FG_PRICE_MAVG(0,,,,200)":61.4918,"EMXC^P_PRICE(0)/P_PRICE_LOW_PR(0,,,USD,,,\"PRICE\",\"INTRA\",\"52W\")-1":0.16785026,"EWI^FG_TOTAL_RETURNC(0,-3AM)":15.520393,"EWQ^P_PRICE(0)/P_PRICE_HIGH_PR(0,,,USD,,,\"PRICE\",\"INTRA\",\"52W\")":0.97647053,"EWA^P_PRICE(0)/P_PRICE_LOW_PR(0,,,USD,,,\"PRICE\",\"INTRA\",\"52W\")-1":0.1578691,"FXI^FMA_PCT_ABOVE_MAVG(200,0,,,,\"PORTAGG\")":19.6078431372549,"URTH^FMA_PCT_ABOVE_MAVG(200,0,,,,\"PORTAGG\")":65.8998646820027,"EWD^PERCENT_CHANGE(FMA_EPS(+1,0,,,,\"PORTAGG\",\"MEAN\"),FMA_EPS(+1,-3AM,,,,\"PORTAGG\",\"MEAN\"))":-5.33345461123225,"EWA^PERCENT_CHANGE(FMA_EPS(+1,0,,,,\"PORTAGG\",\"MEAN\"),FMA_EPS(+1,-1AM,,,,\"PORTAGG\",\"MEAN\"))":-3.63904392125879,"IWM^FMA_COS_UP(\"EPS\",\"1M\",+1,0,,,\"PORTAGG\",\"MEANR\")":414.0,"VWO^FMA_COS_UP(\"EPS\",\"1M\",+1,0,,,\"PORTAGG\",\"MEANR\")":729.0,"EWN^SIZE(FG_CONSTITUENTS)":55,"QQQ^FMA_COS_DOWN(\"EPS\",\"1M\",+1,0,,,\"PORTAGG\",\"MEANR\")":29.0,"EWG^SIZE(FG_CONSTITUENTS)":60,"ENZL^FMA_COS_DOWN(\"EPS\",\"1M\",+1,0,,,\"PORTAGG\",\"MEANR\")":2.0,"EWJ^FG_COMPANY_NAME":"iShares MSCI Japan ETF","EWA^FG_PRICE_MAVG(0,,,,60)":22.959667,"IWM^P_PRICE(0)/P_PRICE_LOW_PR(0,,,USD,,,\"PRICE\",\"INTRA\",\"52W\")-1":0.21222246,"VWO^FG_TOTAL_RETURNC(0,-3AM)":8.701742,"EWG^P_PRICE(0)/P_PRICE_LOW_PR(0,,,USD,,,\"PRICE\",\"INTRA\",\"52W\")-1":0.18963766,"QQQ^PERCENT_CHANGE(FMA_EPS(+1,0,,,,\"PORTAGG\",\"MEAN\"),FMA_EPS(+1,-3AM,,,,\"PORTAGG\",\"MEAN\"))":0.333159271050542,"EWG^PERCENT_CHANGE(FMA_EPS(+1,0,,,,\"PORTAGG\",\"MEAN\"),FMA_EPS(+1,-3AM,,,,\"PORTAGG\",\"MEAN\"))":-0.340957557742057,"EMXC^SIZE(FG_CONSTITUENTS)":700,"EWC^SIZE(FG_CONSTITUENTS)":89,"EMXC^P_PRICE(0)/P_PRICE_HIGH_PR(0,,,USD,,,\"PRICE\",\"INTRA\",\"52W\")":0.97380227,"DBA^P_PRICE_RETURNS_PR('52W',2,-10AY,0,AM)":[-12.2013035,3.3549428,7.4894905,12.654805,10.883284,10.825766,7.9159856,2.9909492,-0.6669283,0.7050514,4.164982,2.8559685,-3.0103087,-15.30801,-20.405262,-23.485106,-21.835,-19.037432,-18.574106,-20.978218,-15.95068,-17.5807,-19.533985,-18.503778,-14.413273,-13.02265,-8.049536,-5.771816,-3.0937254,-2.9174209,-4.5161366,-0.7253349,-3.4074724,-2.6899457,-2.0270288,-3.5644531,2.3845077,1.2475014,-3.7999094,-8.167135,-6.9014072,-11.696714,-4.8745213,-9.728945,-7.7413025,-6.7895293,-5.6213083,-5.974686,-8.345467,-5.667824,-5.9500036,-1.9131362,-2.6646495,-6.335086,-10.958904,-8.681667,-9.930968,-7.80437,-10.762798,-7.700348,-7.890505,-12.66672,-9.683925,-13.695419,-14.494425,-5.7172656,-5.8485985,-10.266322,-6.2081633,-8.607161,-4.5595226,-1.9521713,-4.0913639999999996,-4.37572,-12.558836,-16.785543,-14.151991,-19.903301,-15.655363,-3.1852722,-5.401725,-4.751241,-2.8131545,-3.1211793,1.6019702,11.111105,16.931581,39.489494,32.509087,32.8614,40.14546,32.940365,28.590965,29.28139,29.005169,26.299118,22.316563,17.89174,32.3617,19.537127,22.283209,16.199553,2.7503848,8.294212,6.0106397,3.0649304,-1.9249737,1.8516302,-1.203692,-4.371434,-9.158289,-4.893965,-7.222438,4.271364,13.229156,5.980432,9.263587,10.670948,9.892249,8.607042,13.111937],"GLD^FG_TOTAL_RETURNC(-10AY,0,AM)":[4.754162,4.7591805,-2.1075606,0.015950203,-0.7334769,1.7829895,-0.74094534,-1.9405246,-5.0993147,1.1019945,-2.6953936,-0.28656125,7.106149,-5.6264696,-0.5083084,-2.1042585,0.76072216,-1.185149,-6.4054728,2.202177,1.9875526,1.4752746,-8.049899,0.5758405,4.1145086,9.152758,-0.6660402,2.0372987,-1.7860115,8.088863,-0.007939339,0.039684772,1.1900067,-5.299884,-6.7720833,-4.155934,4.938388,5.686033,-0.7017493,1.6658187,-0.2482593,-1.8085301,1.2842178,2.3857236,0.32589436,-2.281952,1.6537786,-0.44964552,5.173695,-1.2649417,1.4472127,-2.580291,-1.4083385,-3.2059073,-2.9263854,-1.3906837,-0.97231865,3.2905698,-0.9677112,3.4763098,2.6742458,2.2139072,-1.0192692,-2.3572028,-0.057673454,9.620773,0.5038738,7.894349,-1.6644776,0.049376488,-2.904266,3.3686638,3.9331317,4.047847,-0.47411323,6.1341643,-1.075995,3.511715,7.301557,2.607727,-4.592061,2.0635605,-5.063015,4.035163,-1.5480638,-6.802213,0.26575327,2.8352976,6.473267,-6.220448,0.9424329,-0.2913952,-2.6063085,2.6821733,-0.4949808,1.2706041,0.4852891,3.9813995,3.3021808,-2.7744234,-2.5716305,-1.5454948,-5.908638,1.0747313,-6.5096436,2.4796724,5.3168178,2.4751782,7.3000193,-6.1960163,9.088206,0.59353113,-2.0677745,-1.3320804,2.6833296,-3.09875,-0.754416,4.385066,0.8206129,3.341961,-2.4567127],"W-FDS^FG_PRICE_MAVG(0,,,,30)":6.0728335,"NI-FDS^FG_PRICE_MAVG(0,,,,30)":16218.667,"BRENT-FDS^FG_PRICE_CHANGE(0,-3AM)":-6.7246061922868,"TIOS-FDS^MAX(FG_PRICE(0,-5AY))":219.77,"EWI^FG_PRICE_MAVG(0,,,,30)":33.626667,"QQQ^FG_PRICE(0)":423.81,"EWJ^FG_PRICE_MAVG(0,,,,60)":63.098167,"EWC^FG_PRICE(0)":36.47,"EWD^P_PRICE(0)/P_PRICE_LOW_PR(0,,,USD,,,\"PRICE\",\"INTRA\",\"52W\")-1":0.21492589,"EWQ^FG_TOTAL_RETURNC(0,-6AM)":1.3789654,"EWU^P_PRICE(0)/P_PRICE_LOW_PR(0,,,USD,,,\"PRICE\",\"INTRA\",\"52W\")-1":0.08799994,"EWA^P_PRICE(0)/P_PRICE_HIGH_PR(0,,,USD,,,\"PRICE\",\"INTRA\",\"52W\")":0.9393339,"IWM^PERCENT_CHANGE(FMA_EPS(+1,0,,,,\"PORTAGG\",\"MEAN\"),FMA_EPS(+1,-3AM,,,,\"PORTAGG\",\"MEAN\"))":-9.07969855757907,"INDA^PERCENT_CHANGE(FMA_EPS(+1,0,,,,\"PORTAGG\",\"MEAN\"),FMA_EPS(+1,-1AM,,,,\"PORTAGG\",\"MEAN\"))":-0.150887061648188,"VWO^PERCENT_CHANGE(FMA_EPS(+1,0,,,,\"PORTAGG\",\"MEAN\"),FMA_EPS(+1,-3AM,,,,\"PORTAGG\",\"MEAN\"))":0.303980209028829,"EWD^PERCENT_CHANGE(FMA_EPS(+1,0,,,,\"PORTAGG\",\"MEAN\"),FMA_EPS(+1,-1AM,,,,\"PORTAGG\",\"MEAN\"))":-5.88914370218632,"EWA^FMA_PCT_ABOVE_MAVG(200,0,,,,\"PORTAGG\")":64.4067796610169,"VGK^SIZE(FG_CONSTITUENTS)":1294,"EWN^FMA_COS_DOWN(\"EPS\",\"1M\",+1,0,,,\"PORTAGG\",\"MEANR\")":25.0,"QQQ^FMA_COS_UP(\"EPS\",\"1M\",+1,0,,,\"PORTAGG\",\"MEANR\")":40.0,"ENZL^FMA_COS_UP(\"EPS\",\"1M\",+1,0,,,\"PORTAGG\",\"MEANR\")":3.0,"USO^FG_TOTAL_RETURNC(0,-3AM)":-4.929119,"UUP^FG_TOTAL_RETURNC(0,-3AM)":-1.5207589,"CPALM-FDS^MAX(FG_PRICE(0,-5AY))":8163.0,"PLATI-FDS^MAX(FG_PRICE(0,-5AY))":1272.59,"BRENT-FDS^FG_PRICE_CHANGE(0,-1AM)":0.0,"EWD^FG_PRICE_MAVG(0,,,,200)":35.1224,"EWQ^FG_PRICE_MAVG(0,,,,30)":38.5455,"EWJ^FG_PRICE(0)":65.39,"EWD^P_PRICE(0)/P_PRICE_HIGH_PR(0,,,USD,,,\"PRICE\",\"INTRA\",\"52W\")":0.93135035,"IWM^FMA_PCT_ABOVE_MAVG(200,0,,,,\"PORTAGG\")":58.6866597724922,"NI-FDS^FG_PRICE(0)":16535.0,"EWI^FG_PRICE(0)":33.46,"EWQ^FG_PRICE_MAVG(0,,,,60)":37.694416,"EWU^FG_PRICE_MAVG(0,,,,200)":32.3451,"EWJ^FG_PRICE_MAVG(0,,,,30)":64.43767,"EWA^FG_PRICE_MAVG(0,,,,200)":22.50835,"EWQ^FG_TOTAL_RETURNC(0,-3AM)":14.773666,"EWU^P_PRICE(0)/P_PRICE_HIGH_PR(0,,,USD,,,\"PRICE\",\"INTRA\",\"52W\")":0.9587311,"EWA^FG_TOTAL_RETURNC(0,-6AM)":3.0170321,"IWM^PERCENT_CHANGE(FMA_EPS(+1,0,,,,\"PORTAGG\",\"MEAN\"),FMA_EPS(+1,-1AM,,,,\"PORTAGG\",\"MEAN\"))":-2.41484395380541,"INDA^FMA_PCT_ABOVE_MAVG(200,0,,,,\"PORTAGG\")":81.6793893129771,"EWD^FMA_PCT_ABOVE_MAVG(200,0,,,,\"PORTAGG\")":72.0930232558139,"ENZL^PERCENT_CHANGE(FMA_EPS(+1,0,,,,\"PORTAGG\",\"MEAN\"),FMA_EPS(+1,-3AM,,,,\"PORTAGG\",\"MEAN\"))":-5.66433513552086,"EWN^FMA_COS_UP(\"EPS\",\"1M\",+1,0,,,\"PORTAGG\",\"MEANR\")":15.0,"EWU^SIZE(FG_CONSTITUENTS)":86,"EWG^FMA_COS_DOWN(\"EPS\",\"1M\",+1,0,,,\"PORTAGG\",\"MEANR\")":30.0,"VGK^FG_TOTAL_RETURNC(0,-1AM)":-0.8837223,"SPY^P_PRICE_RETURNS_PR('52W',2,-10AY,0,AM)":[22.147703,25.704025,20.81392,19.887627,17.369461,24.442541,19.343578,23.053265,18.890142,14.328361,17.154049,15.585554,17.08951,16.58491,13.141001,14.881182,12.851524,9.4649315,6.7619085,-1.0249257,0.21094084,7.514429,3.1131148,1.054573,-5.4957986,-5.7858586,-0.6346524,0.83578825,1.4943957,-1.389879,6.486678,14.184963,13.497698,5.4925084,8.120573,11.9133835,23.166048,25.171423,17.518974,16.474974,17.854774,22.209621,16.479229,14.625764,18.615925,22.015131,20.358456,20.673931,27.388168,19.663322,15.520514,13.833534,14.713049,13.718117,16.648638,20.034206,18.500423,5.6895256,4.614055,-6.101471,-4.3903055,2.4329662,8.107972,12.325811,5.680883,9.075129,8.7095375,2.1630168,4.5055985,13.904345,19.761658,33.662296,27.106857,13.630748,-5.1621795,-1.163888,7.9540014,5.39037,8.605146,23.12845,12.624121,14.741861,18.003918,17.057276,18.956911,24.429953,54.04619,49.962044,42.380356,40.886116,39.5038,30.321503,39.167713,36.25283,28.351952,29.753077,14.440823,16.036224,17.702675,0.9584546,-2.0021439,-6.930274,-10.103625,-7.8818502,-16.686832,-14.945591,-12.995881,-17.30991,-5.0867853,-5.9470654,-10.651755,-1.1627376,5.3981185,12.425613,18.451859,6.6054106,18.759464,9.709072,14.939726,26.121521,22.26609],"PASP-FDS^FG_PRICE_CHANGE(0,-1AY)":-43.5672514619883,"TIOS-FDS^FG_PRICE(0)/MAX(FG_PRICE(0,-1AY))":0.940205327413984,"EWU^FG_TOTAL_RETURNC(0,-6AM)":-0.56158304,"VWO^PERCENT_CHANGE(FMA_EPS(+1,0,,,,\"PORTAGG\",\"MEAN\"),FMA_EPS(+1,-1AM,,,,\"PORTAGG\",\"MEAN\"))":-2.12715452000385,"EWN^PERCENT_CHANGE(FMA_EPS(+1,0,,,,\"PORTAGG\",\"MEAN\"),FMA_EPS(+1,-3AM,,,,\"PORTAGG\",\"MEAN\"))":1.04065953776456,"VGK^FMA_COS_DOWN(\"EPS\",\"1M\",+1,0,,,\"PORTAGG\",\"MEANR\")":379.0,"EWG^FMA_COS_UP(\"EPS\",\"1M\",+1,0,,,\"PORTAGG\",\"MEANR\")":21.0,"VWO^P_PRICE_RETURNS_PR('52W',2,-10AY,0,AM)":[-12.540096,-8.695245,-4.726452,-3.4169078,2.1710157,16.410828,14.660692,22.536219,6.41706,1.8443465,8.021164,2.3473501,12.87936,11.63019,3.9124727,12.017918,3.6201477,-1.780504,-12.625563,-24.072802,-20.36279,-10.627955,-15.821892,-13.623661,-27.14885,-24.68887,-14.911675,-18.95017,-19.805967,-17.679083,-1.5011787,14.015686,16.834557,8.143341,6.15865,7.4273944,32.03517,30.695295,22.004128,17.615711,25.067806,26.06634,19.787586,20.000898,19.326067,19.357527,30.642712,33.037056,37.578796,28.406488,20.192837,16.338873,12.875355,4.737127,4.1168213,-1.3625503,-2.7502716,-13.268155,-12.672472,-14.234436,-16.30336,-11.602336,-8.311397,-2.432388,-9.166903,3.3901095,0.26131868,-3.7251174,1.6542792,14.422894,12.357473,21.359587,12.865448,1.8956184,-14.505625,-16.235573,-4.1485844,-3.5656154,3.308916,17.131413,6.6329,9.857583,16.652298,13.195049,24.477661,28.895235,52.410923,55.416943,48.045517,39.385258,21.559227,15.82917,22.193193,17.878378,3.7807226,2.5868416,-7.7427745,-6.7766485,-6.441003,-18.618923,-18.186605,-19.698185,-17.9892,-15.31843,-24.068481,-27.700783,-20.620358,-18.012571,-7.320404,-13.539248,-11.238539,-2.9785037,-2.8298318,-1.0485709,8.470667,-1.4982641,8.784521,7.81374,7.550466,8.36314,-3.6182284],"BRENT-FDS^FG_PRICE_MAVG(0,,,,30)":85.86,"CC_IT^FDS_ECON_RCPI_Q(0)":0.9836987,"CC_SE^FDS_ECON_RCPI_Q(0)":5.5508466,"CC_NL^FDS_ECON_RCPI_Q(0)":0.8052127,"CC_FR^FDS_ECON_RCPI_Q(0)":3.833343,"CC_US^FDS_ECON_RCPI_Q(0)":3.2170393,"CC_GB^FDS_ECON_RCPI_Q(0)":4.1831098,"CC_CH^FDS_ECON_RCPI_Q(0)":1.6172597,"CC_JP^FDS_ECON_RCPI_Q(0)":2.919474,"CC_DE^FDS_ECON_RCPI_Q(0)":3.5504694,"CC_CA^FDS_ECON_RCPI_Q(0)":3.1790657,"CC_AU^FDS_ECON_RCPI_Q(0)":null,"CC_NZ^FDS_ECON_RCPI_Q(0)":4.6770573,"VWO^FMA_EVAL_EBIT(LTMA,NOW,NOW,M,\"PORTAGG\",\"MEANR\")":14.2271227686747,"VWO^FMA_EVAL_EBITDA(NTMA,0,,,\"PORTAGG\",\"MEANR\")":8.33492739097903,"VWO^FG_FCF_YIELD_NTM(0)":5.52446728616397,"VWO^FMA_DIV_YLD(NTMA,NOW,NOW,M,\"PORTAGG\",\"MEANR\")":3.05692126360062,"VWO^FG_PE_NTM(0,,,90,0)":12.1328020950705,"VWO^FG_PE(0)":13.3680205477394,"VWO^JULIAN(FMA_DIV_YLD(NTMA,NOW,NOW,M,\"PORTAGG\",\"MEANR\").DATES)":45289,"VGK^FMA_EVAL_EBIT(LTMA,NOW,NOW,M,\"PORTAGG\",\"MEANR\")":12.8186022713661,"VGK^FMA_EVAL_EBITDA(NTMA,0,,,\"PORTAGG\",\"MEANR\")":8.56278419297746,"VGK^FG_FCF_YIELD_NTM(0)":5.71715604003893,"VGK^FMA_DIV_YLD(NTMA,NOW,NOW,M,\"PORTAGG\",\"MEANR\")":3.62818180178927,"VGK^FG_PE_NTM(0,,,90,0)":12.7377246847292,"VGK^FG_PE(0)":12.6341063379518,"VGK^JULIAN(FMA_DIV_YLD(NTMA,NOW,NOW,M,\"PORTAGG\",\"MEANR\").DATES)":45289,"EWI^FMA_EVAL_EBIT(LTMA,NOW,NOW,M,\"PORTAGG\",\"MEANR\")":10.9106453399872,"EWI^FMA_EVAL_EBITDA(NTMA,0,,,\"PORTAGG\",\"MEANR\")":7.12135617657082,"EWI^FG_FCF_YIELD_NTM(0)":6.92729674498972,"EWI^FMA_DIV_YLD(NTMA,NOW,NOW,M,\"PORTAGG\",\"MEANR\")":5.48072282664945,"EWI^FG_PE_NTM(0,,,90,0)":8.9221876854937,"EWI^FG_PE(0)":9.4437330783108,"EWI^JULIAN(FMA_DIV_YLD(NTMA,NOW,NOW,M,\"PORTAGG\",\"MEANR\").DATES)":45289,"EWD^FMA_EVAL_EBIT(LTMA,NOW,NOW,M,\"PORTAGG\",\"MEANR\")":15.6388844606912,"EWD^FMA_EVAL_EBITDA(NTMA,0,,,\"PORTAGG\",\"MEANR\")":10.829282164676,"EWD^FG_FCF_YIELD_NTM(0)":5.55464227984031,"EWD^FMA_DIV_YLD(NTMA,NOW,NOW,M,\"PORTAGG\",\"MEANR\")":2.92358459120593,"EWD^FG_PE_NTM(0,,,90,0)":15.4142345169693,"EWD^FG_PE(0)":14.6275687922756,"EWD^JULIAN(FMA_DIV_YLD(NTMA,NOW,NOW,M,\"PORTAGG\",\"MEANR\").DATES)":45289,"EWN^FMA_EVAL_EBIT(LTMA,NOW,NOW,M,\"PORTAGG\",\"MEANR\")":20.4684519093107,"EWN^FMA_EVAL_EBITDA(NTMA,0,,,\"PORTAGG\",\"MEANR\")":12.9761056355005,"EWN^FG_FCF_YIELD_NTM(0)":3.94331545175586,"EWN^FMA_DIV_YLD(NTMA,NOW,NOW,M,\"PORTAGG\",\"MEANR\")":2.69141913456056,"EWN^FG_PE_NTM(0,,,90,0)":15.6466461926462,"EWN^FG_PE(0)":18.0837298005284,"EWN^JULIAN(FMA_DIV_YLD(NTMA,NOW,NOW,M,\"PORTAGG\",\"MEANR\").DATES)":45289,"EWQ^FMA_EVAL_EBIT(LTMA,NOW,NOW,M,\"PORTAGG\",\"MEANR\")":12.5613240421895,"EWQ^FMA_EVAL_EBITDA(NTMA,0,,,\"PORTAGG\",\"MEANR\")":8.85186813641842,"EWQ^FG_FCF_YIELD_NTM(0)":6.15165980963206,"EWQ^FMA_DIV_YLD(NTMA,NOW,NOW,M,\"PORTAGG\",\"MEANR\")":3.23040326772916,"EWQ^FG_PE_NTM(0,,,90,0)":13.3549909617041,"EWQ^FG_PE(0)":14.808549326909,"EWQ^JULIAN(FMA_DIV_YLD(NTMA,NOW,NOW,M,\"PORTAGG\",\"MEANR\").DATES)":45289,"SPY^FMA_EVAL_EBIT(LTMA,NOW,NOW,M,\"PORTAGG\",\"MEANR\")":19.7852749846985,"SPY^FMA_EVAL_EBITDA(NTMA,0,,,\"PORTAGG\",\"MEANR\")":13.7151426491434,"SPY^FG_FCF_YIELD_NTM(0)":4.38366716719868,"SPY^FMA_DIV_YLD(NTMA,NOW,NOW,M,\"PORTAGG\",\"MEANR\")":1.54297496368802,"SPY^FG_PE_NTM(0,,,90,0)":20.0175381310146,"SPY^FG_PE(0)":23.4351377332159,"SPY^JULIAN(FMA_DIV_YLD(NTMA,NOW,NOW,M,\"PORTAGG\",\"MEANR\").DATES)":45289,"QQQ^FMA_EVAL_EBIT(LTMA,NOW,NOW,M,\"PORTAGG\",\"MEANR\")":23.958823438883,"QQQ^FMA_EVAL_EBITDA(NTMA,0,,,\"PORTAGG\",\"MEANR\")":16.0508515068338,"QQQ^FG_FCF_YIELD_NTM(0)":3.75823424899,"QQQ^FMA_DIV_YLD(NTMA,NOW,NOW,M,\"PORTAGG\",\"MEANR\")":0.919259242114565,"QQQ^FG_PE_NTM(0,,,90,0)":25.9219204248767,"QQQ^FG_PE(0)":32.0736111365784,"QQQ^JULIAN(FMA_DIV_YLD(NTMA,NOW,NOW,M,\"PORTAGG\",\"MEANR\").DATES)":45289,"EWU^FMA_EVAL_EBIT(LTMA,NOW,NOW,M,\"PORTAGG\",\"MEANR\")":10.1502607373552,"EWU^FMA_EVAL_EBITDA(NTMA,0,,,\"PORTAGG\",\"MEANR\")":7.19843520792625,"EWU^FG_FCF_YIELD_NTM(0)":6.90536780825507,"EWU^FMA_DIV_YLD(NTMA,NOW,NOW,M,\"PORTAGG\",\"MEANR\")":4.27019194023054,"EWU^FG_PE_NTM(0,,,90,0)":10.9394173959578,"EWU^FG_PE(0)":9.10207810886253,"EWU^JULIAN(FMA_DIV_YLD(NTMA,NOW,NOW,M,\"PORTAGG\",\"MEANR\").DATES)":45289,"EWL^FMA_EVAL_EBIT(LTMA,NOW,NOW,M,\"PORTAGG\",\"MEANR\")":16.4265546329384,"EWL^FMA_EVAL_EBITDA(NTMA,0,,,\"PORTAGG\",\"MEANR\")":12.8482552510529,"EWL^FG_FCF_YIELD_NTM(0)":5.10681354594677,"EWL^FMA_DIV_YLD(NTMA,NOW,NOW,M,\"PORTAGG\",\"MEANR\")":3.2708203849849,"EWL^FG_PE_NTM(0,,,90,0)":16.9279205634025,"EWL^FG_PE(0)":16.0992338580053,"EWL^JULIAN(FMA_DIV_YLD(NTMA,NOW,NOW,M,\"PORTAGG\",\"MEANR\").DATES)":45289,"EWJ^FMA_EVAL_EBIT(LTMA,NOW,NOW,M,\"PORTAGG\",\"MEANR\")":16.3377111170439,"EWJ^FMA_EVAL_EBITDA(NTMA,0,,,\"PORTAGG\",\"MEANR\")":10.2151940361331,"EWJ^FG_FCF_YIELD_NTM(0)":4.28244763565551,"EWJ^FMA_DIV_YLD(NTMA,NOW,NOW,M,\"PORTAGG\",\"MEANR\")":2.42801081330025,"EWJ^FG_PE_NTM(0,,,90,0)":14.9785403352315,"EWJ^FG_PE(0)":16.0774029566032,"EWJ^JULIAN(FMA_DIV_YLD(NTMA,NOW,NOW,M,\"PORTAGG\",\"MEANR\").DATES)":45289,"EWG^FMA_EVAL_EBIT(LTMA,NOW,NOW,M,\"PORTAGG\",\"MEANR\")":12.8807983948073,"EWG^FMA_EVAL_EBITDA(NTMA,0,,,\"PORTAGG\",\"MEANR\")":8.29734741842124,"EWG^FG_FCF_YIELD_NTM(0)":6.61760330610413,"EWG^FMA_DIV_YLD(NTMA,NOW,NOW,M,\"PORTAGG\",\"MEANR\")":3.55178110469247,"EWG^FG_PE_NTM(0,,,90,0)":11.376614589609,"EWG^FG_PE(0)":10.9082123123239,"EWG^JULIAN(FMA_DIV_YLD(NTMA,NOW,NOW,M,\"PORTAGG\",\"MEANR\").DATES)":45289,"EWC^FMA_EVAL_EBIT(LTMA,NOW,NOW,M,\"PORTAGG\",\"MEANR\")":15.5816071516116,"EWC^FMA_EVAL_EBITDA(NTMA,0,,,\"PORTAGG\",\"MEANR\")":9.48814462637707,"EWC^FG_FCF_YIELD_NTM(0)":5.00351229358858,"EWC^FMA_DIV_YLD(NTMA,NOW,NOW,M,\"PORTAGG\",\"MEANR\")":3.3583955645562,"EWC^FG_PE_NTM(0,,,90,0)":13.8692559202145,"EWC^FG_PE(0)":16.0282040505719,"EWC^JULIAN(FMA_DIV_YLD(NTMA,NOW,NOW,M,\"PORTAGG\",\"MEANR\").DATES)":45289,"EWA^FMA_EVAL_EBIT(LTMA,NOW,NOW,M,\"PORTAGG\",\"MEANR\")":12.6061834100527,"EWA^FMA_EVAL_EBITDA(NTMA,0,,,\"PORTAGG\",\"MEANR\")":8.4966858579408,"EWA^FG_FCF_YIELD_NTM(0)":4.66893839129914,"EWA^FMA_DIV_YLD(NTMA,NOW,NOW,M,\"PORTAGG\",\"MEANR\")":3.97495871443751,"EWA^FG_PE_NTM(0,,,90,0)":16.2030061557534,"EWA^FG_PE(0)":15.7367827772155,"EWA^JULIAN(FMA_DIV_YLD(NTMA,NOW,NOW,M,\"PORTAGG\",\"MEANR\").DATES)":45289,"ENZL^FMA_EVAL_EBIT(LTMA,NOW,NOW,M,\"PORTAGG\",\"MEANR\")":19.6932356015988,"ENZL^FMA_EVAL_EBITDA(NTMA,0,,,\"PORTAGG\",\"MEANR\")":11.7887039720616,"ENZL^FG_FCF_YIELD_NTM(0)":0.709437535819823,"ENZL^FMA_DIV_YLD(NTMA,NOW,NOW,M,\"PORTAGG\",\"MEANR\")":2.96827759625584,"ENZL^FG_PE_NTM(0,,,90,0)":22.4771739039753,"ENZL^FG_PE(0)":23.9983011116463,"ENZL^JULIAN(FMA_DIV_YLD(NTMA,NOW,NOW,M,\"PORTAGG\",\"MEANR\").DATES)":45289}]]></FdsFormulaCache>
</file>

<file path=customXml/itemProps1.xml><?xml version="1.0" encoding="utf-8"?>
<ds:datastoreItem xmlns:ds="http://schemas.openxmlformats.org/officeDocument/2006/customXml" ds:itemID="{82782607-AA8B-470A-B055-60ED7428A21D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Aset class Rankings</vt:lpstr>
      <vt:lpstr>Gloval value </vt:lpstr>
      <vt:lpstr>Asset class</vt:lpstr>
      <vt:lpstr>Momnetum ranking</vt:lpstr>
      <vt:lpstr>Risk</vt:lpstr>
      <vt:lpstr>Timing</vt:lpstr>
      <vt:lpstr>Commodities</vt:lpstr>
      <vt:lpstr>Monthly Returns</vt:lpstr>
      <vt:lpstr>Yearly returns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Rizael Castro</cp:lastModifiedBy>
  <cp:lastPrinted>2023-12-28T02:21:32Z</cp:lastPrinted>
  <dcterms:created xsi:type="dcterms:W3CDTF">2023-02-28T05:25:38Z</dcterms:created>
  <dcterms:modified xsi:type="dcterms:W3CDTF">2024-01-29T00:37:31Z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